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1595" windowHeight="6150" tabRatio="816" activeTab="0"/>
  </bookViews>
  <sheets>
    <sheet name="Aggrégation" sheetId="1" r:id="rId1"/>
    <sheet name="Totalisation par assureur" sheetId="2" r:id="rId2"/>
    <sheet name="Allianz Suisse" sheetId="3" r:id="rId3"/>
    <sheet name="Axa" sheetId="4" r:id="rId4"/>
    <sheet name="Basler" sheetId="5" r:id="rId5"/>
    <sheet name="Generali" sheetId="6" r:id="rId6"/>
    <sheet name="Helvetia" sheetId="7" r:id="rId7"/>
    <sheet name="Mobiliar" sheetId="8" r:id="rId8"/>
    <sheet name="Nationale" sheetId="9" r:id="rId9"/>
    <sheet name="Pax" sheetId="10" r:id="rId10"/>
    <sheet name="Phenix" sheetId="11" r:id="rId11"/>
    <sheet name="Rentenanstalt" sheetId="12" r:id="rId12"/>
    <sheet name="Winterthur" sheetId="13" r:id="rId13"/>
    <sheet name="Zenith" sheetId="14" r:id="rId14"/>
    <sheet name="Zuerich" sheetId="15" r:id="rId15"/>
    <sheet name="Schéma de publication vide" sheetId="16" r:id="rId16"/>
  </sheets>
  <definedNames>
    <definedName name="AggrAuswahl">'Aggrégation'!$H$2:$I$14</definedName>
    <definedName name="_xlnm.Print_Area" localSheetId="0">'Aggrégation'!$A$1:$F$99</definedName>
    <definedName name="_xlnm.Print_Area" localSheetId="2">'Allianz Suisse'!$A$1:$F$99</definedName>
    <definedName name="_xlnm.Print_Area" localSheetId="3">'Axa'!$A$1:$F$99</definedName>
    <definedName name="_xlnm.Print_Area" localSheetId="4">'Basler'!$A$1:$F$99</definedName>
    <definedName name="_xlnm.Print_Area" localSheetId="5">'Generali'!$A$1:$F$99</definedName>
    <definedName name="_xlnm.Print_Area" localSheetId="6">'Helvetia'!$A$1:$F$99</definedName>
    <definedName name="_xlnm.Print_Area" localSheetId="7">'Mobiliar'!$A$1:$F$99</definedName>
    <definedName name="_xlnm.Print_Area" localSheetId="8">'Nationale'!$A$1:$F$99</definedName>
    <definedName name="_xlnm.Print_Area" localSheetId="9">'Pax'!$A$1:$F$99</definedName>
    <definedName name="_xlnm.Print_Area" localSheetId="10">'Phenix'!$A$1:$F$99</definedName>
    <definedName name="_xlnm.Print_Area" localSheetId="11">'Rentenanstalt'!$A$1:$F$99</definedName>
    <definedName name="_xlnm.Print_Area" localSheetId="15">'Schéma de publication vide'!$A$1:$F$99</definedName>
    <definedName name="_xlnm.Print_Area" localSheetId="12">'Winterthur'!$A$1:$F$99</definedName>
    <definedName name="_xlnm.Print_Area" localSheetId="13">'Zenith'!$A$1:$F$99</definedName>
    <definedName name="_xlnm.Print_Area" localSheetId="14">'Zuerich'!$A$1:$F$99</definedName>
    <definedName name="_xlnm.Print_Titles" localSheetId="1">'Totalisation par assureur'!$A:$B</definedName>
  </definedNames>
  <calcPr fullCalcOnLoad="1" refMode="R1C1"/>
</workbook>
</file>

<file path=xl/sharedStrings.xml><?xml version="1.0" encoding="utf-8"?>
<sst xmlns="http://schemas.openxmlformats.org/spreadsheetml/2006/main" count="1734" uniqueCount="118">
  <si>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</si>
  <si>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</si>
  <si>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</si>
  <si>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</si>
  <si>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</si>
  <si>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</si>
  <si>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</si>
  <si>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</si>
  <si>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</si>
  <si>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</si>
  <si>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</si>
  <si>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</si>
  <si>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</si>
  <si>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Pax</t>
  </si>
  <si>
    <t>Zenith</t>
  </si>
  <si>
    <t>Rentenanstalt</t>
  </si>
  <si>
    <t>Mobiliar</t>
  </si>
  <si>
    <t>Phenix</t>
  </si>
  <si>
    <t>Allianz Suisse</t>
  </si>
  <si>
    <t>Axa</t>
  </si>
  <si>
    <t>Basler</t>
  </si>
  <si>
    <t>Generali</t>
  </si>
  <si>
    <t>Winterthur</t>
  </si>
  <si>
    <t>Zuerich</t>
  </si>
  <si>
    <t>Helvetia</t>
  </si>
  <si>
    <t>Allianz</t>
  </si>
  <si>
    <t>Zürich</t>
  </si>
  <si>
    <t>Nationale</t>
  </si>
  <si>
    <t>I.  Données d'après la comptabilité PP</t>
  </si>
  <si>
    <t>Encaissement des primes brutes acquises, réparti selon:</t>
  </si>
  <si>
    <t>Prestation d'assurance</t>
  </si>
  <si>
    <t>Variation des provisions techniques</t>
  </si>
  <si>
    <t>Frais d'acquisition, de traitement des prestations et de gestion</t>
  </si>
  <si>
    <t>Produits des placements de capitaux</t>
  </si>
  <si>
    <t>Distribution du sur-rendement selon dispositions individuelles du contrat</t>
  </si>
  <si>
    <t>Résultat de la réassurance (- = perte)</t>
  </si>
  <si>
    <t>Résultat avant attribution au fonds d'excédents</t>
  </si>
  <si>
    <t>Participation aux excédents attribuée au fonds d'excédents</t>
  </si>
  <si>
    <t>II.  Fonds d'excédents</t>
  </si>
  <si>
    <t>Etat à la fin de l'exercice précédent</t>
  </si>
  <si>
    <t>Attribution du compte d'exploitation au fonds d'excédents</t>
  </si>
  <si>
    <t>Prélevé du fonds d'excédents pour couvrir un déficit du compte d'exploit.</t>
  </si>
  <si>
    <t>Distribué aux institutions de prévoyance</t>
  </si>
  <si>
    <t>Etat à la fin de l'exercice comptable</t>
  </si>
  <si>
    <t>III.  Fonds de renchérissement</t>
  </si>
  <si>
    <t>Primes de renchérissement encaissées</t>
  </si>
  <si>
    <t>Intérêt tarifaire</t>
  </si>
  <si>
    <t>Charges pour augmentations liées au renchérissement des rentes de risque</t>
  </si>
  <si>
    <t>Prélèvement en faveur du compte d'exploitation</t>
  </si>
  <si>
    <t>Etat à la fin de l'année d'exercice</t>
  </si>
  <si>
    <t>IV.  Autres chiffres indicatifs</t>
  </si>
  <si>
    <t>Somme des composantes de produit</t>
  </si>
  <si>
    <t>Somme des charges</t>
  </si>
  <si>
    <t>Résultat brut d'exploitation  a)</t>
  </si>
  <si>
    <t>Renforcement (+) ou dissolution (-) de provisions techniques</t>
  </si>
  <si>
    <t>Frais pour capital risque supplémentaire</t>
  </si>
  <si>
    <t>Attribution au fonds d'excédents</t>
  </si>
  <si>
    <t>Résutat d'exploitation</t>
  </si>
  <si>
    <t>a)  avant renforcement des provisions techn. et avant attribution au fonds d'excédents</t>
  </si>
  <si>
    <t>Récapitulation du résultat d'exploitation</t>
  </si>
  <si>
    <t>Primes d'épargne</t>
  </si>
  <si>
    <t>Primes de risque.</t>
  </si>
  <si>
    <t>Primes de frais</t>
  </si>
  <si>
    <t>- Répartition selon les exigences de la comptabilité PP</t>
  </si>
  <si>
    <t>- Les primes des plans enveloppants sont à catégoriser aussi correctement que possible</t>
  </si>
  <si>
    <t>Prestation en cas de vieillesse, de décès ou d'invalidité</t>
  </si>
  <si>
    <t>Prestations de libre passage</t>
  </si>
  <si>
    <t>Valeurs de rachat suite à des résiliations de contrat</t>
  </si>
  <si>
    <t>Produits des placements de capitaux directs (brut)</t>
  </si>
  <si>
    <r>
      <t>Données</t>
    </r>
    <r>
      <rPr>
        <b/>
        <sz val="10"/>
        <rFont val="Arial"/>
        <family val="2"/>
      </rPr>
      <t xml:space="preserve"> en 1000 CHF</t>
    </r>
    <r>
      <rPr>
        <sz val="10"/>
        <rFont val="Arial"/>
        <family val="0"/>
      </rPr>
      <t>, selon comptabilité statutaire</t>
    </r>
  </si>
  <si>
    <t>Prévoyance professionnelle 2006</t>
  </si>
  <si>
    <t>Schéma de publication aux institutions de prévoyance</t>
  </si>
  <si>
    <t>Aggrégation selon le choix</t>
  </si>
  <si>
    <t>y inclure les renforcements; augmentation = +</t>
  </si>
  <si>
    <t>Résultat monétaire sur les placements de capitaux, bénéfices et
pertes comptables ainsi que plus-values et pertes de cession</t>
  </si>
  <si>
    <t>Charges d'intérêt et charges pour la gestion de la fortune</t>
  </si>
  <si>
    <t>Résultat d'exploitation</t>
  </si>
  <si>
    <t>Autres produits moins charges (regroupé)</t>
  </si>
  <si>
    <t>Pré-colonne</t>
  </si>
  <si>
    <t>Col. principale</t>
  </si>
  <si>
    <t>Choix</t>
  </si>
  <si>
    <t>1 = choisi, 0 = omis</t>
  </si>
  <si>
    <t>Produit net des placements de capitaux</t>
  </si>
  <si>
    <t>Total des placements de capitaux au début de l'exercice</t>
  </si>
  <si>
    <t>Total des placements de capitaux à la fin de l'exercice</t>
  </si>
  <si>
    <t>Répartition des placements de capitaux en %:</t>
  </si>
  <si>
    <t>Liquidités et dépôts à terme</t>
  </si>
  <si>
    <t>Titres à taux d'intérêt fixe</t>
  </si>
  <si>
    <t>Hypothèques et autres créances nominales</t>
  </si>
  <si>
    <t>Actions et parts de fonds de placement</t>
  </si>
  <si>
    <t>Private Equity et Hedge Funds</t>
  </si>
  <si>
    <t>Placements dans des participations et des entreprises liées</t>
  </si>
  <si>
    <t>Immeubles</t>
  </si>
  <si>
    <t>Autres placements de capitaux</t>
  </si>
  <si>
    <t>Provisions actuarielles brutes en fin d'exercice</t>
  </si>
  <si>
    <t>Nombre d'assurés en fin d'exercice</t>
  </si>
  <si>
    <t>Frais</t>
  </si>
  <si>
    <t>Frais totaux par personne (en CHF)</t>
  </si>
  <si>
    <t>e</t>
  </si>
  <si>
    <t>Valeur 
comptable</t>
  </si>
  <si>
    <t>Valeur 
de marché</t>
  </si>
  <si>
    <t>( = 1 + [e3 - d3] - [e2 - d2] en pour cent de [e2 + e3] / 2 )</t>
  </si>
  <si>
    <t>Rendement sur valeurs de marché</t>
  </si>
  <si>
    <t>Processus d'épargne</t>
  </si>
  <si>
    <t>Processus de risque</t>
  </si>
  <si>
    <t>Processus de frais</t>
  </si>
  <si>
    <t xml:space="preserve">Quote-part de distribution </t>
  </si>
  <si>
    <t>Part des affaires soumises à la quote-part minimum</t>
  </si>
  <si>
    <t>Part des affaires non soumises à la quote-part minimum</t>
  </si>
  <si>
    <t>Rendement sur valeurs comptables  ( = 1. en pour cent de [d2 + d3] / 2 )</t>
  </si>
  <si>
    <t>Rendement sur valeurs comptables  ( = 1. en % de [d2 + d3] / 2 )</t>
  </si>
  <si>
    <t>Charges pour augment. liées au renchérissement des rentes de risque</t>
  </si>
  <si>
    <t>Totalisation par assureur-vie avec prévoyance professionnelle</t>
  </si>
  <si>
    <t>Résultat du compte d'exploitation prévoyance profess. total</t>
  </si>
  <si>
    <t>Total</t>
  </si>
  <si>
    <t>Soumise à la QM</t>
  </si>
  <si>
    <t>Non soumise à la QM</t>
  </si>
  <si>
    <t>V.  Preuves du respect de la quote-part minimum (QM)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</si>
</sst>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%;;&quot;- &quot;"/>
    <numFmt numFmtId="165" formatCode="0.0%;;&quot;- &quot;"/>
    <numFmt numFmtId="166" formatCode="0%;;&quot;- &quot;"/>
    <numFmt numFmtId="167" formatCode="[Blue]0;;[Black]0"/>
    <numFmt numFmtId="168" formatCode="0;;0"/>
    <numFmt numFmtId="169" formatCode="0.0%"/>
    <numFmt numFmtId="170" formatCode="0.0%;[Red]\-0.0%;&quot;- &quot;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0" fontId="2" fillId="0" borderId="0" xfId="0" applyFont="1" applyAlignment="1" quotePrefix="1">
      <alignment horizontal="left"/>
    </xf>
    <xf numFmtId="3" fontId="3" fillId="3" borderId="3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3" fontId="3" fillId="4" borderId="5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3" xfId="0" applyNumberFormat="1" applyFont="1" applyFill="1" applyBorder="1" applyAlignment="1">
      <alignment horizontal="right"/>
    </xf>
    <xf numFmtId="3" fontId="3" fillId="4" borderId="6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 quotePrefix="1">
      <alignment/>
    </xf>
    <xf numFmtId="0" fontId="0" fillId="0" borderId="0" xfId="0" applyBorder="1" applyAlignment="1" quotePrefix="1">
      <alignment horizontal="right"/>
    </xf>
    <xf numFmtId="3" fontId="3" fillId="4" borderId="7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3" fillId="5" borderId="2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 quotePrefix="1">
      <alignment horizontal="right"/>
    </xf>
    <xf numFmtId="0" fontId="0" fillId="0" borderId="0" xfId="0" applyAlignment="1" quotePrefix="1">
      <alignment horizontal="right"/>
    </xf>
    <xf numFmtId="3" fontId="1" fillId="2" borderId="10" xfId="0" applyNumberFormat="1" applyFont="1" applyFill="1" applyBorder="1" applyAlignment="1">
      <alignment horizontal="right"/>
    </xf>
    <xf numFmtId="3" fontId="3" fillId="5" borderId="8" xfId="0" applyNumberFormat="1" applyFont="1" applyFill="1" applyBorder="1" applyAlignment="1">
      <alignment horizontal="right"/>
    </xf>
    <xf numFmtId="3" fontId="3" fillId="5" borderId="11" xfId="0" applyNumberFormat="1" applyFont="1" applyFill="1" applyBorder="1" applyAlignment="1">
      <alignment horizontal="right"/>
    </xf>
    <xf numFmtId="3" fontId="3" fillId="6" borderId="2" xfId="0" applyNumberFormat="1" applyFont="1" applyFill="1" applyBorder="1" applyAlignment="1">
      <alignment horizontal="right"/>
    </xf>
    <xf numFmtId="3" fontId="3" fillId="5" borderId="12" xfId="0" applyNumberFormat="1" applyFont="1" applyFill="1" applyBorder="1" applyAlignment="1">
      <alignment horizontal="right"/>
    </xf>
    <xf numFmtId="164" fontId="1" fillId="2" borderId="13" xfId="0" applyNumberFormat="1" applyFont="1" applyFill="1" applyBorder="1" applyAlignment="1">
      <alignment horizontal="right"/>
    </xf>
    <xf numFmtId="165" fontId="3" fillId="5" borderId="2" xfId="0" applyNumberFormat="1" applyFont="1" applyFill="1" applyBorder="1" applyAlignment="1">
      <alignment horizontal="right"/>
    </xf>
    <xf numFmtId="165" fontId="3" fillId="5" borderId="6" xfId="0" applyNumberFormat="1" applyFont="1" applyFill="1" applyBorder="1" applyAlignment="1">
      <alignment horizontal="right"/>
    </xf>
    <xf numFmtId="165" fontId="1" fillId="2" borderId="14" xfId="0" applyNumberFormat="1" applyFont="1" applyFill="1" applyBorder="1" applyAlignment="1">
      <alignment horizontal="right"/>
    </xf>
    <xf numFmtId="3" fontId="1" fillId="7" borderId="2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3" fontId="1" fillId="2" borderId="22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9" borderId="0" xfId="0" applyFill="1" applyAlignment="1">
      <alignment/>
    </xf>
    <xf numFmtId="0" fontId="0" fillId="9" borderId="24" xfId="0" applyFill="1" applyBorder="1" applyAlignment="1">
      <alignment/>
    </xf>
    <xf numFmtId="0" fontId="0" fillId="9" borderId="25" xfId="0" applyFill="1" applyBorder="1" applyAlignment="1">
      <alignment/>
    </xf>
    <xf numFmtId="0" fontId="0" fillId="9" borderId="25" xfId="0" applyFill="1" applyBorder="1" applyAlignment="1">
      <alignment horizontal="right"/>
    </xf>
    <xf numFmtId="0" fontId="0" fillId="9" borderId="0" xfId="0" applyFill="1" applyBorder="1" applyAlignment="1">
      <alignment/>
    </xf>
    <xf numFmtId="0" fontId="1" fillId="9" borderId="0" xfId="0" applyFont="1" applyFill="1" applyBorder="1" applyAlignment="1">
      <alignment/>
    </xf>
    <xf numFmtId="168" fontId="4" fillId="2" borderId="0" xfId="0" applyNumberFormat="1" applyFont="1" applyFill="1" applyBorder="1" applyAlignment="1" applyProtection="1">
      <alignment horizontal="center"/>
      <protection locked="0"/>
    </xf>
    <xf numFmtId="168" fontId="4" fillId="2" borderId="1" xfId="0" applyNumberFormat="1" applyFont="1" applyFill="1" applyBorder="1" applyAlignment="1" applyProtection="1">
      <alignment horizontal="center"/>
      <protection locked="0"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3" fontId="1" fillId="2" borderId="3" xfId="0" applyNumberFormat="1" applyFont="1" applyFill="1" applyBorder="1" applyAlignment="1" quotePrefix="1">
      <alignment horizontal="right"/>
    </xf>
    <xf numFmtId="3" fontId="1" fillId="2" borderId="2" xfId="0" applyNumberFormat="1" applyFont="1" applyFill="1" applyBorder="1" applyAlignment="1" quotePrefix="1">
      <alignment horizontal="right"/>
    </xf>
    <xf numFmtId="0" fontId="2" fillId="9" borderId="0" xfId="0" applyFont="1" applyFill="1" applyBorder="1" applyAlignment="1">
      <alignment/>
    </xf>
    <xf numFmtId="10" fontId="1" fillId="9" borderId="0" xfId="0" applyNumberFormat="1" applyFont="1" applyFill="1" applyBorder="1" applyAlignment="1">
      <alignment/>
    </xf>
    <xf numFmtId="165" fontId="3" fillId="10" borderId="5" xfId="0" applyNumberFormat="1" applyFont="1" applyFill="1" applyBorder="1" applyAlignment="1">
      <alignment horizontal="right"/>
    </xf>
    <xf numFmtId="170" fontId="3" fillId="10" borderId="26" xfId="0" applyNumberFormat="1" applyFont="1" applyFill="1" applyBorder="1" applyAlignment="1">
      <alignment horizontal="right"/>
    </xf>
    <xf numFmtId="0" fontId="0" fillId="9" borderId="0" xfId="0" applyFill="1" applyAlignment="1" quotePrefix="1">
      <alignment horizontal="right"/>
    </xf>
    <xf numFmtId="3" fontId="1" fillId="2" borderId="26" xfId="0" applyNumberFormat="1" applyFont="1" applyFill="1" applyBorder="1" applyAlignment="1" quotePrefix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 textRotation="90"/>
    </xf>
    <xf numFmtId="0" fontId="0" fillId="9" borderId="17" xfId="0" applyFill="1" applyBorder="1" applyAlignment="1">
      <alignment/>
    </xf>
    <xf numFmtId="0" fontId="0" fillId="9" borderId="18" xfId="0" applyFill="1" applyBorder="1" applyAlignment="1">
      <alignment/>
    </xf>
    <xf numFmtId="0" fontId="0" fillId="9" borderId="18" xfId="0" applyFill="1" applyBorder="1" applyAlignment="1">
      <alignment horizontal="right"/>
    </xf>
    <xf numFmtId="0" fontId="0" fillId="9" borderId="0" xfId="0" applyFill="1" applyBorder="1" applyAlignment="1">
      <alignment horizontal="right"/>
    </xf>
    <xf numFmtId="0" fontId="0" fillId="0" borderId="24" xfId="0" applyBorder="1" applyAlignment="1">
      <alignment/>
    </xf>
    <xf numFmtId="3" fontId="1" fillId="2" borderId="27" xfId="0" applyNumberFormat="1" applyFont="1" applyFill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5" xfId="0" applyBorder="1" applyAlignment="1">
      <alignment horizontal="right"/>
    </xf>
    <xf numFmtId="0" fontId="0" fillId="9" borderId="0" xfId="0" applyFill="1" applyBorder="1" applyAlignment="1" quotePrefix="1">
      <alignment horizontal="right"/>
    </xf>
    <xf numFmtId="3" fontId="1" fillId="2" borderId="28" xfId="0" applyNumberFormat="1" applyFont="1" applyFill="1" applyBorder="1" applyAlignment="1" quotePrefix="1">
      <alignment horizontal="right"/>
    </xf>
    <xf numFmtId="3" fontId="1" fillId="2" borderId="29" xfId="0" applyNumberFormat="1" applyFont="1" applyFill="1" applyBorder="1" applyAlignment="1" quotePrefix="1">
      <alignment horizontal="right"/>
    </xf>
    <xf numFmtId="3" fontId="3" fillId="3" borderId="29" xfId="0" applyNumberFormat="1" applyFont="1" applyFill="1" applyBorder="1" applyAlignment="1">
      <alignment horizontal="right"/>
    </xf>
    <xf numFmtId="0" fontId="2" fillId="9" borderId="18" xfId="0" applyFont="1" applyFill="1" applyBorder="1" applyAlignment="1">
      <alignment/>
    </xf>
    <xf numFmtId="3" fontId="1" fillId="2" borderId="30" xfId="0" applyNumberFormat="1" applyFont="1" applyFill="1" applyBorder="1" applyAlignment="1">
      <alignment horizontal="right"/>
    </xf>
    <xf numFmtId="165" fontId="3" fillId="10" borderId="31" xfId="0" applyNumberFormat="1" applyFont="1" applyFill="1" applyBorder="1" applyAlignment="1">
      <alignment horizontal="right"/>
    </xf>
    <xf numFmtId="0" fontId="0" fillId="0" borderId="32" xfId="0" applyBorder="1" applyAlignment="1">
      <alignment/>
    </xf>
    <xf numFmtId="170" fontId="3" fillId="10" borderId="3" xfId="0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10" fontId="1" fillId="9" borderId="18" xfId="0" applyNumberFormat="1" applyFont="1" applyFill="1" applyBorder="1" applyAlignment="1">
      <alignment/>
    </xf>
    <xf numFmtId="3" fontId="1" fillId="2" borderId="33" xfId="0" applyNumberFormat="1" applyFont="1" applyFill="1" applyBorder="1" applyAlignment="1">
      <alignment/>
    </xf>
    <xf numFmtId="0" fontId="0" fillId="9" borderId="21" xfId="0" applyFill="1" applyBorder="1" applyAlignment="1">
      <alignment/>
    </xf>
    <xf numFmtId="0" fontId="0" fillId="9" borderId="32" xfId="0" applyFill="1" applyBorder="1" applyAlignment="1">
      <alignment horizontal="right"/>
    </xf>
    <xf numFmtId="0" fontId="0" fillId="9" borderId="23" xfId="0" applyFill="1" applyBorder="1" applyAlignment="1">
      <alignment horizontal="right"/>
    </xf>
    <xf numFmtId="0" fontId="0" fillId="9" borderId="20" xfId="0" applyFill="1" applyBorder="1" applyAlignment="1">
      <alignment horizontal="right"/>
    </xf>
    <xf numFmtId="0" fontId="0" fillId="9" borderId="23" xfId="0" applyFill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" fillId="2" borderId="34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 quotePrefix="1">
      <alignment horizontal="right"/>
    </xf>
    <xf numFmtId="3" fontId="3" fillId="6" borderId="0" xfId="0" applyNumberFormat="1" applyFont="1" applyFill="1" applyBorder="1" applyAlignment="1">
      <alignment horizontal="right"/>
    </xf>
    <xf numFmtId="3" fontId="3" fillId="3" borderId="35" xfId="0" applyNumberFormat="1" applyFont="1" applyFill="1" applyBorder="1" applyAlignment="1">
      <alignment horizontal="right"/>
    </xf>
    <xf numFmtId="170" fontId="3" fillId="10" borderId="36" xfId="0" applyNumberFormat="1" applyFont="1" applyFill="1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 wrapText="1"/>
    </xf>
    <xf numFmtId="0" fontId="0" fillId="0" borderId="1" xfId="0" applyBorder="1" applyAlignment="1">
      <alignment horizontal="right" wrapText="1"/>
    </xf>
    <xf numFmtId="0" fontId="1" fillId="0" borderId="0" xfId="0" applyFont="1" applyFill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 wrapText="1"/>
    </xf>
    <xf numFmtId="0" fontId="0" fillId="0" borderId="0" xfId="0" applyFill="1" applyAlignment="1" quotePrefix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11" borderId="37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7" fillId="2" borderId="40" xfId="0" applyFont="1" applyFill="1" applyBorder="1" applyAlignment="1">
      <alignment horizontal="center" vertical="center" textRotation="90"/>
    </xf>
    <xf numFmtId="0" fontId="7" fillId="2" borderId="41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10" borderId="44" xfId="0" applyFont="1" applyFill="1" applyBorder="1" applyAlignment="1">
      <alignment horizontal="center"/>
    </xf>
    <xf numFmtId="0" fontId="3" fillId="10" borderId="42" xfId="0" applyFont="1" applyFill="1" applyBorder="1" applyAlignment="1">
      <alignment horizontal="center"/>
    </xf>
    <xf numFmtId="0" fontId="3" fillId="10" borderId="43" xfId="0" applyFont="1" applyFill="1" applyBorder="1" applyAlignment="1">
      <alignment horizontal="center"/>
    </xf>
    <xf numFmtId="0" fontId="1" fillId="9" borderId="44" xfId="0" applyFont="1" applyFill="1" applyBorder="1" applyAlignment="1">
      <alignment horizontal="center"/>
    </xf>
    <xf numFmtId="0" fontId="1" fillId="9" borderId="42" xfId="0" applyFont="1" applyFill="1" applyBorder="1" applyAlignment="1">
      <alignment horizontal="center"/>
    </xf>
    <xf numFmtId="0" fontId="1" fillId="9" borderId="43" xfId="0" applyFont="1" applyFill="1" applyBorder="1" applyAlignment="1">
      <alignment horizontal="center"/>
    </xf>
    <xf numFmtId="0" fontId="0" fillId="0" borderId="44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CB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tabColor indexed="17"/>
    <pageSetUpPr fitToPage="1"/>
  </sheetPr>
  <dimension ref="A1:J10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4" width="13.421875" style="0" customWidth="1"/>
    <col min="5" max="6" width="14.00390625" style="0" customWidth="1"/>
    <col min="7" max="7" width="2.8515625" style="0" customWidth="1"/>
    <col min="8" max="8" width="31.140625" style="0" customWidth="1"/>
    <col min="9" max="9" width="4.00390625" style="0" customWidth="1"/>
    <col min="10" max="10" width="3.57421875" style="0" customWidth="1"/>
  </cols>
  <sheetData>
    <row r="1" spans="1:10" ht="12.75">
      <c r="A1" s="101" t="s">
        <v>70</v>
      </c>
      <c r="B1" s="52"/>
      <c r="H1" s="113" t="s">
        <v>80</v>
      </c>
      <c r="I1" s="114"/>
      <c r="J1" s="115"/>
    </row>
    <row r="2" spans="1:10" ht="12.75" customHeight="1">
      <c r="A2" s="52" t="s">
        <v>71</v>
      </c>
      <c r="B2" s="52"/>
      <c r="H2" s="32" t="s">
        <v>18</v>
      </c>
      <c r="I2" s="49">
        <v>1</v>
      </c>
      <c r="J2" s="116" t="s">
        <v>81</v>
      </c>
    </row>
    <row r="3" spans="1:10" ht="12.75">
      <c r="A3" s="102" t="s">
        <v>72</v>
      </c>
      <c r="B3" s="52"/>
      <c r="H3" s="32" t="s">
        <v>19</v>
      </c>
      <c r="I3" s="49">
        <v>1</v>
      </c>
      <c r="J3" s="116"/>
    </row>
    <row r="4" spans="1:10" ht="12.75">
      <c r="A4" s="52"/>
      <c r="B4" s="52"/>
      <c r="H4" s="32" t="s">
        <v>20</v>
      </c>
      <c r="I4" s="49">
        <v>1</v>
      </c>
      <c r="J4" s="116"/>
    </row>
    <row r="5" spans="1:10" ht="12.75">
      <c r="A5" s="52" t="s">
        <v>69</v>
      </c>
      <c r="B5" s="52"/>
      <c r="H5" s="32" t="s">
        <v>21</v>
      </c>
      <c r="I5" s="49">
        <v>1</v>
      </c>
      <c r="J5" s="116"/>
    </row>
    <row r="6" spans="1:10" ht="12.75">
      <c r="A6" s="52"/>
      <c r="B6" s="52"/>
      <c r="H6" s="32" t="s">
        <v>24</v>
      </c>
      <c r="I6" s="49">
        <v>1</v>
      </c>
      <c r="J6" s="116"/>
    </row>
    <row r="7" spans="1:10" ht="12.75">
      <c r="A7" s="52" t="s">
        <v>0</v>
      </c>
      <c r="B7" s="52" t="s">
        <v>1</v>
      </c>
      <c r="C7" s="1"/>
      <c r="D7" s="1" t="s">
        <v>3</v>
      </c>
      <c r="E7" s="1" t="s">
        <v>98</v>
      </c>
      <c r="F7" s="1"/>
      <c r="H7" s="32" t="s">
        <v>16</v>
      </c>
      <c r="I7" s="49">
        <v>1</v>
      </c>
      <c r="J7" s="116"/>
    </row>
    <row r="8" spans="1:10" ht="12.75">
      <c r="A8" s="52"/>
      <c r="B8" s="52"/>
      <c r="C8" s="2"/>
      <c r="D8" s="2" t="s">
        <v>78</v>
      </c>
      <c r="E8" s="2" t="s">
        <v>79</v>
      </c>
      <c r="F8" s="2"/>
      <c r="H8" s="32" t="s">
        <v>27</v>
      </c>
      <c r="I8" s="49">
        <v>1</v>
      </c>
      <c r="J8" s="116"/>
    </row>
    <row r="9" spans="1:10" ht="12.75">
      <c r="A9" s="102" t="s">
        <v>28</v>
      </c>
      <c r="B9" s="52"/>
      <c r="H9" s="32" t="s">
        <v>13</v>
      </c>
      <c r="I9" s="49">
        <v>1</v>
      </c>
      <c r="J9" s="116"/>
    </row>
    <row r="10" spans="1:10" ht="12.75">
      <c r="A10" s="52" t="s">
        <v>29</v>
      </c>
      <c r="B10" s="52"/>
      <c r="D10" s="1"/>
      <c r="E10" s="1"/>
      <c r="H10" s="32" t="s">
        <v>17</v>
      </c>
      <c r="I10" s="49">
        <v>1</v>
      </c>
      <c r="J10" s="116"/>
    </row>
    <row r="11" spans="1:10" ht="12.75">
      <c r="A11" s="52"/>
      <c r="B11" s="52" t="s">
        <v>60</v>
      </c>
      <c r="D11" s="3">
        <f>$E$13-D$12-D$13</f>
        <v>15564193.648196233</v>
      </c>
      <c r="E11" s="1"/>
      <c r="H11" s="32" t="s">
        <v>15</v>
      </c>
      <c r="I11" s="49">
        <v>1</v>
      </c>
      <c r="J11" s="116"/>
    </row>
    <row r="12" spans="1:10" ht="12.75">
      <c r="A12" s="52"/>
      <c r="B12" s="52" t="s">
        <v>61</v>
      </c>
      <c r="D12" s="5">
        <f>$I$2*'Allianz Suisse'!D12+$I$3*Axa!D12+$I$4*Basler!D12+$I$5*Generali!D12+$I$7*Mobiliar!D12+$I$8*Nationale!D12+$I$6*Helvetia!D12+$I$9*Pax!D12+$I$10*Phenix!D12+$I$11*Rentenanstalt!D12+$I$12*Winterthur!D12+$I$13*Zenith!D12+$I$14*Zuerich!D12</f>
        <v>3035757.3391408063</v>
      </c>
      <c r="E12" s="1"/>
      <c r="H12" s="32" t="s">
        <v>22</v>
      </c>
      <c r="I12" s="49">
        <v>1</v>
      </c>
      <c r="J12" s="116"/>
    </row>
    <row r="13" spans="1:10" ht="13.5" thickBot="1">
      <c r="A13" s="52"/>
      <c r="B13" s="52" t="s">
        <v>62</v>
      </c>
      <c r="D13" s="6">
        <f>$I$2*'Allianz Suisse'!D13+$I$3*Axa!D13+$I$4*Basler!D13+$I$5*Generali!D13+$I$7*Mobiliar!D13+$I$8*Nationale!D13+$I$6*Helvetia!D13+$I$9*Pax!D13+$I$10*Phenix!D13+$I$11*Rentenanstalt!D13+$I$12*Winterthur!D13+$I$13*Zenith!D13+$I$14*Zuerich!D13</f>
        <v>819577.3325529599</v>
      </c>
      <c r="E13" s="7">
        <f>$I$2*'Allianz Suisse'!E13+$I$3*Axa!E13+$I$4*Basler!E13+$I$5*Generali!E13+$I$7*Mobiliar!E13+$I$8*Nationale!E13+$I$6*Helvetia!E13+$I$9*Pax!E13+$I$10*Phenix!E13+$I$11*Rentenanstalt!E13+$I$12*Winterthur!E13+$I$13*Zenith!E13+$I$14*Zuerich!E13</f>
        <v>19419528.31989</v>
      </c>
      <c r="H13" s="32" t="s">
        <v>14</v>
      </c>
      <c r="I13" s="49">
        <v>1</v>
      </c>
      <c r="J13" s="116"/>
    </row>
    <row r="14" spans="1:10" ht="12.75">
      <c r="A14" s="52"/>
      <c r="B14" s="103" t="s">
        <v>63</v>
      </c>
      <c r="D14" s="1"/>
      <c r="E14" s="1"/>
      <c r="H14" s="33" t="s">
        <v>23</v>
      </c>
      <c r="I14" s="50">
        <v>1</v>
      </c>
      <c r="J14" s="117"/>
    </row>
    <row r="15" spans="1:10" ht="12.75">
      <c r="A15" s="52"/>
      <c r="B15" s="103" t="s">
        <v>64</v>
      </c>
      <c r="D15" s="1"/>
      <c r="E15" s="1"/>
      <c r="J15" s="62"/>
    </row>
    <row r="16" spans="1:5" ht="12.75">
      <c r="A16" s="52" t="s">
        <v>30</v>
      </c>
      <c r="B16" s="52"/>
      <c r="D16" s="1"/>
      <c r="E16" s="1"/>
    </row>
    <row r="17" spans="1:5" ht="12.75">
      <c r="A17" s="52"/>
      <c r="B17" s="52" t="s">
        <v>65</v>
      </c>
      <c r="D17" s="8">
        <f>$I$2*'Allianz Suisse'!D17+$I$3*Axa!D17+$I$4*Basler!D17+$I$5*Generali!D17+$I$7*Mobiliar!D17+$I$8*Nationale!D17+$I$6*Helvetia!D17+$I$9*Pax!D17+$I$10*Phenix!D17+$I$11*Rentenanstalt!D17+$I$12*Winterthur!D17+$I$13*Zenith!D17+$I$14*Zuerich!D17</f>
        <v>4506709.33786</v>
      </c>
      <c r="E17" s="1"/>
    </row>
    <row r="18" spans="1:5" ht="12.75">
      <c r="A18" s="52"/>
      <c r="B18" s="52" t="s">
        <v>66</v>
      </c>
      <c r="D18" s="9">
        <f>$I$2*'Allianz Suisse'!D18+$I$3*Axa!D18+$I$4*Basler!D18+$I$5*Generali!D18+$I$7*Mobiliar!D18+$I$8*Nationale!D18+$I$6*Helvetia!D18+$I$9*Pax!D18+$I$10*Phenix!D18+$I$11*Rentenanstalt!D18+$I$12*Winterthur!D18+$I$13*Zenith!D18+$I$14*Zuerich!D18</f>
        <v>8254614.39197</v>
      </c>
      <c r="E18" s="1"/>
    </row>
    <row r="19" spans="1:8" ht="13.5" thickBot="1">
      <c r="A19" s="52"/>
      <c r="B19" s="52" t="s">
        <v>67</v>
      </c>
      <c r="D19" s="10">
        <f>$I$2*'Allianz Suisse'!D19+$I$3*Axa!D19+$I$4*Basler!D19+$I$5*Generali!D19+$I$7*Mobiliar!D19+$I$8*Nationale!D19+$I$6*Helvetia!D19+$I$9*Pax!D19+$I$10*Phenix!D19+$I$11*Rentenanstalt!D19+$I$12*Winterthur!D19+$I$13*Zenith!D19+$I$14*Zuerich!D19</f>
        <v>9780474.46906</v>
      </c>
      <c r="E19" s="3">
        <f>$D$17+$D$18+$D$19</f>
        <v>22541798.19889</v>
      </c>
      <c r="H19" s="12"/>
    </row>
    <row r="20" spans="1:4" ht="12.75">
      <c r="A20" s="52" t="s">
        <v>31</v>
      </c>
      <c r="B20" s="52"/>
      <c r="D20" s="11"/>
    </row>
    <row r="21" spans="1:5" ht="12.75">
      <c r="A21" s="52" t="s">
        <v>73</v>
      </c>
      <c r="B21" s="104"/>
      <c r="D21" s="11"/>
      <c r="E21" s="7">
        <f>$I$2*'Allianz Suisse'!E21+$I$3*Axa!E21+$I$4*Basler!E21+$I$5*Generali!E21+$I$7*Mobiliar!E21+$I$8*Nationale!E21+$I$6*Helvetia!E21+$I$9*Pax!E21+$I$10*Phenix!E21+$I$11*Rentenanstalt!E21+$I$12*Winterthur!E21+$I$13*Zenith!E21+$I$14*Zuerich!E21</f>
        <v>-1691479.8681200002</v>
      </c>
    </row>
    <row r="22" spans="1:5" ht="12.75">
      <c r="A22" s="52" t="s">
        <v>32</v>
      </c>
      <c r="B22" s="52"/>
      <c r="D22" s="11"/>
      <c r="E22" s="7">
        <f>$I$2*'Allianz Suisse'!E22+$I$3*Axa!E22+$I$4*Basler!E22+$I$5*Generali!E22+$I$7*Mobiliar!E22+$I$8*Nationale!E22+$I$6*Helvetia!E22+$I$9*Pax!E22+$I$10*Phenix!E22+$I$11*Rentenanstalt!E22+$I$12*Winterthur!E22+$I$13*Zenith!E22+$I$14*Zuerich!E22</f>
        <v>1076686.2506117406</v>
      </c>
    </row>
    <row r="23" spans="1:5" ht="12.75">
      <c r="A23" s="52" t="s">
        <v>33</v>
      </c>
      <c r="B23" s="52"/>
      <c r="D23" s="11"/>
      <c r="E23" s="1"/>
    </row>
    <row r="24" spans="1:8" ht="12.75">
      <c r="A24" s="52"/>
      <c r="B24" s="52" t="s">
        <v>68</v>
      </c>
      <c r="D24" s="9">
        <f>$I$2*'Allianz Suisse'!D24+$I$3*Axa!D24+$I$4*Basler!D24+$I$5*Generali!D24+$I$7*Mobiliar!D24+$I$8*Nationale!D24+$I$6*Helvetia!D24+$I$9*Pax!D24+$I$10*Phenix!D24+$I$11*Rentenanstalt!D24+$I$12*Winterthur!D24+$I$13*Zenith!D24+$I$14*Zuerich!D24</f>
        <v>4309167.228180001</v>
      </c>
      <c r="E24" s="1"/>
      <c r="H24" s="51"/>
    </row>
    <row r="25" spans="1:8" ht="25.5" customHeight="1">
      <c r="A25" s="52"/>
      <c r="B25" s="105" t="s">
        <v>74</v>
      </c>
      <c r="D25" s="9">
        <f>$I$2*'Allianz Suisse'!D25+$I$3*Axa!D25+$I$4*Basler!D25+$I$5*Generali!D25+$I$7*Mobiliar!D25+$I$8*Nationale!D25+$I$6*Helvetia!D25+$I$9*Pax!D25+$I$10*Phenix!D25+$I$11*Rentenanstalt!D25+$I$12*Winterthur!D25+$I$13*Zenith!D25+$I$14*Zuerich!D25</f>
        <v>329258.13856999984</v>
      </c>
      <c r="E25" s="1"/>
      <c r="H25" s="51"/>
    </row>
    <row r="26" spans="1:8" ht="13.5" thickBot="1">
      <c r="A26" s="52"/>
      <c r="B26" s="52" t="s">
        <v>75</v>
      </c>
      <c r="D26" s="10">
        <f>$I$2*'Allianz Suisse'!D26+$I$3*Axa!D26+$I$4*Basler!D26+$I$5*Generali!D26+$I$7*Mobiliar!D26+$I$8*Nationale!D26+$I$6*Helvetia!D26+$I$9*Pax!D26+$I$10*Phenix!D26+$I$11*Rentenanstalt!D26+$I$12*Winterthur!D26+$I$13*Zenith!D26+$I$14*Zuerich!D26</f>
        <v>465443.62434000004</v>
      </c>
      <c r="E26" s="3">
        <f>$D$24+$D$25-$D$26</f>
        <v>4172981.74241</v>
      </c>
      <c r="H26" s="12"/>
    </row>
    <row r="27" spans="1:8" ht="12.75">
      <c r="A27" s="52" t="s">
        <v>34</v>
      </c>
      <c r="B27" s="52"/>
      <c r="D27" s="13"/>
      <c r="E27" s="9">
        <f>$I$2*'Allianz Suisse'!E27+$I$3*Axa!E27+$I$4*Basler!E27+$I$5*Generali!E27+$I$7*Mobiliar!E27+$I$8*Nationale!E27+$I$6*Helvetia!E27+$I$9*Pax!E27+$I$10*Phenix!E27+$I$11*Rentenanstalt!E27+$I$12*Winterthur!E27+$I$13*Zenith!E27+$I$14*Zuerich!E27</f>
        <v>0</v>
      </c>
      <c r="H27" s="12"/>
    </row>
    <row r="28" spans="1:5" ht="12.75">
      <c r="A28" s="52" t="s">
        <v>35</v>
      </c>
      <c r="B28" s="52"/>
      <c r="D28" s="1"/>
      <c r="E28" s="9">
        <f>$I$2*'Allianz Suisse'!E28+$I$3*Axa!E28+$I$4*Basler!E28+$I$5*Generali!E28+$I$7*Mobiliar!E28+$I$8*Nationale!E28+$I$6*Helvetia!E28+$I$9*Pax!E28+$I$10*Phenix!E28+$I$11*Rentenanstalt!E28+$I$12*Winterthur!E28+$I$13*Zenith!E28+$I$14*Zuerich!E28</f>
        <v>-28672.518685000003</v>
      </c>
    </row>
    <row r="29" spans="1:5" ht="13.5" thickBot="1">
      <c r="A29" s="52" t="s">
        <v>77</v>
      </c>
      <c r="B29" s="52"/>
      <c r="D29" s="1"/>
      <c r="E29" s="14">
        <f>$I$2*'Allianz Suisse'!E29+$I$3*Axa!E29+$I$4*Basler!E29+$I$5*Generali!E29+$I$7*Mobiliar!E29+$I$8*Nationale!E29+$I$6*Helvetia!E29+$I$9*Pax!E29+$I$10*Phenix!E29+$I$11*Rentenanstalt!E29+$I$12*Winterthur!E29+$I$13*Zenith!E29+$I$14*Zuerich!E29</f>
        <v>-71731.70118</v>
      </c>
    </row>
    <row r="30" spans="1:8" ht="12.75">
      <c r="A30" s="52" t="s">
        <v>36</v>
      </c>
      <c r="B30" s="52"/>
      <c r="E30" s="15">
        <f>E$13-E$19-E$21-E$22+E$26-E$27+E$28+E$29</f>
        <v>1565101.2610532588</v>
      </c>
      <c r="H30" s="12"/>
    </row>
    <row r="31" spans="1:5" ht="13.5" thickBot="1">
      <c r="A31" s="52" t="s">
        <v>37</v>
      </c>
      <c r="B31" s="52"/>
      <c r="C31" s="1"/>
      <c r="D31" s="1"/>
      <c r="E31" s="14">
        <f>$I$2*'Allianz Suisse'!E31+$I$3*Axa!E31+$I$4*Basler!E31+$I$5*Generali!E31+$I$7*Mobiliar!E31+$I$8*Nationale!E31+$I$6*Helvetia!E31+$I$9*Pax!E31+$I$10*Phenix!E31+$I$11*Rentenanstalt!E31+$I$12*Winterthur!E31+$I$13*Zenith!E31+$I$14*Zuerich!E31</f>
        <v>868858.169</v>
      </c>
    </row>
    <row r="32" spans="1:8" ht="13.5" thickBot="1">
      <c r="A32" s="52" t="s">
        <v>76</v>
      </c>
      <c r="B32" s="52"/>
      <c r="C32" s="1"/>
      <c r="D32" s="1"/>
      <c r="E32" s="16">
        <f>E$30-E$31</f>
        <v>696243.0920532588</v>
      </c>
      <c r="H32" s="12"/>
    </row>
    <row r="33" spans="1:5" ht="12.75">
      <c r="A33" s="52"/>
      <c r="B33" s="52"/>
      <c r="C33" s="1"/>
      <c r="D33" s="1"/>
      <c r="E33" s="1"/>
    </row>
    <row r="34" spans="1:5" ht="12.75">
      <c r="A34" s="102" t="s">
        <v>38</v>
      </c>
      <c r="B34" s="52"/>
      <c r="D34" s="1"/>
      <c r="E34" s="1"/>
    </row>
    <row r="35" spans="1:5" ht="12.75">
      <c r="A35" s="52" t="s">
        <v>39</v>
      </c>
      <c r="B35" s="52"/>
      <c r="D35" s="1"/>
      <c r="E35" s="17">
        <f>$I$2*'Allianz Suisse'!E35+$I$3*Axa!E35+$I$4*Basler!E35+$I$5*Generali!E35+$I$7*Mobiliar!E35+$I$8*Nationale!E35+$I$6*Helvetia!E35+$I$9*Pax!E35+$I$10*Phenix!E35+$I$11*Rentenanstalt!E35+$I$12*Winterthur!E35+$I$13*Zenith!E35+$I$14*Zuerich!E35</f>
        <v>880386</v>
      </c>
    </row>
    <row r="36" spans="1:8" ht="12.75">
      <c r="A36" s="52" t="s">
        <v>40</v>
      </c>
      <c r="B36" s="52"/>
      <c r="E36" s="18">
        <f>E$31</f>
        <v>868858.169</v>
      </c>
      <c r="H36" s="12"/>
    </row>
    <row r="37" spans="1:8" ht="12.75">
      <c r="A37" s="52" t="s">
        <v>41</v>
      </c>
      <c r="B37" s="52"/>
      <c r="D37" s="9">
        <f>$I$2*'Allianz Suisse'!D37+$I$3*Axa!D37+$I$4*Basler!D37+$I$5*Generali!D37+$I$7*Mobiliar!D37+$I$8*Nationale!D37+$I$6*Helvetia!D37+$I$9*Pax!D37+$I$10*Phenix!D37+$I$11*Rentenanstalt!D37+$I$12*Winterthur!D37+$I$13*Zenith!D37+$I$14*Zuerich!D37</f>
        <v>0</v>
      </c>
      <c r="E37" s="19"/>
      <c r="H37" s="12"/>
    </row>
    <row r="38" spans="1:8" ht="13.5" thickBot="1">
      <c r="A38" s="52" t="s">
        <v>42</v>
      </c>
      <c r="B38" s="52"/>
      <c r="D38" s="10">
        <f>$I$2*'Allianz Suisse'!D38+$I$3*Axa!D38+$I$4*Basler!D38+$I$5*Generali!D38+$I$7*Mobiliar!D38+$I$8*Nationale!D38+$I$6*Helvetia!D38+$I$9*Pax!D38+$I$10*Phenix!D38+$I$11*Rentenanstalt!D38+$I$12*Winterthur!D38+$I$13*Zenith!D38+$I$14*Zuerich!D38</f>
        <v>508162.25039</v>
      </c>
      <c r="E38" s="20">
        <f>$D$37+$D$38</f>
        <v>508162.25039</v>
      </c>
      <c r="H38" s="12"/>
    </row>
    <row r="39" spans="1:8" ht="13.5" thickBot="1">
      <c r="A39" s="52" t="s">
        <v>43</v>
      </c>
      <c r="B39" s="52"/>
      <c r="D39" s="1"/>
      <c r="E39" s="21">
        <f>E35+E36-E38</f>
        <v>1241081.91861</v>
      </c>
      <c r="H39" s="12"/>
    </row>
    <row r="40" spans="1:8" ht="12.75">
      <c r="A40" s="52"/>
      <c r="B40" s="52"/>
      <c r="D40" s="1"/>
      <c r="E40" s="1"/>
      <c r="H40" s="12"/>
    </row>
    <row r="41" spans="1:8" ht="12.75">
      <c r="A41" s="102" t="s">
        <v>44</v>
      </c>
      <c r="B41" s="52"/>
      <c r="D41" s="1"/>
      <c r="E41" s="1"/>
      <c r="H41" s="12"/>
    </row>
    <row r="42" spans="1:8" ht="12.75">
      <c r="A42" s="52" t="s">
        <v>39</v>
      </c>
      <c r="B42" s="52"/>
      <c r="E42" s="17">
        <f>$I$2*'Allianz Suisse'!E42+$I$3*Axa!E42+$I$4*Basler!E42+$I$5*Generali!E42+$I$7*Mobiliar!E42+$I$8*Nationale!E42+$I$6*Helvetia!E42+$I$9*Pax!E42+$I$10*Phenix!E42+$I$11*Rentenanstalt!E42+$I$12*Winterthur!E42+$I$13*Zenith!E42+$I$14*Zuerich!E42</f>
        <v>2393846.585</v>
      </c>
      <c r="H42" s="12"/>
    </row>
    <row r="43" spans="1:8" ht="12.75">
      <c r="A43" s="52" t="s">
        <v>45</v>
      </c>
      <c r="B43" s="52"/>
      <c r="D43" s="9">
        <f>$I$2*'Allianz Suisse'!D43+$I$3*Axa!D43+$I$4*Basler!D43+$I$5*Generali!D43+$I$7*Mobiliar!D43+$I$8*Nationale!D43+$I$6*Helvetia!D43+$I$9*Pax!D43+$I$10*Phenix!D43+$I$11*Rentenanstalt!D43+$I$12*Winterthur!D43+$I$13*Zenith!D43+$I$14*Zuerich!D43</f>
        <v>77579.072826</v>
      </c>
      <c r="E43" s="59"/>
      <c r="H43" s="12"/>
    </row>
    <row r="44" spans="1:8" ht="12.75">
      <c r="A44" s="52" t="s">
        <v>46</v>
      </c>
      <c r="B44" s="52"/>
      <c r="D44" s="9">
        <f>$I$2*'Allianz Suisse'!D44+$I$3*Axa!D44+$I$4*Basler!D44+$I$5*Generali!D44+$I$7*Mobiliar!D44+$I$8*Nationale!D44+$I$6*Helvetia!D44+$I$9*Pax!D44+$I$10*Phenix!D44+$I$11*Rentenanstalt!D44+$I$12*Winterthur!D44+$I$13*Zenith!D44+$I$14*Zuerich!D44</f>
        <v>24214.16002026</v>
      </c>
      <c r="E44" s="60">
        <f>D44+D43</f>
        <v>101793.23284626</v>
      </c>
      <c r="H44" s="12"/>
    </row>
    <row r="45" spans="1:8" ht="12.75">
      <c r="A45" s="52" t="s">
        <v>47</v>
      </c>
      <c r="B45" s="52"/>
      <c r="D45" s="9">
        <f>$I$2*'Allianz Suisse'!D45+$I$3*Axa!D45+$I$4*Basler!D45+$I$5*Generali!D45+$I$7*Mobiliar!D45+$I$8*Nationale!D45+$I$6*Helvetia!D45+$I$9*Pax!D45+$I$10*Phenix!D45+$I$11*Rentenanstalt!D45+$I$12*Winterthur!D45+$I$13*Zenith!D45+$I$14*Zuerich!D45</f>
        <v>20946.13214799996</v>
      </c>
      <c r="E45" s="59"/>
      <c r="H45" s="12"/>
    </row>
    <row r="46" spans="1:8" ht="13.5" thickBot="1">
      <c r="A46" s="52" t="s">
        <v>48</v>
      </c>
      <c r="B46" s="52"/>
      <c r="D46" s="9">
        <f>$I$2*'Allianz Suisse'!D46+$I$3*Axa!D46+$I$4*Basler!D46+$I$5*Generali!D46+$I$7*Mobiliar!D46+$I$8*Nationale!D46+$I$6*Helvetia!D46+$I$9*Pax!D46+$I$10*Phenix!D46+$I$11*Rentenanstalt!D46+$I$12*Winterthur!D46+$I$13*Zenith!D46+$I$14*Zuerich!D46</f>
        <v>9183.9722</v>
      </c>
      <c r="E46" s="20">
        <f>D46+D45</f>
        <v>30130.10434799996</v>
      </c>
      <c r="H46" s="12"/>
    </row>
    <row r="47" spans="1:8" ht="13.5" thickBot="1">
      <c r="A47" s="52" t="s">
        <v>49</v>
      </c>
      <c r="B47" s="52"/>
      <c r="E47" s="21">
        <f>E42+E44-E46</f>
        <v>2465509.71349826</v>
      </c>
      <c r="H47" s="12"/>
    </row>
    <row r="48" spans="1:5" ht="12.75">
      <c r="A48" s="52"/>
      <c r="B48" s="52"/>
      <c r="D48" s="1"/>
      <c r="E48" s="1"/>
    </row>
    <row r="49" spans="1:5" ht="12.75">
      <c r="A49" s="102" t="s">
        <v>50</v>
      </c>
      <c r="B49" s="52"/>
      <c r="D49" s="1"/>
      <c r="E49" s="1"/>
    </row>
    <row r="50" spans="1:8" ht="13.5" thickBot="1">
      <c r="A50" s="104" t="s">
        <v>4</v>
      </c>
      <c r="B50" s="52" t="s">
        <v>82</v>
      </c>
      <c r="D50" s="1"/>
      <c r="E50" s="20">
        <f>E$26</f>
        <v>4172981.74241</v>
      </c>
      <c r="H50" s="12"/>
    </row>
    <row r="51" spans="1:5" ht="12.75">
      <c r="A51" s="52"/>
      <c r="B51" s="52"/>
      <c r="D51" s="1"/>
      <c r="E51" s="1"/>
    </row>
    <row r="52" spans="1:5" ht="25.5">
      <c r="A52" s="52"/>
      <c r="B52" s="52"/>
      <c r="D52" s="106" t="s">
        <v>99</v>
      </c>
      <c r="E52" s="106" t="s">
        <v>100</v>
      </c>
    </row>
    <row r="53" spans="1:5" ht="12.75">
      <c r="A53" s="104" t="s">
        <v>5</v>
      </c>
      <c r="B53" s="52" t="s">
        <v>83</v>
      </c>
      <c r="D53" s="22">
        <f>$I$2*'Allianz Suisse'!D53+$I$3*Axa!D53+$I$4*Basler!D53+$I$5*Generali!D53+$I$7*Mobiliar!D53+$I$8*Nationale!D53+$I$6*Helvetia!D53+$I$9*Pax!D53+$I$10*Phenix!D53+$I$11*Rentenanstalt!D53+$I$12*Winterthur!D53+$I$13*Zenith!D53+$I$14*Zuerich!D53</f>
        <v>124978912.02339</v>
      </c>
      <c r="E53" s="23">
        <f>$I$2*'Allianz Suisse'!E53+$I$3*Axa!E53+$I$4*Basler!E53+$I$5*Generali!E53+$I$7*Mobiliar!E53+$I$8*Nationale!E53+$I$6*Helvetia!E53+$I$9*Pax!E53+$I$10*Phenix!E53+$I$11*Rentenanstalt!E53+$I$12*Winterthur!E53+$I$13*Zenith!E53+$I$14*Zuerich!E53</f>
        <v>130503656.02339</v>
      </c>
    </row>
    <row r="54" spans="1:5" ht="12.75">
      <c r="A54" s="104" t="s">
        <v>6</v>
      </c>
      <c r="B54" s="52" t="s">
        <v>84</v>
      </c>
      <c r="D54" s="24">
        <f>$I$2*'Allianz Suisse'!D54+$I$3*Axa!D54+$I$4*Basler!D54+$I$5*Generali!D54+$I$7*Mobiliar!D54+$I$8*Nationale!D54+$I$6*Helvetia!D54+$I$9*Pax!D54+$I$10*Phenix!D54+$I$11*Rentenanstalt!D54+$I$12*Winterthur!D54+$I$13*Zenith!D54+$I$14*Zuerich!D54</f>
        <v>125432341.87345639</v>
      </c>
      <c r="E54" s="23">
        <f>$I$2*'Allianz Suisse'!E54+$I$3*Axa!E54+$I$4*Basler!E54+$I$5*Generali!E54+$I$7*Mobiliar!E54+$I$8*Nationale!E54+$I$6*Helvetia!E54+$I$9*Pax!E54+$I$10*Phenix!E54+$I$11*Rentenanstalt!E54+$I$12*Winterthur!E54+$I$13*Zenith!E54+$I$14*Zuerich!E54</f>
        <v>129267092.53641367</v>
      </c>
    </row>
    <row r="55" spans="1:5" ht="12.75">
      <c r="A55" s="52"/>
      <c r="B55" s="52"/>
      <c r="D55" s="1"/>
      <c r="E55" s="1"/>
    </row>
    <row r="56" spans="1:8" ht="12.75">
      <c r="A56" s="104" t="s">
        <v>7</v>
      </c>
      <c r="B56" s="52" t="s">
        <v>109</v>
      </c>
      <c r="D56" s="1"/>
      <c r="E56" s="25">
        <f>E$50/(($D$53+$D$54)/2)</f>
        <v>0.033329027170072835</v>
      </c>
      <c r="H56" s="4"/>
    </row>
    <row r="57" spans="1:8" ht="12.75">
      <c r="A57" s="104" t="s">
        <v>8</v>
      </c>
      <c r="B57" s="52" t="s">
        <v>102</v>
      </c>
      <c r="D57" s="1"/>
      <c r="E57" s="25">
        <f>(E$50+($E$54-$D$54)-($E$53-$D$53))/((E$53+$E$54)/2)</f>
        <v>0.01911676675786808</v>
      </c>
      <c r="H57" s="4"/>
    </row>
    <row r="58" spans="1:5" ht="12.75">
      <c r="A58" s="52"/>
      <c r="B58" s="104" t="s">
        <v>101</v>
      </c>
      <c r="D58" s="1"/>
      <c r="E58" s="1"/>
    </row>
    <row r="59" spans="4:5" ht="12.75">
      <c r="D59" s="1"/>
      <c r="E59" s="1"/>
    </row>
    <row r="60" spans="1:5" ht="12.75">
      <c r="A60" s="52" t="s">
        <v>9</v>
      </c>
      <c r="B60" s="104" t="s">
        <v>85</v>
      </c>
      <c r="D60" s="1"/>
      <c r="E60" s="1"/>
    </row>
    <row r="61" spans="1:5" ht="12.75">
      <c r="A61" s="104"/>
      <c r="B61" s="52" t="s">
        <v>86</v>
      </c>
      <c r="D61" s="26">
        <f>($I$2*'Allianz Suisse'!D61*'Allianz Suisse'!$D$54+$I$3*Axa!D61*Axa!$D$54+$I$4*Basler!D61*Basler!$D$54+$I$5*Generali!D61*Generali!$D$54+$I$7*Mobiliar!D61*Mobiliar!$D$54+$I$8*Nationale!D61*Nationale!$D$54+$I$6*Helvetia!D61*Helvetia!$D$54+$I$9*Pax!D61*Pax!$D$54+$I$10*Phenix!D61*Phenix!$D$54+$I$11*Rentenanstalt!D61*Rentenanstalt!$D$54+$I$12*Winterthur!D61*Winterthur!$D$54+$I$13*Zenith!D61*Zenith!$D$54+$I$14*Zuerich!D61*Zuerich!$D$54)/($I$2*'Allianz Suisse'!$D$54+$I$3*Axa!$D$54+$I$4*Basler!$D$54+$I$5*Generali!$D$54+$I$7*Mobiliar!$D$54+$I$8*Nationale!$D$54+$I$6*Helvetia!$D$54+$I$9*Pax!$D$54+$I$10*Phenix!$D$54+$I$11*Rentenanstalt!$D$54+$I$12*Winterthur!$D$54+$I$13*Zenith!$D$54+$I$14*Zuerich!$D$54)</f>
        <v>0.0524643139341927</v>
      </c>
      <c r="E61" s="1"/>
    </row>
    <row r="62" spans="1:5" ht="12.75">
      <c r="A62" s="52"/>
      <c r="B62" s="52" t="s">
        <v>87</v>
      </c>
      <c r="D62" s="26">
        <f>($I$2*'Allianz Suisse'!D62*'Allianz Suisse'!$D$54+$I$3*Axa!D62*Axa!$D$54+$I$4*Basler!D62*Basler!$D$54+$I$5*Generali!D62*Generali!$D$54+$I$7*Mobiliar!D62*Mobiliar!$D$54+$I$8*Nationale!D62*Nationale!$D$54+$I$6*Helvetia!D62*Helvetia!$D$54+$I$9*Pax!D62*Pax!$D$54+$I$10*Phenix!D62*Phenix!$D$54+$I$11*Rentenanstalt!D62*Rentenanstalt!$D$54+$I$12*Winterthur!D62*Winterthur!$D$54+$I$13*Zenith!D62*Zenith!$D$54+$I$14*Zuerich!D62*Zuerich!$D$54)/($I$2*'Allianz Suisse'!$D$54+$I$3*Axa!$D$54+$I$4*Basler!$D$54+$I$5*Generali!$D$54+$I$7*Mobiliar!$D$54+$I$8*Nationale!$D$54+$I$6*Helvetia!$D$54+$I$9*Pax!$D$54+$I$10*Phenix!$D$54+$I$11*Rentenanstalt!$D$54+$I$12*Winterthur!$D$54+$I$13*Zenith!$D$54+$I$14*Zuerich!$D$54)</f>
        <v>0.5402871297228611</v>
      </c>
      <c r="E62" s="1"/>
    </row>
    <row r="63" spans="1:5" ht="12.75">
      <c r="A63" s="52"/>
      <c r="B63" s="52" t="s">
        <v>88</v>
      </c>
      <c r="D63" s="26">
        <f>($I$2*'Allianz Suisse'!D63*'Allianz Suisse'!$D$54+$I$3*Axa!D63*Axa!$D$54+$I$4*Basler!D63*Basler!$D$54+$I$5*Generali!D63*Generali!$D$54+$I$7*Mobiliar!D63*Mobiliar!$D$54+$I$8*Nationale!D63*Nationale!$D$54+$I$6*Helvetia!D63*Helvetia!$D$54+$I$9*Pax!D63*Pax!$D$54+$I$10*Phenix!D63*Phenix!$D$54+$I$11*Rentenanstalt!D63*Rentenanstalt!$D$54+$I$12*Winterthur!D63*Winterthur!$D$54+$I$13*Zenith!D63*Zenith!$D$54+$I$14*Zuerich!D63*Zuerich!$D$54)/($I$2*'Allianz Suisse'!$D$54+$I$3*Axa!$D$54+$I$4*Basler!$D$54+$I$5*Generali!$D$54+$I$7*Mobiliar!$D$54+$I$8*Nationale!$D$54+$I$6*Helvetia!$D$54+$I$9*Pax!$D$54+$I$10*Phenix!$D$54+$I$11*Rentenanstalt!$D$54+$I$12*Winterthur!$D$54+$I$13*Zenith!$D$54+$I$14*Zuerich!$D$54)</f>
        <v>0.15316561114000507</v>
      </c>
      <c r="E63" s="1"/>
    </row>
    <row r="64" spans="1:5" ht="12.75">
      <c r="A64" s="52"/>
      <c r="B64" s="52" t="s">
        <v>89</v>
      </c>
      <c r="D64" s="26">
        <f>($I$2*'Allianz Suisse'!D64*'Allianz Suisse'!$D$54+$I$3*Axa!D64*Axa!$D$54+$I$4*Basler!D64*Basler!$D$54+$I$5*Generali!D64*Generali!$D$54+$I$7*Mobiliar!D64*Mobiliar!$D$54+$I$8*Nationale!D64*Nationale!$D$54+$I$6*Helvetia!D64*Helvetia!$D$54+$I$9*Pax!D64*Pax!$D$54+$I$10*Phenix!D64*Phenix!$D$54+$I$11*Rentenanstalt!D64*Rentenanstalt!$D$54+$I$12*Winterthur!D64*Winterthur!$D$54+$I$13*Zenith!D64*Zenith!$D$54+$I$14*Zuerich!D64*Zuerich!$D$54)/($I$2*'Allianz Suisse'!$D$54+$I$3*Axa!$D$54+$I$4*Basler!$D$54+$I$5*Generali!$D$54+$I$7*Mobiliar!$D$54+$I$8*Nationale!$D$54+$I$6*Helvetia!$D$54+$I$9*Pax!$D$54+$I$10*Phenix!$D$54+$I$11*Rentenanstalt!$D$54+$I$12*Winterthur!$D$54+$I$13*Zenith!$D$54+$I$14*Zuerich!$D$54)</f>
        <v>0.06373585542248239</v>
      </c>
      <c r="E64" s="1"/>
    </row>
    <row r="65" spans="1:5" ht="12.75">
      <c r="A65" s="52"/>
      <c r="B65" s="52" t="s">
        <v>90</v>
      </c>
      <c r="D65" s="26">
        <f>($I$2*'Allianz Suisse'!D65*'Allianz Suisse'!$D$54+$I$3*Axa!D65*Axa!$D$54+$I$4*Basler!D65*Basler!$D$54+$I$5*Generali!D65*Generali!$D$54+$I$7*Mobiliar!D65*Mobiliar!$D$54+$I$8*Nationale!D65*Nationale!$D$54+$I$6*Helvetia!D65*Helvetia!$D$54+$I$9*Pax!D65*Pax!$D$54+$I$10*Phenix!D65*Phenix!$D$54+$I$11*Rentenanstalt!D65*Rentenanstalt!$D$54+$I$12*Winterthur!D65*Winterthur!$D$54+$I$13*Zenith!D65*Zenith!$D$54+$I$14*Zuerich!D65*Zuerich!$D$54)/($I$2*'Allianz Suisse'!$D$54+$I$3*Axa!$D$54+$I$4*Basler!$D$54+$I$5*Generali!$D$54+$I$7*Mobiliar!$D$54+$I$8*Nationale!$D$54+$I$6*Helvetia!$D$54+$I$9*Pax!$D$54+$I$10*Phenix!$D$54+$I$11*Rentenanstalt!$D$54+$I$12*Winterthur!$D$54+$I$13*Zenith!$D$54+$I$14*Zuerich!$D$54)</f>
        <v>0.0431721182800139</v>
      </c>
      <c r="E65" s="1"/>
    </row>
    <row r="66" spans="1:5" ht="12.75">
      <c r="A66" s="52"/>
      <c r="B66" s="52" t="s">
        <v>91</v>
      </c>
      <c r="D66" s="26">
        <f>($I$2*'Allianz Suisse'!D66*'Allianz Suisse'!$D$54+$I$3*Axa!D66*Axa!$D$54+$I$4*Basler!D66*Basler!$D$54+$I$5*Generali!D66*Generali!$D$54+$I$7*Mobiliar!D66*Mobiliar!$D$54+$I$8*Nationale!D66*Nationale!$D$54+$I$6*Helvetia!D66*Helvetia!$D$54+$I$9*Pax!D66*Pax!$D$54+$I$10*Phenix!D66*Phenix!$D$54+$I$11*Rentenanstalt!D66*Rentenanstalt!$D$54+$I$12*Winterthur!D66*Winterthur!$D$54+$I$13*Zenith!D66*Zenith!$D$54+$I$14*Zuerich!D66*Zuerich!$D$54)/($I$2*'Allianz Suisse'!$D$54+$I$3*Axa!$D$54+$I$4*Basler!$D$54+$I$5*Generali!$D$54+$I$7*Mobiliar!$D$54+$I$8*Nationale!$D$54+$I$6*Helvetia!$D$54+$I$9*Pax!$D$54+$I$10*Phenix!$D$54+$I$11*Rentenanstalt!$D$54+$I$12*Winterthur!$D$54+$I$13*Zenith!$D$54+$I$14*Zuerich!$D$54)</f>
        <v>0.023334998497619497</v>
      </c>
      <c r="E66" s="1"/>
    </row>
    <row r="67" spans="1:5" ht="12.75">
      <c r="A67" s="52"/>
      <c r="B67" s="52" t="s">
        <v>92</v>
      </c>
      <c r="D67" s="26">
        <f>($I$2*'Allianz Suisse'!D67*'Allianz Suisse'!$D$54+$I$3*Axa!D67*Axa!$D$54+$I$4*Basler!D67*Basler!$D$54+$I$5*Generali!D67*Generali!$D$54+$I$7*Mobiliar!D67*Mobiliar!$D$54+$I$8*Nationale!D67*Nationale!$D$54+$I$6*Helvetia!D67*Helvetia!$D$54+$I$9*Pax!D67*Pax!$D$54+$I$10*Phenix!D67*Phenix!$D$54+$I$11*Rentenanstalt!D67*Rentenanstalt!$D$54+$I$12*Winterthur!D67*Winterthur!$D$54+$I$13*Zenith!D67*Zenith!$D$54+$I$14*Zuerich!D67*Zuerich!$D$54)/($I$2*'Allianz Suisse'!$D$54+$I$3*Axa!$D$54+$I$4*Basler!$D$54+$I$5*Generali!$D$54+$I$7*Mobiliar!$D$54+$I$8*Nationale!$D$54+$I$6*Helvetia!$D$54+$I$9*Pax!$D$54+$I$10*Phenix!$D$54+$I$11*Rentenanstalt!$D$54+$I$12*Winterthur!$D$54+$I$13*Zenith!$D$54+$I$14*Zuerich!$D$54)</f>
        <v>0.11932897065567284</v>
      </c>
      <c r="E67" s="1"/>
    </row>
    <row r="68" spans="1:8" ht="13.5" thickBot="1">
      <c r="A68" s="52"/>
      <c r="B68" s="52" t="s">
        <v>93</v>
      </c>
      <c r="D68" s="26">
        <f>($I$2*'Allianz Suisse'!D68*'Allianz Suisse'!$D$54+$I$3*Axa!D68*Axa!$D$54+$I$4*Basler!D68*Basler!$D$54+$I$5*Generali!D68*Generali!$D$54+$I$7*Mobiliar!D68*Mobiliar!$D$54+$I$8*Nationale!D68*Nationale!$D$54+$I$6*Helvetia!D68*Helvetia!$D$54+$I$9*Pax!D68*Pax!$D$54+$I$10*Phenix!D68*Phenix!$D$54+$I$11*Rentenanstalt!D68*Rentenanstalt!$D$54+$I$12*Winterthur!D68*Winterthur!$D$54+$I$13*Zenith!D68*Zenith!$D$54+$I$14*Zuerich!D68*Zuerich!$D$54)/($I$2*'Allianz Suisse'!$D$54+$I$3*Axa!$D$54+$I$4*Basler!$D$54+$I$5*Generali!$D$54+$I$7*Mobiliar!$D$54+$I$8*Nationale!$D$54+$I$6*Helvetia!$D$54+$I$9*Pax!$D$54+$I$10*Phenix!$D$54+$I$11*Rentenanstalt!$D$54+$I$12*Winterthur!$D$54+$I$13*Zenith!$D$54+$I$14*Zuerich!$D$54)</f>
        <v>0.004511002347152526</v>
      </c>
      <c r="E68" s="28">
        <f>SUM($D$61:$D$68)</f>
        <v>0.9999999999999999</v>
      </c>
      <c r="H68" s="4"/>
    </row>
    <row r="69" spans="1:5" ht="12.75">
      <c r="A69" s="52"/>
      <c r="B69" s="52"/>
      <c r="D69" s="1"/>
      <c r="E69" s="1"/>
    </row>
    <row r="70" spans="1:5" ht="12.75">
      <c r="A70" s="52" t="s">
        <v>10</v>
      </c>
      <c r="B70" s="52" t="s">
        <v>94</v>
      </c>
      <c r="E70" s="17">
        <f>$I$2*'Allianz Suisse'!E70+$I$3*Axa!E70+$I$4*Basler!E70+$I$5*Generali!E70+$I$7*Mobiliar!E70+$I$8*Nationale!E70+$I$6*Helvetia!E70+$I$9*Pax!E70+$I$10*Phenix!E70+$I$11*Rentenanstalt!E70+$I$12*Winterthur!E70+$I$13*Zenith!E70+$I$14*Zuerich!E70</f>
        <v>120019802.7297437</v>
      </c>
    </row>
    <row r="71" spans="1:5" ht="12.75">
      <c r="A71" s="104" t="s">
        <v>11</v>
      </c>
      <c r="B71" s="52" t="s">
        <v>95</v>
      </c>
      <c r="E71" s="29">
        <f>$I$2*'Allianz Suisse'!E71+$I$3*Axa!E71+$I$4*Basler!E71+$I$5*Generali!E71+$I$7*Mobiliar!E71+$I$8*Nationale!E71+$I$6*Helvetia!E71+$I$9*Pax!E71+$I$10*Phenix!E71+$I$11*Rentenanstalt!E71+$I$12*Winterthur!E71+$I$13*Zenith!E71+$I$14*Zuerich!E71</f>
        <v>2130873.867</v>
      </c>
    </row>
    <row r="72" spans="1:5" ht="12.75">
      <c r="A72" s="104"/>
      <c r="B72" s="52"/>
      <c r="E72" s="1"/>
    </row>
    <row r="73" spans="1:5" ht="12.75">
      <c r="A73" s="52" t="s">
        <v>12</v>
      </c>
      <c r="B73" s="52" t="s">
        <v>96</v>
      </c>
      <c r="E73" s="1"/>
    </row>
    <row r="74" spans="1:5" ht="12.75">
      <c r="A74" s="104"/>
      <c r="B74" s="52" t="s">
        <v>75</v>
      </c>
      <c r="D74" s="15">
        <f>D26</f>
        <v>465443.62434000004</v>
      </c>
      <c r="E74" s="1"/>
    </row>
    <row r="75" spans="1:5" ht="12.75">
      <c r="A75" s="104"/>
      <c r="B75" s="52" t="s">
        <v>32</v>
      </c>
      <c r="D75" s="41">
        <f>E22</f>
        <v>1076686.2506117406</v>
      </c>
      <c r="E75" s="18">
        <f>D75+D74</f>
        <v>1542129.8749517407</v>
      </c>
    </row>
    <row r="76" spans="1:5" ht="12.75">
      <c r="A76" s="104"/>
      <c r="B76" s="52" t="s">
        <v>97</v>
      </c>
      <c r="E76" s="18">
        <f>(1000*E75)/E71</f>
        <v>723.7077233120625</v>
      </c>
    </row>
    <row r="77" spans="1:5" ht="12.75">
      <c r="A77" s="104"/>
      <c r="B77" s="52"/>
      <c r="E77" s="1"/>
    </row>
    <row r="78" ht="12.75">
      <c r="B78" s="52"/>
    </row>
    <row r="79" spans="1:5" ht="12.75">
      <c r="A79" s="107" t="s">
        <v>117</v>
      </c>
      <c r="B79" s="52"/>
      <c r="D79" s="1"/>
      <c r="E79" s="1"/>
    </row>
    <row r="80" spans="1:6" s="112" customFormat="1" ht="12.75" customHeight="1">
      <c r="A80" s="110" t="s">
        <v>51</v>
      </c>
      <c r="B80" s="111"/>
      <c r="C80" s="118" t="s">
        <v>115</v>
      </c>
      <c r="D80" s="118"/>
      <c r="E80" s="118" t="s">
        <v>116</v>
      </c>
      <c r="F80" s="118"/>
    </row>
    <row r="81" spans="1:5" ht="12.75">
      <c r="A81" s="52"/>
      <c r="B81" s="52" t="s">
        <v>103</v>
      </c>
      <c r="C81" s="30">
        <f>$I$2*'Allianz Suisse'!C81+$I$3*Axa!C81+$I$4*Basler!C81+$I$5*Generali!C81+$I$7*Mobiliar!C81+$I$8*Nationale!C81+$I$6*Helvetia!C81+$I$9*Pax!C81+$I$10*Phenix!C81+$I$11*Rentenanstalt!C81+$I$12*Winterthur!C81+$I$13*Zenith!C81+$I$14*Zuerich!C81</f>
        <v>3648670.477200868</v>
      </c>
      <c r="E81" s="30">
        <f>$I$2*'Allianz Suisse'!E81+$I$3*Axa!E81+$I$4*Basler!E81+$I$5*Generali!E81+$I$7*Mobiliar!E81+$I$8*Nationale!E81+$I$6*Helvetia!E81+$I$9*Pax!E81+$I$10*Phenix!E81+$I$11*Rentenanstalt!E81+$I$12*Winterthur!E81+$I$13*Zenith!E81+$I$14*Zuerich!E81</f>
        <v>524301.1323391318</v>
      </c>
    </row>
    <row r="82" spans="2:8" ht="12.75">
      <c r="B82" s="52" t="s">
        <v>104</v>
      </c>
      <c r="C82" s="30">
        <f>$I$2*'Allianz Suisse'!C82+$I$3*Axa!C82+$I$4*Basler!C82+$I$5*Generali!C82+$I$7*Mobiliar!C82+$I$8*Nationale!C82+$I$6*Helvetia!C82+$I$9*Pax!C82+$I$10*Phenix!C82+$I$11*Rentenanstalt!C82+$I$12*Winterthur!C82+$I$13*Zenith!C82+$I$14*Zuerich!C82</f>
        <v>2184654.9635793273</v>
      </c>
      <c r="E82" s="30">
        <f>$I$2*'Allianz Suisse'!E82+$I$3*Axa!E82+$I$4*Basler!E82+$I$5*Generali!E82+$I$7*Mobiliar!E82+$I$8*Nationale!E82+$I$6*Helvetia!E82+$I$9*Pax!E82+$I$10*Phenix!E82+$I$11*Rentenanstalt!E82+$I$12*Winterthur!E82+$I$13*Zenith!E82+$I$14*Zuerich!E82</f>
        <v>851102.3755614798</v>
      </c>
      <c r="H82" s="4"/>
    </row>
    <row r="83" spans="1:6" ht="12.75">
      <c r="A83" s="52"/>
      <c r="B83" s="52" t="s">
        <v>105</v>
      </c>
      <c r="C83" s="30">
        <f>$I$2*'Allianz Suisse'!C83+$I$3*Axa!C83+$I$4*Basler!C83+$I$5*Generali!C83+$I$7*Mobiliar!C83+$I$8*Nationale!C83+$I$6*Helvetia!C83+$I$9*Pax!C83+$I$10*Phenix!C83+$I$11*Rentenanstalt!C83+$I$12*Winterthur!C83+$I$13*Zenith!C83+$I$14*Zuerich!C83</f>
        <v>697832.5926287752</v>
      </c>
      <c r="D83" s="53">
        <f>SUM(C81:C83)</f>
        <v>6531158.033408971</v>
      </c>
      <c r="E83" s="30">
        <f>$I$2*'Allianz Suisse'!E83+$I$3*Axa!E83+$I$4*Basler!E83+$I$5*Generali!E83+$I$7*Mobiliar!E83+$I$8*Nationale!E83+$I$6*Helvetia!E83+$I$9*Pax!E83+$I$10*Phenix!E83+$I$11*Rentenanstalt!E83+$I$12*Winterthur!E83+$I$13*Zenith!E83+$I$14*Zuerich!E83</f>
        <v>121744.7399241848</v>
      </c>
      <c r="F83" s="53">
        <f>SUM(E81:E83)</f>
        <v>1497148.2478247962</v>
      </c>
    </row>
    <row r="84" spans="1:2" ht="12.75">
      <c r="A84" s="52" t="s">
        <v>52</v>
      </c>
      <c r="B84" s="52"/>
    </row>
    <row r="85" spans="1:5" ht="12.75">
      <c r="A85" s="52"/>
      <c r="B85" s="52" t="s">
        <v>103</v>
      </c>
      <c r="C85" s="30">
        <f>$I$2*'Allianz Suisse'!C85+$I$3*Axa!C85+$I$4*Basler!C85+$I$5*Generali!C85+$I$7*Mobiliar!C85+$I$8*Nationale!C85+$I$6*Helvetia!C85+$I$9*Pax!C85+$I$10*Phenix!C85+$I$11*Rentenanstalt!C85+$I$12*Winterthur!C85+$I$13*Zenith!C85+$I$14*Zuerich!C85</f>
        <v>2719642.1336554345</v>
      </c>
      <c r="E85" s="30">
        <f>$I$2*'Allianz Suisse'!E85+$I$3*Axa!E85+$I$4*Basler!E85+$I$5*Generali!E85+$I$7*Mobiliar!E85+$I$8*Nationale!E85+$I$6*Helvetia!E85+$I$9*Pax!E85+$I$10*Phenix!E85+$I$11*Rentenanstalt!E85+$I$12*Winterthur!E85+$I$13*Zenith!E85+$I$14*Zuerich!E85</f>
        <v>314865.88699742913</v>
      </c>
    </row>
    <row r="86" spans="1:8" ht="12.75">
      <c r="A86" s="52"/>
      <c r="B86" s="52" t="s">
        <v>104</v>
      </c>
      <c r="C86" s="30">
        <f>$I$2*'Allianz Suisse'!C86+$I$3*Axa!C86+$I$4*Basler!C86+$I$5*Generali!C86+$I$7*Mobiliar!C86+$I$8*Nationale!C86+$I$6*Helvetia!C86+$I$9*Pax!C86+$I$10*Phenix!C86+$I$11*Rentenanstalt!C86+$I$12*Winterthur!C86+$I$13*Zenith!C86+$I$14*Zuerich!C86</f>
        <v>1168977.7925792467</v>
      </c>
      <c r="D86" s="52"/>
      <c r="E86" s="30">
        <f>$I$2*'Allianz Suisse'!E86+$I$3*Axa!E86+$I$4*Basler!E86+$I$5*Generali!E86+$I$7*Mobiliar!E86+$I$8*Nationale!E86+$I$6*Helvetia!E86+$I$9*Pax!E86+$I$10*Phenix!E86+$I$11*Rentenanstalt!E86+$I$12*Winterthur!E86+$I$13*Zenith!E86+$I$14*Zuerich!E86</f>
        <v>422656.0266116211</v>
      </c>
      <c r="H86" s="4"/>
    </row>
    <row r="87" spans="1:6" ht="12.75">
      <c r="A87" s="52"/>
      <c r="B87" s="52" t="s">
        <v>105</v>
      </c>
      <c r="C87" s="30">
        <f>$I$2*'Allianz Suisse'!C87+$I$3*Axa!C87+$I$4*Basler!C87+$I$5*Generali!C87+$I$7*Mobiliar!C87+$I$8*Nationale!C87+$I$6*Helvetia!C87+$I$9*Pax!C87+$I$10*Phenix!C87+$I$11*Rentenanstalt!C87+$I$12*Winterthur!C87+$I$13*Zenith!C87+$I$14*Zuerich!C87</f>
        <v>916263.7403645981</v>
      </c>
      <c r="D87" s="53">
        <f>SUM(C85:C87)</f>
        <v>4804883.666599279</v>
      </c>
      <c r="E87" s="30">
        <f>$I$2*'Allianz Suisse'!E87+$I$3*Axa!E87+$I$4*Basler!E87+$I$5*Generali!E87+$I$7*Mobiliar!E87+$I$8*Nationale!E87+$I$6*Helvetia!E87+$I$9*Pax!E87+$I$10*Phenix!E87+$I$11*Rentenanstalt!E87+$I$12*Winterthur!E87+$I$13*Zenith!E87+$I$14*Zuerich!E87</f>
        <v>143672.1334029854</v>
      </c>
      <c r="F87" s="53">
        <f>SUM(E85:E87)</f>
        <v>881194.0470120356</v>
      </c>
    </row>
    <row r="88" spans="1:6" ht="12.75">
      <c r="A88" s="52" t="s">
        <v>53</v>
      </c>
      <c r="B88" s="52"/>
      <c r="D88" s="54">
        <f>D83-D87</f>
        <v>1726274.3668096913</v>
      </c>
      <c r="F88" s="54">
        <f>F83-F87</f>
        <v>615954.2008127606</v>
      </c>
    </row>
    <row r="89" spans="1:6" ht="12.75">
      <c r="A89" s="52" t="s">
        <v>54</v>
      </c>
      <c r="B89" s="52"/>
      <c r="D89" s="30">
        <f>$I$2*'Allianz Suisse'!D89+$I$3*Axa!D89+$I$4*Basler!D89+$I$5*Generali!D89+$I$7*Mobiliar!D89+$I$8*Nationale!D89+$I$6*Helvetia!D89+$I$9*Pax!D89+$I$10*Phenix!D89+$I$11*Rentenanstalt!D89+$I$12*Winterthur!D89+$I$13*Zenith!D89+$I$14*Zuerich!D89</f>
        <v>708191.2892100001</v>
      </c>
      <c r="F89" s="30">
        <f>$I$2*'Allianz Suisse'!F89+$I$3*Axa!F89+$I$4*Basler!F89+$I$5*Generali!F89+$I$7*Mobiliar!F89+$I$8*Nationale!F89+$I$6*Helvetia!F89+$I$9*Pax!F89+$I$10*Phenix!F89+$I$11*Rentenanstalt!F89+$I$12*Winterthur!F89+$I$13*Zenith!F89+$I$14*Zuerich!F89</f>
        <v>68934.0059</v>
      </c>
    </row>
    <row r="90" spans="1:6" ht="12.75">
      <c r="A90" s="52" t="s">
        <v>55</v>
      </c>
      <c r="B90" s="52"/>
      <c r="D90" s="30">
        <f>$I$2*'Allianz Suisse'!D90+$I$3*Axa!D90+$I$4*Basler!D90+$I$5*Generali!D90+$I$7*Mobiliar!D90+$I$8*Nationale!D90+$I$6*Helvetia!D90+$I$9*Pax!D90+$I$10*Phenix!D90+$I$11*Rentenanstalt!D90+$I$12*Winterthur!D90+$I$13*Zenith!D90+$I$14*Zuerich!D90</f>
        <v>0</v>
      </c>
      <c r="F90" s="55"/>
    </row>
    <row r="91" spans="1:6" ht="13.5" thickBot="1">
      <c r="A91" s="52" t="s">
        <v>56</v>
      </c>
      <c r="B91" s="52"/>
      <c r="D91" s="30">
        <f>$I$2*'Allianz Suisse'!D91+$I$3*Axa!D91+$I$4*Basler!D91+$I$5*Generali!D91+$I$7*Mobiliar!D91+$I$8*Nationale!D91+$I$6*Helvetia!D91+$I$9*Pax!D91+$I$10*Phenix!D91+$I$11*Rentenanstalt!D91+$I$12*Winterthur!D91+$I$13*Zenith!D91+$I$14*Zuerich!D91</f>
        <v>472823</v>
      </c>
      <c r="F91" s="30">
        <f>$I$2*'Allianz Suisse'!F91+$I$3*Axa!F91+$I$4*Basler!F91+$I$5*Generali!F91+$I$7*Mobiliar!F91+$I$8*Nationale!F91+$I$6*Helvetia!F91+$I$9*Pax!F91+$I$10*Phenix!F91+$I$11*Rentenanstalt!F91+$I$12*Winterthur!F91+$I$13*Zenith!F91+$I$14*Zuerich!F91</f>
        <v>396035.2285935525</v>
      </c>
    </row>
    <row r="92" spans="1:6" ht="13.5" thickBot="1">
      <c r="A92" s="52" t="s">
        <v>57</v>
      </c>
      <c r="B92" s="52"/>
      <c r="D92" s="16">
        <f>D88-D89-D90-D91</f>
        <v>545260.0775996912</v>
      </c>
      <c r="F92" s="16">
        <f>F88-F89-F91</f>
        <v>150984.96631920815</v>
      </c>
    </row>
    <row r="93" spans="1:6" ht="12.75">
      <c r="A93" s="108" t="s">
        <v>58</v>
      </c>
      <c r="B93" s="52"/>
      <c r="D93" s="56"/>
      <c r="F93" s="47"/>
    </row>
    <row r="94" spans="1:6" ht="12.75">
      <c r="A94" s="52" t="s">
        <v>106</v>
      </c>
      <c r="B94" s="52"/>
      <c r="D94" s="57">
        <f>IF(D$83&gt;0,MIN(MAX((D$87+D$89+D$90+D$91)/D$83,0.9),1),0)</f>
        <v>0.9165140278629745</v>
      </c>
      <c r="F94" s="58">
        <f>IF(F$83&gt;0,MIN((F$87+F$89+F$90+F$91)/F$83,1),0)</f>
        <v>0.8991516260740551</v>
      </c>
    </row>
    <row r="95" spans="1:2" ht="12.75">
      <c r="A95" s="52"/>
      <c r="B95" s="52"/>
    </row>
    <row r="96" spans="1:2" ht="12.75">
      <c r="A96" s="52" t="s">
        <v>59</v>
      </c>
      <c r="B96" s="52"/>
    </row>
    <row r="97" spans="1:5" ht="12.75">
      <c r="A97" s="52"/>
      <c r="B97" s="52" t="s">
        <v>107</v>
      </c>
      <c r="D97" s="53">
        <f>D92</f>
        <v>545260.0775996912</v>
      </c>
      <c r="E97" s="58">
        <f>IF($D$83&gt;0,D97/$D$83,0)</f>
        <v>0.08348597213702545</v>
      </c>
    </row>
    <row r="98" spans="1:5" ht="13.5" thickBot="1">
      <c r="A98" s="52"/>
      <c r="B98" s="52" t="s">
        <v>108</v>
      </c>
      <c r="D98" s="53">
        <f>F92</f>
        <v>150984.96631920815</v>
      </c>
      <c r="E98" s="58">
        <f>IF($F$83&gt;0,D98/$F$83,0)</f>
        <v>0.10084837392594481</v>
      </c>
    </row>
    <row r="99" spans="1:4" ht="13.5" thickBot="1">
      <c r="A99" s="52"/>
      <c r="B99" s="52" t="s">
        <v>113</v>
      </c>
      <c r="D99" s="31">
        <f>D98+D97</f>
        <v>696245.0439188994</v>
      </c>
    </row>
    <row r="100" ht="12.75">
      <c r="D100">
        <f>IF(ABS($E$32-$D$99)&lt;5,"","&lt;&gt; Pos. 411e ("&amp;TEXT($F$33,"#'##0")&amp;") ?")</f>
      </c>
    </row>
  </sheetData>
  <sheetProtection/>
  <mergeCells count="4">
    <mergeCell ref="H1:J1"/>
    <mergeCell ref="J2:J14"/>
    <mergeCell ref="C80:D80"/>
    <mergeCell ref="E80:F80"/>
  </mergeCells>
  <conditionalFormatting sqref="E47">
    <cfRule type="expression" priority="1" dxfId="0" stopIfTrue="1">
      <formula>IF($G47="",0,1)</formula>
    </cfRule>
  </conditionalFormatting>
  <conditionalFormatting sqref="D99">
    <cfRule type="expression" priority="2" dxfId="0" stopIfTrue="1">
      <formula>IF(D$100="",0,1)</formula>
    </cfRule>
  </conditionalFormatting>
  <conditionalFormatting sqref="I2:I14">
    <cfRule type="cellIs" priority="3" dxfId="1" operator="equal" stopIfTrue="1">
      <formula>1</formula>
    </cfRule>
  </conditionalFormatting>
  <conditionalFormatting sqref="D94">
    <cfRule type="expression" priority="4" dxfId="2" stopIfTrue="1">
      <formula>IF($B$94=0,0,1)</formula>
    </cfRule>
  </conditionalFormatting>
  <printOptions/>
  <pageMargins left="0.42" right="0.16" top="0.71" bottom="0.55" header="0.4921259845" footer="0.18"/>
  <pageSetup fitToHeight="1" fitToWidth="1" horizontalDpi="300" verticalDpi="300" orientation="portrait" paperSize="9" scale="59" r:id="rId1"/>
  <headerFooter alignWithMargins="0">
    <oddFooter>&amp;L&amp;D 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tabColor indexed="12"/>
    <pageSetUpPr fitToPage="1"/>
  </sheetPr>
  <dimension ref="A1:G100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4" width="13.421875" style="0" customWidth="1"/>
    <col min="5" max="6" width="14.00390625" style="0" customWidth="1"/>
  </cols>
  <sheetData>
    <row r="1" spans="1:7" ht="12.75">
      <c r="A1" s="101" t="s">
        <v>70</v>
      </c>
      <c r="B1" s="52"/>
      <c r="G1" s="61"/>
    </row>
    <row r="2" spans="1:7" ht="12.75">
      <c r="A2" s="52" t="s">
        <v>71</v>
      </c>
      <c r="B2" s="52"/>
      <c r="G2" s="61"/>
    </row>
    <row r="3" spans="1:7" ht="12.75">
      <c r="A3" s="102" t="s">
        <v>13</v>
      </c>
      <c r="B3" s="52"/>
      <c r="G3" s="61"/>
    </row>
    <row r="4" spans="1:7" ht="12.75">
      <c r="A4" s="52"/>
      <c r="B4" s="52"/>
      <c r="G4" s="61"/>
    </row>
    <row r="5" spans="1:7" ht="12.75">
      <c r="A5" s="52" t="s">
        <v>69</v>
      </c>
      <c r="B5" s="52"/>
      <c r="G5" s="61"/>
    </row>
    <row r="6" spans="1:7" ht="12.75">
      <c r="A6" s="52"/>
      <c r="B6" s="52"/>
      <c r="G6" s="61"/>
    </row>
    <row r="7" spans="1:7" ht="12.75">
      <c r="A7" s="52" t="s">
        <v>0</v>
      </c>
      <c r="B7" s="52" t="s">
        <v>1</v>
      </c>
      <c r="C7" s="1"/>
      <c r="D7" s="1" t="s">
        <v>3</v>
      </c>
      <c r="E7" s="1" t="s">
        <v>98</v>
      </c>
      <c r="F7" s="1"/>
      <c r="G7" s="61"/>
    </row>
    <row r="8" spans="1:7" ht="12.75">
      <c r="A8" s="52"/>
      <c r="B8" s="52"/>
      <c r="C8" s="2"/>
      <c r="D8" s="2" t="s">
        <v>78</v>
      </c>
      <c r="E8" s="2" t="s">
        <v>79</v>
      </c>
      <c r="F8" s="2"/>
      <c r="G8" s="61"/>
    </row>
    <row r="9" spans="1:7" ht="12.75">
      <c r="A9" s="102" t="s">
        <v>28</v>
      </c>
      <c r="B9" s="52"/>
      <c r="G9" s="61"/>
    </row>
    <row r="10" spans="1:7" ht="12.75">
      <c r="A10" s="52" t="s">
        <v>29</v>
      </c>
      <c r="B10" s="52"/>
      <c r="D10" s="1"/>
      <c r="E10" s="1"/>
      <c r="G10" s="61"/>
    </row>
    <row r="11" spans="1:7" ht="12.75">
      <c r="A11" s="52"/>
      <c r="B11" s="52" t="s">
        <v>60</v>
      </c>
      <c r="D11" s="3">
        <f>$E$13-D$12-D$13</f>
        <v>415568</v>
      </c>
      <c r="E11" s="1"/>
      <c r="G11" s="61"/>
    </row>
    <row r="12" spans="1:7" ht="12.75">
      <c r="A12" s="52"/>
      <c r="B12" s="52" t="s">
        <v>61</v>
      </c>
      <c r="D12" s="5">
        <v>55568</v>
      </c>
      <c r="E12" s="1"/>
      <c r="G12" s="61"/>
    </row>
    <row r="13" spans="1:7" ht="13.5" thickBot="1">
      <c r="A13" s="52"/>
      <c r="B13" s="52" t="s">
        <v>62</v>
      </c>
      <c r="D13" s="6">
        <v>22459</v>
      </c>
      <c r="E13" s="7">
        <v>493595</v>
      </c>
      <c r="G13" s="61"/>
    </row>
    <row r="14" spans="1:7" ht="12.75">
      <c r="A14" s="52"/>
      <c r="B14" s="103" t="s">
        <v>63</v>
      </c>
      <c r="D14" s="1"/>
      <c r="E14" s="1"/>
      <c r="G14" s="61"/>
    </row>
    <row r="15" spans="1:7" ht="12.75">
      <c r="A15" s="52"/>
      <c r="B15" s="103" t="s">
        <v>64</v>
      </c>
      <c r="D15" s="1"/>
      <c r="E15" s="1"/>
      <c r="G15" s="61"/>
    </row>
    <row r="16" spans="1:5" ht="12.75">
      <c r="A16" s="52" t="s">
        <v>30</v>
      </c>
      <c r="B16" s="52"/>
      <c r="D16" s="1"/>
      <c r="E16" s="1"/>
    </row>
    <row r="17" spans="1:5" ht="12.75">
      <c r="A17" s="52"/>
      <c r="B17" s="52" t="s">
        <v>65</v>
      </c>
      <c r="D17" s="8">
        <v>76687</v>
      </c>
      <c r="E17" s="1"/>
    </row>
    <row r="18" spans="1:5" ht="12.75">
      <c r="A18" s="52"/>
      <c r="B18" s="52" t="s">
        <v>66</v>
      </c>
      <c r="D18" s="9">
        <v>221305</v>
      </c>
      <c r="E18" s="1"/>
    </row>
    <row r="19" spans="1:5" ht="13.5" thickBot="1">
      <c r="A19" s="52"/>
      <c r="B19" s="52" t="s">
        <v>67</v>
      </c>
      <c r="D19" s="10">
        <v>52591</v>
      </c>
      <c r="E19" s="3">
        <f>$D$17+$D$18+$D$19</f>
        <v>350583</v>
      </c>
    </row>
    <row r="20" spans="1:4" ht="12.75">
      <c r="A20" s="52" t="s">
        <v>31</v>
      </c>
      <c r="B20" s="52"/>
      <c r="D20" s="11"/>
    </row>
    <row r="21" spans="1:5" ht="12.75">
      <c r="A21" s="52" t="s">
        <v>73</v>
      </c>
      <c r="B21" s="104"/>
      <c r="D21" s="11"/>
      <c r="E21" s="7">
        <v>186339</v>
      </c>
    </row>
    <row r="22" spans="1:5" ht="12.75">
      <c r="A22" s="52" t="s">
        <v>32</v>
      </c>
      <c r="B22" s="52"/>
      <c r="D22" s="11"/>
      <c r="E22" s="7">
        <v>22296.889</v>
      </c>
    </row>
    <row r="23" spans="1:5" ht="12.75">
      <c r="A23" s="52" t="s">
        <v>33</v>
      </c>
      <c r="B23" s="52"/>
      <c r="D23" s="11"/>
      <c r="E23" s="1"/>
    </row>
    <row r="24" spans="1:5" ht="12.75">
      <c r="A24" s="52"/>
      <c r="B24" s="52" t="s">
        <v>68</v>
      </c>
      <c r="D24" s="9">
        <v>82524</v>
      </c>
      <c r="E24" s="1"/>
    </row>
    <row r="25" spans="1:5" ht="25.5" customHeight="1">
      <c r="A25" s="52"/>
      <c r="B25" s="105" t="s">
        <v>74</v>
      </c>
      <c r="D25" s="9">
        <v>7219</v>
      </c>
      <c r="E25" s="1"/>
    </row>
    <row r="26" spans="1:5" ht="13.5" thickBot="1">
      <c r="A26" s="52"/>
      <c r="B26" s="52" t="s">
        <v>75</v>
      </c>
      <c r="D26" s="10">
        <v>6938.111</v>
      </c>
      <c r="E26" s="3">
        <f>$D$24+$D$25-$D$26</f>
        <v>82804.889</v>
      </c>
    </row>
    <row r="27" spans="1:5" ht="12.75">
      <c r="A27" s="52" t="s">
        <v>34</v>
      </c>
      <c r="B27" s="52"/>
      <c r="D27" s="13"/>
      <c r="E27" s="9">
        <v>0</v>
      </c>
    </row>
    <row r="28" spans="1:5" ht="12.75">
      <c r="A28" s="52" t="s">
        <v>35</v>
      </c>
      <c r="B28" s="52"/>
      <c r="D28" s="1"/>
      <c r="E28" s="9">
        <v>-870</v>
      </c>
    </row>
    <row r="29" spans="1:5" ht="13.5" thickBot="1">
      <c r="A29" s="52" t="s">
        <v>77</v>
      </c>
      <c r="B29" s="52"/>
      <c r="D29" s="1"/>
      <c r="E29" s="14">
        <v>-2822</v>
      </c>
    </row>
    <row r="30" spans="1:5" ht="12.75">
      <c r="A30" s="52" t="s">
        <v>36</v>
      </c>
      <c r="B30" s="52"/>
      <c r="E30" s="15">
        <f>E$13-E$19-E$21-E$22+E$26-E$27+E$28+E$29</f>
        <v>13489</v>
      </c>
    </row>
    <row r="31" spans="1:5" ht="13.5" thickBot="1">
      <c r="A31" s="52" t="s">
        <v>37</v>
      </c>
      <c r="B31" s="52"/>
      <c r="C31" s="1"/>
      <c r="D31" s="1"/>
      <c r="E31" s="14">
        <v>0</v>
      </c>
    </row>
    <row r="32" spans="1:5" ht="13.5" thickBot="1">
      <c r="A32" s="52" t="s">
        <v>76</v>
      </c>
      <c r="B32" s="52"/>
      <c r="C32" s="1"/>
      <c r="D32" s="1"/>
      <c r="E32" s="16">
        <f>E$30-E$31</f>
        <v>13489</v>
      </c>
    </row>
    <row r="33" spans="1:5" ht="12.75">
      <c r="A33" s="52"/>
      <c r="B33" s="52"/>
      <c r="C33" s="1"/>
      <c r="D33" s="1"/>
      <c r="E33" s="1"/>
    </row>
    <row r="34" spans="1:5" ht="12.75">
      <c r="A34" s="102" t="s">
        <v>38</v>
      </c>
      <c r="B34" s="52"/>
      <c r="D34" s="1"/>
      <c r="E34" s="1"/>
    </row>
    <row r="35" spans="1:5" ht="12.75">
      <c r="A35" s="52" t="s">
        <v>39</v>
      </c>
      <c r="B35" s="52"/>
      <c r="D35" s="1"/>
      <c r="E35" s="17">
        <v>917</v>
      </c>
    </row>
    <row r="36" spans="1:5" ht="12.75">
      <c r="A36" s="52" t="s">
        <v>40</v>
      </c>
      <c r="B36" s="52"/>
      <c r="E36" s="18">
        <f>E$31</f>
        <v>0</v>
      </c>
    </row>
    <row r="37" spans="1:5" ht="12.75">
      <c r="A37" s="52" t="s">
        <v>41</v>
      </c>
      <c r="B37" s="52"/>
      <c r="D37" s="9">
        <v>0</v>
      </c>
      <c r="E37" s="19"/>
    </row>
    <row r="38" spans="1:5" ht="13.5" thickBot="1">
      <c r="A38" s="52" t="s">
        <v>42</v>
      </c>
      <c r="B38" s="52"/>
      <c r="D38" s="10">
        <v>-59</v>
      </c>
      <c r="E38" s="20">
        <f>$D$37+$D$38</f>
        <v>-59</v>
      </c>
    </row>
    <row r="39" spans="1:5" ht="13.5" thickBot="1">
      <c r="A39" s="52" t="s">
        <v>43</v>
      </c>
      <c r="B39" s="52"/>
      <c r="D39" s="1"/>
      <c r="E39" s="21">
        <f>E35+E36-E38</f>
        <v>976</v>
      </c>
    </row>
    <row r="40" spans="1:5" ht="12.75">
      <c r="A40" s="52"/>
      <c r="B40" s="52"/>
      <c r="D40" s="1"/>
      <c r="E40" s="1"/>
    </row>
    <row r="41" spans="1:5" ht="12.75">
      <c r="A41" s="102" t="s">
        <v>44</v>
      </c>
      <c r="B41" s="52"/>
      <c r="D41" s="1"/>
      <c r="E41" s="1"/>
    </row>
    <row r="42" spans="1:5" ht="12.75">
      <c r="A42" s="52" t="s">
        <v>39</v>
      </c>
      <c r="B42" s="52"/>
      <c r="D42" s="1"/>
      <c r="E42" s="17">
        <v>68000</v>
      </c>
    </row>
    <row r="43" spans="1:5" ht="12.75">
      <c r="A43" s="52" t="s">
        <v>45</v>
      </c>
      <c r="B43" s="52"/>
      <c r="D43" s="9">
        <v>2225</v>
      </c>
      <c r="E43" s="59"/>
    </row>
    <row r="44" spans="1:5" ht="12.75">
      <c r="A44" s="52" t="s">
        <v>46</v>
      </c>
      <c r="B44" s="52"/>
      <c r="D44" s="9">
        <v>0</v>
      </c>
      <c r="E44" s="60">
        <f>D44+D43</f>
        <v>2225</v>
      </c>
    </row>
    <row r="45" spans="1:5" ht="12.75">
      <c r="A45" s="52" t="s">
        <v>47</v>
      </c>
      <c r="B45" s="52"/>
      <c r="D45" s="9">
        <v>2225</v>
      </c>
      <c r="E45" s="59"/>
    </row>
    <row r="46" spans="1:5" ht="13.5" thickBot="1">
      <c r="A46" s="52" t="s">
        <v>48</v>
      </c>
      <c r="B46" s="52"/>
      <c r="D46" s="9">
        <v>0</v>
      </c>
      <c r="E46" s="20">
        <f>D46+D45</f>
        <v>2225</v>
      </c>
    </row>
    <row r="47" spans="1:5" ht="13.5" thickBot="1">
      <c r="A47" s="52" t="s">
        <v>49</v>
      </c>
      <c r="B47" s="52"/>
      <c r="E47" s="21">
        <f>E42+E44-E46</f>
        <v>68000</v>
      </c>
    </row>
    <row r="48" spans="1:5" ht="12.75">
      <c r="A48" s="52"/>
      <c r="B48" s="52"/>
      <c r="E48" s="1"/>
    </row>
    <row r="49" spans="1:5" ht="12.75">
      <c r="A49" s="102" t="s">
        <v>50</v>
      </c>
      <c r="B49" s="52"/>
      <c r="E49" s="1"/>
    </row>
    <row r="50" spans="1:5" ht="13.5" thickBot="1">
      <c r="A50" s="104" t="s">
        <v>4</v>
      </c>
      <c r="B50" s="52" t="s">
        <v>82</v>
      </c>
      <c r="E50" s="20">
        <f>E$26</f>
        <v>82804.889</v>
      </c>
    </row>
    <row r="51" spans="1:5" ht="12.75">
      <c r="A51" s="52"/>
      <c r="B51" s="52"/>
      <c r="D51" s="1"/>
      <c r="E51" s="1"/>
    </row>
    <row r="52" spans="1:5" ht="25.5">
      <c r="A52" s="52"/>
      <c r="B52" s="52"/>
      <c r="D52" s="106" t="s">
        <v>99</v>
      </c>
      <c r="E52" s="106" t="s">
        <v>100</v>
      </c>
    </row>
    <row r="53" spans="1:5" ht="12.75">
      <c r="A53" s="104" t="s">
        <v>5</v>
      </c>
      <c r="B53" s="52" t="s">
        <v>83</v>
      </c>
      <c r="D53" s="22">
        <v>2143668</v>
      </c>
      <c r="E53" s="23">
        <v>2264687</v>
      </c>
    </row>
    <row r="54" spans="1:5" ht="12.75">
      <c r="A54" s="104" t="s">
        <v>6</v>
      </c>
      <c r="B54" s="52" t="s">
        <v>84</v>
      </c>
      <c r="D54" s="24">
        <v>2469411</v>
      </c>
      <c r="E54" s="23">
        <v>2590350</v>
      </c>
    </row>
    <row r="55" spans="1:5" ht="12.75">
      <c r="A55" s="52"/>
      <c r="B55" s="52"/>
      <c r="D55" s="1"/>
      <c r="E55" s="1"/>
    </row>
    <row r="56" spans="1:5" ht="12.75">
      <c r="A56" s="104" t="s">
        <v>7</v>
      </c>
      <c r="B56" s="52" t="s">
        <v>109</v>
      </c>
      <c r="D56" s="1"/>
      <c r="E56" s="25">
        <f>E$50/(($D$53+$D$54)/2)</f>
        <v>0.035900052437862</v>
      </c>
    </row>
    <row r="57" spans="1:5" ht="12.75">
      <c r="A57" s="104" t="s">
        <v>8</v>
      </c>
      <c r="B57" s="52" t="s">
        <v>102</v>
      </c>
      <c r="D57" s="1"/>
      <c r="E57" s="25">
        <f>(E$50+($E$54-$D$54)-($E$53-$D$53))/((E$53+$E$54)/2)</f>
        <v>0.034077964390384664</v>
      </c>
    </row>
    <row r="58" spans="1:5" ht="12.75">
      <c r="A58" s="52"/>
      <c r="B58" s="104" t="s">
        <v>101</v>
      </c>
      <c r="D58" s="1"/>
      <c r="E58" s="1"/>
    </row>
    <row r="59" spans="4:5" ht="12.75">
      <c r="D59" s="1"/>
      <c r="E59" s="1"/>
    </row>
    <row r="60" spans="1:5" ht="12.75">
      <c r="A60" s="52" t="s">
        <v>9</v>
      </c>
      <c r="B60" s="104" t="s">
        <v>85</v>
      </c>
      <c r="D60" s="1"/>
      <c r="E60" s="1"/>
    </row>
    <row r="61" spans="1:5" ht="12.75">
      <c r="A61" s="104"/>
      <c r="B61" s="52" t="s">
        <v>86</v>
      </c>
      <c r="D61" s="26">
        <v>0.1402613821676505</v>
      </c>
      <c r="E61" s="1"/>
    </row>
    <row r="62" spans="1:5" ht="12.75">
      <c r="A62" s="52"/>
      <c r="B62" s="52" t="s">
        <v>87</v>
      </c>
      <c r="D62" s="26">
        <v>0.5097636642907964</v>
      </c>
      <c r="E62" s="1"/>
    </row>
    <row r="63" spans="1:5" ht="12.75">
      <c r="A63" s="52"/>
      <c r="B63" s="52" t="s">
        <v>88</v>
      </c>
      <c r="D63" s="26">
        <v>0.1326563297887634</v>
      </c>
      <c r="E63" s="1"/>
    </row>
    <row r="64" spans="1:5" ht="12.75">
      <c r="A64" s="52"/>
      <c r="B64" s="52" t="s">
        <v>89</v>
      </c>
      <c r="D64" s="26">
        <v>0.052525480772540496</v>
      </c>
      <c r="E64" s="1"/>
    </row>
    <row r="65" spans="1:5" ht="12.75">
      <c r="A65" s="52"/>
      <c r="B65" s="52" t="s">
        <v>90</v>
      </c>
      <c r="D65" s="26">
        <v>0</v>
      </c>
      <c r="E65" s="1"/>
    </row>
    <row r="66" spans="1:5" ht="12.75">
      <c r="A66" s="52"/>
      <c r="B66" s="52" t="s">
        <v>91</v>
      </c>
      <c r="D66" s="26">
        <v>0</v>
      </c>
      <c r="E66" s="1"/>
    </row>
    <row r="67" spans="1:5" ht="12.75">
      <c r="A67" s="52"/>
      <c r="B67" s="52" t="s">
        <v>92</v>
      </c>
      <c r="D67" s="26">
        <v>0.16479314298024914</v>
      </c>
      <c r="E67" s="1"/>
    </row>
    <row r="68" spans="1:5" ht="13.5" thickBot="1">
      <c r="A68" s="52"/>
      <c r="B68" s="52" t="s">
        <v>93</v>
      </c>
      <c r="D68" s="27">
        <v>0</v>
      </c>
      <c r="E68" s="28">
        <f>SUM($D$61:$D$68)</f>
        <v>1</v>
      </c>
    </row>
    <row r="69" spans="1:5" ht="12.75">
      <c r="A69" s="52"/>
      <c r="B69" s="52"/>
      <c r="D69" s="1"/>
      <c r="E69" s="1"/>
    </row>
    <row r="70" spans="1:5" ht="12.75">
      <c r="A70" s="52" t="s">
        <v>10</v>
      </c>
      <c r="B70" s="52" t="s">
        <v>94</v>
      </c>
      <c r="E70" s="17">
        <v>2429359.728</v>
      </c>
    </row>
    <row r="71" spans="1:5" ht="12.75">
      <c r="A71" s="104" t="s">
        <v>11</v>
      </c>
      <c r="B71" s="52" t="s">
        <v>95</v>
      </c>
      <c r="E71" s="29">
        <v>39685</v>
      </c>
    </row>
    <row r="72" spans="1:5" ht="12.75">
      <c r="A72" s="104"/>
      <c r="B72" s="52"/>
      <c r="E72" s="1"/>
    </row>
    <row r="73" spans="1:5" ht="12.75">
      <c r="A73" s="52" t="s">
        <v>12</v>
      </c>
      <c r="B73" s="52" t="s">
        <v>96</v>
      </c>
      <c r="E73" s="1"/>
    </row>
    <row r="74" spans="1:5" ht="12.75">
      <c r="A74" s="104"/>
      <c r="B74" s="52" t="s">
        <v>75</v>
      </c>
      <c r="D74" s="15">
        <f>D26</f>
        <v>6938.111</v>
      </c>
      <c r="E74" s="1"/>
    </row>
    <row r="75" spans="1:5" ht="12.75">
      <c r="A75" s="104"/>
      <c r="B75" s="52" t="s">
        <v>32</v>
      </c>
      <c r="D75" s="41">
        <f>E22</f>
        <v>22296.889</v>
      </c>
      <c r="E75" s="18">
        <f>D75+D74</f>
        <v>29235</v>
      </c>
    </row>
    <row r="76" spans="1:5" ht="12.75">
      <c r="A76" s="104"/>
      <c r="B76" s="52" t="s">
        <v>97</v>
      </c>
      <c r="E76" s="18">
        <f>(1000*E75)/E71</f>
        <v>736.6763260677837</v>
      </c>
    </row>
    <row r="77" spans="1:5" ht="12.75">
      <c r="A77" s="104"/>
      <c r="B77" s="52"/>
      <c r="E77" s="1"/>
    </row>
    <row r="78" ht="12.75">
      <c r="B78" s="52"/>
    </row>
    <row r="79" spans="1:5" ht="12.75">
      <c r="A79" s="107" t="s">
        <v>117</v>
      </c>
      <c r="B79" s="52"/>
      <c r="D79" s="1"/>
      <c r="E79" s="1"/>
    </row>
    <row r="80" spans="1:6" ht="12.75">
      <c r="A80" s="110" t="s">
        <v>51</v>
      </c>
      <c r="B80" s="111"/>
      <c r="C80" s="118" t="s">
        <v>115</v>
      </c>
      <c r="D80" s="118"/>
      <c r="E80" s="118" t="s">
        <v>116</v>
      </c>
      <c r="F80" s="118"/>
    </row>
    <row r="81" spans="1:5" ht="12.75">
      <c r="A81" s="52"/>
      <c r="B81" s="52" t="s">
        <v>103</v>
      </c>
      <c r="C81" s="30">
        <v>82627</v>
      </c>
      <c r="E81" s="30">
        <v>175</v>
      </c>
    </row>
    <row r="82" spans="2:5" ht="12.75">
      <c r="B82" s="52" t="s">
        <v>104</v>
      </c>
      <c r="C82" s="30">
        <v>55568</v>
      </c>
      <c r="E82" s="30">
        <v>0</v>
      </c>
    </row>
    <row r="83" spans="1:6" ht="12.75">
      <c r="A83" s="52"/>
      <c r="B83" s="52" t="s">
        <v>105</v>
      </c>
      <c r="C83" s="30">
        <v>22459</v>
      </c>
      <c r="D83" s="53">
        <f>SUM(C81:C83)</f>
        <v>160654</v>
      </c>
      <c r="E83" s="30">
        <v>0</v>
      </c>
      <c r="F83" s="53">
        <f>SUM(E81:E83)</f>
        <v>175</v>
      </c>
    </row>
    <row r="84" spans="1:2" ht="12.75">
      <c r="A84" s="52" t="s">
        <v>52</v>
      </c>
      <c r="B84" s="52"/>
    </row>
    <row r="85" spans="1:5" ht="12.75">
      <c r="A85" s="52"/>
      <c r="B85" s="52" t="s">
        <v>103</v>
      </c>
      <c r="C85" s="30">
        <v>59222.665</v>
      </c>
      <c r="E85" s="30">
        <v>0</v>
      </c>
    </row>
    <row r="86" spans="1:5" ht="12.75">
      <c r="A86" s="52"/>
      <c r="B86" s="52" t="s">
        <v>104</v>
      </c>
      <c r="C86" s="30">
        <v>54296</v>
      </c>
      <c r="D86" s="52"/>
      <c r="E86" s="30">
        <v>0</v>
      </c>
    </row>
    <row r="87" spans="1:6" ht="12.75">
      <c r="A87" s="52"/>
      <c r="B87" s="52" t="s">
        <v>105</v>
      </c>
      <c r="C87" s="30">
        <v>23820</v>
      </c>
      <c r="D87" s="53">
        <f>SUM(C85:C87)</f>
        <v>137338.665</v>
      </c>
      <c r="E87" s="30">
        <v>0</v>
      </c>
      <c r="F87" s="53">
        <f>SUM(E85:E87)</f>
        <v>0</v>
      </c>
    </row>
    <row r="88" spans="1:6" ht="12.75">
      <c r="A88" s="52" t="s">
        <v>53</v>
      </c>
      <c r="B88" s="52"/>
      <c r="D88" s="54">
        <f>D83-D87</f>
        <v>23315.334999999992</v>
      </c>
      <c r="F88" s="54">
        <f>F83-F87</f>
        <v>175</v>
      </c>
    </row>
    <row r="89" spans="1:6" ht="12.75">
      <c r="A89" s="52" t="s">
        <v>54</v>
      </c>
      <c r="B89" s="52"/>
      <c r="D89" s="30">
        <v>10000</v>
      </c>
      <c r="F89" s="30">
        <v>0</v>
      </c>
    </row>
    <row r="90" spans="1:6" ht="12.75">
      <c r="A90" s="52" t="s">
        <v>55</v>
      </c>
      <c r="B90" s="52"/>
      <c r="D90" s="30">
        <v>0</v>
      </c>
      <c r="F90" s="55"/>
    </row>
    <row r="91" spans="1:6" ht="13.5" thickBot="1">
      <c r="A91" s="52" t="s">
        <v>56</v>
      </c>
      <c r="B91" s="52"/>
      <c r="D91" s="30">
        <v>0</v>
      </c>
      <c r="F91" s="30">
        <v>0</v>
      </c>
    </row>
    <row r="92" spans="1:6" ht="13.5" thickBot="1">
      <c r="A92" s="52" t="s">
        <v>57</v>
      </c>
      <c r="B92" s="52"/>
      <c r="D92" s="16">
        <f>D88-D89-D90-D91</f>
        <v>13315.334999999992</v>
      </c>
      <c r="F92" s="16">
        <f>F88-F89-F91</f>
        <v>175</v>
      </c>
    </row>
    <row r="93" spans="1:6" ht="12.75">
      <c r="A93" s="108" t="s">
        <v>58</v>
      </c>
      <c r="B93" s="52"/>
      <c r="D93" s="56"/>
      <c r="F93" s="47"/>
    </row>
    <row r="94" spans="1:6" ht="12.75">
      <c r="A94" s="52" t="s">
        <v>106</v>
      </c>
      <c r="B94" s="52"/>
      <c r="D94" s="57">
        <f>IF(D$83&gt;0,MIN(MAX((D$87+D$89+D$90+D$91)/D$83,0.9),1),0)</f>
        <v>0.917117936683805</v>
      </c>
      <c r="F94" s="58">
        <f>IF(F$83&gt;0,MIN((F$87+F$89+F$90+F$91)/F$83,1),0)</f>
        <v>0</v>
      </c>
    </row>
    <row r="95" spans="1:2" ht="12.75">
      <c r="A95" s="52"/>
      <c r="B95" s="52"/>
    </row>
    <row r="96" spans="1:2" ht="12.75">
      <c r="A96" s="52" t="s">
        <v>59</v>
      </c>
      <c r="B96" s="52"/>
    </row>
    <row r="97" spans="1:5" ht="12.75">
      <c r="A97" s="52"/>
      <c r="B97" s="52" t="s">
        <v>107</v>
      </c>
      <c r="D97" s="53">
        <f>D92</f>
        <v>13315.334999999992</v>
      </c>
      <c r="E97" s="58">
        <f>IF($D$83&gt;0,D97/$D$83,0)</f>
        <v>0.082882063316195</v>
      </c>
    </row>
    <row r="98" spans="1:5" ht="13.5" thickBot="1">
      <c r="A98" s="52"/>
      <c r="B98" s="52" t="s">
        <v>108</v>
      </c>
      <c r="D98" s="53">
        <f>F92</f>
        <v>175</v>
      </c>
      <c r="E98" s="58">
        <f>IF($F$83&gt;0,D98/$F$83,0)</f>
        <v>1</v>
      </c>
    </row>
    <row r="99" spans="1:4" ht="13.5" thickBot="1">
      <c r="A99" s="52"/>
      <c r="B99" s="52" t="s">
        <v>113</v>
      </c>
      <c r="D99" s="31">
        <f>D98+D97</f>
        <v>13490.334999999992</v>
      </c>
    </row>
    <row r="100" ht="12.75">
      <c r="D100">
        <f>IF(ABS($E$32-$D$99)&lt;2,"","&lt;&gt; Pos. 411e ("&amp;TEXT($F$33,"#'##0")&amp;") ?")</f>
      </c>
    </row>
  </sheetData>
  <sheetProtection/>
  <mergeCells count="2">
    <mergeCell ref="C80:D80"/>
    <mergeCell ref="E80:F80"/>
  </mergeCells>
  <conditionalFormatting sqref="D99">
    <cfRule type="expression" priority="1" dxfId="0" stopIfTrue="1">
      <formula>IF(D$100="",0,1)</formula>
    </cfRule>
  </conditionalFormatting>
  <conditionalFormatting sqref="D94">
    <cfRule type="expression" priority="2" dxfId="2" stopIfTrue="1">
      <formula>IF($B$94=0,0,1)</formula>
    </cfRule>
  </conditionalFormatting>
  <conditionalFormatting sqref="E47">
    <cfRule type="expression" priority="3" dxfId="0" stopIfTrue="1">
      <formula>IF(#REF!="",0,1)</formula>
    </cfRule>
  </conditionalFormatting>
  <printOptions/>
  <pageMargins left="0.47" right="0.31" top="1" bottom="1" header="0.4921259845" footer="0.4921259845"/>
  <pageSetup fitToHeight="1" fitToWidth="1"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>
    <tabColor indexed="12"/>
    <pageSetUpPr fitToPage="1"/>
  </sheetPr>
  <dimension ref="A1:G100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4" width="13.421875" style="0" customWidth="1"/>
    <col min="5" max="6" width="14.00390625" style="0" customWidth="1"/>
  </cols>
  <sheetData>
    <row r="1" spans="1:7" ht="12.75">
      <c r="A1" s="101" t="s">
        <v>70</v>
      </c>
      <c r="B1" s="52"/>
      <c r="G1" s="61"/>
    </row>
    <row r="2" spans="1:7" ht="12.75">
      <c r="A2" s="52" t="s">
        <v>71</v>
      </c>
      <c r="B2" s="52"/>
      <c r="G2" s="61"/>
    </row>
    <row r="3" spans="1:7" ht="12.75">
      <c r="A3" s="102" t="s">
        <v>17</v>
      </c>
      <c r="B3" s="52"/>
      <c r="G3" s="61"/>
    </row>
    <row r="4" spans="1:7" ht="12.75">
      <c r="A4" s="52"/>
      <c r="B4" s="52"/>
      <c r="G4" s="61"/>
    </row>
    <row r="5" spans="1:7" ht="12.75">
      <c r="A5" s="52" t="s">
        <v>69</v>
      </c>
      <c r="B5" s="52"/>
      <c r="G5" s="61"/>
    </row>
    <row r="6" spans="1:7" ht="12.75">
      <c r="A6" s="52"/>
      <c r="B6" s="52"/>
      <c r="G6" s="61"/>
    </row>
    <row r="7" spans="1:7" ht="12.75">
      <c r="A7" s="52" t="s">
        <v>0</v>
      </c>
      <c r="B7" s="52" t="s">
        <v>1</v>
      </c>
      <c r="C7" s="1"/>
      <c r="D7" s="1" t="s">
        <v>3</v>
      </c>
      <c r="E7" s="1" t="s">
        <v>98</v>
      </c>
      <c r="F7" s="1"/>
      <c r="G7" s="61"/>
    </row>
    <row r="8" spans="1:7" ht="12.75">
      <c r="A8" s="52"/>
      <c r="B8" s="52"/>
      <c r="C8" s="2"/>
      <c r="D8" s="2" t="s">
        <v>78</v>
      </c>
      <c r="E8" s="2" t="s">
        <v>79</v>
      </c>
      <c r="F8" s="2"/>
      <c r="G8" s="61"/>
    </row>
    <row r="9" spans="1:7" ht="12.75">
      <c r="A9" s="102" t="s">
        <v>28</v>
      </c>
      <c r="B9" s="52"/>
      <c r="G9" s="61"/>
    </row>
    <row r="10" spans="1:7" ht="12.75">
      <c r="A10" s="52" t="s">
        <v>29</v>
      </c>
      <c r="B10" s="52"/>
      <c r="D10" s="1"/>
      <c r="E10" s="1"/>
      <c r="G10" s="61"/>
    </row>
    <row r="11" spans="1:7" ht="12.75">
      <c r="A11" s="52"/>
      <c r="B11" s="52" t="s">
        <v>60</v>
      </c>
      <c r="D11" s="3">
        <f>$E$13-D$12-D$13</f>
        <v>15699</v>
      </c>
      <c r="E11" s="1"/>
      <c r="G11" s="61"/>
    </row>
    <row r="12" spans="1:7" ht="12.75">
      <c r="A12" s="52"/>
      <c r="B12" s="52" t="s">
        <v>61</v>
      </c>
      <c r="D12" s="5">
        <v>2167</v>
      </c>
      <c r="E12" s="1"/>
      <c r="G12" s="61"/>
    </row>
    <row r="13" spans="1:7" ht="13.5" thickBot="1">
      <c r="A13" s="52"/>
      <c r="B13" s="52" t="s">
        <v>62</v>
      </c>
      <c r="D13" s="6">
        <v>727</v>
      </c>
      <c r="E13" s="7">
        <v>18593</v>
      </c>
      <c r="G13" s="61"/>
    </row>
    <row r="14" spans="1:7" ht="12.75">
      <c r="A14" s="52"/>
      <c r="B14" s="103" t="s">
        <v>63</v>
      </c>
      <c r="D14" s="1"/>
      <c r="E14" s="1"/>
      <c r="G14" s="61"/>
    </row>
    <row r="15" spans="1:7" ht="12.75">
      <c r="A15" s="52"/>
      <c r="B15" s="103" t="s">
        <v>64</v>
      </c>
      <c r="D15" s="1"/>
      <c r="E15" s="1"/>
      <c r="G15" s="61"/>
    </row>
    <row r="16" spans="1:5" ht="12.75">
      <c r="A16" s="52" t="s">
        <v>30</v>
      </c>
      <c r="B16" s="52"/>
      <c r="D16" s="1"/>
      <c r="E16" s="1"/>
    </row>
    <row r="17" spans="1:5" ht="12.75">
      <c r="A17" s="52"/>
      <c r="B17" s="52" t="s">
        <v>65</v>
      </c>
      <c r="D17" s="8">
        <v>6016</v>
      </c>
      <c r="E17" s="1"/>
    </row>
    <row r="18" spans="1:5" ht="12.75">
      <c r="A18" s="52"/>
      <c r="B18" s="52" t="s">
        <v>66</v>
      </c>
      <c r="D18" s="9">
        <v>9391</v>
      </c>
      <c r="E18" s="1"/>
    </row>
    <row r="19" spans="1:5" ht="13.5" thickBot="1">
      <c r="A19" s="52"/>
      <c r="B19" s="52" t="s">
        <v>67</v>
      </c>
      <c r="D19" s="10">
        <v>4121</v>
      </c>
      <c r="E19" s="3">
        <f>$D$17+$D$18+$D$19</f>
        <v>19528</v>
      </c>
    </row>
    <row r="20" spans="1:4" ht="12.75">
      <c r="A20" s="52" t="s">
        <v>31</v>
      </c>
      <c r="B20" s="52"/>
      <c r="D20" s="11"/>
    </row>
    <row r="21" spans="1:5" ht="12.75">
      <c r="A21" s="52" t="s">
        <v>73</v>
      </c>
      <c r="B21" s="104"/>
      <c r="D21" s="11"/>
      <c r="E21" s="7">
        <v>-348</v>
      </c>
    </row>
    <row r="22" spans="1:5" ht="12.75">
      <c r="A22" s="52" t="s">
        <v>32</v>
      </c>
      <c r="B22" s="52"/>
      <c r="D22" s="11"/>
      <c r="E22" s="7">
        <v>2033</v>
      </c>
    </row>
    <row r="23" spans="1:5" ht="12.75">
      <c r="A23" s="52" t="s">
        <v>33</v>
      </c>
      <c r="B23" s="52"/>
      <c r="D23" s="11"/>
      <c r="E23" s="1"/>
    </row>
    <row r="24" spans="1:5" ht="12.75">
      <c r="A24" s="52"/>
      <c r="B24" s="52" t="s">
        <v>68</v>
      </c>
      <c r="D24" s="9">
        <v>3356</v>
      </c>
      <c r="E24" s="1"/>
    </row>
    <row r="25" spans="1:5" ht="25.5" customHeight="1">
      <c r="A25" s="52"/>
      <c r="B25" s="105" t="s">
        <v>74</v>
      </c>
      <c r="D25" s="9">
        <v>62</v>
      </c>
      <c r="E25" s="1"/>
    </row>
    <row r="26" spans="1:5" ht="13.5" thickBot="1">
      <c r="A26" s="52"/>
      <c r="B26" s="52" t="s">
        <v>75</v>
      </c>
      <c r="D26" s="10">
        <v>395</v>
      </c>
      <c r="E26" s="3">
        <f>$D$24+$D$25-$D$26</f>
        <v>3023</v>
      </c>
    </row>
    <row r="27" spans="1:5" ht="12.75">
      <c r="A27" s="52" t="s">
        <v>34</v>
      </c>
      <c r="B27" s="52"/>
      <c r="D27" s="13"/>
      <c r="E27" s="9">
        <v>0</v>
      </c>
    </row>
    <row r="28" spans="1:5" ht="12.75">
      <c r="A28" s="52" t="s">
        <v>35</v>
      </c>
      <c r="B28" s="52"/>
      <c r="D28" s="1"/>
      <c r="E28" s="9">
        <v>-398</v>
      </c>
    </row>
    <row r="29" spans="1:5" ht="13.5" thickBot="1">
      <c r="A29" s="52" t="s">
        <v>77</v>
      </c>
      <c r="B29" s="52"/>
      <c r="D29" s="1"/>
      <c r="E29" s="14">
        <v>0</v>
      </c>
    </row>
    <row r="30" spans="1:5" ht="12.75">
      <c r="A30" s="52" t="s">
        <v>36</v>
      </c>
      <c r="B30" s="52"/>
      <c r="E30" s="15">
        <f>E$13-E$19-E$21-E$22+E$26-E$27+E$28+E$29</f>
        <v>5</v>
      </c>
    </row>
    <row r="31" spans="1:5" ht="13.5" thickBot="1">
      <c r="A31" s="52" t="s">
        <v>37</v>
      </c>
      <c r="B31" s="52"/>
      <c r="C31" s="1"/>
      <c r="D31" s="1"/>
      <c r="E31" s="14">
        <v>0</v>
      </c>
    </row>
    <row r="32" spans="1:5" ht="13.5" thickBot="1">
      <c r="A32" s="52" t="s">
        <v>76</v>
      </c>
      <c r="B32" s="52"/>
      <c r="C32" s="1"/>
      <c r="D32" s="1"/>
      <c r="E32" s="16">
        <f>E$30-E$31</f>
        <v>5</v>
      </c>
    </row>
    <row r="33" spans="1:5" ht="12.75">
      <c r="A33" s="52"/>
      <c r="B33" s="52"/>
      <c r="C33" s="1"/>
      <c r="D33" s="1"/>
      <c r="E33" s="1"/>
    </row>
    <row r="34" spans="1:5" ht="12.75">
      <c r="A34" s="102" t="s">
        <v>38</v>
      </c>
      <c r="B34" s="52"/>
      <c r="D34" s="1"/>
      <c r="E34" s="1"/>
    </row>
    <row r="35" spans="1:5" ht="12.75">
      <c r="A35" s="52" t="s">
        <v>39</v>
      </c>
      <c r="B35" s="52"/>
      <c r="D35" s="1"/>
      <c r="E35" s="17">
        <v>82</v>
      </c>
    </row>
    <row r="36" spans="1:5" ht="12.75">
      <c r="A36" s="52" t="s">
        <v>40</v>
      </c>
      <c r="B36" s="52"/>
      <c r="E36" s="18">
        <f>E$31</f>
        <v>0</v>
      </c>
    </row>
    <row r="37" spans="1:5" ht="12.75">
      <c r="A37" s="52" t="s">
        <v>41</v>
      </c>
      <c r="B37" s="52"/>
      <c r="D37" s="9">
        <v>0</v>
      </c>
      <c r="E37" s="19"/>
    </row>
    <row r="38" spans="1:5" ht="13.5" thickBot="1">
      <c r="A38" s="52" t="s">
        <v>42</v>
      </c>
      <c r="B38" s="52"/>
      <c r="D38" s="10">
        <v>8</v>
      </c>
      <c r="E38" s="20">
        <f>$D$37+$D$38</f>
        <v>8</v>
      </c>
    </row>
    <row r="39" spans="1:5" ht="13.5" thickBot="1">
      <c r="A39" s="52" t="s">
        <v>43</v>
      </c>
      <c r="B39" s="52"/>
      <c r="D39" s="1"/>
      <c r="E39" s="21">
        <f>E35+E36-E38</f>
        <v>74</v>
      </c>
    </row>
    <row r="40" spans="1:5" ht="12.75">
      <c r="A40" s="52"/>
      <c r="B40" s="52"/>
      <c r="D40" s="1"/>
      <c r="E40" s="1"/>
    </row>
    <row r="41" spans="1:5" ht="12.75">
      <c r="A41" s="102" t="s">
        <v>44</v>
      </c>
      <c r="B41" s="52"/>
      <c r="D41" s="1"/>
      <c r="E41" s="1"/>
    </row>
    <row r="42" spans="1:5" ht="12.75">
      <c r="A42" s="52" t="s">
        <v>39</v>
      </c>
      <c r="B42" s="52"/>
      <c r="D42" s="1"/>
      <c r="E42" s="17">
        <v>2247</v>
      </c>
    </row>
    <row r="43" spans="1:5" ht="12.75">
      <c r="A43" s="52" t="s">
        <v>45</v>
      </c>
      <c r="B43" s="52"/>
      <c r="D43" s="9">
        <v>82</v>
      </c>
      <c r="E43" s="59"/>
    </row>
    <row r="44" spans="1:5" ht="12.75">
      <c r="A44" s="52" t="s">
        <v>46</v>
      </c>
      <c r="B44" s="52"/>
      <c r="D44" s="9">
        <v>34</v>
      </c>
      <c r="E44" s="60">
        <f>D44+D43</f>
        <v>116</v>
      </c>
    </row>
    <row r="45" spans="1:5" ht="12.75">
      <c r="A45" s="52" t="s">
        <v>47</v>
      </c>
      <c r="B45" s="52"/>
      <c r="D45" s="9">
        <v>87</v>
      </c>
      <c r="E45" s="59"/>
    </row>
    <row r="46" spans="1:5" ht="13.5" thickBot="1">
      <c r="A46" s="52" t="s">
        <v>48</v>
      </c>
      <c r="B46" s="52"/>
      <c r="D46" s="9">
        <v>0</v>
      </c>
      <c r="E46" s="20">
        <f>D46+D45</f>
        <v>87</v>
      </c>
    </row>
    <row r="47" spans="1:5" ht="13.5" thickBot="1">
      <c r="A47" s="52" t="s">
        <v>49</v>
      </c>
      <c r="B47" s="52"/>
      <c r="E47" s="21">
        <f>E42+E44-E46</f>
        <v>2276</v>
      </c>
    </row>
    <row r="48" spans="1:5" ht="12.75">
      <c r="A48" s="52"/>
      <c r="B48" s="52"/>
      <c r="E48" s="1"/>
    </row>
    <row r="49" spans="1:5" ht="12.75">
      <c r="A49" s="102" t="s">
        <v>50</v>
      </c>
      <c r="B49" s="52"/>
      <c r="E49" s="1"/>
    </row>
    <row r="50" spans="1:5" ht="13.5" thickBot="1">
      <c r="A50" s="104" t="s">
        <v>4</v>
      </c>
      <c r="B50" s="52" t="s">
        <v>82</v>
      </c>
      <c r="E50" s="20">
        <f>E$26</f>
        <v>3023</v>
      </c>
    </row>
    <row r="51" spans="1:5" ht="12.75">
      <c r="A51" s="52"/>
      <c r="B51" s="52"/>
      <c r="D51" s="1"/>
      <c r="E51" s="1"/>
    </row>
    <row r="52" spans="1:5" ht="25.5">
      <c r="A52" s="52"/>
      <c r="B52" s="52"/>
      <c r="D52" s="106" t="s">
        <v>99</v>
      </c>
      <c r="E52" s="106" t="s">
        <v>100</v>
      </c>
    </row>
    <row r="53" spans="1:5" ht="12.75">
      <c r="A53" s="104" t="s">
        <v>5</v>
      </c>
      <c r="B53" s="52" t="s">
        <v>83</v>
      </c>
      <c r="D53" s="22">
        <v>97308</v>
      </c>
      <c r="E53" s="23">
        <v>101472</v>
      </c>
    </row>
    <row r="54" spans="1:5" ht="12.75">
      <c r="A54" s="104" t="s">
        <v>6</v>
      </c>
      <c r="B54" s="52" t="s">
        <v>84</v>
      </c>
      <c r="D54" s="24">
        <v>102139</v>
      </c>
      <c r="E54" s="23">
        <v>104754</v>
      </c>
    </row>
    <row r="55" spans="1:5" ht="12.75">
      <c r="A55" s="52"/>
      <c r="B55" s="52"/>
      <c r="D55" s="1"/>
      <c r="E55" s="1"/>
    </row>
    <row r="56" spans="1:5" ht="12.75">
      <c r="A56" s="104" t="s">
        <v>7</v>
      </c>
      <c r="B56" s="52" t="s">
        <v>109</v>
      </c>
      <c r="D56" s="1"/>
      <c r="E56" s="25">
        <f>E$50/(($D$53+$D$54)/2)</f>
        <v>0.03031381770595697</v>
      </c>
    </row>
    <row r="57" spans="1:5" ht="12.75">
      <c r="A57" s="104" t="s">
        <v>8</v>
      </c>
      <c r="B57" s="52" t="s">
        <v>102</v>
      </c>
      <c r="D57" s="1"/>
      <c r="E57" s="25">
        <f>(E$50+($E$54-$D$54)-($E$53-$D$53))/((E$53+$E$54)/2)</f>
        <v>0.014294996751137101</v>
      </c>
    </row>
    <row r="58" spans="1:5" ht="12.75">
      <c r="A58" s="52"/>
      <c r="B58" s="104" t="s">
        <v>101</v>
      </c>
      <c r="D58" s="1"/>
      <c r="E58" s="1"/>
    </row>
    <row r="59" spans="4:5" ht="12.75">
      <c r="D59" s="1"/>
      <c r="E59" s="1"/>
    </row>
    <row r="60" spans="1:5" ht="12.75">
      <c r="A60" s="52" t="s">
        <v>9</v>
      </c>
      <c r="B60" s="104" t="s">
        <v>85</v>
      </c>
      <c r="D60" s="1"/>
      <c r="E60" s="1"/>
    </row>
    <row r="61" spans="1:5" ht="12.75">
      <c r="A61" s="104"/>
      <c r="B61" s="52" t="s">
        <v>86</v>
      </c>
      <c r="D61" s="26">
        <v>0.04650525264590411</v>
      </c>
      <c r="E61" s="1"/>
    </row>
    <row r="62" spans="1:5" ht="12.75">
      <c r="A62" s="52"/>
      <c r="B62" s="52" t="s">
        <v>87</v>
      </c>
      <c r="D62" s="26">
        <v>0.8369281077746992</v>
      </c>
      <c r="E62" s="1"/>
    </row>
    <row r="63" spans="1:5" ht="12.75">
      <c r="A63" s="52"/>
      <c r="B63" s="52" t="s">
        <v>88</v>
      </c>
      <c r="D63" s="26">
        <v>0.00407288107383076</v>
      </c>
      <c r="E63" s="1"/>
    </row>
    <row r="64" spans="1:5" ht="12.75">
      <c r="A64" s="52"/>
      <c r="B64" s="52" t="s">
        <v>89</v>
      </c>
      <c r="D64" s="26">
        <v>0.009976600514984483</v>
      </c>
      <c r="E64" s="1"/>
    </row>
    <row r="65" spans="1:5" ht="12.75">
      <c r="A65" s="52"/>
      <c r="B65" s="52" t="s">
        <v>90</v>
      </c>
      <c r="D65" s="26">
        <v>0</v>
      </c>
      <c r="E65" s="1"/>
    </row>
    <row r="66" spans="1:5" ht="12.75">
      <c r="A66" s="52"/>
      <c r="B66" s="52" t="s">
        <v>91</v>
      </c>
      <c r="D66" s="26">
        <v>0</v>
      </c>
      <c r="E66" s="1"/>
    </row>
    <row r="67" spans="1:5" ht="12.75">
      <c r="A67" s="52"/>
      <c r="B67" s="52" t="s">
        <v>92</v>
      </c>
      <c r="D67" s="26">
        <v>0.10251715799058146</v>
      </c>
      <c r="E67" s="1"/>
    </row>
    <row r="68" spans="1:5" ht="13.5" thickBot="1">
      <c r="A68" s="52"/>
      <c r="B68" s="52" t="s">
        <v>93</v>
      </c>
      <c r="D68" s="27">
        <v>0</v>
      </c>
      <c r="E68" s="28">
        <f>SUM($D$61:$D$68)</f>
        <v>1</v>
      </c>
    </row>
    <row r="69" spans="1:5" ht="12.75">
      <c r="A69" s="52"/>
      <c r="B69" s="52"/>
      <c r="D69" s="1"/>
      <c r="E69" s="1"/>
    </row>
    <row r="70" spans="1:5" ht="12.75">
      <c r="A70" s="52" t="s">
        <v>10</v>
      </c>
      <c r="B70" s="52" t="s">
        <v>94</v>
      </c>
      <c r="E70" s="17">
        <v>98568</v>
      </c>
    </row>
    <row r="71" spans="1:5" ht="12.75">
      <c r="A71" s="104" t="s">
        <v>11</v>
      </c>
      <c r="B71" s="52" t="s">
        <v>95</v>
      </c>
      <c r="E71" s="29">
        <v>2384</v>
      </c>
    </row>
    <row r="72" spans="1:5" ht="12.75">
      <c r="A72" s="104"/>
      <c r="B72" s="52"/>
      <c r="E72" s="1"/>
    </row>
    <row r="73" spans="1:5" ht="12.75">
      <c r="A73" s="52" t="s">
        <v>12</v>
      </c>
      <c r="B73" s="52" t="s">
        <v>96</v>
      </c>
      <c r="E73" s="1"/>
    </row>
    <row r="74" spans="1:5" ht="12.75">
      <c r="A74" s="104"/>
      <c r="B74" s="52" t="s">
        <v>75</v>
      </c>
      <c r="D74" s="15">
        <f>D26</f>
        <v>395</v>
      </c>
      <c r="E74" s="1"/>
    </row>
    <row r="75" spans="1:5" ht="12.75">
      <c r="A75" s="104"/>
      <c r="B75" s="52" t="s">
        <v>32</v>
      </c>
      <c r="D75" s="41">
        <f>E22</f>
        <v>2033</v>
      </c>
      <c r="E75" s="18">
        <f>D75+D74</f>
        <v>2428</v>
      </c>
    </row>
    <row r="76" spans="1:5" ht="12.75">
      <c r="A76" s="104"/>
      <c r="B76" s="52" t="s">
        <v>97</v>
      </c>
      <c r="E76" s="18">
        <f>(1000*E75)/E71</f>
        <v>1018.4563758389262</v>
      </c>
    </row>
    <row r="77" spans="1:5" ht="12.75">
      <c r="A77" s="104"/>
      <c r="B77" s="52"/>
      <c r="E77" s="1"/>
    </row>
    <row r="78" ht="12.75">
      <c r="B78" s="52"/>
    </row>
    <row r="79" spans="1:5" ht="12.75">
      <c r="A79" s="107" t="s">
        <v>117</v>
      </c>
      <c r="B79" s="52"/>
      <c r="D79" s="1"/>
      <c r="E79" s="1"/>
    </row>
    <row r="80" spans="1:6" ht="12.75">
      <c r="A80" s="110" t="s">
        <v>51</v>
      </c>
      <c r="B80" s="111"/>
      <c r="C80" s="118" t="s">
        <v>115</v>
      </c>
      <c r="D80" s="118"/>
      <c r="E80" s="118" t="s">
        <v>116</v>
      </c>
      <c r="F80" s="118"/>
    </row>
    <row r="81" spans="1:5" ht="12.75">
      <c r="A81" s="52"/>
      <c r="B81" s="52" t="s">
        <v>103</v>
      </c>
      <c r="C81" s="30">
        <v>3023</v>
      </c>
      <c r="E81" s="30">
        <v>0</v>
      </c>
    </row>
    <row r="82" spans="2:5" ht="12.75">
      <c r="B82" s="52" t="s">
        <v>104</v>
      </c>
      <c r="C82" s="30">
        <v>2167</v>
      </c>
      <c r="E82" s="30">
        <v>0</v>
      </c>
    </row>
    <row r="83" spans="1:6" ht="12.75">
      <c r="A83" s="52"/>
      <c r="B83" s="52" t="s">
        <v>105</v>
      </c>
      <c r="C83" s="30">
        <v>727</v>
      </c>
      <c r="D83" s="53">
        <f>SUM(C81:C83)</f>
        <v>5917</v>
      </c>
      <c r="E83" s="30">
        <v>0</v>
      </c>
      <c r="F83" s="53">
        <f>SUM(E81:E83)</f>
        <v>0</v>
      </c>
    </row>
    <row r="84" spans="1:2" ht="12.75">
      <c r="A84" s="52" t="s">
        <v>52</v>
      </c>
      <c r="B84" s="52"/>
    </row>
    <row r="85" spans="1:5" ht="12.75">
      <c r="A85" s="52"/>
      <c r="B85" s="52" t="s">
        <v>103</v>
      </c>
      <c r="C85" s="30">
        <v>3184.8519309197445</v>
      </c>
      <c r="E85" s="30">
        <v>0</v>
      </c>
    </row>
    <row r="86" spans="1:5" ht="12.75">
      <c r="A86" s="52"/>
      <c r="B86" s="52" t="s">
        <v>104</v>
      </c>
      <c r="C86" s="30">
        <v>1448</v>
      </c>
      <c r="D86" s="52"/>
      <c r="E86" s="30">
        <v>0</v>
      </c>
    </row>
    <row r="87" spans="1:6" ht="12.75">
      <c r="A87" s="52"/>
      <c r="B87" s="52" t="s">
        <v>105</v>
      </c>
      <c r="C87" s="30">
        <v>1476</v>
      </c>
      <c r="D87" s="53">
        <f>SUM(C85:C87)</f>
        <v>6108.8519309197445</v>
      </c>
      <c r="E87" s="30">
        <v>0</v>
      </c>
      <c r="F87" s="53">
        <f>SUM(E85:E87)</f>
        <v>0</v>
      </c>
    </row>
    <row r="88" spans="1:6" ht="12.75">
      <c r="A88" s="52" t="s">
        <v>53</v>
      </c>
      <c r="B88" s="52"/>
      <c r="D88" s="54">
        <f>D83-D87</f>
        <v>-191.85193091974452</v>
      </c>
      <c r="F88" s="54">
        <f>F83-F87</f>
        <v>0</v>
      </c>
    </row>
    <row r="89" spans="1:6" ht="12.75">
      <c r="A89" s="52" t="s">
        <v>54</v>
      </c>
      <c r="B89" s="52"/>
      <c r="D89" s="30">
        <v>-197</v>
      </c>
      <c r="F89" s="30">
        <v>0</v>
      </c>
    </row>
    <row r="90" spans="1:6" ht="12.75">
      <c r="A90" s="52" t="s">
        <v>55</v>
      </c>
      <c r="B90" s="52"/>
      <c r="D90" s="30">
        <v>0</v>
      </c>
      <c r="F90" s="55"/>
    </row>
    <row r="91" spans="1:6" ht="13.5" thickBot="1">
      <c r="A91" s="52" t="s">
        <v>56</v>
      </c>
      <c r="B91" s="52"/>
      <c r="D91" s="30">
        <v>0</v>
      </c>
      <c r="F91" s="30">
        <v>0</v>
      </c>
    </row>
    <row r="92" spans="1:6" ht="13.5" thickBot="1">
      <c r="A92" s="52" t="s">
        <v>57</v>
      </c>
      <c r="B92" s="52"/>
      <c r="D92" s="16">
        <f>D88-D89-D90-D91</f>
        <v>5.148069080255482</v>
      </c>
      <c r="F92" s="16">
        <f>F88-F89-F91</f>
        <v>0</v>
      </c>
    </row>
    <row r="93" spans="1:6" ht="12.75">
      <c r="A93" s="108" t="s">
        <v>58</v>
      </c>
      <c r="B93" s="52"/>
      <c r="D93" s="56"/>
      <c r="F93" s="47"/>
    </row>
    <row r="94" spans="1:6" ht="12.75">
      <c r="A94" s="52" t="s">
        <v>106</v>
      </c>
      <c r="B94" s="52"/>
      <c r="D94" s="57">
        <f>IF(D$83&gt;0,MIN(MAX((D$87+D$89+D$90+D$91)/D$83,0.9),1),0)</f>
        <v>0.9991299528341634</v>
      </c>
      <c r="F94" s="58">
        <f>IF(F$83&gt;0,MIN((F$87+F$89+F$90+F$91)/F$83,1),0)</f>
        <v>0</v>
      </c>
    </row>
    <row r="95" spans="1:2" ht="12.75">
      <c r="A95" s="52"/>
      <c r="B95" s="52"/>
    </row>
    <row r="96" spans="1:2" ht="12.75">
      <c r="A96" s="52" t="s">
        <v>59</v>
      </c>
      <c r="B96" s="52"/>
    </row>
    <row r="97" spans="1:5" ht="12.75">
      <c r="A97" s="52"/>
      <c r="B97" s="52" t="s">
        <v>107</v>
      </c>
      <c r="D97" s="53">
        <f>D92</f>
        <v>5.148069080255482</v>
      </c>
      <c r="E97" s="58">
        <f>IF($D$83&gt;0,D97/$D$83,0)</f>
        <v>0.000870047165836654</v>
      </c>
    </row>
    <row r="98" spans="1:5" ht="13.5" thickBot="1">
      <c r="A98" s="52"/>
      <c r="B98" s="52" t="s">
        <v>108</v>
      </c>
      <c r="D98" s="53">
        <f>F92</f>
        <v>0</v>
      </c>
      <c r="E98" s="58">
        <f>IF($F$83&gt;0,D98/$F$83,0)</f>
        <v>0</v>
      </c>
    </row>
    <row r="99" spans="1:4" ht="13.5" thickBot="1">
      <c r="A99" s="52"/>
      <c r="B99" s="52" t="s">
        <v>113</v>
      </c>
      <c r="D99" s="31">
        <f>D98+D97</f>
        <v>5.148069080255482</v>
      </c>
    </row>
    <row r="100" ht="12.75">
      <c r="D100">
        <f>IF(ABS($E$32-$D$99)&lt;2,"","&lt;&gt; Pos. 411e ("&amp;TEXT($F$33,"#'##0")&amp;") ?")</f>
      </c>
    </row>
  </sheetData>
  <sheetProtection/>
  <mergeCells count="2">
    <mergeCell ref="C80:D80"/>
    <mergeCell ref="E80:F80"/>
  </mergeCells>
  <conditionalFormatting sqref="D99">
    <cfRule type="expression" priority="1" dxfId="0" stopIfTrue="1">
      <formula>IF(D$100="",0,1)</formula>
    </cfRule>
  </conditionalFormatting>
  <conditionalFormatting sqref="D94">
    <cfRule type="expression" priority="2" dxfId="2" stopIfTrue="1">
      <formula>IF($B$94=0,0,1)</formula>
    </cfRule>
  </conditionalFormatting>
  <conditionalFormatting sqref="E47">
    <cfRule type="expression" priority="3" dxfId="0" stopIfTrue="1">
      <formula>IF(#REF!="",0,1)</formula>
    </cfRule>
  </conditionalFormatting>
  <printOptions/>
  <pageMargins left="0.46" right="0.28" top="1" bottom="1" header="0.4921259845" footer="0.4921259845"/>
  <pageSetup fitToHeight="1" fitToWidth="1"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4">
    <tabColor indexed="12"/>
    <pageSetUpPr fitToPage="1"/>
  </sheetPr>
  <dimension ref="A1:G100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4" width="13.421875" style="0" customWidth="1"/>
    <col min="5" max="6" width="14.00390625" style="0" customWidth="1"/>
  </cols>
  <sheetData>
    <row r="1" spans="1:7" ht="12.75">
      <c r="A1" s="101" t="s">
        <v>70</v>
      </c>
      <c r="B1" s="52"/>
      <c r="G1" s="61"/>
    </row>
    <row r="2" spans="1:7" ht="12.75">
      <c r="A2" s="52" t="s">
        <v>71</v>
      </c>
      <c r="B2" s="52"/>
      <c r="G2" s="61"/>
    </row>
    <row r="3" spans="1:7" ht="12.75">
      <c r="A3" s="102" t="s">
        <v>15</v>
      </c>
      <c r="B3" s="52"/>
      <c r="G3" s="61"/>
    </row>
    <row r="4" spans="1:7" ht="12.75">
      <c r="A4" s="52"/>
      <c r="B4" s="52"/>
      <c r="G4" s="61"/>
    </row>
    <row r="5" spans="1:7" ht="12.75">
      <c r="A5" s="52" t="s">
        <v>69</v>
      </c>
      <c r="B5" s="52"/>
      <c r="G5" s="61"/>
    </row>
    <row r="6" spans="1:7" ht="12.75">
      <c r="A6" s="52"/>
      <c r="B6" s="52"/>
      <c r="G6" s="61"/>
    </row>
    <row r="7" spans="1:7" ht="12.75">
      <c r="A7" s="52" t="s">
        <v>0</v>
      </c>
      <c r="B7" s="52" t="s">
        <v>1</v>
      </c>
      <c r="C7" s="1"/>
      <c r="D7" s="1" t="s">
        <v>3</v>
      </c>
      <c r="E7" s="1" t="s">
        <v>98</v>
      </c>
      <c r="F7" s="1"/>
      <c r="G7" s="61"/>
    </row>
    <row r="8" spans="1:7" ht="12.75">
      <c r="A8" s="52"/>
      <c r="B8" s="52"/>
      <c r="C8" s="2"/>
      <c r="D8" s="2" t="s">
        <v>78</v>
      </c>
      <c r="E8" s="2" t="s">
        <v>79</v>
      </c>
      <c r="F8" s="2"/>
      <c r="G8" s="61"/>
    </row>
    <row r="9" spans="1:7" ht="12.75">
      <c r="A9" s="102" t="s">
        <v>28</v>
      </c>
      <c r="B9" s="52"/>
      <c r="G9" s="61"/>
    </row>
    <row r="10" spans="1:7" ht="12.75">
      <c r="A10" s="52" t="s">
        <v>29</v>
      </c>
      <c r="B10" s="52"/>
      <c r="D10" s="1"/>
      <c r="E10" s="1"/>
      <c r="G10" s="61"/>
    </row>
    <row r="11" spans="1:7" ht="12.75">
      <c r="A11" s="52"/>
      <c r="B11" s="52" t="s">
        <v>60</v>
      </c>
      <c r="D11" s="3">
        <f>$E$13-D$12-D$13</f>
        <v>4909855.60348</v>
      </c>
      <c r="E11" s="1"/>
      <c r="G11" s="61"/>
    </row>
    <row r="12" spans="1:7" ht="12.75">
      <c r="A12" s="52"/>
      <c r="B12" s="52" t="s">
        <v>61</v>
      </c>
      <c r="D12" s="5">
        <v>858305.7849999999</v>
      </c>
      <c r="E12" s="1"/>
      <c r="G12" s="61"/>
    </row>
    <row r="13" spans="1:7" ht="13.5" thickBot="1">
      <c r="A13" s="52"/>
      <c r="B13" s="52" t="s">
        <v>62</v>
      </c>
      <c r="D13" s="6">
        <v>238908.07899999997</v>
      </c>
      <c r="E13" s="7">
        <v>6007069.46748</v>
      </c>
      <c r="G13" s="61"/>
    </row>
    <row r="14" spans="1:7" ht="12.75">
      <c r="A14" s="52"/>
      <c r="B14" s="103" t="s">
        <v>63</v>
      </c>
      <c r="D14" s="1"/>
      <c r="E14" s="1"/>
      <c r="G14" s="61"/>
    </row>
    <row r="15" spans="1:7" ht="12.75">
      <c r="A15" s="52"/>
      <c r="B15" s="103" t="s">
        <v>64</v>
      </c>
      <c r="D15" s="1"/>
      <c r="E15" s="1"/>
      <c r="G15" s="61"/>
    </row>
    <row r="16" spans="1:5" ht="12.75">
      <c r="A16" s="52" t="s">
        <v>30</v>
      </c>
      <c r="B16" s="52"/>
      <c r="D16" s="1"/>
      <c r="E16" s="1"/>
    </row>
    <row r="17" spans="1:5" ht="12.75">
      <c r="A17" s="52"/>
      <c r="B17" s="52" t="s">
        <v>65</v>
      </c>
      <c r="D17" s="8">
        <v>1698373.18622</v>
      </c>
      <c r="E17" s="1"/>
    </row>
    <row r="18" spans="1:5" ht="12.75">
      <c r="A18" s="52"/>
      <c r="B18" s="52" t="s">
        <v>66</v>
      </c>
      <c r="D18" s="9">
        <v>2231270.4415</v>
      </c>
      <c r="E18" s="1"/>
    </row>
    <row r="19" spans="1:5" ht="13.5" thickBot="1">
      <c r="A19" s="52"/>
      <c r="B19" s="52" t="s">
        <v>67</v>
      </c>
      <c r="D19" s="10">
        <v>2258191.10653</v>
      </c>
      <c r="E19" s="3">
        <f>$D$17+$D$18+$D$19</f>
        <v>6187834.73425</v>
      </c>
    </row>
    <row r="20" spans="1:4" ht="12.75">
      <c r="A20" s="52" t="s">
        <v>31</v>
      </c>
      <c r="B20" s="52"/>
      <c r="D20" s="11"/>
    </row>
    <row r="21" spans="1:5" ht="12.75">
      <c r="A21" s="52" t="s">
        <v>73</v>
      </c>
      <c r="B21" s="104"/>
      <c r="D21" s="11"/>
      <c r="E21" s="7">
        <v>524872.3660200001</v>
      </c>
    </row>
    <row r="22" spans="1:5" ht="12.75">
      <c r="A22" s="52" t="s">
        <v>32</v>
      </c>
      <c r="B22" s="52"/>
      <c r="D22" s="11"/>
      <c r="E22" s="7">
        <v>372695.50474</v>
      </c>
    </row>
    <row r="23" spans="1:5" ht="12.75">
      <c r="A23" s="52" t="s">
        <v>33</v>
      </c>
      <c r="B23" s="52"/>
      <c r="D23" s="11"/>
      <c r="E23" s="1"/>
    </row>
    <row r="24" spans="1:5" ht="12.75">
      <c r="A24" s="52"/>
      <c r="B24" s="52" t="s">
        <v>68</v>
      </c>
      <c r="D24" s="9">
        <v>1431051.1522000001</v>
      </c>
      <c r="E24" s="1"/>
    </row>
    <row r="25" spans="1:5" ht="25.5" customHeight="1">
      <c r="A25" s="52"/>
      <c r="B25" s="105" t="s">
        <v>74</v>
      </c>
      <c r="D25" s="9">
        <v>216277.87665999986</v>
      </c>
      <c r="E25" s="1"/>
    </row>
    <row r="26" spans="1:5" ht="13.5" thickBot="1">
      <c r="A26" s="52"/>
      <c r="B26" s="52" t="s">
        <v>75</v>
      </c>
      <c r="D26" s="10">
        <v>132320.47195</v>
      </c>
      <c r="E26" s="3">
        <f>$D$24+$D$25-$D$26</f>
        <v>1515008.55691</v>
      </c>
    </row>
    <row r="27" spans="1:5" ht="12.75">
      <c r="A27" s="52" t="s">
        <v>34</v>
      </c>
      <c r="B27" s="52"/>
      <c r="D27" s="13"/>
      <c r="E27" s="9">
        <v>0</v>
      </c>
    </row>
    <row r="28" spans="1:5" ht="12.75">
      <c r="A28" s="52" t="s">
        <v>35</v>
      </c>
      <c r="B28" s="52"/>
      <c r="D28" s="1"/>
      <c r="E28" s="9">
        <v>5232.20808</v>
      </c>
    </row>
    <row r="29" spans="1:5" ht="13.5" thickBot="1">
      <c r="A29" s="52" t="s">
        <v>77</v>
      </c>
      <c r="B29" s="52"/>
      <c r="D29" s="1"/>
      <c r="E29" s="14">
        <v>5691.06748</v>
      </c>
    </row>
    <row r="30" spans="1:5" ht="12.75">
      <c r="A30" s="52" t="s">
        <v>36</v>
      </c>
      <c r="B30" s="52"/>
      <c r="E30" s="15">
        <f>E$13-E$19-E$21-E$22+E$26-E$27+E$28+E$29</f>
        <v>447598.69494000037</v>
      </c>
    </row>
    <row r="31" spans="1:5" ht="13.5" thickBot="1">
      <c r="A31" s="52" t="s">
        <v>37</v>
      </c>
      <c r="B31" s="52"/>
      <c r="C31" s="1"/>
      <c r="D31" s="1"/>
      <c r="E31" s="14">
        <v>255993.31383</v>
      </c>
    </row>
    <row r="32" spans="1:5" ht="13.5" thickBot="1">
      <c r="A32" s="52" t="s">
        <v>76</v>
      </c>
      <c r="B32" s="52"/>
      <c r="C32" s="1"/>
      <c r="D32" s="1"/>
      <c r="E32" s="16">
        <f>E$30-E$31</f>
        <v>191605.38111000037</v>
      </c>
    </row>
    <row r="33" spans="1:5" ht="12.75">
      <c r="A33" s="52"/>
      <c r="B33" s="52"/>
      <c r="C33" s="1"/>
      <c r="D33" s="1"/>
      <c r="E33" s="1"/>
    </row>
    <row r="34" spans="1:5" ht="12.75">
      <c r="A34" s="102" t="s">
        <v>38</v>
      </c>
      <c r="B34" s="52"/>
      <c r="D34" s="1"/>
      <c r="E34" s="1"/>
    </row>
    <row r="35" spans="1:5" ht="12.75">
      <c r="A35" s="52" t="s">
        <v>39</v>
      </c>
      <c r="B35" s="52"/>
      <c r="D35" s="1"/>
      <c r="E35" s="17">
        <v>306659</v>
      </c>
    </row>
    <row r="36" spans="1:5" ht="12.75">
      <c r="A36" s="52" t="s">
        <v>40</v>
      </c>
      <c r="B36" s="52"/>
      <c r="E36" s="18">
        <f>E$31</f>
        <v>255993.31383</v>
      </c>
    </row>
    <row r="37" spans="1:5" ht="12.75">
      <c r="A37" s="52" t="s">
        <v>41</v>
      </c>
      <c r="B37" s="52"/>
      <c r="D37" s="9">
        <v>0</v>
      </c>
      <c r="E37" s="19"/>
    </row>
    <row r="38" spans="1:5" ht="13.5" thickBot="1">
      <c r="A38" s="52" t="s">
        <v>42</v>
      </c>
      <c r="B38" s="52"/>
      <c r="D38" s="10">
        <v>176652.75248</v>
      </c>
      <c r="E38" s="20">
        <f>$D$37+$D$38</f>
        <v>176652.75248</v>
      </c>
    </row>
    <row r="39" spans="1:5" ht="13.5" thickBot="1">
      <c r="A39" s="52" t="s">
        <v>43</v>
      </c>
      <c r="B39" s="52"/>
      <c r="D39" s="1"/>
      <c r="E39" s="21">
        <f>E35+E36-E38</f>
        <v>385999.56135</v>
      </c>
    </row>
    <row r="40" spans="1:5" ht="12.75">
      <c r="A40" s="52"/>
      <c r="B40" s="52"/>
      <c r="D40" s="1"/>
      <c r="E40" s="1"/>
    </row>
    <row r="41" spans="1:5" ht="12.75">
      <c r="A41" s="102" t="s">
        <v>44</v>
      </c>
      <c r="B41" s="52"/>
      <c r="D41" s="1"/>
      <c r="E41" s="1"/>
    </row>
    <row r="42" spans="1:5" ht="12.75">
      <c r="A42" s="52" t="s">
        <v>39</v>
      </c>
      <c r="B42" s="52"/>
      <c r="D42" s="1"/>
      <c r="E42" s="17">
        <v>669411</v>
      </c>
    </row>
    <row r="43" spans="1:5" ht="12.75">
      <c r="A43" s="52" t="s">
        <v>45</v>
      </c>
      <c r="B43" s="52"/>
      <c r="D43" s="9">
        <v>15945.746000000001</v>
      </c>
      <c r="E43" s="59"/>
    </row>
    <row r="44" spans="1:5" ht="12.75">
      <c r="A44" s="52" t="s">
        <v>46</v>
      </c>
      <c r="B44" s="52"/>
      <c r="D44" s="9">
        <v>6694.11</v>
      </c>
      <c r="E44" s="60">
        <f>D44+D43</f>
        <v>22639.856</v>
      </c>
    </row>
    <row r="45" spans="1:5" ht="12.75">
      <c r="A45" s="52" t="s">
        <v>47</v>
      </c>
      <c r="B45" s="52"/>
      <c r="D45" s="9">
        <v>4351.356</v>
      </c>
      <c r="E45" s="59"/>
    </row>
    <row r="46" spans="1:5" ht="13.5" thickBot="1">
      <c r="A46" s="52" t="s">
        <v>48</v>
      </c>
      <c r="B46" s="52"/>
      <c r="D46" s="9">
        <v>0</v>
      </c>
      <c r="E46" s="20">
        <f>D46+D45</f>
        <v>4351.356</v>
      </c>
    </row>
    <row r="47" spans="1:5" ht="13.5" thickBot="1">
      <c r="A47" s="52" t="s">
        <v>49</v>
      </c>
      <c r="B47" s="52"/>
      <c r="E47" s="21">
        <f>E42+E44-E46</f>
        <v>687699.5</v>
      </c>
    </row>
    <row r="48" spans="1:5" ht="12.75">
      <c r="A48" s="52"/>
      <c r="B48" s="52"/>
      <c r="E48" s="1"/>
    </row>
    <row r="49" spans="1:5" ht="12.75">
      <c r="A49" s="102" t="s">
        <v>50</v>
      </c>
      <c r="B49" s="52"/>
      <c r="E49" s="1"/>
    </row>
    <row r="50" spans="1:5" ht="13.5" thickBot="1">
      <c r="A50" s="104" t="s">
        <v>4</v>
      </c>
      <c r="B50" s="52" t="s">
        <v>82</v>
      </c>
      <c r="E50" s="20">
        <f>E$26</f>
        <v>1515008.55691</v>
      </c>
    </row>
    <row r="51" spans="1:5" ht="12.75">
      <c r="A51" s="52"/>
      <c r="B51" s="52"/>
      <c r="D51" s="1"/>
      <c r="E51" s="1"/>
    </row>
    <row r="52" spans="1:5" ht="25.5">
      <c r="A52" s="52"/>
      <c r="B52" s="52"/>
      <c r="D52" s="106" t="s">
        <v>99</v>
      </c>
      <c r="E52" s="106" t="s">
        <v>100</v>
      </c>
    </row>
    <row r="53" spans="1:5" ht="12.75">
      <c r="A53" s="104" t="s">
        <v>5</v>
      </c>
      <c r="B53" s="52" t="s">
        <v>83</v>
      </c>
      <c r="D53" s="22">
        <v>44164948</v>
      </c>
      <c r="E53" s="23">
        <v>45816109</v>
      </c>
    </row>
    <row r="54" spans="1:5" ht="12.75">
      <c r="A54" s="104" t="s">
        <v>6</v>
      </c>
      <c r="B54" s="52" t="s">
        <v>84</v>
      </c>
      <c r="D54" s="24">
        <v>44686386.92307</v>
      </c>
      <c r="E54" s="23">
        <v>45592906.08417</v>
      </c>
    </row>
    <row r="55" spans="1:5" ht="12.75">
      <c r="A55" s="52"/>
      <c r="B55" s="52"/>
      <c r="D55" s="1"/>
      <c r="E55" s="1"/>
    </row>
    <row r="56" spans="1:5" ht="12.75">
      <c r="A56" s="104" t="s">
        <v>7</v>
      </c>
      <c r="B56" s="52" t="s">
        <v>109</v>
      </c>
      <c r="D56" s="1"/>
      <c r="E56" s="25">
        <f>E$50/(($D$53+$D$54)/2)</f>
        <v>0.03410210005784915</v>
      </c>
    </row>
    <row r="57" spans="1:5" ht="12.75">
      <c r="A57" s="104" t="s">
        <v>8</v>
      </c>
      <c r="B57" s="52" t="s">
        <v>102</v>
      </c>
      <c r="D57" s="1"/>
      <c r="E57" s="25">
        <f>(E$50+($E$54-$D$54)-($E$53-$D$53))/((E$53+$E$54)/2)</f>
        <v>0.016855377279815155</v>
      </c>
    </row>
    <row r="58" spans="1:5" ht="12.75">
      <c r="A58" s="52"/>
      <c r="B58" s="104" t="s">
        <v>101</v>
      </c>
      <c r="D58" s="1"/>
      <c r="E58" s="1"/>
    </row>
    <row r="59" spans="4:5" ht="12.75">
      <c r="D59" s="1"/>
      <c r="E59" s="1"/>
    </row>
    <row r="60" spans="1:5" ht="12.75">
      <c r="A60" s="52" t="s">
        <v>9</v>
      </c>
      <c r="B60" s="104" t="s">
        <v>85</v>
      </c>
      <c r="D60" s="1"/>
      <c r="E60" s="1"/>
    </row>
    <row r="61" spans="1:5" ht="12.75">
      <c r="A61" s="104"/>
      <c r="B61" s="52" t="s">
        <v>86</v>
      </c>
      <c r="D61" s="26">
        <v>0.0947443000428448</v>
      </c>
      <c r="E61" s="1"/>
    </row>
    <row r="62" spans="1:5" ht="12.75">
      <c r="A62" s="52"/>
      <c r="B62" s="52" t="s">
        <v>87</v>
      </c>
      <c r="D62" s="26">
        <v>0.5120290995242108</v>
      </c>
      <c r="E62" s="1"/>
    </row>
    <row r="63" spans="1:5" ht="12.75">
      <c r="A63" s="52"/>
      <c r="B63" s="52" t="s">
        <v>88</v>
      </c>
      <c r="D63" s="26">
        <v>0.14716348204859986</v>
      </c>
      <c r="E63" s="1"/>
    </row>
    <row r="64" spans="1:5" ht="12.75">
      <c r="A64" s="52"/>
      <c r="B64" s="52" t="s">
        <v>89</v>
      </c>
      <c r="D64" s="26">
        <v>0.05396034417844454</v>
      </c>
      <c r="E64" s="1"/>
    </row>
    <row r="65" spans="1:5" ht="12.75">
      <c r="A65" s="52"/>
      <c r="B65" s="52" t="s">
        <v>90</v>
      </c>
      <c r="D65" s="26">
        <v>0.07455832228718272</v>
      </c>
      <c r="E65" s="1"/>
    </row>
    <row r="66" spans="1:5" ht="12.75">
      <c r="A66" s="52"/>
      <c r="B66" s="52" t="s">
        <v>91</v>
      </c>
      <c r="D66" s="26">
        <v>0.007821962669341417</v>
      </c>
      <c r="E66" s="1"/>
    </row>
    <row r="67" spans="1:5" ht="12.75">
      <c r="A67" s="52"/>
      <c r="B67" s="52" t="s">
        <v>92</v>
      </c>
      <c r="D67" s="26">
        <v>0.10665061271041296</v>
      </c>
      <c r="E67" s="1"/>
    </row>
    <row r="68" spans="1:5" ht="13.5" thickBot="1">
      <c r="A68" s="52"/>
      <c r="B68" s="52" t="s">
        <v>93</v>
      </c>
      <c r="D68" s="27">
        <v>0.003071876538962959</v>
      </c>
      <c r="E68" s="28">
        <f>SUM($D$61:$D$68)</f>
        <v>1.0000000000000002</v>
      </c>
    </row>
    <row r="69" spans="1:5" ht="12.75">
      <c r="A69" s="52"/>
      <c r="B69" s="52"/>
      <c r="D69" s="1"/>
      <c r="E69" s="1"/>
    </row>
    <row r="70" spans="1:5" ht="12.75">
      <c r="A70" s="52" t="s">
        <v>10</v>
      </c>
      <c r="B70" s="52" t="s">
        <v>94</v>
      </c>
      <c r="E70" s="17">
        <v>42464173.82861001</v>
      </c>
    </row>
    <row r="71" spans="1:5" ht="12.75">
      <c r="A71" s="104" t="s">
        <v>11</v>
      </c>
      <c r="B71" s="52" t="s">
        <v>95</v>
      </c>
      <c r="E71" s="29">
        <v>658142</v>
      </c>
    </row>
    <row r="72" spans="1:5" ht="12.75">
      <c r="A72" s="104"/>
      <c r="B72" s="52"/>
      <c r="E72" s="1"/>
    </row>
    <row r="73" spans="1:5" ht="12.75">
      <c r="A73" s="52" t="s">
        <v>12</v>
      </c>
      <c r="B73" s="52" t="s">
        <v>96</v>
      </c>
      <c r="E73" s="1"/>
    </row>
    <row r="74" spans="1:5" ht="12.75">
      <c r="A74" s="104"/>
      <c r="B74" s="52" t="s">
        <v>75</v>
      </c>
      <c r="D74" s="15">
        <f>D26</f>
        <v>132320.47195</v>
      </c>
      <c r="E74" s="1"/>
    </row>
    <row r="75" spans="1:5" ht="12.75">
      <c r="A75" s="104"/>
      <c r="B75" s="52" t="s">
        <v>32</v>
      </c>
      <c r="D75" s="41">
        <f>E22</f>
        <v>372695.50474</v>
      </c>
      <c r="E75" s="18">
        <f>D75+D74</f>
        <v>505015.97669000004</v>
      </c>
    </row>
    <row r="76" spans="1:5" ht="12.75">
      <c r="A76" s="104"/>
      <c r="B76" s="52" t="s">
        <v>97</v>
      </c>
      <c r="E76" s="18">
        <f>(1000*E75)/E71</f>
        <v>767.3358890482602</v>
      </c>
    </row>
    <row r="77" spans="1:5" ht="12.75">
      <c r="A77" s="104"/>
      <c r="B77" s="52"/>
      <c r="E77" s="1"/>
    </row>
    <row r="78" ht="12.75">
      <c r="B78" s="52"/>
    </row>
    <row r="79" spans="1:5" ht="12.75">
      <c r="A79" s="107" t="s">
        <v>117</v>
      </c>
      <c r="B79" s="52"/>
      <c r="D79" s="1"/>
      <c r="E79" s="1"/>
    </row>
    <row r="80" spans="1:6" ht="12.75">
      <c r="A80" s="110" t="s">
        <v>51</v>
      </c>
      <c r="B80" s="111"/>
      <c r="C80" s="118" t="s">
        <v>115</v>
      </c>
      <c r="D80" s="118"/>
      <c r="E80" s="118" t="s">
        <v>116</v>
      </c>
      <c r="F80" s="118"/>
    </row>
    <row r="81" spans="1:5" ht="12.75">
      <c r="A81" s="52"/>
      <c r="B81" s="52" t="s">
        <v>103</v>
      </c>
      <c r="C81" s="30">
        <v>1217070</v>
      </c>
      <c r="E81" s="30">
        <v>297938</v>
      </c>
    </row>
    <row r="82" spans="2:5" ht="12.75">
      <c r="B82" s="52" t="s">
        <v>104</v>
      </c>
      <c r="C82" s="30">
        <v>663442.019</v>
      </c>
      <c r="E82" s="30">
        <v>194863.766</v>
      </c>
    </row>
    <row r="83" spans="1:6" ht="12.75">
      <c r="A83" s="52"/>
      <c r="B83" s="52" t="s">
        <v>105</v>
      </c>
      <c r="C83" s="30">
        <v>205498.02599999998</v>
      </c>
      <c r="D83" s="53">
        <f>SUM(C81:C83)</f>
        <v>2086010.045</v>
      </c>
      <c r="E83" s="30">
        <v>33410.053</v>
      </c>
      <c r="F83" s="53">
        <f>SUM(E81:E83)</f>
        <v>526211.819</v>
      </c>
    </row>
    <row r="84" spans="1:2" ht="12.75">
      <c r="A84" s="52" t="s">
        <v>52</v>
      </c>
      <c r="B84" s="52"/>
    </row>
    <row r="85" spans="1:5" ht="12.75">
      <c r="A85" s="52"/>
      <c r="B85" s="52" t="s">
        <v>103</v>
      </c>
      <c r="C85" s="30">
        <v>744170.6069813025</v>
      </c>
      <c r="E85" s="30">
        <v>171649.10853867372</v>
      </c>
    </row>
    <row r="86" spans="1:5" ht="12.75">
      <c r="A86" s="52"/>
      <c r="B86" s="52" t="s">
        <v>104</v>
      </c>
      <c r="C86" s="30">
        <v>316722.25155058614</v>
      </c>
      <c r="D86" s="52"/>
      <c r="E86" s="30">
        <v>100044.1746494139</v>
      </c>
    </row>
    <row r="87" spans="1:6" ht="12.75">
      <c r="A87" s="52"/>
      <c r="B87" s="52" t="s">
        <v>105</v>
      </c>
      <c r="C87" s="30">
        <v>314896.95638000005</v>
      </c>
      <c r="D87" s="53">
        <f>SUM(C85:C87)</f>
        <v>1375789.8149118887</v>
      </c>
      <c r="E87" s="30">
        <v>33410</v>
      </c>
      <c r="F87" s="53">
        <f>SUM(E85:E87)</f>
        <v>305103.28318808763</v>
      </c>
    </row>
    <row r="88" spans="1:6" ht="12.75">
      <c r="A88" s="52" t="s">
        <v>53</v>
      </c>
      <c r="B88" s="52"/>
      <c r="D88" s="54">
        <f>D83-D87</f>
        <v>710220.2300881112</v>
      </c>
      <c r="F88" s="54">
        <f>F83-F87</f>
        <v>221108.53581191238</v>
      </c>
    </row>
    <row r="89" spans="1:6" ht="12.75">
      <c r="A89" s="52" t="s">
        <v>54</v>
      </c>
      <c r="B89" s="52"/>
      <c r="D89" s="30">
        <v>420131.821</v>
      </c>
      <c r="F89" s="30">
        <v>63598.328</v>
      </c>
    </row>
    <row r="90" spans="1:6" ht="12.75">
      <c r="A90" s="52" t="s">
        <v>55</v>
      </c>
      <c r="B90" s="52"/>
      <c r="D90" s="30">
        <v>0</v>
      </c>
      <c r="F90" s="55"/>
    </row>
    <row r="91" spans="1:6" ht="13.5" thickBot="1">
      <c r="A91" s="52" t="s">
        <v>56</v>
      </c>
      <c r="B91" s="52"/>
      <c r="D91" s="30">
        <v>123771</v>
      </c>
      <c r="F91" s="30">
        <v>132221.87865</v>
      </c>
    </row>
    <row r="92" spans="1:6" ht="13.5" thickBot="1">
      <c r="A92" s="52" t="s">
        <v>57</v>
      </c>
      <c r="B92" s="52"/>
      <c r="D92" s="16">
        <f>D88-D89-D90-D91</f>
        <v>166317.40908811125</v>
      </c>
      <c r="F92" s="16">
        <f>F88-F89-F91</f>
        <v>25288.329161912377</v>
      </c>
    </row>
    <row r="93" spans="1:6" ht="12.75">
      <c r="A93" s="108" t="s">
        <v>58</v>
      </c>
      <c r="B93" s="52"/>
      <c r="D93" s="56"/>
      <c r="F93" s="47"/>
    </row>
    <row r="94" spans="1:6" ht="12.75">
      <c r="A94" s="52" t="s">
        <v>106</v>
      </c>
      <c r="B94" s="52"/>
      <c r="D94" s="57">
        <f>IF(D$83&gt;0,MIN(MAX((D$87+D$89+D$90+D$91)/D$83,0.9),1),0)</f>
        <v>0.9202700823580592</v>
      </c>
      <c r="F94" s="58">
        <f>IF(F$83&gt;0,MIN((F$87+F$89+F$90+F$91)/F$83,1),0)</f>
        <v>0.9519426811621796</v>
      </c>
    </row>
    <row r="95" spans="1:2" ht="12.75">
      <c r="A95" s="52"/>
      <c r="B95" s="52"/>
    </row>
    <row r="96" spans="1:2" ht="12.75">
      <c r="A96" s="52" t="s">
        <v>59</v>
      </c>
      <c r="B96" s="52"/>
    </row>
    <row r="97" spans="1:5" ht="12.75">
      <c r="A97" s="52"/>
      <c r="B97" s="52" t="s">
        <v>107</v>
      </c>
      <c r="D97" s="53">
        <f>D92</f>
        <v>166317.40908811125</v>
      </c>
      <c r="E97" s="58">
        <f>IF($D$83&gt;0,D97/$D$83,0)</f>
        <v>0.07972991764194082</v>
      </c>
    </row>
    <row r="98" spans="1:5" ht="13.5" thickBot="1">
      <c r="A98" s="52"/>
      <c r="B98" s="52" t="s">
        <v>108</v>
      </c>
      <c r="D98" s="53">
        <f>F92</f>
        <v>25288.329161912377</v>
      </c>
      <c r="E98" s="58">
        <f>IF($F$83&gt;0,D98/$F$83,0)</f>
        <v>0.04805731883782028</v>
      </c>
    </row>
    <row r="99" spans="1:4" ht="13.5" thickBot="1">
      <c r="A99" s="52"/>
      <c r="B99" s="52" t="s">
        <v>113</v>
      </c>
      <c r="D99" s="31">
        <f>D98+D97</f>
        <v>191605.73825002363</v>
      </c>
    </row>
    <row r="100" ht="12.75">
      <c r="D100">
        <f>IF(ABS($E$32-$D$99)&lt;2,"","&lt;&gt; Pos. 411e ("&amp;TEXT($F$33,"#'##0")&amp;") ?")</f>
      </c>
    </row>
  </sheetData>
  <sheetProtection/>
  <mergeCells count="2">
    <mergeCell ref="C80:D80"/>
    <mergeCell ref="E80:F80"/>
  </mergeCells>
  <conditionalFormatting sqref="D99">
    <cfRule type="expression" priority="1" dxfId="0" stopIfTrue="1">
      <formula>IF(D$100="",0,1)</formula>
    </cfRule>
  </conditionalFormatting>
  <conditionalFormatting sqref="D94">
    <cfRule type="expression" priority="2" dxfId="2" stopIfTrue="1">
      <formula>IF($B$94=0,0,1)</formula>
    </cfRule>
  </conditionalFormatting>
  <conditionalFormatting sqref="E47">
    <cfRule type="expression" priority="3" dxfId="0" stopIfTrue="1">
      <formula>IF(#REF!="",0,1)</formula>
    </cfRule>
  </conditionalFormatting>
  <printOptions/>
  <pageMargins left="0.46" right="0.38" top="1" bottom="1" header="0.4921259845" footer="0.4921259845"/>
  <pageSetup fitToHeight="1" fitToWidth="1"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5">
    <tabColor indexed="12"/>
    <pageSetUpPr fitToPage="1"/>
  </sheetPr>
  <dimension ref="A1:G100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4" width="13.421875" style="0" customWidth="1"/>
    <col min="5" max="6" width="14.00390625" style="0" customWidth="1"/>
  </cols>
  <sheetData>
    <row r="1" spans="1:7" ht="12.75">
      <c r="A1" s="101" t="s">
        <v>70</v>
      </c>
      <c r="B1" s="52"/>
      <c r="G1" s="61"/>
    </row>
    <row r="2" spans="1:7" ht="12.75">
      <c r="A2" s="52" t="s">
        <v>71</v>
      </c>
      <c r="B2" s="52"/>
      <c r="G2" s="61"/>
    </row>
    <row r="3" spans="1:7" ht="12.75">
      <c r="A3" s="102" t="s">
        <v>22</v>
      </c>
      <c r="B3" s="52"/>
      <c r="G3" s="61"/>
    </row>
    <row r="4" spans="1:7" ht="12.75">
      <c r="A4" s="52"/>
      <c r="B4" s="52"/>
      <c r="G4" s="61"/>
    </row>
    <row r="5" spans="1:7" ht="12.75">
      <c r="A5" s="52" t="s">
        <v>69</v>
      </c>
      <c r="B5" s="52"/>
      <c r="G5" s="61"/>
    </row>
    <row r="6" spans="1:7" ht="12.75">
      <c r="A6" s="52"/>
      <c r="B6" s="52"/>
      <c r="G6" s="61"/>
    </row>
    <row r="7" spans="1:7" ht="12.75">
      <c r="A7" s="52" t="s">
        <v>0</v>
      </c>
      <c r="B7" s="52" t="s">
        <v>1</v>
      </c>
      <c r="C7" s="1"/>
      <c r="D7" s="1" t="s">
        <v>3</v>
      </c>
      <c r="E7" s="1" t="s">
        <v>98</v>
      </c>
      <c r="F7" s="1"/>
      <c r="G7" s="61"/>
    </row>
    <row r="8" spans="1:7" ht="12.75">
      <c r="A8" s="52"/>
      <c r="B8" s="52"/>
      <c r="C8" s="2"/>
      <c r="D8" s="2" t="s">
        <v>78</v>
      </c>
      <c r="E8" s="2" t="s">
        <v>79</v>
      </c>
      <c r="F8" s="2"/>
      <c r="G8" s="61"/>
    </row>
    <row r="9" spans="1:7" ht="12.75">
      <c r="A9" s="102" t="s">
        <v>28</v>
      </c>
      <c r="B9" s="52"/>
      <c r="G9" s="61"/>
    </row>
    <row r="10" spans="1:7" ht="12.75">
      <c r="A10" s="52" t="s">
        <v>29</v>
      </c>
      <c r="B10" s="52"/>
      <c r="D10" s="1"/>
      <c r="E10" s="1"/>
      <c r="G10" s="61"/>
    </row>
    <row r="11" spans="1:7" ht="12.75">
      <c r="A11" s="52"/>
      <c r="B11" s="52" t="s">
        <v>60</v>
      </c>
      <c r="D11" s="3">
        <f>$E$13-D$12-D$13</f>
        <v>5349103</v>
      </c>
      <c r="E11" s="1"/>
      <c r="G11" s="61"/>
    </row>
    <row r="12" spans="1:7" ht="12.75">
      <c r="A12" s="52"/>
      <c r="B12" s="52" t="s">
        <v>61</v>
      </c>
      <c r="D12" s="5">
        <v>827551</v>
      </c>
      <c r="E12" s="1"/>
      <c r="G12" s="61"/>
    </row>
    <row r="13" spans="1:7" ht="13.5" thickBot="1">
      <c r="A13" s="52"/>
      <c r="B13" s="52" t="s">
        <v>62</v>
      </c>
      <c r="D13" s="6">
        <v>205756</v>
      </c>
      <c r="E13" s="7">
        <v>6382410</v>
      </c>
      <c r="G13" s="61"/>
    </row>
    <row r="14" spans="1:7" ht="12.75">
      <c r="A14" s="52"/>
      <c r="B14" s="103" t="s">
        <v>63</v>
      </c>
      <c r="D14" s="1"/>
      <c r="E14" s="1"/>
      <c r="G14" s="61"/>
    </row>
    <row r="15" spans="1:7" ht="12.75">
      <c r="A15" s="52"/>
      <c r="B15" s="103" t="s">
        <v>64</v>
      </c>
      <c r="D15" s="1"/>
      <c r="E15" s="1"/>
      <c r="G15" s="61"/>
    </row>
    <row r="16" spans="1:5" ht="12.75">
      <c r="A16" s="52" t="s">
        <v>30</v>
      </c>
      <c r="B16" s="52"/>
      <c r="D16" s="1"/>
      <c r="E16" s="1"/>
    </row>
    <row r="17" spans="1:5" ht="12.75">
      <c r="A17" s="52"/>
      <c r="B17" s="52" t="s">
        <v>65</v>
      </c>
      <c r="D17" s="8">
        <v>1017374</v>
      </c>
      <c r="E17" s="1"/>
    </row>
    <row r="18" spans="1:5" ht="12.75">
      <c r="A18" s="52"/>
      <c r="B18" s="52" t="s">
        <v>66</v>
      </c>
      <c r="D18" s="9">
        <v>3515407</v>
      </c>
      <c r="E18" s="1"/>
    </row>
    <row r="19" spans="1:5" ht="13.5" thickBot="1">
      <c r="A19" s="52"/>
      <c r="B19" s="52" t="s">
        <v>67</v>
      </c>
      <c r="D19" s="10">
        <v>1335486</v>
      </c>
      <c r="E19" s="3">
        <f>$D$17+$D$18+$D$19</f>
        <v>5868267</v>
      </c>
    </row>
    <row r="20" spans="1:4" ht="12.75">
      <c r="A20" s="52" t="s">
        <v>31</v>
      </c>
      <c r="B20" s="52"/>
      <c r="D20" s="11"/>
    </row>
    <row r="21" spans="1:5" ht="12.75">
      <c r="A21" s="52" t="s">
        <v>73</v>
      </c>
      <c r="B21" s="104"/>
      <c r="D21" s="11"/>
      <c r="E21" s="7">
        <v>1055142</v>
      </c>
    </row>
    <row r="22" spans="1:5" ht="12.75">
      <c r="A22" s="52" t="s">
        <v>32</v>
      </c>
      <c r="B22" s="52"/>
      <c r="D22" s="11"/>
      <c r="E22" s="7">
        <v>222863</v>
      </c>
    </row>
    <row r="23" spans="1:5" ht="12.75">
      <c r="A23" s="52" t="s">
        <v>33</v>
      </c>
      <c r="B23" s="52"/>
      <c r="D23" s="11"/>
      <c r="E23" s="1"/>
    </row>
    <row r="24" spans="1:5" ht="12.75">
      <c r="A24" s="52"/>
      <c r="B24" s="52" t="s">
        <v>68</v>
      </c>
      <c r="D24" s="9">
        <v>1441121</v>
      </c>
      <c r="E24" s="1"/>
    </row>
    <row r="25" spans="1:5" ht="25.5" customHeight="1">
      <c r="A25" s="52"/>
      <c r="B25" s="105" t="s">
        <v>74</v>
      </c>
      <c r="D25" s="9">
        <v>-86595</v>
      </c>
      <c r="E25" s="1"/>
    </row>
    <row r="26" spans="1:5" ht="13.5" thickBot="1">
      <c r="A26" s="52"/>
      <c r="B26" s="52" t="s">
        <v>75</v>
      </c>
      <c r="D26" s="10">
        <v>182390</v>
      </c>
      <c r="E26" s="3">
        <f>$D$24+$D$25-$D$26</f>
        <v>1172136</v>
      </c>
    </row>
    <row r="27" spans="1:5" ht="12.75">
      <c r="A27" s="52" t="s">
        <v>34</v>
      </c>
      <c r="B27" s="52"/>
      <c r="D27" s="13"/>
      <c r="E27" s="9">
        <v>0</v>
      </c>
    </row>
    <row r="28" spans="1:5" ht="12.75">
      <c r="A28" s="52" t="s">
        <v>35</v>
      </c>
      <c r="B28" s="52"/>
      <c r="D28" s="1"/>
      <c r="E28" s="9">
        <v>-8522</v>
      </c>
    </row>
    <row r="29" spans="1:5" ht="13.5" thickBot="1">
      <c r="A29" s="52" t="s">
        <v>77</v>
      </c>
      <c r="B29" s="52"/>
      <c r="D29" s="1"/>
      <c r="E29" s="14">
        <v>-99</v>
      </c>
    </row>
    <row r="30" spans="1:5" ht="12.75">
      <c r="A30" s="52" t="s">
        <v>36</v>
      </c>
      <c r="B30" s="52"/>
      <c r="E30" s="15">
        <f>E$13-E$19-E$21-E$22+E$26-E$27+E$28+E$29</f>
        <v>399653</v>
      </c>
    </row>
    <row r="31" spans="1:5" ht="13.5" thickBot="1">
      <c r="A31" s="52" t="s">
        <v>37</v>
      </c>
      <c r="B31" s="52"/>
      <c r="C31" s="1"/>
      <c r="D31" s="1"/>
      <c r="E31" s="14">
        <v>217612</v>
      </c>
    </row>
    <row r="32" spans="1:5" ht="13.5" thickBot="1">
      <c r="A32" s="52" t="s">
        <v>76</v>
      </c>
      <c r="B32" s="52"/>
      <c r="C32" s="1"/>
      <c r="D32" s="1"/>
      <c r="E32" s="16">
        <f>E$30-E$31</f>
        <v>182041</v>
      </c>
    </row>
    <row r="33" spans="1:5" ht="12.75">
      <c r="A33" s="52"/>
      <c r="B33" s="52"/>
      <c r="C33" s="1"/>
      <c r="D33" s="1"/>
      <c r="E33" s="1"/>
    </row>
    <row r="34" spans="1:5" ht="12.75">
      <c r="A34" s="102" t="s">
        <v>38</v>
      </c>
      <c r="B34" s="52"/>
      <c r="D34" s="1"/>
      <c r="E34" s="1"/>
    </row>
    <row r="35" spans="1:5" ht="12.75">
      <c r="A35" s="52" t="s">
        <v>39</v>
      </c>
      <c r="B35" s="52"/>
      <c r="D35" s="1"/>
      <c r="E35" s="17">
        <v>275651</v>
      </c>
    </row>
    <row r="36" spans="1:5" ht="12.75">
      <c r="A36" s="52" t="s">
        <v>40</v>
      </c>
      <c r="B36" s="52"/>
      <c r="E36" s="18">
        <f>E$31</f>
        <v>217612</v>
      </c>
    </row>
    <row r="37" spans="1:5" ht="12.75">
      <c r="A37" s="52" t="s">
        <v>41</v>
      </c>
      <c r="B37" s="52"/>
      <c r="D37" s="9">
        <v>0</v>
      </c>
      <c r="E37" s="19"/>
    </row>
    <row r="38" spans="1:5" ht="13.5" thickBot="1">
      <c r="A38" s="52" t="s">
        <v>42</v>
      </c>
      <c r="B38" s="52"/>
      <c r="D38" s="10">
        <v>162250</v>
      </c>
      <c r="E38" s="20">
        <f>$D$37+$D$38</f>
        <v>162250</v>
      </c>
    </row>
    <row r="39" spans="1:5" ht="13.5" thickBot="1">
      <c r="A39" s="52" t="s">
        <v>43</v>
      </c>
      <c r="B39" s="52"/>
      <c r="D39" s="1"/>
      <c r="E39" s="21">
        <f>E35+E36-E38</f>
        <v>331013</v>
      </c>
    </row>
    <row r="40" spans="1:5" ht="12.75">
      <c r="A40" s="52"/>
      <c r="B40" s="52"/>
      <c r="D40" s="1"/>
      <c r="E40" s="1"/>
    </row>
    <row r="41" spans="1:5" ht="12.75">
      <c r="A41" s="102" t="s">
        <v>44</v>
      </c>
      <c r="B41" s="52"/>
      <c r="D41" s="1"/>
      <c r="E41" s="1"/>
    </row>
    <row r="42" spans="1:5" ht="12.75">
      <c r="A42" s="52" t="s">
        <v>39</v>
      </c>
      <c r="B42" s="52"/>
      <c r="D42" s="1"/>
      <c r="E42" s="17">
        <v>488522</v>
      </c>
    </row>
    <row r="43" spans="1:5" ht="12.75">
      <c r="A43" s="52" t="s">
        <v>45</v>
      </c>
      <c r="B43" s="52"/>
      <c r="D43" s="9">
        <v>23821</v>
      </c>
      <c r="E43" s="59"/>
    </row>
    <row r="44" spans="1:5" ht="12.75">
      <c r="A44" s="52" t="s">
        <v>46</v>
      </c>
      <c r="B44" s="52"/>
      <c r="D44" s="9">
        <v>5520</v>
      </c>
      <c r="E44" s="60">
        <f>D44+D43</f>
        <v>29341</v>
      </c>
    </row>
    <row r="45" spans="1:5" ht="12.75">
      <c r="A45" s="52" t="s">
        <v>47</v>
      </c>
      <c r="B45" s="52"/>
      <c r="D45" s="9">
        <v>4204</v>
      </c>
      <c r="E45" s="59"/>
    </row>
    <row r="46" spans="1:5" ht="13.5" thickBot="1">
      <c r="A46" s="52" t="s">
        <v>48</v>
      </c>
      <c r="B46" s="52"/>
      <c r="D46" s="9">
        <v>4764</v>
      </c>
      <c r="E46" s="20">
        <f>D46+D45</f>
        <v>8968</v>
      </c>
    </row>
    <row r="47" spans="1:5" ht="13.5" thickBot="1">
      <c r="A47" s="52" t="s">
        <v>49</v>
      </c>
      <c r="B47" s="52"/>
      <c r="E47" s="21">
        <f>E42+E44-E46</f>
        <v>508895</v>
      </c>
    </row>
    <row r="48" spans="1:5" ht="12.75">
      <c r="A48" s="52"/>
      <c r="B48" s="52"/>
      <c r="E48" s="1"/>
    </row>
    <row r="49" spans="1:5" ht="12.75">
      <c r="A49" s="102" t="s">
        <v>50</v>
      </c>
      <c r="B49" s="52"/>
      <c r="E49" s="1"/>
    </row>
    <row r="50" spans="1:5" ht="13.5" thickBot="1">
      <c r="A50" s="104" t="s">
        <v>4</v>
      </c>
      <c r="B50" s="52" t="s">
        <v>82</v>
      </c>
      <c r="E50" s="20">
        <f>E$26</f>
        <v>1172136</v>
      </c>
    </row>
    <row r="51" spans="1:5" ht="12.75">
      <c r="A51" s="52"/>
      <c r="B51" s="52"/>
      <c r="D51" s="1"/>
      <c r="E51" s="1"/>
    </row>
    <row r="52" spans="1:5" ht="25.5">
      <c r="A52" s="52"/>
      <c r="B52" s="52"/>
      <c r="D52" s="106" t="s">
        <v>99</v>
      </c>
      <c r="E52" s="106" t="s">
        <v>100</v>
      </c>
    </row>
    <row r="53" spans="1:5" ht="12.75">
      <c r="A53" s="104" t="s">
        <v>5</v>
      </c>
      <c r="B53" s="52" t="s">
        <v>83</v>
      </c>
      <c r="D53" s="22">
        <v>35378636</v>
      </c>
      <c r="E53" s="23">
        <v>36770139</v>
      </c>
    </row>
    <row r="54" spans="1:5" ht="12.75">
      <c r="A54" s="104" t="s">
        <v>6</v>
      </c>
      <c r="B54" s="52" t="s">
        <v>84</v>
      </c>
      <c r="D54" s="24">
        <v>37221131</v>
      </c>
      <c r="E54" s="23">
        <v>38211205</v>
      </c>
    </row>
    <row r="55" spans="1:5" ht="12.75">
      <c r="A55" s="52"/>
      <c r="B55" s="52"/>
      <c r="D55" s="1"/>
      <c r="E55" s="1"/>
    </row>
    <row r="56" spans="1:5" ht="12.75">
      <c r="A56" s="104" t="s">
        <v>7</v>
      </c>
      <c r="B56" s="52" t="s">
        <v>109</v>
      </c>
      <c r="D56" s="1"/>
      <c r="E56" s="25">
        <f>E$50/(($D$53+$D$54)/2)</f>
        <v>0.032290351565453373</v>
      </c>
    </row>
    <row r="57" spans="1:5" ht="12.75">
      <c r="A57" s="104" t="s">
        <v>8</v>
      </c>
      <c r="B57" s="52" t="s">
        <v>102</v>
      </c>
      <c r="D57" s="1"/>
      <c r="E57" s="25">
        <f>(E$50+($E$54-$D$54)-($E$53-$D$53))/((E$53+$E$54)/2)</f>
        <v>0.020557300226573694</v>
      </c>
    </row>
    <row r="58" spans="1:5" ht="12.75">
      <c r="A58" s="52"/>
      <c r="B58" s="104" t="s">
        <v>101</v>
      </c>
      <c r="D58" s="1"/>
      <c r="E58" s="1"/>
    </row>
    <row r="59" spans="4:5" ht="12.75">
      <c r="D59" s="1"/>
      <c r="E59" s="1"/>
    </row>
    <row r="60" spans="1:5" ht="12.75">
      <c r="A60" s="52" t="s">
        <v>9</v>
      </c>
      <c r="B60" s="104" t="s">
        <v>85</v>
      </c>
      <c r="D60" s="1"/>
      <c r="E60" s="1"/>
    </row>
    <row r="61" spans="1:5" ht="12.75">
      <c r="A61" s="104"/>
      <c r="B61" s="52" t="s">
        <v>86</v>
      </c>
      <c r="D61" s="26">
        <v>0.008917300229270304</v>
      </c>
      <c r="E61" s="1"/>
    </row>
    <row r="62" spans="1:5" ht="12.75">
      <c r="A62" s="52"/>
      <c r="B62" s="52" t="s">
        <v>87</v>
      </c>
      <c r="D62" s="26">
        <v>0.5822108952035875</v>
      </c>
      <c r="E62" s="1"/>
    </row>
    <row r="63" spans="1:5" ht="12.75">
      <c r="A63" s="52"/>
      <c r="B63" s="52" t="s">
        <v>88</v>
      </c>
      <c r="D63" s="26">
        <v>0.14378200920332054</v>
      </c>
      <c r="E63" s="1"/>
    </row>
    <row r="64" spans="1:5" ht="12.75">
      <c r="A64" s="52"/>
      <c r="B64" s="52" t="s">
        <v>89</v>
      </c>
      <c r="D64" s="26">
        <v>0.062380560117853485</v>
      </c>
      <c r="E64" s="1"/>
    </row>
    <row r="65" spans="1:5" ht="12.75">
      <c r="A65" s="52"/>
      <c r="B65" s="52" t="s">
        <v>90</v>
      </c>
      <c r="D65" s="26">
        <v>0.027947726789924788</v>
      </c>
      <c r="E65" s="1"/>
    </row>
    <row r="66" spans="1:5" ht="12.75">
      <c r="A66" s="52"/>
      <c r="B66" s="52" t="s">
        <v>91</v>
      </c>
      <c r="D66" s="26">
        <v>0.021065023521182093</v>
      </c>
      <c r="E66" s="1"/>
    </row>
    <row r="67" spans="1:5" ht="12.75">
      <c r="A67" s="52"/>
      <c r="B67" s="52" t="s">
        <v>92</v>
      </c>
      <c r="D67" s="26">
        <v>0.15282445339987116</v>
      </c>
      <c r="E67" s="1"/>
    </row>
    <row r="68" spans="1:5" ht="13.5" thickBot="1">
      <c r="A68" s="52"/>
      <c r="B68" s="52" t="s">
        <v>93</v>
      </c>
      <c r="D68" s="27">
        <v>0.0008720315349901646</v>
      </c>
      <c r="E68" s="28">
        <f>SUM($D$61:$D$68)</f>
        <v>1</v>
      </c>
    </row>
    <row r="69" spans="1:5" ht="12.75">
      <c r="A69" s="52"/>
      <c r="B69" s="52"/>
      <c r="D69" s="1"/>
      <c r="E69" s="1"/>
    </row>
    <row r="70" spans="1:5" ht="12.75">
      <c r="A70" s="52" t="s">
        <v>10</v>
      </c>
      <c r="B70" s="52" t="s">
        <v>94</v>
      </c>
      <c r="E70" s="17">
        <v>35529997.1357437</v>
      </c>
    </row>
    <row r="71" spans="1:5" ht="12.75">
      <c r="A71" s="104" t="s">
        <v>11</v>
      </c>
      <c r="B71" s="52" t="s">
        <v>95</v>
      </c>
      <c r="E71" s="29">
        <v>597303</v>
      </c>
    </row>
    <row r="72" spans="1:5" ht="12.75">
      <c r="A72" s="104"/>
      <c r="B72" s="52"/>
      <c r="E72" s="1"/>
    </row>
    <row r="73" spans="1:5" ht="12.75">
      <c r="A73" s="52" t="s">
        <v>12</v>
      </c>
      <c r="B73" s="52" t="s">
        <v>96</v>
      </c>
      <c r="E73" s="1"/>
    </row>
    <row r="74" spans="1:5" ht="12.75">
      <c r="A74" s="104"/>
      <c r="B74" s="52" t="s">
        <v>75</v>
      </c>
      <c r="D74" s="15">
        <f>D26</f>
        <v>182390</v>
      </c>
      <c r="E74" s="1"/>
    </row>
    <row r="75" spans="1:5" ht="12.75">
      <c r="A75" s="104"/>
      <c r="B75" s="52" t="s">
        <v>32</v>
      </c>
      <c r="D75" s="41">
        <f>E22</f>
        <v>222863</v>
      </c>
      <c r="E75" s="18">
        <f>D75+D74</f>
        <v>405253</v>
      </c>
    </row>
    <row r="76" spans="1:5" ht="12.75">
      <c r="A76" s="104"/>
      <c r="B76" s="52" t="s">
        <v>97</v>
      </c>
      <c r="E76" s="18">
        <f>(1000*E75)/E71</f>
        <v>678.471395589843</v>
      </c>
    </row>
    <row r="77" spans="1:5" ht="12.75">
      <c r="A77" s="104"/>
      <c r="B77" s="52"/>
      <c r="E77" s="1"/>
    </row>
    <row r="78" ht="12.75">
      <c r="B78" s="52"/>
    </row>
    <row r="79" spans="1:5" ht="12.75">
      <c r="A79" s="107" t="s">
        <v>117</v>
      </c>
      <c r="B79" s="52"/>
      <c r="D79" s="1"/>
      <c r="E79" s="1"/>
    </row>
    <row r="80" spans="1:6" ht="12.75">
      <c r="A80" s="110" t="s">
        <v>51</v>
      </c>
      <c r="B80" s="111"/>
      <c r="C80" s="118" t="s">
        <v>115</v>
      </c>
      <c r="D80" s="118"/>
      <c r="E80" s="118" t="s">
        <v>116</v>
      </c>
      <c r="F80" s="118"/>
    </row>
    <row r="81" spans="1:5" ht="12.75">
      <c r="A81" s="52"/>
      <c r="B81" s="52" t="s">
        <v>103</v>
      </c>
      <c r="C81" s="30">
        <v>1172136</v>
      </c>
      <c r="E81" s="30">
        <v>0</v>
      </c>
    </row>
    <row r="82" spans="2:5" ht="12.75">
      <c r="B82" s="52" t="s">
        <v>104</v>
      </c>
      <c r="C82" s="30">
        <v>652082</v>
      </c>
      <c r="E82" s="30">
        <v>175469</v>
      </c>
    </row>
    <row r="83" spans="1:6" ht="12.75">
      <c r="A83" s="52"/>
      <c r="B83" s="52" t="s">
        <v>105</v>
      </c>
      <c r="C83" s="30">
        <v>177346</v>
      </c>
      <c r="D83" s="53">
        <f>SUM(C81:C83)</f>
        <v>2001564</v>
      </c>
      <c r="E83" s="30">
        <v>28410</v>
      </c>
      <c r="F83" s="53">
        <f>SUM(E81:E83)</f>
        <v>203879</v>
      </c>
    </row>
    <row r="84" spans="1:2" ht="12.75">
      <c r="A84" s="52" t="s">
        <v>52</v>
      </c>
      <c r="B84" s="52"/>
    </row>
    <row r="85" spans="1:5" ht="12.75">
      <c r="A85" s="52"/>
      <c r="B85" s="52" t="s">
        <v>103</v>
      </c>
      <c r="C85" s="30">
        <v>1036750</v>
      </c>
      <c r="E85" s="30">
        <v>0</v>
      </c>
    </row>
    <row r="86" spans="1:5" ht="12.75">
      <c r="A86" s="52"/>
      <c r="B86" s="52" t="s">
        <v>104</v>
      </c>
      <c r="C86" s="30">
        <v>312964</v>
      </c>
      <c r="D86" s="52"/>
      <c r="E86" s="30">
        <v>73317</v>
      </c>
    </row>
    <row r="87" spans="1:6" ht="12.75">
      <c r="A87" s="52"/>
      <c r="B87" s="52" t="s">
        <v>105</v>
      </c>
      <c r="C87" s="30">
        <v>177333</v>
      </c>
      <c r="D87" s="53">
        <f>SUM(C85:C87)</f>
        <v>1527047</v>
      </c>
      <c r="E87" s="30">
        <v>34677</v>
      </c>
      <c r="F87" s="53">
        <f>SUM(E85:E87)</f>
        <v>107994</v>
      </c>
    </row>
    <row r="88" spans="1:6" ht="12.75">
      <c r="A88" s="52" t="s">
        <v>53</v>
      </c>
      <c r="B88" s="52"/>
      <c r="D88" s="54">
        <f>D83-D87</f>
        <v>474517</v>
      </c>
      <c r="F88" s="54">
        <f>F83-F87</f>
        <v>95885</v>
      </c>
    </row>
    <row r="89" spans="1:6" ht="12.75">
      <c r="A89" s="52" t="s">
        <v>54</v>
      </c>
      <c r="B89" s="52"/>
      <c r="D89" s="30">
        <v>170749</v>
      </c>
      <c r="F89" s="30">
        <v>0</v>
      </c>
    </row>
    <row r="90" spans="1:6" ht="12.75">
      <c r="A90" s="52" t="s">
        <v>55</v>
      </c>
      <c r="B90" s="52"/>
      <c r="D90" s="30">
        <v>0</v>
      </c>
      <c r="F90" s="55"/>
    </row>
    <row r="91" spans="1:6" ht="13.5" thickBot="1">
      <c r="A91" s="52" t="s">
        <v>56</v>
      </c>
      <c r="B91" s="52"/>
      <c r="D91" s="30">
        <v>133635</v>
      </c>
      <c r="F91" s="30">
        <v>83977</v>
      </c>
    </row>
    <row r="92" spans="1:6" ht="13.5" thickBot="1">
      <c r="A92" s="52" t="s">
        <v>57</v>
      </c>
      <c r="B92" s="52"/>
      <c r="D92" s="16">
        <f>D88-D89-D90-D91</f>
        <v>170133</v>
      </c>
      <c r="F92" s="16">
        <f>F88-F89-F91</f>
        <v>11908</v>
      </c>
    </row>
    <row r="93" spans="1:6" ht="12.75">
      <c r="A93" s="108" t="s">
        <v>58</v>
      </c>
      <c r="B93" s="52"/>
      <c r="D93" s="56"/>
      <c r="F93" s="47"/>
    </row>
    <row r="94" spans="1:6" ht="12.75">
      <c r="A94" s="52" t="s">
        <v>106</v>
      </c>
      <c r="B94" s="52"/>
      <c r="D94" s="57">
        <f>IF(D$83&gt;0,MIN(MAX((D$87+D$89+D$90+D$91)/D$83,0.9),1),0)</f>
        <v>0.9149999700234417</v>
      </c>
      <c r="F94" s="58">
        <f>IF(F$83&gt;0,MIN((F$87+F$89+F$90+F$91)/F$83,1),0)</f>
        <v>0.9415928074985653</v>
      </c>
    </row>
    <row r="95" spans="1:2" ht="12.75">
      <c r="A95" s="52"/>
      <c r="B95" s="52"/>
    </row>
    <row r="96" spans="1:2" ht="12.75">
      <c r="A96" s="52" t="s">
        <v>59</v>
      </c>
      <c r="B96" s="52"/>
    </row>
    <row r="97" spans="1:5" ht="12.75">
      <c r="A97" s="52"/>
      <c r="B97" s="52" t="s">
        <v>107</v>
      </c>
      <c r="D97" s="53">
        <f>D92</f>
        <v>170133</v>
      </c>
      <c r="E97" s="58">
        <f>IF($D$83&gt;0,D97/$D$83,0)</f>
        <v>0.08500002997655833</v>
      </c>
    </row>
    <row r="98" spans="1:5" ht="13.5" thickBot="1">
      <c r="A98" s="52"/>
      <c r="B98" s="52" t="s">
        <v>108</v>
      </c>
      <c r="D98" s="53">
        <f>F92</f>
        <v>11908</v>
      </c>
      <c r="E98" s="58">
        <f>IF($F$83&gt;0,D98/$F$83,0)</f>
        <v>0.058407192501434675</v>
      </c>
    </row>
    <row r="99" spans="1:4" ht="13.5" thickBot="1">
      <c r="A99" s="52"/>
      <c r="B99" s="52" t="s">
        <v>113</v>
      </c>
      <c r="D99" s="31">
        <f>D98+D97</f>
        <v>182041</v>
      </c>
    </row>
    <row r="100" ht="12.75">
      <c r="D100">
        <f>IF(ABS($E$32-$D$99)&lt;2,"","&lt;&gt; Pos. 411e ("&amp;TEXT($F$33,"#'##0")&amp;") ?")</f>
      </c>
    </row>
  </sheetData>
  <sheetProtection/>
  <mergeCells count="2">
    <mergeCell ref="C80:D80"/>
    <mergeCell ref="E80:F80"/>
  </mergeCells>
  <conditionalFormatting sqref="D99">
    <cfRule type="expression" priority="1" dxfId="0" stopIfTrue="1">
      <formula>IF(D$100="",0,1)</formula>
    </cfRule>
  </conditionalFormatting>
  <conditionalFormatting sqref="D94">
    <cfRule type="expression" priority="2" dxfId="2" stopIfTrue="1">
      <formula>IF($B$94=0,0,1)</formula>
    </cfRule>
  </conditionalFormatting>
  <conditionalFormatting sqref="E47">
    <cfRule type="expression" priority="3" dxfId="0" stopIfTrue="1">
      <formula>IF(#REF!="",0,1)</formula>
    </cfRule>
  </conditionalFormatting>
  <printOptions/>
  <pageMargins left="0.45" right="0.35" top="1" bottom="1" header="0.4921259845" footer="0.4921259845"/>
  <pageSetup fitToHeight="1" fitToWidth="1"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6">
    <tabColor indexed="12"/>
    <pageSetUpPr fitToPage="1"/>
  </sheetPr>
  <dimension ref="A1:G100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4" width="13.421875" style="0" customWidth="1"/>
    <col min="5" max="6" width="14.00390625" style="0" customWidth="1"/>
  </cols>
  <sheetData>
    <row r="1" spans="1:7" ht="12.75">
      <c r="A1" s="101" t="s">
        <v>70</v>
      </c>
      <c r="B1" s="52"/>
      <c r="G1" s="61"/>
    </row>
    <row r="2" spans="1:7" ht="12.75">
      <c r="A2" s="52" t="s">
        <v>71</v>
      </c>
      <c r="B2" s="52"/>
      <c r="G2" s="61"/>
    </row>
    <row r="3" spans="1:7" ht="12.75">
      <c r="A3" s="102" t="s">
        <v>14</v>
      </c>
      <c r="B3" s="52"/>
      <c r="G3" s="61"/>
    </row>
    <row r="4" spans="1:7" ht="12.75">
      <c r="A4" s="52"/>
      <c r="B4" s="52"/>
      <c r="G4" s="61"/>
    </row>
    <row r="5" spans="1:7" ht="12.75">
      <c r="A5" s="52" t="s">
        <v>69</v>
      </c>
      <c r="B5" s="52"/>
      <c r="G5" s="61"/>
    </row>
    <row r="6" spans="1:7" ht="12.75">
      <c r="A6" s="52"/>
      <c r="B6" s="52"/>
      <c r="G6" s="61"/>
    </row>
    <row r="7" spans="1:7" ht="12.75">
      <c r="A7" s="52" t="s">
        <v>0</v>
      </c>
      <c r="B7" s="52" t="s">
        <v>1</v>
      </c>
      <c r="C7" s="1"/>
      <c r="D7" s="1" t="s">
        <v>3</v>
      </c>
      <c r="E7" s="1" t="s">
        <v>98</v>
      </c>
      <c r="F7" s="1"/>
      <c r="G7" s="61"/>
    </row>
    <row r="8" spans="1:7" ht="12.75">
      <c r="A8" s="52"/>
      <c r="B8" s="52"/>
      <c r="C8" s="2"/>
      <c r="D8" s="2" t="s">
        <v>78</v>
      </c>
      <c r="E8" s="2" t="s">
        <v>79</v>
      </c>
      <c r="F8" s="2"/>
      <c r="G8" s="61"/>
    </row>
    <row r="9" spans="1:7" ht="12.75">
      <c r="A9" s="102" t="s">
        <v>28</v>
      </c>
      <c r="B9" s="52"/>
      <c r="G9" s="61"/>
    </row>
    <row r="10" spans="1:7" ht="12.75">
      <c r="A10" s="52" t="s">
        <v>29</v>
      </c>
      <c r="B10" s="52"/>
      <c r="D10" s="1"/>
      <c r="E10" s="1"/>
      <c r="G10" s="61"/>
    </row>
    <row r="11" spans="1:7" ht="12.75">
      <c r="A11" s="52"/>
      <c r="B11" s="52" t="s">
        <v>60</v>
      </c>
      <c r="D11" s="3">
        <f>$E$13-D$12-D$13</f>
        <v>11936.8434</v>
      </c>
      <c r="E11" s="1"/>
      <c r="G11" s="61"/>
    </row>
    <row r="12" spans="1:7" ht="12.75">
      <c r="A12" s="52"/>
      <c r="B12" s="52" t="s">
        <v>61</v>
      </c>
      <c r="D12" s="5">
        <v>2743.673099999999</v>
      </c>
      <c r="E12" s="1"/>
      <c r="G12" s="61"/>
    </row>
    <row r="13" spans="1:7" ht="13.5" thickBot="1">
      <c r="A13" s="52"/>
      <c r="B13" s="52" t="s">
        <v>62</v>
      </c>
      <c r="D13" s="6">
        <v>225.1239</v>
      </c>
      <c r="E13" s="7">
        <v>14905.6404</v>
      </c>
      <c r="G13" s="61"/>
    </row>
    <row r="14" spans="1:7" ht="12.75">
      <c r="A14" s="52"/>
      <c r="B14" s="103" t="s">
        <v>63</v>
      </c>
      <c r="D14" s="1"/>
      <c r="E14" s="1"/>
      <c r="G14" s="61"/>
    </row>
    <row r="15" spans="1:7" ht="12.75">
      <c r="A15" s="52"/>
      <c r="B15" s="103" t="s">
        <v>64</v>
      </c>
      <c r="D15" s="1"/>
      <c r="E15" s="1"/>
      <c r="G15" s="61"/>
    </row>
    <row r="16" spans="1:5" ht="12.75">
      <c r="A16" s="52" t="s">
        <v>30</v>
      </c>
      <c r="B16" s="52"/>
      <c r="D16" s="1"/>
      <c r="E16" s="1"/>
    </row>
    <row r="17" spans="1:5" ht="12.75">
      <c r="A17" s="52"/>
      <c r="B17" s="52" t="s">
        <v>65</v>
      </c>
      <c r="D17" s="8">
        <v>0</v>
      </c>
      <c r="E17" s="1"/>
    </row>
    <row r="18" spans="1:5" ht="12.75">
      <c r="A18" s="52"/>
      <c r="B18" s="52" t="s">
        <v>66</v>
      </c>
      <c r="D18" s="9">
        <v>0</v>
      </c>
      <c r="E18" s="1"/>
    </row>
    <row r="19" spans="1:5" ht="13.5" thickBot="1">
      <c r="A19" s="52"/>
      <c r="B19" s="52" t="s">
        <v>67</v>
      </c>
      <c r="D19" s="10">
        <v>153737.97991</v>
      </c>
      <c r="E19" s="3">
        <f>$D$17+$D$18+$D$19</f>
        <v>153737.97991</v>
      </c>
    </row>
    <row r="20" spans="1:4" ht="12.75">
      <c r="A20" s="52" t="s">
        <v>31</v>
      </c>
      <c r="B20" s="52"/>
      <c r="D20" s="11"/>
    </row>
    <row r="21" spans="1:5" ht="12.75">
      <c r="A21" s="52" t="s">
        <v>73</v>
      </c>
      <c r="B21" s="104"/>
      <c r="D21" s="11"/>
      <c r="E21" s="7">
        <v>-132638.656</v>
      </c>
    </row>
    <row r="22" spans="1:5" ht="12.75">
      <c r="A22" s="52" t="s">
        <v>32</v>
      </c>
      <c r="B22" s="52"/>
      <c r="D22" s="11"/>
      <c r="E22" s="7">
        <v>1612.576</v>
      </c>
    </row>
    <row r="23" spans="1:5" ht="12.75">
      <c r="A23" s="52" t="s">
        <v>33</v>
      </c>
      <c r="B23" s="52"/>
      <c r="D23" s="11"/>
      <c r="E23" s="1"/>
    </row>
    <row r="24" spans="1:5" ht="12.75">
      <c r="A24" s="52"/>
      <c r="B24" s="52" t="s">
        <v>68</v>
      </c>
      <c r="D24" s="9">
        <v>3870</v>
      </c>
      <c r="E24" s="1"/>
    </row>
    <row r="25" spans="1:5" ht="25.5" customHeight="1">
      <c r="A25" s="52"/>
      <c r="B25" s="105" t="s">
        <v>74</v>
      </c>
      <c r="D25" s="9">
        <v>6483</v>
      </c>
      <c r="E25" s="1"/>
    </row>
    <row r="26" spans="1:5" ht="13.5" thickBot="1">
      <c r="A26" s="52"/>
      <c r="B26" s="52" t="s">
        <v>75</v>
      </c>
      <c r="D26" s="10">
        <v>1079</v>
      </c>
      <c r="E26" s="3">
        <f>$D$24+$D$25-$D$26</f>
        <v>9274</v>
      </c>
    </row>
    <row r="27" spans="1:5" ht="12.75">
      <c r="A27" s="52" t="s">
        <v>34</v>
      </c>
      <c r="B27" s="52"/>
      <c r="D27" s="13"/>
      <c r="E27" s="9">
        <v>0</v>
      </c>
    </row>
    <row r="28" spans="1:5" ht="12.75">
      <c r="A28" s="52" t="s">
        <v>35</v>
      </c>
      <c r="B28" s="52"/>
      <c r="D28" s="1"/>
      <c r="E28" s="9">
        <v>-1290.9275</v>
      </c>
    </row>
    <row r="29" spans="1:5" ht="13.5" thickBot="1">
      <c r="A29" s="52" t="s">
        <v>77</v>
      </c>
      <c r="B29" s="52"/>
      <c r="D29" s="1"/>
      <c r="E29" s="14">
        <v>-44.6636</v>
      </c>
    </row>
    <row r="30" spans="1:5" ht="12.75">
      <c r="A30" s="52" t="s">
        <v>36</v>
      </c>
      <c r="B30" s="52"/>
      <c r="E30" s="15">
        <f>E$13-E$19-E$21-E$22+E$26-E$27+E$28+E$29</f>
        <v>132.1493899999974</v>
      </c>
    </row>
    <row r="31" spans="1:5" ht="13.5" thickBot="1">
      <c r="A31" s="52" t="s">
        <v>37</v>
      </c>
      <c r="B31" s="52"/>
      <c r="C31" s="1"/>
      <c r="D31" s="1"/>
      <c r="E31" s="14">
        <v>47.174</v>
      </c>
    </row>
    <row r="32" spans="1:5" ht="13.5" thickBot="1">
      <c r="A32" s="52" t="s">
        <v>76</v>
      </c>
      <c r="B32" s="52"/>
      <c r="C32" s="1"/>
      <c r="D32" s="1"/>
      <c r="E32" s="16">
        <f>E$30-E$31</f>
        <v>84.97538999999739</v>
      </c>
    </row>
    <row r="33" spans="1:5" ht="12.75">
      <c r="A33" s="52"/>
      <c r="B33" s="52"/>
      <c r="C33" s="1"/>
      <c r="D33" s="1"/>
      <c r="E33" s="1"/>
    </row>
    <row r="34" spans="1:5" ht="12.75">
      <c r="A34" s="102" t="s">
        <v>38</v>
      </c>
      <c r="B34" s="52"/>
      <c r="D34" s="1"/>
      <c r="E34" s="1"/>
    </row>
    <row r="35" spans="1:5" ht="12.75">
      <c r="A35" s="52" t="s">
        <v>39</v>
      </c>
      <c r="B35" s="52"/>
      <c r="D35" s="1"/>
      <c r="E35" s="17">
        <v>3982</v>
      </c>
    </row>
    <row r="36" spans="1:5" ht="12.75">
      <c r="A36" s="52" t="s">
        <v>40</v>
      </c>
      <c r="B36" s="52"/>
      <c r="E36" s="18">
        <f>E$31</f>
        <v>47.174</v>
      </c>
    </row>
    <row r="37" spans="1:5" ht="12.75">
      <c r="A37" s="52" t="s">
        <v>41</v>
      </c>
      <c r="B37" s="52"/>
      <c r="D37" s="9">
        <v>0</v>
      </c>
      <c r="E37" s="19"/>
    </row>
    <row r="38" spans="1:5" ht="13.5" thickBot="1">
      <c r="A38" s="52" t="s">
        <v>42</v>
      </c>
      <c r="B38" s="52"/>
      <c r="D38" s="10">
        <v>1645</v>
      </c>
      <c r="E38" s="20">
        <f>$D$37+$D$38</f>
        <v>1645</v>
      </c>
    </row>
    <row r="39" spans="1:5" ht="13.5" thickBot="1">
      <c r="A39" s="52" t="s">
        <v>43</v>
      </c>
      <c r="B39" s="52"/>
      <c r="D39" s="1"/>
      <c r="E39" s="21">
        <f>E35+E36-E38</f>
        <v>2384.174</v>
      </c>
    </row>
    <row r="40" spans="1:5" ht="12.75">
      <c r="A40" s="52"/>
      <c r="B40" s="52"/>
      <c r="D40" s="1"/>
      <c r="E40" s="1"/>
    </row>
    <row r="41" spans="1:5" ht="12.75">
      <c r="A41" s="102" t="s">
        <v>44</v>
      </c>
      <c r="B41" s="52"/>
      <c r="D41" s="1"/>
      <c r="E41" s="1"/>
    </row>
    <row r="42" spans="1:5" ht="12.75">
      <c r="A42" s="52" t="s">
        <v>39</v>
      </c>
      <c r="B42" s="52"/>
      <c r="D42" s="1"/>
      <c r="E42" s="17">
        <v>0</v>
      </c>
    </row>
    <row r="43" spans="1:5" ht="12.75">
      <c r="A43" s="52" t="s">
        <v>45</v>
      </c>
      <c r="B43" s="52"/>
      <c r="D43" s="9">
        <v>5377</v>
      </c>
      <c r="E43" s="59"/>
    </row>
    <row r="44" spans="1:5" ht="12.75">
      <c r="A44" s="52" t="s">
        <v>46</v>
      </c>
      <c r="B44" s="52"/>
      <c r="D44" s="9">
        <v>0</v>
      </c>
      <c r="E44" s="60">
        <f>D44+D43</f>
        <v>5377</v>
      </c>
    </row>
    <row r="45" spans="1:5" ht="12.75">
      <c r="A45" s="52" t="s">
        <v>47</v>
      </c>
      <c r="B45" s="52"/>
      <c r="D45" s="9">
        <v>0</v>
      </c>
      <c r="E45" s="59"/>
    </row>
    <row r="46" spans="1:5" ht="13.5" thickBot="1">
      <c r="A46" s="52" t="s">
        <v>48</v>
      </c>
      <c r="B46" s="52"/>
      <c r="D46" s="9">
        <v>0</v>
      </c>
      <c r="E46" s="20">
        <f>D46+D45</f>
        <v>0</v>
      </c>
    </row>
    <row r="47" spans="1:5" ht="13.5" thickBot="1">
      <c r="A47" s="52" t="s">
        <v>49</v>
      </c>
      <c r="B47" s="52"/>
      <c r="E47" s="21">
        <f>E42+E44-E46</f>
        <v>5377</v>
      </c>
    </row>
    <row r="48" spans="1:5" ht="12.75">
      <c r="A48" s="52"/>
      <c r="B48" s="52"/>
      <c r="E48" s="1"/>
    </row>
    <row r="49" spans="1:5" ht="12.75">
      <c r="A49" s="102" t="s">
        <v>50</v>
      </c>
      <c r="B49" s="52"/>
      <c r="E49" s="1"/>
    </row>
    <row r="50" spans="1:5" ht="13.5" thickBot="1">
      <c r="A50" s="104" t="s">
        <v>4</v>
      </c>
      <c r="B50" s="52" t="s">
        <v>82</v>
      </c>
      <c r="E50" s="20">
        <f>E$26</f>
        <v>9274</v>
      </c>
    </row>
    <row r="51" spans="1:5" ht="12.75">
      <c r="A51" s="52"/>
      <c r="B51" s="52"/>
      <c r="D51" s="1"/>
      <c r="E51" s="1"/>
    </row>
    <row r="52" spans="1:5" ht="25.5">
      <c r="A52" s="52"/>
      <c r="B52" s="52"/>
      <c r="D52" s="106" t="s">
        <v>99</v>
      </c>
      <c r="E52" s="106" t="s">
        <v>100</v>
      </c>
    </row>
    <row r="53" spans="1:5" ht="12.75">
      <c r="A53" s="104" t="s">
        <v>5</v>
      </c>
      <c r="B53" s="52" t="s">
        <v>83</v>
      </c>
      <c r="D53" s="22">
        <v>259147</v>
      </c>
      <c r="E53" s="23">
        <v>265500</v>
      </c>
    </row>
    <row r="54" spans="1:5" ht="12.75">
      <c r="A54" s="104" t="s">
        <v>6</v>
      </c>
      <c r="B54" s="52" t="s">
        <v>84</v>
      </c>
      <c r="D54" s="24">
        <v>141712</v>
      </c>
      <c r="E54" s="23">
        <v>141225</v>
      </c>
    </row>
    <row r="55" spans="1:5" ht="12.75">
      <c r="A55" s="52"/>
      <c r="B55" s="52"/>
      <c r="D55" s="1"/>
      <c r="E55" s="1"/>
    </row>
    <row r="56" spans="1:5" ht="12.75">
      <c r="A56" s="104" t="s">
        <v>7</v>
      </c>
      <c r="B56" s="52" t="s">
        <v>109</v>
      </c>
      <c r="D56" s="1"/>
      <c r="E56" s="25">
        <f>E$50/(($D$53+$D$54)/2)</f>
        <v>0.04627063381388468</v>
      </c>
    </row>
    <row r="57" spans="1:5" ht="12.75">
      <c r="A57" s="104" t="s">
        <v>8</v>
      </c>
      <c r="B57" s="52" t="s">
        <v>102</v>
      </c>
      <c r="D57" s="1"/>
      <c r="E57" s="25">
        <f>(E$50+($E$54-$D$54)-($E$53-$D$53))/((E$53+$E$54)/2)</f>
        <v>0.011968774970803368</v>
      </c>
    </row>
    <row r="58" spans="1:5" ht="12.75">
      <c r="A58" s="52"/>
      <c r="B58" s="104" t="s">
        <v>101</v>
      </c>
      <c r="D58" s="1"/>
      <c r="E58" s="1"/>
    </row>
    <row r="59" spans="4:5" ht="12.75">
      <c r="D59" s="1"/>
      <c r="E59" s="1"/>
    </row>
    <row r="60" spans="1:5" ht="12.75">
      <c r="A60" s="52" t="s">
        <v>9</v>
      </c>
      <c r="B60" s="104" t="s">
        <v>85</v>
      </c>
      <c r="D60" s="1"/>
      <c r="E60" s="1"/>
    </row>
    <row r="61" spans="1:5" ht="12.75">
      <c r="A61" s="104"/>
      <c r="B61" s="52" t="s">
        <v>86</v>
      </c>
      <c r="D61" s="26">
        <v>0.23580924692333746</v>
      </c>
      <c r="E61" s="1"/>
    </row>
    <row r="62" spans="1:5" ht="12.75">
      <c r="A62" s="52"/>
      <c r="B62" s="52" t="s">
        <v>87</v>
      </c>
      <c r="D62" s="26">
        <v>0.3956616235745738</v>
      </c>
      <c r="E62" s="1"/>
    </row>
    <row r="63" spans="1:5" ht="12.75">
      <c r="A63" s="52"/>
      <c r="B63" s="52" t="s">
        <v>88</v>
      </c>
      <c r="D63" s="26">
        <v>0</v>
      </c>
      <c r="E63" s="1"/>
    </row>
    <row r="64" spans="1:5" ht="12.75">
      <c r="A64" s="52"/>
      <c r="B64" s="52" t="s">
        <v>89</v>
      </c>
      <c r="D64" s="26">
        <v>0.36852912950208877</v>
      </c>
      <c r="E64" s="1"/>
    </row>
    <row r="65" spans="1:5" ht="12.75">
      <c r="A65" s="52"/>
      <c r="B65" s="52" t="s">
        <v>90</v>
      </c>
      <c r="D65" s="26">
        <v>0</v>
      </c>
      <c r="E65" s="1"/>
    </row>
    <row r="66" spans="1:5" ht="12.75">
      <c r="A66" s="52"/>
      <c r="B66" s="52" t="s">
        <v>91</v>
      </c>
      <c r="D66" s="26">
        <v>0</v>
      </c>
      <c r="E66" s="1"/>
    </row>
    <row r="67" spans="1:5" ht="12.75">
      <c r="A67" s="52"/>
      <c r="B67" s="52" t="s">
        <v>92</v>
      </c>
      <c r="D67" s="26">
        <v>0</v>
      </c>
      <c r="E67" s="1"/>
    </row>
    <row r="68" spans="1:5" ht="13.5" thickBot="1">
      <c r="A68" s="52"/>
      <c r="B68" s="52" t="s">
        <v>93</v>
      </c>
      <c r="D68" s="27">
        <v>0</v>
      </c>
      <c r="E68" s="28">
        <f>SUM($D$61:$D$68)</f>
        <v>1</v>
      </c>
    </row>
    <row r="69" spans="1:5" ht="12.75">
      <c r="A69" s="52"/>
      <c r="B69" s="52"/>
      <c r="D69" s="1"/>
      <c r="E69" s="1"/>
    </row>
    <row r="70" spans="1:5" ht="12.75">
      <c r="A70" s="52" t="s">
        <v>10</v>
      </c>
      <c r="B70" s="52" t="s">
        <v>94</v>
      </c>
      <c r="E70" s="17">
        <v>124560.721</v>
      </c>
    </row>
    <row r="71" spans="1:5" ht="12.75">
      <c r="A71" s="104" t="s">
        <v>11</v>
      </c>
      <c r="B71" s="52" t="s">
        <v>95</v>
      </c>
      <c r="E71" s="29">
        <v>2260</v>
      </c>
    </row>
    <row r="72" spans="1:5" ht="12.75">
      <c r="A72" s="104"/>
      <c r="B72" s="52"/>
      <c r="E72" s="1"/>
    </row>
    <row r="73" spans="1:5" ht="12.75">
      <c r="A73" s="52" t="s">
        <v>12</v>
      </c>
      <c r="B73" s="52" t="s">
        <v>96</v>
      </c>
      <c r="E73" s="1"/>
    </row>
    <row r="74" spans="1:5" ht="12.75">
      <c r="A74" s="104"/>
      <c r="B74" s="52" t="s">
        <v>75</v>
      </c>
      <c r="D74" s="15">
        <f>D26</f>
        <v>1079</v>
      </c>
      <c r="E74" s="1"/>
    </row>
    <row r="75" spans="1:5" ht="12.75">
      <c r="A75" s="104"/>
      <c r="B75" s="52" t="s">
        <v>32</v>
      </c>
      <c r="D75" s="41">
        <f>E22</f>
        <v>1612.576</v>
      </c>
      <c r="E75" s="18">
        <f>D75+D74</f>
        <v>2691.576</v>
      </c>
    </row>
    <row r="76" spans="1:5" ht="12.75">
      <c r="A76" s="104"/>
      <c r="B76" s="52" t="s">
        <v>97</v>
      </c>
      <c r="E76" s="18">
        <f>(1000*E75)/E71</f>
        <v>1190.962831858407</v>
      </c>
    </row>
    <row r="77" spans="1:5" ht="12.75">
      <c r="A77" s="104"/>
      <c r="B77" s="52"/>
      <c r="E77" s="1"/>
    </row>
    <row r="78" ht="12.75">
      <c r="B78" s="52"/>
    </row>
    <row r="79" spans="1:5" ht="12.75">
      <c r="A79" s="107" t="s">
        <v>117</v>
      </c>
      <c r="B79" s="52"/>
      <c r="D79" s="1"/>
      <c r="E79" s="1"/>
    </row>
    <row r="80" spans="1:6" ht="12.75">
      <c r="A80" s="110" t="s">
        <v>51</v>
      </c>
      <c r="B80" s="111"/>
      <c r="C80" s="118" t="s">
        <v>115</v>
      </c>
      <c r="D80" s="118"/>
      <c r="E80" s="118" t="s">
        <v>116</v>
      </c>
      <c r="F80" s="118"/>
    </row>
    <row r="81" spans="1:5" ht="12.75">
      <c r="A81" s="52"/>
      <c r="B81" s="52" t="s">
        <v>103</v>
      </c>
      <c r="C81" s="30">
        <v>9274</v>
      </c>
      <c r="E81" s="30">
        <v>0</v>
      </c>
    </row>
    <row r="82" spans="2:5" ht="12.75">
      <c r="B82" s="52" t="s">
        <v>104</v>
      </c>
      <c r="C82" s="30">
        <v>2743.673099999999</v>
      </c>
      <c r="E82" s="30">
        <v>0</v>
      </c>
    </row>
    <row r="83" spans="1:6" ht="12.75">
      <c r="A83" s="52"/>
      <c r="B83" s="52" t="s">
        <v>105</v>
      </c>
      <c r="C83" s="30">
        <v>225.1239</v>
      </c>
      <c r="D83" s="53">
        <f>SUM(C81:C83)</f>
        <v>12242.797</v>
      </c>
      <c r="E83" s="30">
        <v>0</v>
      </c>
      <c r="F83" s="53">
        <f>SUM(E81:E83)</f>
        <v>0</v>
      </c>
    </row>
    <row r="84" spans="1:2" ht="12.75">
      <c r="A84" s="52" t="s">
        <v>52</v>
      </c>
      <c r="B84" s="52"/>
    </row>
    <row r="85" spans="1:5" ht="12.75">
      <c r="A85" s="52"/>
      <c r="B85" s="52" t="s">
        <v>103</v>
      </c>
      <c r="C85" s="30">
        <v>15189.280777902899</v>
      </c>
      <c r="E85" s="30">
        <v>0</v>
      </c>
    </row>
    <row r="86" spans="1:5" ht="12.75">
      <c r="A86" s="52"/>
      <c r="B86" s="52" t="s">
        <v>104</v>
      </c>
      <c r="C86" s="30">
        <v>-4736.8</v>
      </c>
      <c r="D86" s="52"/>
      <c r="E86" s="30">
        <v>0</v>
      </c>
    </row>
    <row r="87" spans="1:6" ht="12.75">
      <c r="A87" s="52"/>
      <c r="B87" s="52" t="s">
        <v>105</v>
      </c>
      <c r="C87" s="30">
        <v>1657.567</v>
      </c>
      <c r="D87" s="53">
        <f>SUM(C85:C87)</f>
        <v>12110.047777902899</v>
      </c>
      <c r="E87" s="30">
        <v>0</v>
      </c>
      <c r="F87" s="53">
        <f>SUM(E85:E87)</f>
        <v>0</v>
      </c>
    </row>
    <row r="88" spans="1:6" ht="12.75">
      <c r="A88" s="52" t="s">
        <v>53</v>
      </c>
      <c r="B88" s="52"/>
      <c r="D88" s="54">
        <f>D83-D87</f>
        <v>132.74922209710166</v>
      </c>
      <c r="F88" s="54">
        <f>F83-F87</f>
        <v>0</v>
      </c>
    </row>
    <row r="89" spans="1:6" ht="12.75">
      <c r="A89" s="52" t="s">
        <v>54</v>
      </c>
      <c r="B89" s="52"/>
      <c r="D89" s="30">
        <v>0</v>
      </c>
      <c r="F89" s="30">
        <v>0</v>
      </c>
    </row>
    <row r="90" spans="1:6" ht="12.75">
      <c r="A90" s="52" t="s">
        <v>55</v>
      </c>
      <c r="B90" s="52"/>
      <c r="D90" s="30">
        <v>0</v>
      </c>
      <c r="F90" s="55"/>
    </row>
    <row r="91" spans="1:6" ht="13.5" thickBot="1">
      <c r="A91" s="52" t="s">
        <v>56</v>
      </c>
      <c r="B91" s="52"/>
      <c r="D91" s="30">
        <v>47</v>
      </c>
      <c r="F91" s="30">
        <v>0</v>
      </c>
    </row>
    <row r="92" spans="1:6" ht="13.5" thickBot="1">
      <c r="A92" s="52" t="s">
        <v>57</v>
      </c>
      <c r="B92" s="52"/>
      <c r="D92" s="16">
        <f>D88-D89-D90-D91</f>
        <v>85.74922209710166</v>
      </c>
      <c r="F92" s="16">
        <f>F88-F89-F91</f>
        <v>0</v>
      </c>
    </row>
    <row r="93" spans="1:6" ht="12.75">
      <c r="A93" s="108" t="s">
        <v>58</v>
      </c>
      <c r="B93" s="52"/>
      <c r="D93" s="56"/>
      <c r="F93" s="47"/>
    </row>
    <row r="94" spans="1:6" ht="12.75">
      <c r="A94" s="52" t="s">
        <v>106</v>
      </c>
      <c r="B94" s="52"/>
      <c r="D94" s="57">
        <f>IF(D$83&gt;0,MIN(MAX((D$87+D$89+D$90+D$91)/D$83,0.9),1),0)</f>
        <v>0.9929959451180068</v>
      </c>
      <c r="F94" s="58">
        <f>IF(F$83&gt;0,MIN((F$87+F$89+F$90+F$91)/F$83,1),0)</f>
        <v>0</v>
      </c>
    </row>
    <row r="95" spans="1:2" ht="12.75">
      <c r="A95" s="52"/>
      <c r="B95" s="52"/>
    </row>
    <row r="96" spans="1:2" ht="12.75">
      <c r="A96" s="52" t="s">
        <v>59</v>
      </c>
      <c r="B96" s="52"/>
    </row>
    <row r="97" spans="1:5" ht="12.75">
      <c r="A97" s="52"/>
      <c r="B97" s="52" t="s">
        <v>107</v>
      </c>
      <c r="D97" s="53">
        <f>D92</f>
        <v>85.74922209710166</v>
      </c>
      <c r="E97" s="58">
        <f>IF($D$83&gt;0,D97/$D$83,0)</f>
        <v>0.007004054881993196</v>
      </c>
    </row>
    <row r="98" spans="1:5" ht="13.5" thickBot="1">
      <c r="A98" s="52"/>
      <c r="B98" s="52" t="s">
        <v>108</v>
      </c>
      <c r="D98" s="53">
        <f>F92</f>
        <v>0</v>
      </c>
      <c r="E98" s="58">
        <f>IF($F$83&gt;0,D98/$F$83,0)</f>
        <v>0</v>
      </c>
    </row>
    <row r="99" spans="1:4" ht="13.5" thickBot="1">
      <c r="A99" s="52"/>
      <c r="B99" s="52" t="s">
        <v>113</v>
      </c>
      <c r="D99" s="31">
        <f>D98+D97</f>
        <v>85.74922209710166</v>
      </c>
    </row>
    <row r="100" ht="12.75">
      <c r="D100">
        <f>IF(ABS($E$32-$D$99)&lt;2,"","&lt;&gt; Pos. 411e ("&amp;TEXT($F$33,"#'##0")&amp;") ?")</f>
      </c>
    </row>
  </sheetData>
  <sheetProtection/>
  <mergeCells count="2">
    <mergeCell ref="C80:D80"/>
    <mergeCell ref="E80:F80"/>
  </mergeCells>
  <conditionalFormatting sqref="D99">
    <cfRule type="expression" priority="1" dxfId="0" stopIfTrue="1">
      <formula>IF(D$100="",0,1)</formula>
    </cfRule>
  </conditionalFormatting>
  <conditionalFormatting sqref="D94">
    <cfRule type="expression" priority="2" dxfId="2" stopIfTrue="1">
      <formula>IF($B$94=0,0,1)</formula>
    </cfRule>
  </conditionalFormatting>
  <conditionalFormatting sqref="E47">
    <cfRule type="expression" priority="3" dxfId="0" stopIfTrue="1">
      <formula>IF(#REF!="",0,1)</formula>
    </cfRule>
  </conditionalFormatting>
  <printOptions/>
  <pageMargins left="0.42" right="0.34" top="1" bottom="1" header="0.4921259845" footer="0.4921259845"/>
  <pageSetup fitToHeight="1" fitToWidth="1"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3">
    <tabColor indexed="12"/>
    <pageSetUpPr fitToPage="1"/>
  </sheetPr>
  <dimension ref="A1:G100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4" width="13.421875" style="0" customWidth="1"/>
    <col min="5" max="6" width="14.00390625" style="0" customWidth="1"/>
  </cols>
  <sheetData>
    <row r="1" spans="1:7" ht="12.75">
      <c r="A1" s="101" t="s">
        <v>70</v>
      </c>
      <c r="B1" s="52"/>
      <c r="G1" s="61"/>
    </row>
    <row r="2" spans="1:7" ht="12.75">
      <c r="A2" s="52" t="s">
        <v>71</v>
      </c>
      <c r="B2" s="52"/>
      <c r="G2" s="61"/>
    </row>
    <row r="3" spans="1:7" ht="12.75">
      <c r="A3" s="102" t="s">
        <v>26</v>
      </c>
      <c r="B3" s="52"/>
      <c r="G3" s="61"/>
    </row>
    <row r="4" spans="1:7" ht="12.75">
      <c r="A4" s="52"/>
      <c r="B4" s="52"/>
      <c r="G4" s="61"/>
    </row>
    <row r="5" spans="1:7" ht="12.75">
      <c r="A5" s="52" t="s">
        <v>69</v>
      </c>
      <c r="B5" s="52"/>
      <c r="G5" s="61"/>
    </row>
    <row r="6" spans="1:7" ht="12.75">
      <c r="A6" s="52"/>
      <c r="B6" s="52"/>
      <c r="G6" s="61"/>
    </row>
    <row r="7" spans="1:7" ht="12.75">
      <c r="A7" s="52" t="s">
        <v>0</v>
      </c>
      <c r="B7" s="52" t="s">
        <v>1</v>
      </c>
      <c r="C7" s="1"/>
      <c r="D7" s="1" t="s">
        <v>3</v>
      </c>
      <c r="E7" s="1" t="s">
        <v>98</v>
      </c>
      <c r="F7" s="1"/>
      <c r="G7" s="61"/>
    </row>
    <row r="8" spans="1:7" ht="12.75">
      <c r="A8" s="52"/>
      <c r="B8" s="52"/>
      <c r="C8" s="2"/>
      <c r="D8" s="2" t="s">
        <v>78</v>
      </c>
      <c r="E8" s="2" t="s">
        <v>79</v>
      </c>
      <c r="F8" s="2"/>
      <c r="G8" s="61"/>
    </row>
    <row r="9" spans="1:7" ht="12.75">
      <c r="A9" s="102" t="s">
        <v>28</v>
      </c>
      <c r="B9" s="52"/>
      <c r="G9" s="61"/>
    </row>
    <row r="10" spans="1:7" ht="12.75">
      <c r="A10" s="52" t="s">
        <v>29</v>
      </c>
      <c r="B10" s="52"/>
      <c r="D10" s="1"/>
      <c r="E10" s="1"/>
      <c r="G10" s="61"/>
    </row>
    <row r="11" spans="1:7" ht="12.75">
      <c r="A11" s="52"/>
      <c r="B11" s="52" t="s">
        <v>60</v>
      </c>
      <c r="D11" s="3">
        <f>$E$13-D$12-D$13</f>
        <v>1050452.427</v>
      </c>
      <c r="E11" s="1"/>
      <c r="G11" s="61"/>
    </row>
    <row r="12" spans="1:7" ht="12.75">
      <c r="A12" s="52"/>
      <c r="B12" s="52" t="s">
        <v>61</v>
      </c>
      <c r="D12" s="5">
        <v>358088.374</v>
      </c>
      <c r="E12" s="1"/>
      <c r="G12" s="61"/>
    </row>
    <row r="13" spans="1:7" ht="13.5" thickBot="1">
      <c r="A13" s="52"/>
      <c r="B13" s="52" t="s">
        <v>62</v>
      </c>
      <c r="D13" s="6">
        <v>99902.199</v>
      </c>
      <c r="E13" s="7">
        <v>1508443</v>
      </c>
      <c r="G13" s="61"/>
    </row>
    <row r="14" spans="1:7" ht="12.75">
      <c r="A14" s="52"/>
      <c r="B14" s="103" t="s">
        <v>63</v>
      </c>
      <c r="D14" s="1"/>
      <c r="E14" s="1"/>
      <c r="G14" s="61"/>
    </row>
    <row r="15" spans="1:7" ht="12.75">
      <c r="A15" s="52"/>
      <c r="B15" s="103" t="s">
        <v>64</v>
      </c>
      <c r="D15" s="1"/>
      <c r="E15" s="1"/>
      <c r="G15" s="61"/>
    </row>
    <row r="16" spans="1:5" ht="12.75">
      <c r="A16" s="52" t="s">
        <v>30</v>
      </c>
      <c r="B16" s="52"/>
      <c r="D16" s="1"/>
      <c r="E16" s="1"/>
    </row>
    <row r="17" spans="1:5" ht="12.75">
      <c r="A17" s="52"/>
      <c r="B17" s="52" t="s">
        <v>65</v>
      </c>
      <c r="D17" s="8">
        <v>519057</v>
      </c>
      <c r="E17" s="1"/>
    </row>
    <row r="18" spans="1:5" ht="12.75">
      <c r="A18" s="52"/>
      <c r="B18" s="52" t="s">
        <v>66</v>
      </c>
      <c r="D18" s="9">
        <v>0</v>
      </c>
      <c r="E18" s="1"/>
    </row>
    <row r="19" spans="1:5" ht="13.5" thickBot="1">
      <c r="A19" s="52"/>
      <c r="B19" s="52" t="s">
        <v>67</v>
      </c>
      <c r="D19" s="10">
        <v>4854131</v>
      </c>
      <c r="E19" s="3">
        <f>$D$17+$D$18+$D$19</f>
        <v>5373188</v>
      </c>
    </row>
    <row r="20" spans="1:4" ht="12.75">
      <c r="A20" s="52" t="s">
        <v>31</v>
      </c>
      <c r="B20" s="52"/>
      <c r="D20" s="11"/>
    </row>
    <row r="21" spans="1:5" ht="12.75">
      <c r="A21" s="52" t="s">
        <v>73</v>
      </c>
      <c r="B21" s="104"/>
      <c r="D21" s="11"/>
      <c r="E21" s="7">
        <v>-3873445</v>
      </c>
    </row>
    <row r="22" spans="1:5" ht="12.75">
      <c r="A22" s="52" t="s">
        <v>32</v>
      </c>
      <c r="B22" s="52"/>
      <c r="D22" s="11"/>
      <c r="E22" s="7">
        <v>171501</v>
      </c>
    </row>
    <row r="23" spans="1:5" ht="12.75">
      <c r="A23" s="52" t="s">
        <v>33</v>
      </c>
      <c r="B23" s="52"/>
      <c r="D23" s="11"/>
      <c r="E23" s="1"/>
    </row>
    <row r="24" spans="1:5" ht="12.75">
      <c r="A24" s="52"/>
      <c r="B24" s="52" t="s">
        <v>68</v>
      </c>
      <c r="D24" s="9">
        <v>309528</v>
      </c>
      <c r="E24" s="1"/>
    </row>
    <row r="25" spans="1:5" ht="25.5" customHeight="1">
      <c r="A25" s="52"/>
      <c r="B25" s="105" t="s">
        <v>74</v>
      </c>
      <c r="D25" s="9">
        <v>101899</v>
      </c>
      <c r="E25" s="1"/>
    </row>
    <row r="26" spans="1:5" ht="13.5" thickBot="1">
      <c r="A26" s="52"/>
      <c r="B26" s="52" t="s">
        <v>75</v>
      </c>
      <c r="D26" s="10">
        <v>24802</v>
      </c>
      <c r="E26" s="3">
        <f>$D$24+$D$25-$D$26</f>
        <v>386625</v>
      </c>
    </row>
    <row r="27" spans="1:5" ht="12.75">
      <c r="A27" s="52" t="s">
        <v>34</v>
      </c>
      <c r="B27" s="52"/>
      <c r="D27" s="13"/>
      <c r="E27" s="9">
        <v>0</v>
      </c>
    </row>
    <row r="28" spans="1:5" ht="12.75">
      <c r="A28" s="52" t="s">
        <v>35</v>
      </c>
      <c r="B28" s="52"/>
      <c r="D28" s="1"/>
      <c r="E28" s="9">
        <v>-8568</v>
      </c>
    </row>
    <row r="29" spans="1:5" ht="13.5" thickBot="1">
      <c r="A29" s="52" t="s">
        <v>77</v>
      </c>
      <c r="B29" s="52"/>
      <c r="D29" s="1"/>
      <c r="E29" s="14">
        <v>-32617</v>
      </c>
    </row>
    <row r="30" spans="1:5" ht="12.75">
      <c r="A30" s="52" t="s">
        <v>36</v>
      </c>
      <c r="B30" s="52"/>
      <c r="E30" s="15">
        <f>E$13-E$19-E$21-E$22+E$26-E$27+E$28+E$29</f>
        <v>182639</v>
      </c>
    </row>
    <row r="31" spans="1:5" ht="13.5" thickBot="1">
      <c r="A31" s="52" t="s">
        <v>37</v>
      </c>
      <c r="B31" s="52"/>
      <c r="C31" s="1"/>
      <c r="D31" s="1"/>
      <c r="E31" s="14">
        <v>99980</v>
      </c>
    </row>
    <row r="32" spans="1:5" ht="13.5" thickBot="1">
      <c r="A32" s="52" t="s">
        <v>76</v>
      </c>
      <c r="B32" s="52"/>
      <c r="C32" s="1"/>
      <c r="D32" s="1"/>
      <c r="E32" s="16">
        <f>E$30-E$31</f>
        <v>82659</v>
      </c>
    </row>
    <row r="33" spans="1:5" ht="12.75">
      <c r="A33" s="52"/>
      <c r="B33" s="52"/>
      <c r="C33" s="1"/>
      <c r="D33" s="1"/>
      <c r="E33" s="1"/>
    </row>
    <row r="34" spans="1:5" ht="12.75">
      <c r="A34" s="102" t="s">
        <v>38</v>
      </c>
      <c r="B34" s="52"/>
      <c r="D34" s="1"/>
      <c r="E34" s="1"/>
    </row>
    <row r="35" spans="1:5" ht="12.75">
      <c r="A35" s="52" t="s">
        <v>39</v>
      </c>
      <c r="B35" s="52"/>
      <c r="D35" s="1"/>
      <c r="E35" s="17">
        <v>40212</v>
      </c>
    </row>
    <row r="36" spans="1:5" ht="12.75">
      <c r="A36" s="52" t="s">
        <v>40</v>
      </c>
      <c r="B36" s="52"/>
      <c r="E36" s="18">
        <f>E$31</f>
        <v>99980</v>
      </c>
    </row>
    <row r="37" spans="1:5" ht="12.75">
      <c r="A37" s="52" t="s">
        <v>41</v>
      </c>
      <c r="B37" s="52"/>
      <c r="D37" s="9">
        <v>0</v>
      </c>
      <c r="E37" s="19"/>
    </row>
    <row r="38" spans="1:5" ht="13.5" thickBot="1">
      <c r="A38" s="52" t="s">
        <v>42</v>
      </c>
      <c r="B38" s="52"/>
      <c r="D38" s="10">
        <v>46446</v>
      </c>
      <c r="E38" s="20">
        <f>$D$37+$D$38</f>
        <v>46446</v>
      </c>
    </row>
    <row r="39" spans="1:5" ht="13.5" thickBot="1">
      <c r="A39" s="52" t="s">
        <v>43</v>
      </c>
      <c r="B39" s="52"/>
      <c r="D39" s="1"/>
      <c r="E39" s="21">
        <f>E35+E36-E38</f>
        <v>93746</v>
      </c>
    </row>
    <row r="40" spans="1:5" ht="12.75">
      <c r="A40" s="52"/>
      <c r="B40" s="52"/>
      <c r="D40" s="1"/>
      <c r="E40" s="1"/>
    </row>
    <row r="41" spans="1:5" ht="12.75">
      <c r="A41" s="102" t="s">
        <v>44</v>
      </c>
      <c r="B41" s="52"/>
      <c r="D41" s="1"/>
      <c r="E41" s="1"/>
    </row>
    <row r="42" spans="1:5" ht="12.75">
      <c r="A42" s="52" t="s">
        <v>39</v>
      </c>
      <c r="B42" s="52"/>
      <c r="D42" s="1"/>
      <c r="E42" s="17">
        <v>336319</v>
      </c>
    </row>
    <row r="43" spans="1:5" ht="12.75">
      <c r="A43" s="52" t="s">
        <v>45</v>
      </c>
      <c r="B43" s="52"/>
      <c r="D43" s="9">
        <v>9509.518</v>
      </c>
      <c r="E43" s="59"/>
    </row>
    <row r="44" spans="1:5" ht="12.75">
      <c r="A44" s="52" t="s">
        <v>46</v>
      </c>
      <c r="B44" s="52"/>
      <c r="D44" s="9">
        <v>3363</v>
      </c>
      <c r="E44" s="60">
        <f>D44+D43</f>
        <v>12872.518</v>
      </c>
    </row>
    <row r="45" spans="1:5" ht="12.75">
      <c r="A45" s="52" t="s">
        <v>47</v>
      </c>
      <c r="B45" s="52"/>
      <c r="D45" s="9">
        <v>4820</v>
      </c>
      <c r="E45" s="59"/>
    </row>
    <row r="46" spans="1:5" ht="13.5" thickBot="1">
      <c r="A46" s="52" t="s">
        <v>48</v>
      </c>
      <c r="B46" s="52"/>
      <c r="D46" s="9">
        <v>0</v>
      </c>
      <c r="E46" s="20">
        <f>D46+D45</f>
        <v>4820</v>
      </c>
    </row>
    <row r="47" spans="1:5" ht="13.5" thickBot="1">
      <c r="A47" s="52" t="s">
        <v>49</v>
      </c>
      <c r="B47" s="52"/>
      <c r="E47" s="21">
        <f>E42+E44-E46</f>
        <v>344371.518</v>
      </c>
    </row>
    <row r="48" spans="1:5" ht="12.75">
      <c r="A48" s="52"/>
      <c r="B48" s="52"/>
      <c r="E48" s="1"/>
    </row>
    <row r="49" spans="1:5" ht="12.75">
      <c r="A49" s="102" t="s">
        <v>50</v>
      </c>
      <c r="B49" s="52"/>
      <c r="E49" s="1"/>
    </row>
    <row r="50" spans="1:5" ht="13.5" thickBot="1">
      <c r="A50" s="104" t="s">
        <v>4</v>
      </c>
      <c r="B50" s="52" t="s">
        <v>82</v>
      </c>
      <c r="E50" s="20">
        <f>E$26</f>
        <v>386625</v>
      </c>
    </row>
    <row r="51" spans="1:5" ht="12.75">
      <c r="A51" s="52"/>
      <c r="B51" s="52"/>
      <c r="D51" s="1"/>
      <c r="E51" s="1"/>
    </row>
    <row r="52" spans="1:5" ht="25.5">
      <c r="A52" s="52"/>
      <c r="B52" s="52"/>
      <c r="D52" s="106" t="s">
        <v>99</v>
      </c>
      <c r="E52" s="106" t="s">
        <v>100</v>
      </c>
    </row>
    <row r="53" spans="1:5" ht="12.75">
      <c r="A53" s="104" t="s">
        <v>5</v>
      </c>
      <c r="B53" s="52" t="s">
        <v>83</v>
      </c>
      <c r="D53" s="22">
        <v>12122725</v>
      </c>
      <c r="E53" s="23">
        <v>12828838</v>
      </c>
    </row>
    <row r="54" spans="1:5" ht="12.75">
      <c r="A54" s="104" t="s">
        <v>6</v>
      </c>
      <c r="B54" s="52" t="s">
        <v>84</v>
      </c>
      <c r="D54" s="24">
        <v>9075915</v>
      </c>
      <c r="E54" s="23">
        <v>9467520</v>
      </c>
    </row>
    <row r="55" spans="1:5" ht="12.75">
      <c r="A55" s="52"/>
      <c r="B55" s="52"/>
      <c r="D55" s="1"/>
      <c r="E55" s="1"/>
    </row>
    <row r="56" spans="1:5" ht="12.75">
      <c r="A56" s="104" t="s">
        <v>7</v>
      </c>
      <c r="B56" s="52" t="s">
        <v>109</v>
      </c>
      <c r="D56" s="1"/>
      <c r="E56" s="25">
        <f>E$50/(($D$53+$D$54)/2)</f>
        <v>0.03647639659902711</v>
      </c>
    </row>
    <row r="57" spans="1:5" ht="12.75">
      <c r="A57" s="104" t="s">
        <v>8</v>
      </c>
      <c r="B57" s="52" t="s">
        <v>102</v>
      </c>
      <c r="D57" s="1"/>
      <c r="E57" s="25">
        <f>(E$50+($E$54-$D$54)-($E$53-$D$53))/((E$53+$E$54)/2)</f>
        <v>0.006468948874968728</v>
      </c>
    </row>
    <row r="58" spans="1:5" ht="12.75">
      <c r="A58" s="52"/>
      <c r="B58" s="104" t="s">
        <v>101</v>
      </c>
      <c r="D58" s="1"/>
      <c r="E58" s="1"/>
    </row>
    <row r="59" spans="4:5" ht="12.75">
      <c r="D59" s="1"/>
      <c r="E59" s="1"/>
    </row>
    <row r="60" spans="1:5" ht="12.75">
      <c r="A60" s="52" t="s">
        <v>9</v>
      </c>
      <c r="B60" s="104" t="s">
        <v>85</v>
      </c>
      <c r="D60" s="1"/>
      <c r="E60" s="1"/>
    </row>
    <row r="61" spans="1:5" ht="12.75">
      <c r="A61" s="104"/>
      <c r="B61" s="52" t="s">
        <v>86</v>
      </c>
      <c r="D61" s="26">
        <v>0.06959177118780861</v>
      </c>
      <c r="E61" s="1"/>
    </row>
    <row r="62" spans="1:5" ht="12.75">
      <c r="A62" s="52"/>
      <c r="B62" s="52" t="s">
        <v>87</v>
      </c>
      <c r="D62" s="26">
        <v>0.5648474010609399</v>
      </c>
      <c r="E62" s="1"/>
    </row>
    <row r="63" spans="1:5" ht="12.75">
      <c r="A63" s="52"/>
      <c r="B63" s="52" t="s">
        <v>88</v>
      </c>
      <c r="D63" s="26">
        <v>0.15737796134053703</v>
      </c>
      <c r="E63" s="1"/>
    </row>
    <row r="64" spans="1:5" ht="12.75">
      <c r="A64" s="52"/>
      <c r="B64" s="52" t="s">
        <v>89</v>
      </c>
      <c r="D64" s="26">
        <v>0.10059514660505305</v>
      </c>
      <c r="E64" s="1"/>
    </row>
    <row r="65" spans="1:5" ht="12.75">
      <c r="A65" s="52"/>
      <c r="B65" s="52" t="s">
        <v>90</v>
      </c>
      <c r="D65" s="26">
        <v>0</v>
      </c>
      <c r="E65" s="1"/>
    </row>
    <row r="66" spans="1:5" ht="12.75">
      <c r="A66" s="52"/>
      <c r="B66" s="52" t="s">
        <v>91</v>
      </c>
      <c r="D66" s="26">
        <v>0.10639577386963188</v>
      </c>
      <c r="E66" s="1"/>
    </row>
    <row r="67" spans="1:5" ht="12.75">
      <c r="A67" s="52"/>
      <c r="B67" s="52" t="s">
        <v>92</v>
      </c>
      <c r="D67" s="26">
        <v>0</v>
      </c>
      <c r="E67" s="1"/>
    </row>
    <row r="68" spans="1:5" ht="13.5" thickBot="1">
      <c r="A68" s="52"/>
      <c r="B68" s="52" t="s">
        <v>93</v>
      </c>
      <c r="D68" s="27">
        <v>0.0011919459360295905</v>
      </c>
      <c r="E68" s="28">
        <f>SUM($D$61:$D$68)</f>
        <v>1</v>
      </c>
    </row>
    <row r="69" spans="1:5" ht="12.75">
      <c r="A69" s="52"/>
      <c r="B69" s="52"/>
      <c r="D69" s="1"/>
      <c r="E69" s="1"/>
    </row>
    <row r="70" spans="1:5" ht="12.75">
      <c r="A70" s="52" t="s">
        <v>10</v>
      </c>
      <c r="B70" s="52" t="s">
        <v>94</v>
      </c>
      <c r="E70" s="17">
        <v>9412430</v>
      </c>
    </row>
    <row r="71" spans="1:5" ht="12.75">
      <c r="A71" s="104" t="s">
        <v>11</v>
      </c>
      <c r="B71" s="52" t="s">
        <v>95</v>
      </c>
      <c r="E71" s="29">
        <v>203567</v>
      </c>
    </row>
    <row r="72" spans="1:5" ht="12.75">
      <c r="A72" s="104"/>
      <c r="B72" s="52"/>
      <c r="E72" s="1"/>
    </row>
    <row r="73" spans="1:5" ht="12.75">
      <c r="A73" s="52" t="s">
        <v>12</v>
      </c>
      <c r="B73" s="52" t="s">
        <v>96</v>
      </c>
      <c r="E73" s="1"/>
    </row>
    <row r="74" spans="1:5" ht="12.75">
      <c r="A74" s="104"/>
      <c r="B74" s="52" t="s">
        <v>75</v>
      </c>
      <c r="D74" s="15">
        <f>D26</f>
        <v>24802</v>
      </c>
      <c r="E74" s="1"/>
    </row>
    <row r="75" spans="1:5" ht="12.75">
      <c r="A75" s="104"/>
      <c r="B75" s="52" t="s">
        <v>32</v>
      </c>
      <c r="D75" s="41">
        <f>E22</f>
        <v>171501</v>
      </c>
      <c r="E75" s="18">
        <f>D75+D74</f>
        <v>196303</v>
      </c>
    </row>
    <row r="76" spans="1:5" ht="12.75">
      <c r="A76" s="104"/>
      <c r="B76" s="52" t="s">
        <v>97</v>
      </c>
      <c r="E76" s="18">
        <f>(1000*E75)/E71</f>
        <v>964.3164167080126</v>
      </c>
    </row>
    <row r="77" spans="1:5" ht="12.75">
      <c r="A77" s="104"/>
      <c r="B77" s="52"/>
      <c r="E77" s="1"/>
    </row>
    <row r="78" ht="12.75">
      <c r="B78" s="52"/>
    </row>
    <row r="79" spans="1:5" ht="12.75">
      <c r="A79" s="107" t="s">
        <v>117</v>
      </c>
      <c r="B79" s="52"/>
      <c r="D79" s="1"/>
      <c r="E79" s="1"/>
    </row>
    <row r="80" spans="1:6" ht="12.75">
      <c r="A80" s="110" t="s">
        <v>51</v>
      </c>
      <c r="B80" s="111"/>
      <c r="C80" s="118" t="s">
        <v>115</v>
      </c>
      <c r="D80" s="118"/>
      <c r="E80" s="118" t="s">
        <v>116</v>
      </c>
      <c r="F80" s="118"/>
    </row>
    <row r="81" spans="1:5" ht="12.75">
      <c r="A81" s="52"/>
      <c r="B81" s="52" t="s">
        <v>103</v>
      </c>
      <c r="C81" s="30">
        <v>338573</v>
      </c>
      <c r="E81" s="30">
        <v>48050</v>
      </c>
    </row>
    <row r="82" spans="2:5" ht="12.75">
      <c r="B82" s="52" t="s">
        <v>104</v>
      </c>
      <c r="C82" s="30">
        <v>244693.48500000002</v>
      </c>
      <c r="E82" s="30">
        <v>113394.889</v>
      </c>
    </row>
    <row r="83" spans="1:6" ht="12.75">
      <c r="A83" s="52"/>
      <c r="B83" s="52" t="s">
        <v>105</v>
      </c>
      <c r="C83" s="30">
        <v>94462.45199999999</v>
      </c>
      <c r="D83" s="53">
        <f>SUM(C81:C83)</f>
        <v>677728.9369999999</v>
      </c>
      <c r="E83" s="30">
        <v>5439.747</v>
      </c>
      <c r="F83" s="53">
        <f>SUM(E81:E83)</f>
        <v>166884.636</v>
      </c>
    </row>
    <row r="84" spans="1:2" ht="12.75">
      <c r="A84" s="52" t="s">
        <v>52</v>
      </c>
      <c r="B84" s="52"/>
    </row>
    <row r="85" spans="1:5" ht="12.75">
      <c r="A85" s="52"/>
      <c r="B85" s="52" t="s">
        <v>103</v>
      </c>
      <c r="C85" s="30">
        <v>216304.925068235</v>
      </c>
      <c r="E85" s="30">
        <v>30441.677987314484</v>
      </c>
    </row>
    <row r="86" spans="1:5" ht="12.75">
      <c r="A86" s="52"/>
      <c r="B86" s="52" t="s">
        <v>104</v>
      </c>
      <c r="C86" s="30">
        <v>162407.34200000003</v>
      </c>
      <c r="D86" s="52"/>
      <c r="E86" s="30">
        <v>57348.16676968999</v>
      </c>
    </row>
    <row r="87" spans="1:6" ht="12.75">
      <c r="A87" s="52"/>
      <c r="B87" s="52" t="s">
        <v>105</v>
      </c>
      <c r="C87" s="30">
        <v>177626</v>
      </c>
      <c r="D87" s="53">
        <f>SUM(C85:C87)</f>
        <v>556338.267068235</v>
      </c>
      <c r="E87" s="30">
        <v>14663</v>
      </c>
      <c r="F87" s="53">
        <f>SUM(E85:E87)</f>
        <v>102452.84475700447</v>
      </c>
    </row>
    <row r="88" spans="1:6" ht="12.75">
      <c r="A88" s="52" t="s">
        <v>53</v>
      </c>
      <c r="B88" s="52"/>
      <c r="D88" s="54">
        <f>D83-D87</f>
        <v>121390.66993176495</v>
      </c>
      <c r="F88" s="54">
        <f>F83-F87</f>
        <v>64431.79124299553</v>
      </c>
    </row>
    <row r="89" spans="1:6" ht="12.75">
      <c r="A89" s="52" t="s">
        <v>54</v>
      </c>
      <c r="B89" s="52"/>
      <c r="D89" s="30">
        <v>-8931.33</v>
      </c>
      <c r="F89" s="30">
        <v>12114.96435</v>
      </c>
    </row>
    <row r="90" spans="1:6" ht="12.75">
      <c r="A90" s="52" t="s">
        <v>55</v>
      </c>
      <c r="B90" s="52"/>
      <c r="D90" s="30">
        <v>0</v>
      </c>
      <c r="F90" s="55"/>
    </row>
    <row r="91" spans="1:6" ht="13.5" thickBot="1">
      <c r="A91" s="52" t="s">
        <v>56</v>
      </c>
      <c r="B91" s="52"/>
      <c r="D91" s="30">
        <v>62549</v>
      </c>
      <c r="F91" s="30">
        <v>37431</v>
      </c>
    </row>
    <row r="92" spans="1:6" ht="13.5" thickBot="1">
      <c r="A92" s="52" t="s">
        <v>57</v>
      </c>
      <c r="B92" s="52"/>
      <c r="D92" s="16">
        <f>D88-D89-D90-D91</f>
        <v>67772.99993176495</v>
      </c>
      <c r="F92" s="16">
        <f>F88-F89-F91</f>
        <v>14885.82689299553</v>
      </c>
    </row>
    <row r="93" spans="1:6" ht="12.75">
      <c r="A93" s="108" t="s">
        <v>58</v>
      </c>
      <c r="B93" s="52"/>
      <c r="D93" s="56"/>
      <c r="F93" s="47"/>
    </row>
    <row r="94" spans="1:6" ht="12.75">
      <c r="A94" s="52" t="s">
        <v>106</v>
      </c>
      <c r="B94" s="52"/>
      <c r="D94" s="57">
        <f>IF(D$83&gt;0,MIN(MAX((D$87+D$89+D$90+D$91)/D$83,0.9),1),0)</f>
        <v>0.9</v>
      </c>
      <c r="F94" s="58">
        <f>IF(F$83&gt;0,MIN((F$87+F$89+F$90+F$91)/F$83,1),0)</f>
        <v>0.9108016936142909</v>
      </c>
    </row>
    <row r="95" spans="1:2" ht="12.75">
      <c r="A95" s="52"/>
      <c r="B95" s="52"/>
    </row>
    <row r="96" spans="1:2" ht="12.75">
      <c r="A96" s="52" t="s">
        <v>59</v>
      </c>
      <c r="B96" s="52"/>
    </row>
    <row r="97" spans="1:5" ht="12.75">
      <c r="A97" s="52"/>
      <c r="B97" s="52" t="s">
        <v>107</v>
      </c>
      <c r="D97" s="53">
        <f>D92</f>
        <v>67772.99993176495</v>
      </c>
      <c r="E97" s="58">
        <f>IF($D$83&gt;0,D97/$D$83,0)</f>
        <v>0.10000015674668611</v>
      </c>
    </row>
    <row r="98" spans="1:5" ht="13.5" thickBot="1">
      <c r="A98" s="52"/>
      <c r="B98" s="52" t="s">
        <v>108</v>
      </c>
      <c r="D98" s="53">
        <f>F92</f>
        <v>14885.82689299553</v>
      </c>
      <c r="E98" s="58">
        <f>IF($F$83&gt;0,D98/$F$83,0)</f>
        <v>0.08919830638570905</v>
      </c>
    </row>
    <row r="99" spans="1:4" ht="13.5" thickBot="1">
      <c r="A99" s="52"/>
      <c r="B99" s="52" t="s">
        <v>113</v>
      </c>
      <c r="D99" s="31">
        <f>D98+D97</f>
        <v>82658.82682476047</v>
      </c>
    </row>
    <row r="100" ht="12.75">
      <c r="D100">
        <f>IF(ABS($E$32-$D$99)&lt;2,"","&lt;&gt; Pos. 411e ("&amp;TEXT($F$33,"#'##0")&amp;") ?")</f>
      </c>
    </row>
  </sheetData>
  <sheetProtection/>
  <mergeCells count="2">
    <mergeCell ref="C80:D80"/>
    <mergeCell ref="E80:F80"/>
  </mergeCells>
  <conditionalFormatting sqref="D99">
    <cfRule type="expression" priority="1" dxfId="0" stopIfTrue="1">
      <formula>IF(D$100="",0,1)</formula>
    </cfRule>
  </conditionalFormatting>
  <conditionalFormatting sqref="D94">
    <cfRule type="expression" priority="2" dxfId="2" stopIfTrue="1">
      <formula>IF($B$94=0,0,1)</formula>
    </cfRule>
  </conditionalFormatting>
  <conditionalFormatting sqref="E47">
    <cfRule type="expression" priority="3" dxfId="0" stopIfTrue="1">
      <formula>IF(#REF!="",0,1)</formula>
    </cfRule>
  </conditionalFormatting>
  <printOptions/>
  <pageMargins left="0.45" right="0.45" top="1" bottom="1" header="0.4921259845" footer="0.4921259845"/>
  <pageSetup fitToHeight="1" fitToWidth="1"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">
    <tabColor indexed="22"/>
    <pageSetUpPr fitToPage="1"/>
  </sheetPr>
  <dimension ref="A1:G100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4" width="13.421875" style="0" customWidth="1"/>
    <col min="5" max="6" width="14.00390625" style="0" customWidth="1"/>
  </cols>
  <sheetData>
    <row r="1" spans="1:7" ht="12.75">
      <c r="A1" s="101" t="s">
        <v>70</v>
      </c>
      <c r="B1" s="52"/>
      <c r="G1" s="61"/>
    </row>
    <row r="2" spans="1:7" ht="12.75">
      <c r="A2" s="52" t="s">
        <v>71</v>
      </c>
      <c r="B2" s="52"/>
      <c r="G2" s="61"/>
    </row>
    <row r="3" spans="1:7" ht="12.75">
      <c r="A3" s="102"/>
      <c r="B3" s="52"/>
      <c r="G3" s="61"/>
    </row>
    <row r="4" spans="1:7" ht="12.75">
      <c r="A4" s="52"/>
      <c r="B4" s="52"/>
      <c r="G4" s="61"/>
    </row>
    <row r="5" spans="1:7" ht="12.75">
      <c r="A5" s="52" t="s">
        <v>69</v>
      </c>
      <c r="B5" s="52"/>
      <c r="G5" s="61"/>
    </row>
    <row r="6" spans="1:7" ht="12.75">
      <c r="A6" s="52"/>
      <c r="B6" s="52"/>
      <c r="G6" s="61"/>
    </row>
    <row r="7" spans="1:7" ht="12.75">
      <c r="A7" s="52" t="s">
        <v>0</v>
      </c>
      <c r="B7" s="52" t="s">
        <v>1</v>
      </c>
      <c r="C7" s="1"/>
      <c r="D7" s="1" t="s">
        <v>2</v>
      </c>
      <c r="E7" s="1" t="s">
        <v>3</v>
      </c>
      <c r="F7" s="1"/>
      <c r="G7" s="61"/>
    </row>
    <row r="8" spans="1:7" ht="12.75">
      <c r="A8" s="52"/>
      <c r="B8" s="52"/>
      <c r="C8" s="2"/>
      <c r="D8" s="2" t="s">
        <v>78</v>
      </c>
      <c r="E8" s="2" t="s">
        <v>79</v>
      </c>
      <c r="F8" s="2"/>
      <c r="G8" s="61"/>
    </row>
    <row r="9" spans="1:7" ht="12.75">
      <c r="A9" s="102" t="s">
        <v>28</v>
      </c>
      <c r="B9" s="52"/>
      <c r="G9" s="61"/>
    </row>
    <row r="10" spans="1:7" ht="12.75">
      <c r="A10" s="52" t="s">
        <v>29</v>
      </c>
      <c r="B10" s="52"/>
      <c r="D10" s="1"/>
      <c r="E10" s="1"/>
      <c r="G10" s="61"/>
    </row>
    <row r="11" spans="1:7" ht="12.75">
      <c r="A11" s="52"/>
      <c r="B11" s="52" t="s">
        <v>60</v>
      </c>
      <c r="D11" s="3">
        <f>$E$13-D$12-D$13</f>
        <v>0</v>
      </c>
      <c r="E11" s="1"/>
      <c r="G11" s="61"/>
    </row>
    <row r="12" spans="1:7" ht="12.75">
      <c r="A12" s="52"/>
      <c r="B12" s="52" t="s">
        <v>61</v>
      </c>
      <c r="D12" s="5"/>
      <c r="E12" s="1"/>
      <c r="G12" s="61"/>
    </row>
    <row r="13" spans="1:7" ht="13.5" thickBot="1">
      <c r="A13" s="52"/>
      <c r="B13" s="52" t="s">
        <v>62</v>
      </c>
      <c r="D13" s="6"/>
      <c r="E13" s="7"/>
      <c r="G13" s="61"/>
    </row>
    <row r="14" spans="1:7" ht="12.75">
      <c r="A14" s="52"/>
      <c r="B14" s="103" t="s">
        <v>63</v>
      </c>
      <c r="D14" s="1"/>
      <c r="E14" s="1"/>
      <c r="G14" s="61"/>
    </row>
    <row r="15" spans="1:7" ht="12.75">
      <c r="A15" s="52"/>
      <c r="B15" s="103" t="s">
        <v>64</v>
      </c>
      <c r="D15" s="1"/>
      <c r="E15" s="1"/>
      <c r="G15" s="61"/>
    </row>
    <row r="16" spans="1:5" ht="12.75">
      <c r="A16" s="52" t="s">
        <v>30</v>
      </c>
      <c r="B16" s="52"/>
      <c r="D16" s="1"/>
      <c r="E16" s="1"/>
    </row>
    <row r="17" spans="1:5" ht="12.75">
      <c r="A17" s="52"/>
      <c r="B17" s="52" t="s">
        <v>65</v>
      </c>
      <c r="D17" s="8"/>
      <c r="E17" s="1"/>
    </row>
    <row r="18" spans="1:5" ht="12.75">
      <c r="A18" s="52"/>
      <c r="B18" s="52" t="s">
        <v>66</v>
      </c>
      <c r="D18" s="9"/>
      <c r="E18" s="1"/>
    </row>
    <row r="19" spans="1:5" ht="13.5" thickBot="1">
      <c r="A19" s="52"/>
      <c r="B19" s="52" t="s">
        <v>67</v>
      </c>
      <c r="D19" s="10"/>
      <c r="E19" s="3">
        <f>$D$17+$D$18+$D$19</f>
        <v>0</v>
      </c>
    </row>
    <row r="20" spans="1:4" ht="12.75">
      <c r="A20" s="52" t="s">
        <v>31</v>
      </c>
      <c r="B20" s="52"/>
      <c r="D20" s="11"/>
    </row>
    <row r="21" spans="1:5" ht="12.75">
      <c r="A21" s="52" t="s">
        <v>73</v>
      </c>
      <c r="B21" s="104"/>
      <c r="D21" s="11"/>
      <c r="E21" s="7"/>
    </row>
    <row r="22" spans="1:5" ht="12.75">
      <c r="A22" s="52" t="s">
        <v>32</v>
      </c>
      <c r="B22" s="52"/>
      <c r="D22" s="11"/>
      <c r="E22" s="7"/>
    </row>
    <row r="23" spans="1:5" ht="12.75">
      <c r="A23" s="52" t="s">
        <v>33</v>
      </c>
      <c r="B23" s="52"/>
      <c r="D23" s="11"/>
      <c r="E23" s="1"/>
    </row>
    <row r="24" spans="1:5" ht="12.75">
      <c r="A24" s="52"/>
      <c r="B24" s="52" t="s">
        <v>68</v>
      </c>
      <c r="D24" s="9"/>
      <c r="E24" s="1"/>
    </row>
    <row r="25" spans="1:5" ht="25.5" customHeight="1">
      <c r="A25" s="52"/>
      <c r="B25" s="105" t="s">
        <v>74</v>
      </c>
      <c r="D25" s="9"/>
      <c r="E25" s="1"/>
    </row>
    <row r="26" spans="1:5" ht="13.5" thickBot="1">
      <c r="A26" s="52"/>
      <c r="B26" s="52" t="s">
        <v>75</v>
      </c>
      <c r="D26" s="10"/>
      <c r="E26" s="3">
        <f>$D$24+$D$25-$D$26</f>
        <v>0</v>
      </c>
    </row>
    <row r="27" spans="1:5" ht="12.75">
      <c r="A27" s="52" t="s">
        <v>34</v>
      </c>
      <c r="B27" s="52"/>
      <c r="D27" s="13"/>
      <c r="E27" s="9"/>
    </row>
    <row r="28" spans="1:5" ht="12.75">
      <c r="A28" s="52" t="s">
        <v>35</v>
      </c>
      <c r="B28" s="52"/>
      <c r="D28" s="1"/>
      <c r="E28" s="9"/>
    </row>
    <row r="29" spans="1:5" ht="13.5" thickBot="1">
      <c r="A29" s="52" t="s">
        <v>77</v>
      </c>
      <c r="B29" s="52"/>
      <c r="D29" s="1"/>
      <c r="E29" s="14"/>
    </row>
    <row r="30" spans="1:5" ht="12.75">
      <c r="A30" s="52" t="s">
        <v>36</v>
      </c>
      <c r="B30" s="52"/>
      <c r="E30" s="15">
        <f>E$13-E$19-E$21-E$22+E$26-E$27+E$28+E$29</f>
        <v>0</v>
      </c>
    </row>
    <row r="31" spans="1:5" ht="13.5" thickBot="1">
      <c r="A31" s="52" t="s">
        <v>37</v>
      </c>
      <c r="B31" s="52"/>
      <c r="C31" s="1"/>
      <c r="D31" s="1"/>
      <c r="E31" s="14"/>
    </row>
    <row r="32" spans="1:5" ht="13.5" thickBot="1">
      <c r="A32" s="52" t="s">
        <v>76</v>
      </c>
      <c r="B32" s="52"/>
      <c r="C32" s="1"/>
      <c r="D32" s="1"/>
      <c r="E32" s="16">
        <f>E$30-E$31</f>
        <v>0</v>
      </c>
    </row>
    <row r="33" spans="1:5" ht="12.75">
      <c r="A33" s="52"/>
      <c r="B33" s="52"/>
      <c r="C33" s="1"/>
      <c r="D33" s="1"/>
      <c r="E33" s="1"/>
    </row>
    <row r="34" spans="1:5" ht="12.75">
      <c r="A34" s="102" t="s">
        <v>38</v>
      </c>
      <c r="B34" s="52"/>
      <c r="D34" s="1"/>
      <c r="E34" s="1"/>
    </row>
    <row r="35" spans="1:5" ht="12.75">
      <c r="A35" s="52" t="s">
        <v>39</v>
      </c>
      <c r="B35" s="52"/>
      <c r="D35" s="1"/>
      <c r="E35" s="17"/>
    </row>
    <row r="36" spans="1:5" ht="12.75">
      <c r="A36" s="52" t="s">
        <v>40</v>
      </c>
      <c r="B36" s="52"/>
      <c r="E36" s="18">
        <f>E$31</f>
        <v>0</v>
      </c>
    </row>
    <row r="37" spans="1:5" ht="12.75">
      <c r="A37" s="52" t="s">
        <v>41</v>
      </c>
      <c r="B37" s="52"/>
      <c r="D37" s="9"/>
      <c r="E37" s="19"/>
    </row>
    <row r="38" spans="1:5" ht="13.5" thickBot="1">
      <c r="A38" s="52" t="s">
        <v>42</v>
      </c>
      <c r="B38" s="52"/>
      <c r="D38" s="10"/>
      <c r="E38" s="20">
        <f>$D$37+$D$38</f>
        <v>0</v>
      </c>
    </row>
    <row r="39" spans="1:5" ht="13.5" thickBot="1">
      <c r="A39" s="52" t="s">
        <v>43</v>
      </c>
      <c r="B39" s="52"/>
      <c r="D39" s="1"/>
      <c r="E39" s="21">
        <f>E35+E36-E38</f>
        <v>0</v>
      </c>
    </row>
    <row r="40" spans="1:5" ht="12.75">
      <c r="A40" s="52"/>
      <c r="B40" s="52"/>
      <c r="D40" s="1"/>
      <c r="E40" s="1"/>
    </row>
    <row r="41" spans="1:5" ht="12.75">
      <c r="A41" s="102" t="s">
        <v>44</v>
      </c>
      <c r="B41" s="52"/>
      <c r="D41" s="1"/>
      <c r="E41" s="1"/>
    </row>
    <row r="42" spans="1:5" ht="12.75">
      <c r="A42" s="52" t="s">
        <v>39</v>
      </c>
      <c r="B42" s="52"/>
      <c r="D42" s="1"/>
      <c r="E42" s="17"/>
    </row>
    <row r="43" spans="1:5" ht="12.75">
      <c r="A43" s="52" t="s">
        <v>45</v>
      </c>
      <c r="B43" s="52"/>
      <c r="D43" s="9"/>
      <c r="E43" s="59"/>
    </row>
    <row r="44" spans="1:5" ht="12.75">
      <c r="A44" s="52" t="s">
        <v>46</v>
      </c>
      <c r="B44" s="52"/>
      <c r="D44" s="9"/>
      <c r="E44" s="60">
        <f>D44+D43</f>
        <v>0</v>
      </c>
    </row>
    <row r="45" spans="1:5" ht="12.75">
      <c r="A45" s="52" t="s">
        <v>47</v>
      </c>
      <c r="B45" s="52"/>
      <c r="D45" s="9"/>
      <c r="E45" s="59"/>
    </row>
    <row r="46" spans="1:5" ht="13.5" thickBot="1">
      <c r="A46" s="52" t="s">
        <v>48</v>
      </c>
      <c r="B46" s="52"/>
      <c r="D46" s="9"/>
      <c r="E46" s="20">
        <f>D46+D45</f>
        <v>0</v>
      </c>
    </row>
    <row r="47" spans="1:5" ht="13.5" thickBot="1">
      <c r="A47" s="52" t="s">
        <v>49</v>
      </c>
      <c r="B47" s="52"/>
      <c r="E47" s="21">
        <f>E42+E44-E46</f>
        <v>0</v>
      </c>
    </row>
    <row r="48" spans="1:5" ht="12.75">
      <c r="A48" s="52"/>
      <c r="B48" s="52"/>
      <c r="E48" s="1"/>
    </row>
    <row r="49" spans="1:5" ht="12.75">
      <c r="A49" s="102" t="s">
        <v>50</v>
      </c>
      <c r="B49" s="52"/>
      <c r="E49" s="1"/>
    </row>
    <row r="50" spans="1:5" ht="13.5" thickBot="1">
      <c r="A50" s="104" t="s">
        <v>4</v>
      </c>
      <c r="B50" s="52" t="s">
        <v>82</v>
      </c>
      <c r="E50" s="20">
        <f>E$26</f>
        <v>0</v>
      </c>
    </row>
    <row r="51" spans="1:5" ht="12.75">
      <c r="A51" s="52"/>
      <c r="B51" s="52"/>
      <c r="D51" s="1"/>
      <c r="E51" s="1"/>
    </row>
    <row r="52" spans="1:5" ht="25.5">
      <c r="A52" s="52"/>
      <c r="B52" s="52"/>
      <c r="D52" s="106" t="s">
        <v>99</v>
      </c>
      <c r="E52" s="106" t="s">
        <v>100</v>
      </c>
    </row>
    <row r="53" spans="1:5" ht="12.75">
      <c r="A53" s="104" t="s">
        <v>5</v>
      </c>
      <c r="B53" s="52" t="s">
        <v>83</v>
      </c>
      <c r="D53" s="22"/>
      <c r="E53" s="23"/>
    </row>
    <row r="54" spans="1:5" ht="12.75">
      <c r="A54" s="104" t="s">
        <v>6</v>
      </c>
      <c r="B54" s="52" t="s">
        <v>84</v>
      </c>
      <c r="D54" s="24"/>
      <c r="E54" s="23"/>
    </row>
    <row r="55" spans="1:5" ht="12.75">
      <c r="A55" s="52"/>
      <c r="B55" s="52"/>
      <c r="D55" s="1"/>
      <c r="E55" s="1"/>
    </row>
    <row r="56" spans="1:5" ht="12.75">
      <c r="A56" s="104" t="s">
        <v>7</v>
      </c>
      <c r="B56" s="52" t="s">
        <v>109</v>
      </c>
      <c r="D56" s="1"/>
      <c r="E56" s="25" t="e">
        <f>E$50/(($D$53+$D$54)/2)</f>
        <v>#DIV/0!</v>
      </c>
    </row>
    <row r="57" spans="1:5" ht="12.75">
      <c r="A57" s="104" t="s">
        <v>8</v>
      </c>
      <c r="B57" s="52" t="s">
        <v>102</v>
      </c>
      <c r="D57" s="1"/>
      <c r="E57" s="25" t="e">
        <f>(E$50+($E$54-$D$54)-($E$53-$D$53))/((E$53+$E$54)/2)</f>
        <v>#DIV/0!</v>
      </c>
    </row>
    <row r="58" spans="1:5" ht="12.75">
      <c r="A58" s="52"/>
      <c r="B58" s="104" t="s">
        <v>101</v>
      </c>
      <c r="D58" s="1"/>
      <c r="E58" s="1"/>
    </row>
    <row r="59" spans="4:5" ht="12.75">
      <c r="D59" s="1"/>
      <c r="E59" s="1"/>
    </row>
    <row r="60" spans="1:5" ht="12.75">
      <c r="A60" s="52" t="s">
        <v>9</v>
      </c>
      <c r="B60" s="104" t="s">
        <v>85</v>
      </c>
      <c r="D60" s="1"/>
      <c r="E60" s="1"/>
    </row>
    <row r="61" spans="1:5" ht="12.75">
      <c r="A61" s="104"/>
      <c r="B61" s="52" t="s">
        <v>86</v>
      </c>
      <c r="D61" s="26"/>
      <c r="E61" s="1"/>
    </row>
    <row r="62" spans="1:5" ht="12.75">
      <c r="A62" s="52"/>
      <c r="B62" s="52" t="s">
        <v>87</v>
      </c>
      <c r="D62" s="26"/>
      <c r="E62" s="1"/>
    </row>
    <row r="63" spans="1:5" ht="12.75">
      <c r="A63" s="52"/>
      <c r="B63" s="52" t="s">
        <v>88</v>
      </c>
      <c r="D63" s="26"/>
      <c r="E63" s="1"/>
    </row>
    <row r="64" spans="1:5" ht="12.75">
      <c r="A64" s="52"/>
      <c r="B64" s="52" t="s">
        <v>89</v>
      </c>
      <c r="D64" s="26"/>
      <c r="E64" s="1"/>
    </row>
    <row r="65" spans="1:5" ht="12.75">
      <c r="A65" s="52"/>
      <c r="B65" s="52" t="s">
        <v>90</v>
      </c>
      <c r="D65" s="26"/>
      <c r="E65" s="1"/>
    </row>
    <row r="66" spans="1:5" ht="12.75">
      <c r="A66" s="52"/>
      <c r="B66" s="52" t="s">
        <v>91</v>
      </c>
      <c r="D66" s="26"/>
      <c r="E66" s="1"/>
    </row>
    <row r="67" spans="1:5" ht="12.75">
      <c r="A67" s="52"/>
      <c r="B67" s="52" t="s">
        <v>92</v>
      </c>
      <c r="D67" s="26"/>
      <c r="E67" s="1"/>
    </row>
    <row r="68" spans="1:5" ht="13.5" thickBot="1">
      <c r="A68" s="52"/>
      <c r="B68" s="52" t="s">
        <v>93</v>
      </c>
      <c r="D68" s="27"/>
      <c r="E68" s="28">
        <f>SUM($D$61:$D$68)</f>
        <v>0</v>
      </c>
    </row>
    <row r="69" spans="1:5" ht="12.75">
      <c r="A69" s="52"/>
      <c r="B69" s="52"/>
      <c r="D69" s="1"/>
      <c r="E69" s="1"/>
    </row>
    <row r="70" spans="1:5" ht="12.75">
      <c r="A70" s="52" t="s">
        <v>10</v>
      </c>
      <c r="B70" s="52" t="s">
        <v>94</v>
      </c>
      <c r="E70" s="17"/>
    </row>
    <row r="71" spans="1:5" ht="12.75">
      <c r="A71" s="104" t="s">
        <v>11</v>
      </c>
      <c r="B71" s="52" t="s">
        <v>95</v>
      </c>
      <c r="E71" s="29"/>
    </row>
    <row r="72" spans="1:5" ht="12.75">
      <c r="A72" s="104"/>
      <c r="B72" s="52"/>
      <c r="E72" s="1"/>
    </row>
    <row r="73" spans="1:5" ht="12.75">
      <c r="A73" s="52" t="s">
        <v>12</v>
      </c>
      <c r="B73" s="52" t="s">
        <v>96</v>
      </c>
      <c r="E73" s="1"/>
    </row>
    <row r="74" spans="1:5" ht="12.75">
      <c r="A74" s="104"/>
      <c r="B74" s="52" t="s">
        <v>75</v>
      </c>
      <c r="D74" s="15">
        <f>D26</f>
        <v>0</v>
      </c>
      <c r="E74" s="1"/>
    </row>
    <row r="75" spans="1:5" ht="12.75">
      <c r="A75" s="104"/>
      <c r="B75" s="52" t="s">
        <v>32</v>
      </c>
      <c r="D75" s="41">
        <f>E22</f>
        <v>0</v>
      </c>
      <c r="E75" s="18">
        <f>D75+D74</f>
        <v>0</v>
      </c>
    </row>
    <row r="76" spans="1:5" ht="12.75">
      <c r="A76" s="104"/>
      <c r="B76" s="52" t="s">
        <v>97</v>
      </c>
      <c r="E76" s="18" t="e">
        <f>(1000*E75)/E71</f>
        <v>#DIV/0!</v>
      </c>
    </row>
    <row r="77" spans="1:5" ht="12.75">
      <c r="A77" s="104"/>
      <c r="B77" s="52"/>
      <c r="E77" s="1"/>
    </row>
    <row r="78" ht="12.75">
      <c r="B78" s="52"/>
    </row>
    <row r="79" spans="1:5" ht="12.75">
      <c r="A79" s="107" t="s">
        <v>117</v>
      </c>
      <c r="B79" s="52"/>
      <c r="D79" s="1"/>
      <c r="E79" s="1"/>
    </row>
    <row r="80" spans="1:6" ht="12.75">
      <c r="A80" s="110" t="s">
        <v>51</v>
      </c>
      <c r="B80" s="111"/>
      <c r="C80" s="118" t="s">
        <v>115</v>
      </c>
      <c r="D80" s="118"/>
      <c r="E80" s="118" t="s">
        <v>116</v>
      </c>
      <c r="F80" s="118"/>
    </row>
    <row r="81" spans="1:5" ht="12.75">
      <c r="A81" s="52"/>
      <c r="B81" s="52" t="s">
        <v>103</v>
      </c>
      <c r="C81" s="30"/>
      <c r="E81" s="30"/>
    </row>
    <row r="82" spans="2:5" ht="12.75">
      <c r="B82" s="52" t="s">
        <v>104</v>
      </c>
      <c r="C82" s="30"/>
      <c r="E82" s="30"/>
    </row>
    <row r="83" spans="1:6" ht="12.75">
      <c r="A83" s="52"/>
      <c r="B83" s="52" t="s">
        <v>105</v>
      </c>
      <c r="C83" s="30"/>
      <c r="D83" s="53">
        <f>SUM(C81:C83)</f>
        <v>0</v>
      </c>
      <c r="E83" s="30"/>
      <c r="F83" s="53">
        <f>SUM(E81:E83)</f>
        <v>0</v>
      </c>
    </row>
    <row r="84" spans="1:2" ht="12.75">
      <c r="A84" s="52" t="s">
        <v>52</v>
      </c>
      <c r="B84" s="52"/>
    </row>
    <row r="85" spans="1:5" ht="12.75">
      <c r="A85" s="52"/>
      <c r="B85" s="52" t="s">
        <v>103</v>
      </c>
      <c r="C85" s="30"/>
      <c r="E85" s="30"/>
    </row>
    <row r="86" spans="1:5" ht="12.75">
      <c r="A86" s="52"/>
      <c r="B86" s="52" t="s">
        <v>104</v>
      </c>
      <c r="C86" s="30"/>
      <c r="D86" s="52"/>
      <c r="E86" s="30"/>
    </row>
    <row r="87" spans="1:6" ht="12.75">
      <c r="A87" s="52"/>
      <c r="B87" s="52" t="s">
        <v>105</v>
      </c>
      <c r="C87" s="30"/>
      <c r="D87" s="53">
        <f>SUM(C85:C87)</f>
        <v>0</v>
      </c>
      <c r="E87" s="30"/>
      <c r="F87" s="53">
        <f>SUM(E85:E87)</f>
        <v>0</v>
      </c>
    </row>
    <row r="88" spans="1:6" ht="12.75">
      <c r="A88" s="52" t="s">
        <v>53</v>
      </c>
      <c r="B88" s="52"/>
      <c r="D88" s="54">
        <f>D83-D87</f>
        <v>0</v>
      </c>
      <c r="F88" s="54">
        <f>F83-F87</f>
        <v>0</v>
      </c>
    </row>
    <row r="89" spans="1:6" ht="12.75">
      <c r="A89" s="52" t="s">
        <v>54</v>
      </c>
      <c r="B89" s="52"/>
      <c r="D89" s="30"/>
      <c r="F89" s="30"/>
    </row>
    <row r="90" spans="1:6" ht="12.75">
      <c r="A90" s="52" t="s">
        <v>55</v>
      </c>
      <c r="B90" s="52"/>
      <c r="D90" s="30"/>
      <c r="F90" s="55"/>
    </row>
    <row r="91" spans="1:6" ht="13.5" thickBot="1">
      <c r="A91" s="52" t="s">
        <v>56</v>
      </c>
      <c r="B91" s="52"/>
      <c r="D91" s="30"/>
      <c r="F91" s="30"/>
    </row>
    <row r="92" spans="1:6" ht="13.5" thickBot="1">
      <c r="A92" s="52" t="s">
        <v>57</v>
      </c>
      <c r="B92" s="52"/>
      <c r="D92" s="16">
        <f>D88-D89-D90-D91</f>
        <v>0</v>
      </c>
      <c r="F92" s="16">
        <f>F88-F89-F91</f>
        <v>0</v>
      </c>
    </row>
    <row r="93" spans="1:6" ht="12.75">
      <c r="A93" s="108" t="s">
        <v>58</v>
      </c>
      <c r="B93" s="52"/>
      <c r="D93" s="56"/>
      <c r="F93" s="47"/>
    </row>
    <row r="94" spans="1:6" ht="12.75">
      <c r="A94" s="52" t="s">
        <v>106</v>
      </c>
      <c r="B94" s="52"/>
      <c r="D94" s="57">
        <f>IF(D$83&gt;0,MIN(MAX((D$87+D$89+D$90+D$91)/D$83,0.9),1),0)</f>
        <v>0</v>
      </c>
      <c r="F94" s="58">
        <f>IF(F$83&gt;0,MIN((F$87+F$89+F$90+F$91)/F$83,1),0)</f>
        <v>0</v>
      </c>
    </row>
    <row r="95" spans="1:2" ht="12.75">
      <c r="A95" s="52"/>
      <c r="B95" s="52"/>
    </row>
    <row r="96" spans="1:2" ht="12.75">
      <c r="A96" s="52" t="s">
        <v>59</v>
      </c>
      <c r="B96" s="52"/>
    </row>
    <row r="97" spans="1:5" ht="12.75">
      <c r="A97" s="52"/>
      <c r="B97" s="52" t="s">
        <v>107</v>
      </c>
      <c r="D97" s="53">
        <f>D92</f>
        <v>0</v>
      </c>
      <c r="E97" s="58">
        <f>IF($D$83&gt;0,D97/$D$83,0)</f>
        <v>0</v>
      </c>
    </row>
    <row r="98" spans="1:5" ht="13.5" thickBot="1">
      <c r="A98" s="52"/>
      <c r="B98" s="52" t="s">
        <v>108</v>
      </c>
      <c r="D98" s="53">
        <f>F92</f>
        <v>0</v>
      </c>
      <c r="E98" s="58">
        <f>IF($F$83&gt;0,D98/$F$83,0)</f>
        <v>0</v>
      </c>
    </row>
    <row r="99" spans="1:4" ht="13.5" thickBot="1">
      <c r="A99" s="52"/>
      <c r="B99" s="52" t="s">
        <v>113</v>
      </c>
      <c r="D99" s="31">
        <f>D98+D97</f>
        <v>0</v>
      </c>
    </row>
    <row r="100" ht="12.75">
      <c r="D100">
        <f>IF(ABS($E$32-$D$99)&lt;2,"","&lt;&gt; Pos. 411e ("&amp;TEXT($F$33,"#'##0")&amp;") ?")</f>
      </c>
    </row>
  </sheetData>
  <sheetProtection/>
  <mergeCells count="2">
    <mergeCell ref="C80:D80"/>
    <mergeCell ref="E80:F80"/>
  </mergeCells>
  <conditionalFormatting sqref="D99">
    <cfRule type="expression" priority="1" dxfId="0" stopIfTrue="1">
      <formula>IF(D$100="",0,1)</formula>
    </cfRule>
  </conditionalFormatting>
  <conditionalFormatting sqref="D94">
    <cfRule type="expression" priority="2" dxfId="2" stopIfTrue="1">
      <formula>IF($B$94=0,0,1)</formula>
    </cfRule>
  </conditionalFormatting>
  <conditionalFormatting sqref="E47">
    <cfRule type="expression" priority="3" dxfId="0" stopIfTrue="1">
      <formula>IF(#REF!="",0,1)</formula>
    </cfRule>
  </conditionalFormatting>
  <printOptions/>
  <pageMargins left="0.42" right="0.31" top="1" bottom="1" header="0.4921259845" footer="0.492125984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7">
    <tabColor indexed="13"/>
  </sheetPr>
  <dimension ref="A1:BF97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2.28125" style="0" customWidth="1"/>
    <col min="4" max="4" width="12.7109375" style="0" bestFit="1" customWidth="1"/>
    <col min="5" max="5" width="13.28125" style="0" bestFit="1" customWidth="1"/>
    <col min="6" max="7" width="11.7109375" style="0" customWidth="1"/>
    <col min="8" max="8" width="11.57421875" style="0" bestFit="1" customWidth="1"/>
    <col min="9" max="9" width="13.28125" style="0" bestFit="1" customWidth="1"/>
    <col min="10" max="11" width="11.7109375" style="0" customWidth="1"/>
    <col min="12" max="12" width="13.421875" style="0" bestFit="1" customWidth="1"/>
    <col min="13" max="13" width="14.421875" style="0" bestFit="1" customWidth="1"/>
    <col min="14" max="15" width="11.7109375" style="0" customWidth="1"/>
    <col min="16" max="16" width="11.57421875" style="0" bestFit="1" customWidth="1"/>
    <col min="17" max="17" width="13.28125" style="0" bestFit="1" customWidth="1"/>
    <col min="18" max="19" width="11.7109375" style="0" customWidth="1"/>
    <col min="20" max="20" width="13.00390625" style="0" bestFit="1" customWidth="1"/>
    <col min="21" max="21" width="13.421875" style="0" bestFit="1" customWidth="1"/>
    <col min="22" max="23" width="11.7109375" style="0" customWidth="1"/>
    <col min="24" max="24" width="12.57421875" style="0" bestFit="1" customWidth="1"/>
    <col min="25" max="25" width="13.28125" style="0" bestFit="1" customWidth="1"/>
    <col min="26" max="27" width="11.7109375" style="0" customWidth="1"/>
    <col min="28" max="28" width="12.7109375" style="0" customWidth="1"/>
    <col min="29" max="29" width="13.28125" style="0" bestFit="1" customWidth="1"/>
    <col min="30" max="31" width="11.7109375" style="0" customWidth="1"/>
    <col min="32" max="32" width="13.00390625" style="0" bestFit="1" customWidth="1"/>
    <col min="33" max="33" width="13.421875" style="0" bestFit="1" customWidth="1"/>
    <col min="36" max="36" width="11.57421875" style="0" bestFit="1" customWidth="1"/>
    <col min="37" max="37" width="13.28125" style="0" bestFit="1" customWidth="1"/>
    <col min="40" max="40" width="14.7109375" style="0" bestFit="1" customWidth="1"/>
    <col min="41" max="41" width="14.421875" style="0" bestFit="1" customWidth="1"/>
    <col min="44" max="44" width="14.421875" style="0" bestFit="1" customWidth="1"/>
    <col min="45" max="45" width="14.140625" style="0" bestFit="1" customWidth="1"/>
    <col min="47" max="50" width="11.28125" style="0" customWidth="1"/>
    <col min="52" max="52" width="13.421875" style="0" bestFit="1" customWidth="1"/>
    <col min="53" max="53" width="14.421875" style="0" bestFit="1" customWidth="1"/>
    <col min="56" max="57" width="15.28125" style="0" customWidth="1"/>
  </cols>
  <sheetData>
    <row r="1" spans="1:32" ht="12.75">
      <c r="A1" s="101" t="s">
        <v>70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ht="12.75">
      <c r="A2" s="52" t="s">
        <v>71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58" ht="13.5" thickBot="1">
      <c r="A3" s="48" t="s">
        <v>112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BC3" s="40"/>
      <c r="BD3" s="40"/>
      <c r="BE3" s="40"/>
      <c r="BF3" s="40"/>
    </row>
    <row r="4" spans="1:58" ht="13.5" thickBot="1">
      <c r="A4" s="47"/>
      <c r="B4" s="43"/>
      <c r="C4" s="124" t="s">
        <v>25</v>
      </c>
      <c r="D4" s="125"/>
      <c r="E4" s="125"/>
      <c r="F4" s="126"/>
      <c r="G4" s="124" t="s">
        <v>19</v>
      </c>
      <c r="H4" s="125"/>
      <c r="I4" s="125"/>
      <c r="J4" s="126"/>
      <c r="K4" s="124" t="s">
        <v>20</v>
      </c>
      <c r="L4" s="125"/>
      <c r="M4" s="125"/>
      <c r="N4" s="126"/>
      <c r="O4" s="124" t="s">
        <v>21</v>
      </c>
      <c r="P4" s="125"/>
      <c r="Q4" s="125"/>
      <c r="R4" s="126"/>
      <c r="S4" s="124" t="s">
        <v>24</v>
      </c>
      <c r="T4" s="125"/>
      <c r="U4" s="125"/>
      <c r="V4" s="126"/>
      <c r="W4" s="124" t="s">
        <v>16</v>
      </c>
      <c r="X4" s="125"/>
      <c r="Y4" s="125"/>
      <c r="Z4" s="126"/>
      <c r="AA4" s="124" t="s">
        <v>27</v>
      </c>
      <c r="AB4" s="125"/>
      <c r="AC4" s="125"/>
      <c r="AD4" s="126"/>
      <c r="AE4" s="124" t="s">
        <v>13</v>
      </c>
      <c r="AF4" s="125"/>
      <c r="AG4" s="125"/>
      <c r="AH4" s="126"/>
      <c r="AI4" s="124" t="s">
        <v>17</v>
      </c>
      <c r="AJ4" s="125"/>
      <c r="AK4" s="125"/>
      <c r="AL4" s="126"/>
      <c r="AM4" s="124" t="s">
        <v>15</v>
      </c>
      <c r="AN4" s="125"/>
      <c r="AO4" s="125"/>
      <c r="AP4" s="126"/>
      <c r="AQ4" s="124" t="s">
        <v>22</v>
      </c>
      <c r="AR4" s="125"/>
      <c r="AS4" s="125"/>
      <c r="AT4" s="126"/>
      <c r="AU4" s="124" t="s">
        <v>14</v>
      </c>
      <c r="AV4" s="125"/>
      <c r="AW4" s="125"/>
      <c r="AX4" s="126"/>
      <c r="AY4" s="124" t="s">
        <v>26</v>
      </c>
      <c r="AZ4" s="125"/>
      <c r="BA4" s="125"/>
      <c r="BB4" s="125"/>
      <c r="BC4" s="121" t="s">
        <v>114</v>
      </c>
      <c r="BD4" s="122"/>
      <c r="BE4" s="122"/>
      <c r="BF4" s="123"/>
    </row>
    <row r="5" spans="1:58" ht="12.75">
      <c r="A5" s="52" t="s">
        <v>69</v>
      </c>
      <c r="B5" s="43"/>
      <c r="C5" s="44"/>
      <c r="D5" s="84"/>
      <c r="E5" s="84"/>
      <c r="F5" s="63"/>
      <c r="G5" s="44"/>
      <c r="H5" s="84"/>
      <c r="I5" s="84"/>
      <c r="J5" s="63"/>
      <c r="K5" s="44"/>
      <c r="L5" s="84"/>
      <c r="M5" s="84"/>
      <c r="N5" s="63"/>
      <c r="O5" s="44"/>
      <c r="P5" s="84"/>
      <c r="Q5" s="84"/>
      <c r="R5" s="63"/>
      <c r="S5" s="44"/>
      <c r="T5" s="84"/>
      <c r="U5" s="84"/>
      <c r="V5" s="63"/>
      <c r="W5" s="44"/>
      <c r="X5" s="84"/>
      <c r="Y5" s="84"/>
      <c r="Z5" s="63"/>
      <c r="AA5" s="44"/>
      <c r="AB5" s="84"/>
      <c r="AC5" s="84"/>
      <c r="AD5" s="63"/>
      <c r="AE5" s="44"/>
      <c r="AF5" s="84"/>
      <c r="AG5" s="84"/>
      <c r="AH5" s="63"/>
      <c r="AI5" s="44"/>
      <c r="AJ5" s="84"/>
      <c r="AK5" s="84"/>
      <c r="AL5" s="63"/>
      <c r="AM5" s="44"/>
      <c r="AN5" s="84"/>
      <c r="AO5" s="84"/>
      <c r="AP5" s="63"/>
      <c r="AQ5" s="44"/>
      <c r="AR5" s="84"/>
      <c r="AS5" s="84"/>
      <c r="AT5" s="63"/>
      <c r="AU5" s="44"/>
      <c r="AV5" s="84"/>
      <c r="AW5" s="84"/>
      <c r="AX5" s="63"/>
      <c r="AY5" s="44"/>
      <c r="AZ5" s="84"/>
      <c r="BA5" s="84"/>
      <c r="BB5" s="84"/>
      <c r="BC5" s="70"/>
      <c r="BD5" s="40"/>
      <c r="BE5" s="40"/>
      <c r="BF5" s="35"/>
    </row>
    <row r="6" spans="1:58" ht="12.75">
      <c r="A6" s="47"/>
      <c r="B6" s="43"/>
      <c r="C6" s="45"/>
      <c r="D6" s="66" t="s">
        <v>78</v>
      </c>
      <c r="E6" s="66" t="s">
        <v>79</v>
      </c>
      <c r="F6" s="64"/>
      <c r="G6" s="45"/>
      <c r="H6" s="66" t="s">
        <v>78</v>
      </c>
      <c r="I6" s="66" t="s">
        <v>79</v>
      </c>
      <c r="J6" s="64"/>
      <c r="K6" s="45"/>
      <c r="L6" s="66" t="s">
        <v>78</v>
      </c>
      <c r="M6" s="66" t="s">
        <v>79</v>
      </c>
      <c r="N6" s="64"/>
      <c r="O6" s="45"/>
      <c r="P6" s="66" t="s">
        <v>78</v>
      </c>
      <c r="Q6" s="66" t="s">
        <v>79</v>
      </c>
      <c r="R6" s="64"/>
      <c r="S6" s="45"/>
      <c r="T6" s="66" t="s">
        <v>78</v>
      </c>
      <c r="U6" s="66" t="s">
        <v>79</v>
      </c>
      <c r="V6" s="64"/>
      <c r="W6" s="45"/>
      <c r="X6" s="66" t="s">
        <v>78</v>
      </c>
      <c r="Y6" s="66" t="s">
        <v>79</v>
      </c>
      <c r="Z6" s="64"/>
      <c r="AA6" s="45"/>
      <c r="AB6" s="66" t="s">
        <v>78</v>
      </c>
      <c r="AC6" s="66" t="s">
        <v>79</v>
      </c>
      <c r="AD6" s="64"/>
      <c r="AE6" s="45"/>
      <c r="AF6" s="66" t="s">
        <v>78</v>
      </c>
      <c r="AG6" s="66" t="s">
        <v>79</v>
      </c>
      <c r="AH6" s="64"/>
      <c r="AI6" s="45"/>
      <c r="AJ6" s="66" t="s">
        <v>78</v>
      </c>
      <c r="AK6" s="66" t="s">
        <v>79</v>
      </c>
      <c r="AL6" s="64"/>
      <c r="AM6" s="45"/>
      <c r="AN6" s="66" t="s">
        <v>78</v>
      </c>
      <c r="AO6" s="66" t="s">
        <v>79</v>
      </c>
      <c r="AP6" s="64"/>
      <c r="AQ6" s="45"/>
      <c r="AR6" s="66" t="s">
        <v>78</v>
      </c>
      <c r="AS6" s="66" t="s">
        <v>79</v>
      </c>
      <c r="AT6" s="64"/>
      <c r="AU6" s="45"/>
      <c r="AV6" s="66" t="s">
        <v>78</v>
      </c>
      <c r="AW6" s="66" t="s">
        <v>79</v>
      </c>
      <c r="AX6" s="64"/>
      <c r="AY6" s="45"/>
      <c r="AZ6" s="66" t="s">
        <v>78</v>
      </c>
      <c r="BA6" s="66" t="s">
        <v>79</v>
      </c>
      <c r="BB6" s="47"/>
      <c r="BC6" s="45"/>
      <c r="BD6" s="66" t="s">
        <v>78</v>
      </c>
      <c r="BE6" s="66" t="s">
        <v>79</v>
      </c>
      <c r="BF6" s="35"/>
    </row>
    <row r="7" spans="1:58" ht="12.75">
      <c r="A7" s="102" t="s">
        <v>28</v>
      </c>
      <c r="B7" s="52"/>
      <c r="C7" s="45"/>
      <c r="D7" s="47"/>
      <c r="E7" s="47"/>
      <c r="F7" s="64"/>
      <c r="G7" s="45"/>
      <c r="H7" s="47"/>
      <c r="I7" s="47"/>
      <c r="J7" s="64"/>
      <c r="K7" s="45"/>
      <c r="L7" s="47"/>
      <c r="M7" s="47"/>
      <c r="N7" s="64"/>
      <c r="O7" s="45"/>
      <c r="P7" s="47"/>
      <c r="Q7" s="47"/>
      <c r="R7" s="64"/>
      <c r="S7" s="45"/>
      <c r="T7" s="47"/>
      <c r="U7" s="47"/>
      <c r="V7" s="64"/>
      <c r="W7" s="45"/>
      <c r="X7" s="47"/>
      <c r="Y7" s="47"/>
      <c r="Z7" s="64"/>
      <c r="AA7" s="45"/>
      <c r="AB7" s="47"/>
      <c r="AC7" s="47"/>
      <c r="AD7" s="64"/>
      <c r="AE7" s="45"/>
      <c r="AF7" s="47"/>
      <c r="AG7" s="47"/>
      <c r="AH7" s="64"/>
      <c r="AI7" s="45"/>
      <c r="AJ7" s="47"/>
      <c r="AK7" s="47"/>
      <c r="AL7" s="64"/>
      <c r="AM7" s="45"/>
      <c r="AN7" s="47"/>
      <c r="AO7" s="47"/>
      <c r="AP7" s="64"/>
      <c r="AQ7" s="45"/>
      <c r="AR7" s="47"/>
      <c r="AS7" s="47"/>
      <c r="AT7" s="64"/>
      <c r="AU7" s="45"/>
      <c r="AV7" s="47"/>
      <c r="AW7" s="47"/>
      <c r="AX7" s="64"/>
      <c r="AY7" s="45"/>
      <c r="AZ7" s="47"/>
      <c r="BA7" s="47"/>
      <c r="BB7" s="47"/>
      <c r="BC7" s="70"/>
      <c r="BD7" s="40"/>
      <c r="BE7" s="40"/>
      <c r="BF7" s="35"/>
    </row>
    <row r="8" spans="1:58" ht="13.5" thickBot="1">
      <c r="A8" s="52" t="s">
        <v>29</v>
      </c>
      <c r="B8" s="52"/>
      <c r="C8" s="85"/>
      <c r="D8" s="88"/>
      <c r="E8" s="88"/>
      <c r="F8" s="87"/>
      <c r="G8" s="46"/>
      <c r="J8" s="65"/>
      <c r="K8" s="85"/>
      <c r="N8" s="87"/>
      <c r="O8" s="85"/>
      <c r="R8" s="87"/>
      <c r="S8" s="85"/>
      <c r="V8" s="87"/>
      <c r="W8" s="85"/>
      <c r="Z8" s="87"/>
      <c r="AA8" s="85"/>
      <c r="AD8" s="87"/>
      <c r="AE8" s="85"/>
      <c r="AH8" s="87"/>
      <c r="AI8" s="85"/>
      <c r="AL8" s="87"/>
      <c r="AM8" s="85"/>
      <c r="AP8" s="87"/>
      <c r="AQ8" s="85"/>
      <c r="AT8" s="87"/>
      <c r="AU8" s="85"/>
      <c r="AX8" s="87"/>
      <c r="AY8" s="85"/>
      <c r="BB8" s="86"/>
      <c r="BC8" s="79"/>
      <c r="BD8" s="42"/>
      <c r="BE8" s="42"/>
      <c r="BF8" s="38"/>
    </row>
    <row r="9" spans="1:58" ht="12.75">
      <c r="A9" s="52"/>
      <c r="B9" s="52" t="s">
        <v>60</v>
      </c>
      <c r="C9" s="70"/>
      <c r="D9" s="3">
        <f>E11-D10-D11</f>
        <v>810161.4862794187</v>
      </c>
      <c r="E9" s="1"/>
      <c r="F9" s="35"/>
      <c r="G9" s="67"/>
      <c r="H9" s="68">
        <f>I11-H10-H11</f>
        <v>63363.152139999605</v>
      </c>
      <c r="I9" s="69"/>
      <c r="J9" s="34"/>
      <c r="K9" s="67"/>
      <c r="L9" s="68">
        <f>M11-L10-L11</f>
        <v>1428145</v>
      </c>
      <c r="M9" s="69"/>
      <c r="N9" s="34"/>
      <c r="O9" s="67"/>
      <c r="P9" s="68">
        <f>Q11-P10-P11</f>
        <v>28302.870315149485</v>
      </c>
      <c r="Q9" s="69"/>
      <c r="R9" s="34"/>
      <c r="S9" s="67"/>
      <c r="T9" s="68">
        <f>U11-T10-T11</f>
        <v>1208123.0655816647</v>
      </c>
      <c r="U9" s="69"/>
      <c r="V9" s="34"/>
      <c r="W9" s="67"/>
      <c r="X9" s="68">
        <f>Y11-X10-X11</f>
        <v>89367.20000000001</v>
      </c>
      <c r="Y9" s="69"/>
      <c r="Z9" s="34"/>
      <c r="AA9" s="67"/>
      <c r="AB9" s="68">
        <f>AC11-AB10-AB11</f>
        <v>184116</v>
      </c>
      <c r="AC9" s="69"/>
      <c r="AD9" s="34"/>
      <c r="AE9" s="67"/>
      <c r="AF9" s="68">
        <f>AG11-AF10-AF11</f>
        <v>415568</v>
      </c>
      <c r="AG9" s="69"/>
      <c r="AH9" s="34"/>
      <c r="AI9" s="67"/>
      <c r="AJ9" s="68">
        <f>AK11-AJ10-AJ11</f>
        <v>15699</v>
      </c>
      <c r="AK9" s="69"/>
      <c r="AL9" s="34"/>
      <c r="AM9" s="67"/>
      <c r="AN9" s="68">
        <f>AO11-AN10-AN11</f>
        <v>4909855.60348</v>
      </c>
      <c r="AO9" s="69"/>
      <c r="AP9" s="34"/>
      <c r="AQ9" s="67"/>
      <c r="AR9" s="68">
        <f>AS11-AR10-AR11</f>
        <v>5349103</v>
      </c>
      <c r="AS9" s="69"/>
      <c r="AT9" s="34"/>
      <c r="AU9" s="67"/>
      <c r="AV9" s="68">
        <f>AW11-AV10-AV11</f>
        <v>11936.8434</v>
      </c>
      <c r="AW9" s="69"/>
      <c r="AX9" s="34"/>
      <c r="AY9" s="67"/>
      <c r="AZ9" s="68">
        <f>BA11-AZ10-AZ11</f>
        <v>1050452.427</v>
      </c>
      <c r="BA9" s="69"/>
      <c r="BB9" s="39"/>
      <c r="BC9" s="98"/>
      <c r="BD9" s="68">
        <f>BE11-BD10-BD11</f>
        <v>15564193.648196233</v>
      </c>
      <c r="BE9" s="69"/>
      <c r="BF9" s="99"/>
    </row>
    <row r="10" spans="1:58" ht="12.75">
      <c r="A10" s="52"/>
      <c r="B10" s="52" t="s">
        <v>61</v>
      </c>
      <c r="C10" s="70"/>
      <c r="D10" s="5">
        <f>'Allianz Suisse'!$D$12</f>
        <v>138110.212729953</v>
      </c>
      <c r="E10" s="1"/>
      <c r="F10" s="35"/>
      <c r="G10" s="70"/>
      <c r="H10" s="5">
        <f>Axa!$D$12</f>
        <v>5918.938680677163</v>
      </c>
      <c r="I10" s="11"/>
      <c r="J10" s="35"/>
      <c r="K10" s="70"/>
      <c r="L10" s="5">
        <f>Basler!$D$12</f>
        <v>220271</v>
      </c>
      <c r="M10" s="11"/>
      <c r="N10" s="35"/>
      <c r="O10" s="70"/>
      <c r="P10" s="5">
        <f>Generali!$D$12</f>
        <v>5011.606439220564</v>
      </c>
      <c r="Q10" s="11"/>
      <c r="R10" s="35"/>
      <c r="S10" s="70"/>
      <c r="T10" s="5">
        <f>Helvetia!$D$12</f>
        <v>265483.74919095624</v>
      </c>
      <c r="U10" s="11"/>
      <c r="V10" s="35"/>
      <c r="W10" s="70"/>
      <c r="X10" s="5">
        <f>Mobiliar!$D$12</f>
        <v>266235</v>
      </c>
      <c r="Y10" s="11"/>
      <c r="Z10" s="35"/>
      <c r="AA10" s="70"/>
      <c r="AB10" s="5">
        <f>Nationale!$D$12</f>
        <v>30303</v>
      </c>
      <c r="AC10" s="11"/>
      <c r="AD10" s="35"/>
      <c r="AE10" s="70"/>
      <c r="AF10" s="5">
        <f>Pax!$D$12</f>
        <v>55568</v>
      </c>
      <c r="AG10" s="11"/>
      <c r="AH10" s="35"/>
      <c r="AI10" s="70"/>
      <c r="AJ10" s="5">
        <f>Phenix!$D$12</f>
        <v>2167</v>
      </c>
      <c r="AK10" s="11"/>
      <c r="AL10" s="35"/>
      <c r="AM10" s="70"/>
      <c r="AN10" s="5">
        <f>Rentenanstalt!$D$12</f>
        <v>858305.7849999999</v>
      </c>
      <c r="AO10" s="11"/>
      <c r="AP10" s="35"/>
      <c r="AQ10" s="70"/>
      <c r="AR10" s="5">
        <f>Winterthur!$D$12</f>
        <v>827551</v>
      </c>
      <c r="AS10" s="11"/>
      <c r="AT10" s="35"/>
      <c r="AU10" s="70"/>
      <c r="AV10" s="5">
        <f>Zenith!$D$12</f>
        <v>2743.673099999999</v>
      </c>
      <c r="AW10" s="11"/>
      <c r="AX10" s="35"/>
      <c r="AY10" s="70"/>
      <c r="AZ10" s="5">
        <f>Zuerich!$D$12</f>
        <v>358088.374</v>
      </c>
      <c r="BA10" s="11"/>
      <c r="BB10" s="40"/>
      <c r="BC10" s="71"/>
      <c r="BD10" s="5">
        <f>AZ10+AV10+AR10+AN10+AJ10+AF10+AB10+X10+T10+P10+L10+H10+D10</f>
        <v>3035757.3391408073</v>
      </c>
      <c r="BE10" s="11"/>
      <c r="BF10" s="36"/>
    </row>
    <row r="11" spans="1:58" ht="13.5" thickBot="1">
      <c r="A11" s="52"/>
      <c r="B11" s="52" t="s">
        <v>62</v>
      </c>
      <c r="C11" s="70"/>
      <c r="D11" s="6">
        <f>'Allianz Suisse'!$D$13</f>
        <v>50012.6692506283</v>
      </c>
      <c r="E11" s="7">
        <f>'Allianz Suisse'!$E$13</f>
        <v>998284.36826</v>
      </c>
      <c r="F11" s="35"/>
      <c r="G11" s="70"/>
      <c r="H11" s="6">
        <f>Axa!$D$13</f>
        <v>2901.238749322837</v>
      </c>
      <c r="I11" s="7">
        <f>Axa!$E$13</f>
        <v>72183.32956999961</v>
      </c>
      <c r="J11" s="35"/>
      <c r="K11" s="70"/>
      <c r="L11" s="6">
        <f>Basler!$D$13</f>
        <v>77230</v>
      </c>
      <c r="M11" s="7">
        <f>Basler!$E$13</f>
        <v>1725646</v>
      </c>
      <c r="N11" s="35"/>
      <c r="O11" s="70"/>
      <c r="P11" s="6">
        <f>Generali!$D$13</f>
        <v>1814.9320456299447</v>
      </c>
      <c r="Q11" s="7">
        <f>Generali!$E$13</f>
        <v>35129.4088</v>
      </c>
      <c r="R11" s="35"/>
      <c r="S11" s="70"/>
      <c r="T11" s="6">
        <f>Helvetia!$D$13</f>
        <v>92662.0906073789</v>
      </c>
      <c r="U11" s="7">
        <f>Helvetia!$E$13</f>
        <v>1566268.9053799997</v>
      </c>
      <c r="V11" s="35"/>
      <c r="W11" s="70"/>
      <c r="X11" s="6">
        <f>Mobiliar!$D$13</f>
        <v>16859</v>
      </c>
      <c r="Y11" s="7">
        <f>Mobiliar!$E$13</f>
        <v>372461.2</v>
      </c>
      <c r="Z11" s="35"/>
      <c r="AA11" s="70"/>
      <c r="AB11" s="6">
        <f>Nationale!$D$13</f>
        <v>10120</v>
      </c>
      <c r="AC11" s="7">
        <f>Nationale!$E$13</f>
        <v>224539</v>
      </c>
      <c r="AD11" s="35"/>
      <c r="AE11" s="70"/>
      <c r="AF11" s="6">
        <f>Pax!$D$13</f>
        <v>22459</v>
      </c>
      <c r="AG11" s="7">
        <f>Pax!$E$13</f>
        <v>493595</v>
      </c>
      <c r="AH11" s="35"/>
      <c r="AI11" s="70"/>
      <c r="AJ11" s="6">
        <f>Phenix!$D$13</f>
        <v>727</v>
      </c>
      <c r="AK11" s="7">
        <f>Phenix!$E$13</f>
        <v>18593</v>
      </c>
      <c r="AL11" s="35"/>
      <c r="AM11" s="70"/>
      <c r="AN11" s="6">
        <f>Rentenanstalt!$D$13</f>
        <v>238908.07899999997</v>
      </c>
      <c r="AO11" s="7">
        <f>Rentenanstalt!$E$13</f>
        <v>6007069.46748</v>
      </c>
      <c r="AP11" s="35"/>
      <c r="AQ11" s="70"/>
      <c r="AR11" s="6">
        <f>Winterthur!$D$13</f>
        <v>205756</v>
      </c>
      <c r="AS11" s="7">
        <f>Winterthur!$E$13</f>
        <v>6382410</v>
      </c>
      <c r="AT11" s="35"/>
      <c r="AU11" s="70"/>
      <c r="AV11" s="6">
        <f>Zenith!$D$13</f>
        <v>225.1239</v>
      </c>
      <c r="AW11" s="7">
        <f>Zenith!$E$13</f>
        <v>14905.6404</v>
      </c>
      <c r="AX11" s="35"/>
      <c r="AY11" s="70"/>
      <c r="AZ11" s="6">
        <f>Zuerich!$D$13</f>
        <v>99902.199</v>
      </c>
      <c r="BA11" s="7">
        <f>Zuerich!$E$13</f>
        <v>1508443</v>
      </c>
      <c r="BB11" s="40"/>
      <c r="BC11" s="71"/>
      <c r="BD11" s="6">
        <f>AZ11+AV11+AR11+AN11+AJ11+AF11+AB11+X11+T11+P11+L11+H11+D11</f>
        <v>819577.3325529599</v>
      </c>
      <c r="BE11" s="7">
        <f>BA11+AW11+AS11+AO11+AK11+AG11+AC11+Y11+U11+Q11+M11+I11+E11</f>
        <v>19419528.31989</v>
      </c>
      <c r="BF11" s="35"/>
    </row>
    <row r="12" spans="1:58" ht="12.75">
      <c r="A12" s="52"/>
      <c r="B12" s="103" t="s">
        <v>63</v>
      </c>
      <c r="C12" s="70"/>
      <c r="D12" s="1"/>
      <c r="E12" s="1"/>
      <c r="F12" s="35"/>
      <c r="G12" s="70"/>
      <c r="H12" s="11"/>
      <c r="I12" s="11"/>
      <c r="J12" s="35"/>
      <c r="K12" s="70"/>
      <c r="L12" s="11"/>
      <c r="M12" s="11"/>
      <c r="N12" s="35"/>
      <c r="O12" s="70"/>
      <c r="P12" s="11"/>
      <c r="Q12" s="11"/>
      <c r="R12" s="35"/>
      <c r="S12" s="70"/>
      <c r="T12" s="11"/>
      <c r="U12" s="11"/>
      <c r="V12" s="35"/>
      <c r="W12" s="70"/>
      <c r="X12" s="11"/>
      <c r="Y12" s="11"/>
      <c r="Z12" s="35"/>
      <c r="AA12" s="70"/>
      <c r="AB12" s="11"/>
      <c r="AC12" s="11"/>
      <c r="AD12" s="35"/>
      <c r="AE12" s="70"/>
      <c r="AF12" s="11"/>
      <c r="AG12" s="11"/>
      <c r="AH12" s="35"/>
      <c r="AI12" s="70"/>
      <c r="AJ12" s="11"/>
      <c r="AK12" s="11"/>
      <c r="AL12" s="35"/>
      <c r="AM12" s="70"/>
      <c r="AN12" s="11"/>
      <c r="AO12" s="11"/>
      <c r="AP12" s="35"/>
      <c r="AQ12" s="70"/>
      <c r="AR12" s="11"/>
      <c r="AS12" s="11"/>
      <c r="AT12" s="35"/>
      <c r="AU12" s="70"/>
      <c r="AV12" s="11"/>
      <c r="AW12" s="11"/>
      <c r="AX12" s="35"/>
      <c r="AY12" s="70"/>
      <c r="AZ12" s="11"/>
      <c r="BA12" s="11"/>
      <c r="BB12" s="40"/>
      <c r="BC12" s="71"/>
      <c r="BD12" s="11"/>
      <c r="BE12" s="11"/>
      <c r="BF12" s="35"/>
    </row>
    <row r="13" spans="1:58" ht="22.5">
      <c r="A13" s="52"/>
      <c r="B13" s="109" t="s">
        <v>64</v>
      </c>
      <c r="C13" s="70"/>
      <c r="D13" s="1"/>
      <c r="E13" s="1"/>
      <c r="F13" s="35"/>
      <c r="G13" s="70"/>
      <c r="H13" s="11"/>
      <c r="I13" s="11"/>
      <c r="J13" s="35"/>
      <c r="K13" s="70"/>
      <c r="L13" s="11"/>
      <c r="M13" s="11"/>
      <c r="N13" s="35"/>
      <c r="O13" s="70"/>
      <c r="P13" s="11"/>
      <c r="Q13" s="11"/>
      <c r="R13" s="35"/>
      <c r="S13" s="70"/>
      <c r="T13" s="11"/>
      <c r="U13" s="11"/>
      <c r="V13" s="35"/>
      <c r="W13" s="70"/>
      <c r="X13" s="11"/>
      <c r="Y13" s="11"/>
      <c r="Z13" s="35"/>
      <c r="AA13" s="70"/>
      <c r="AB13" s="11"/>
      <c r="AC13" s="11"/>
      <c r="AD13" s="35"/>
      <c r="AE13" s="70"/>
      <c r="AF13" s="11"/>
      <c r="AG13" s="11"/>
      <c r="AH13" s="35"/>
      <c r="AI13" s="70"/>
      <c r="AJ13" s="11"/>
      <c r="AK13" s="11"/>
      <c r="AL13" s="35"/>
      <c r="AM13" s="70"/>
      <c r="AN13" s="11"/>
      <c r="AO13" s="11"/>
      <c r="AP13" s="35"/>
      <c r="AQ13" s="70"/>
      <c r="AR13" s="11"/>
      <c r="AS13" s="11"/>
      <c r="AT13" s="35"/>
      <c r="AU13" s="70"/>
      <c r="AV13" s="11"/>
      <c r="AW13" s="11"/>
      <c r="AX13" s="35"/>
      <c r="AY13" s="70"/>
      <c r="AZ13" s="11"/>
      <c r="BA13" s="11"/>
      <c r="BB13" s="40"/>
      <c r="BC13" s="71"/>
      <c r="BD13" s="11"/>
      <c r="BE13" s="11"/>
      <c r="BF13" s="35"/>
    </row>
    <row r="14" spans="1:58" ht="12.75">
      <c r="A14" s="52" t="s">
        <v>30</v>
      </c>
      <c r="B14" s="52"/>
      <c r="C14" s="70"/>
      <c r="D14" s="1"/>
      <c r="E14" s="1"/>
      <c r="F14" s="35"/>
      <c r="G14" s="70"/>
      <c r="H14" s="11"/>
      <c r="I14" s="11"/>
      <c r="J14" s="35"/>
      <c r="K14" s="70"/>
      <c r="L14" s="11"/>
      <c r="M14" s="11"/>
      <c r="N14" s="35"/>
      <c r="O14" s="70"/>
      <c r="P14" s="11"/>
      <c r="Q14" s="11"/>
      <c r="R14" s="35"/>
      <c r="S14" s="70"/>
      <c r="T14" s="11"/>
      <c r="U14" s="11"/>
      <c r="V14" s="35"/>
      <c r="W14" s="70"/>
      <c r="X14" s="11"/>
      <c r="Y14" s="11"/>
      <c r="Z14" s="35"/>
      <c r="AA14" s="70"/>
      <c r="AB14" s="11"/>
      <c r="AC14" s="11"/>
      <c r="AD14" s="35"/>
      <c r="AE14" s="70"/>
      <c r="AF14" s="11"/>
      <c r="AG14" s="11"/>
      <c r="AH14" s="35"/>
      <c r="AI14" s="70"/>
      <c r="AJ14" s="11"/>
      <c r="AK14" s="11"/>
      <c r="AL14" s="35"/>
      <c r="AM14" s="70"/>
      <c r="AN14" s="11"/>
      <c r="AO14" s="11"/>
      <c r="AP14" s="35"/>
      <c r="AQ14" s="70"/>
      <c r="AR14" s="11"/>
      <c r="AS14" s="11"/>
      <c r="AT14" s="35"/>
      <c r="AU14" s="70"/>
      <c r="AV14" s="11"/>
      <c r="AW14" s="11"/>
      <c r="AX14" s="35"/>
      <c r="AY14" s="70"/>
      <c r="AZ14" s="11"/>
      <c r="BA14" s="11"/>
      <c r="BB14" s="40"/>
      <c r="BC14" s="71"/>
      <c r="BD14" s="11"/>
      <c r="BE14" s="11"/>
      <c r="BF14" s="35"/>
    </row>
    <row r="15" spans="1:58" ht="12.75">
      <c r="A15" s="52"/>
      <c r="B15" s="52" t="s">
        <v>65</v>
      </c>
      <c r="C15" s="70"/>
      <c r="D15" s="8">
        <f>'Allianz Suisse'!$D$17</f>
        <v>207747.04844</v>
      </c>
      <c r="E15" s="1"/>
      <c r="F15" s="35"/>
      <c r="G15" s="70"/>
      <c r="H15" s="8">
        <f>Axa!$D$17</f>
        <v>9339.78043</v>
      </c>
      <c r="I15" s="11"/>
      <c r="J15" s="35"/>
      <c r="K15" s="70"/>
      <c r="L15" s="8">
        <f>Basler!$D$17</f>
        <v>357494</v>
      </c>
      <c r="M15" s="11"/>
      <c r="N15" s="35"/>
      <c r="O15" s="70"/>
      <c r="P15" s="8">
        <f>Generali!$D$17</f>
        <v>38616.04825</v>
      </c>
      <c r="Q15" s="11"/>
      <c r="R15" s="35"/>
      <c r="S15" s="70"/>
      <c r="T15" s="8">
        <f>Helvetia!$D$17</f>
        <v>411001.67451999994</v>
      </c>
      <c r="U15" s="11"/>
      <c r="V15" s="35"/>
      <c r="W15" s="70"/>
      <c r="X15" s="8">
        <f>Mobiliar!$D$17</f>
        <v>110597.6</v>
      </c>
      <c r="Y15" s="11"/>
      <c r="Z15" s="35"/>
      <c r="AA15" s="70"/>
      <c r="AB15" s="8">
        <f>Nationale!$D$17</f>
        <v>54406</v>
      </c>
      <c r="AC15" s="11"/>
      <c r="AD15" s="35"/>
      <c r="AE15" s="70"/>
      <c r="AF15" s="8">
        <f>Pax!$D$17</f>
        <v>76687</v>
      </c>
      <c r="AG15" s="11"/>
      <c r="AH15" s="35"/>
      <c r="AI15" s="70"/>
      <c r="AJ15" s="8">
        <f>Phenix!$D$17</f>
        <v>6016</v>
      </c>
      <c r="AK15" s="11"/>
      <c r="AL15" s="35"/>
      <c r="AM15" s="70"/>
      <c r="AN15" s="8">
        <f>Rentenanstalt!$D$17</f>
        <v>1698373.18622</v>
      </c>
      <c r="AO15" s="11"/>
      <c r="AP15" s="35"/>
      <c r="AQ15" s="70"/>
      <c r="AR15" s="8">
        <f>Winterthur!$D$17</f>
        <v>1017374</v>
      </c>
      <c r="AS15" s="11"/>
      <c r="AT15" s="35"/>
      <c r="AU15" s="70"/>
      <c r="AV15" s="8">
        <f>Zenith!$D$17</f>
        <v>0</v>
      </c>
      <c r="AW15" s="11"/>
      <c r="AX15" s="35"/>
      <c r="AY15" s="70"/>
      <c r="AZ15" s="8">
        <f>Zuerich!$D$17</f>
        <v>519057</v>
      </c>
      <c r="BA15" s="11"/>
      <c r="BB15" s="40"/>
      <c r="BC15" s="71"/>
      <c r="BD15" s="8">
        <f>AZ15+AV15+AR15+AN15+AJ15+AF15+AB15+X15+T15+P15+L15+H15+D15</f>
        <v>4506709.33786</v>
      </c>
      <c r="BE15" s="11"/>
      <c r="BF15" s="35"/>
    </row>
    <row r="16" spans="1:58" ht="12.75">
      <c r="A16" s="52"/>
      <c r="B16" s="52" t="s">
        <v>66</v>
      </c>
      <c r="C16" s="70"/>
      <c r="D16" s="9">
        <f>'Allianz Suisse'!$D$18</f>
        <v>468681.3629</v>
      </c>
      <c r="E16" s="1"/>
      <c r="F16" s="35"/>
      <c r="G16" s="70"/>
      <c r="H16" s="9">
        <f>Axa!$D$18</f>
        <v>33963.90139999989</v>
      </c>
      <c r="I16" s="11"/>
      <c r="J16" s="35"/>
      <c r="K16" s="70"/>
      <c r="L16" s="9">
        <f>Basler!$D$18</f>
        <v>760430</v>
      </c>
      <c r="M16" s="11"/>
      <c r="N16" s="35"/>
      <c r="O16" s="70"/>
      <c r="P16" s="9">
        <f>Generali!$D$18</f>
        <v>71404.20310000001</v>
      </c>
      <c r="Q16" s="11"/>
      <c r="R16" s="35"/>
      <c r="S16" s="70"/>
      <c r="T16" s="9">
        <f>Helvetia!$D$18</f>
        <v>833111.4830700001</v>
      </c>
      <c r="U16" s="11"/>
      <c r="V16" s="35"/>
      <c r="W16" s="70"/>
      <c r="X16" s="9">
        <f>Mobiliar!$D$18</f>
        <v>0</v>
      </c>
      <c r="Y16" s="11"/>
      <c r="Z16" s="35"/>
      <c r="AA16" s="70"/>
      <c r="AB16" s="9">
        <f>Nationale!$D$18</f>
        <v>109650</v>
      </c>
      <c r="AC16" s="11"/>
      <c r="AD16" s="35"/>
      <c r="AE16" s="70"/>
      <c r="AF16" s="9">
        <f>Pax!$D$18</f>
        <v>221305</v>
      </c>
      <c r="AG16" s="11"/>
      <c r="AH16" s="35"/>
      <c r="AI16" s="70"/>
      <c r="AJ16" s="9">
        <f>Phenix!$D$18</f>
        <v>9391</v>
      </c>
      <c r="AK16" s="11"/>
      <c r="AL16" s="35"/>
      <c r="AM16" s="70"/>
      <c r="AN16" s="9">
        <f>Rentenanstalt!$D$18</f>
        <v>2231270.4415</v>
      </c>
      <c r="AO16" s="11"/>
      <c r="AP16" s="35"/>
      <c r="AQ16" s="70"/>
      <c r="AR16" s="9">
        <f>Winterthur!$D$18</f>
        <v>3515407</v>
      </c>
      <c r="AS16" s="11"/>
      <c r="AT16" s="35"/>
      <c r="AU16" s="70"/>
      <c r="AV16" s="9">
        <f>Zenith!$D$18</f>
        <v>0</v>
      </c>
      <c r="AW16" s="11"/>
      <c r="AX16" s="35"/>
      <c r="AY16" s="70"/>
      <c r="AZ16" s="9">
        <f>Zuerich!$D$18</f>
        <v>0</v>
      </c>
      <c r="BA16" s="11"/>
      <c r="BB16" s="40"/>
      <c r="BC16" s="71"/>
      <c r="BD16" s="9">
        <f>AZ16+AV16+AR16+AN16+AJ16+AF16+AB16+X16+T16+P16+L16+H16+D16</f>
        <v>8254614.39197</v>
      </c>
      <c r="BE16" s="11"/>
      <c r="BF16" s="35"/>
    </row>
    <row r="17" spans="1:58" ht="13.5" thickBot="1">
      <c r="A17" s="52"/>
      <c r="B17" s="52" t="s">
        <v>67</v>
      </c>
      <c r="C17" s="70"/>
      <c r="D17" s="10">
        <f>'Allianz Suisse'!$D$19</f>
        <v>257627.218</v>
      </c>
      <c r="E17" s="3">
        <f>D$15+D$16+D$17</f>
        <v>934055.62934</v>
      </c>
      <c r="F17" s="35"/>
      <c r="G17" s="70"/>
      <c r="H17" s="10">
        <f>Axa!$D$19</f>
        <v>3046.1137999999996</v>
      </c>
      <c r="I17" s="3">
        <f>H$15+H$16+H$17</f>
        <v>46349.79562999989</v>
      </c>
      <c r="J17" s="35"/>
      <c r="K17" s="70"/>
      <c r="L17" s="10">
        <f>Basler!$D$19</f>
        <v>408909</v>
      </c>
      <c r="M17" s="3">
        <f>L$15+L$16+L$17</f>
        <v>1526833</v>
      </c>
      <c r="N17" s="35"/>
      <c r="O17" s="70"/>
      <c r="P17" s="10">
        <f>Generali!$D$19</f>
        <v>11807.484349999999</v>
      </c>
      <c r="Q17" s="3">
        <f>P$15+P$16+P$17</f>
        <v>121827.7357</v>
      </c>
      <c r="R17" s="35"/>
      <c r="S17" s="70"/>
      <c r="T17" s="10">
        <f>Helvetia!$D$19</f>
        <v>235270.06647</v>
      </c>
      <c r="U17" s="3">
        <f>T$15+T$16+T$17</f>
        <v>1479383.22406</v>
      </c>
      <c r="V17" s="35"/>
      <c r="W17" s="70"/>
      <c r="X17" s="10">
        <f>Mobiliar!$D$19</f>
        <v>133800.5</v>
      </c>
      <c r="Y17" s="3">
        <f>X$15+X$16+X$17</f>
        <v>244398.1</v>
      </c>
      <c r="Z17" s="35"/>
      <c r="AA17" s="70"/>
      <c r="AB17" s="10">
        <f>Nationale!$D$19</f>
        <v>71756</v>
      </c>
      <c r="AC17" s="3">
        <f>AB$15+AB$16+AB$17</f>
        <v>235812</v>
      </c>
      <c r="AD17" s="35"/>
      <c r="AE17" s="70"/>
      <c r="AF17" s="10">
        <f>Pax!$D$19</f>
        <v>52591</v>
      </c>
      <c r="AG17" s="3">
        <f>AF$15+AF$16+AF$17</f>
        <v>350583</v>
      </c>
      <c r="AH17" s="35"/>
      <c r="AI17" s="70"/>
      <c r="AJ17" s="10">
        <f>Phenix!$D$19</f>
        <v>4121</v>
      </c>
      <c r="AK17" s="3">
        <f>AJ$15+AJ$16+AJ$17</f>
        <v>19528</v>
      </c>
      <c r="AL17" s="35"/>
      <c r="AM17" s="70"/>
      <c r="AN17" s="10">
        <f>Rentenanstalt!$D$19</f>
        <v>2258191.10653</v>
      </c>
      <c r="AO17" s="3">
        <f>AN$15+AN$16+AN$17</f>
        <v>6187834.73425</v>
      </c>
      <c r="AP17" s="35"/>
      <c r="AQ17" s="70"/>
      <c r="AR17" s="10">
        <f>Winterthur!$D$19</f>
        <v>1335486</v>
      </c>
      <c r="AS17" s="3">
        <f>AR$15+AR$16+AR$17</f>
        <v>5868267</v>
      </c>
      <c r="AT17" s="35"/>
      <c r="AU17" s="70"/>
      <c r="AV17" s="10">
        <f>Zenith!$D$19</f>
        <v>153737.97991</v>
      </c>
      <c r="AW17" s="3">
        <f>AV$15+AV$16+AV$17</f>
        <v>153737.97991</v>
      </c>
      <c r="AX17" s="35"/>
      <c r="AY17" s="70"/>
      <c r="AZ17" s="10">
        <f>Zuerich!$D$19</f>
        <v>4854131</v>
      </c>
      <c r="BA17" s="3">
        <f>AZ$15+AZ$16+AZ$17</f>
        <v>5373188</v>
      </c>
      <c r="BB17" s="40"/>
      <c r="BC17" s="71"/>
      <c r="BD17" s="10">
        <f>AZ17+AV17+AR17+AN17+AJ17+AF17+AB17+X17+T17+P17+L17+H17+D17</f>
        <v>9780474.469060002</v>
      </c>
      <c r="BE17" s="3">
        <f>BD$15+BD$16+BD$17</f>
        <v>22541798.19889</v>
      </c>
      <c r="BF17" s="35"/>
    </row>
    <row r="18" spans="1:58" ht="12.75">
      <c r="A18" s="52" t="s">
        <v>31</v>
      </c>
      <c r="B18" s="52"/>
      <c r="C18" s="70"/>
      <c r="D18" s="11"/>
      <c r="F18" s="35"/>
      <c r="G18" s="70"/>
      <c r="H18" s="11"/>
      <c r="I18" s="40"/>
      <c r="J18" s="35"/>
      <c r="K18" s="70"/>
      <c r="L18" s="11"/>
      <c r="M18" s="40"/>
      <c r="N18" s="35"/>
      <c r="O18" s="70"/>
      <c r="P18" s="11"/>
      <c r="Q18" s="40"/>
      <c r="R18" s="35"/>
      <c r="S18" s="70"/>
      <c r="T18" s="11"/>
      <c r="U18" s="40"/>
      <c r="V18" s="35"/>
      <c r="W18" s="70"/>
      <c r="X18" s="11"/>
      <c r="Y18" s="40"/>
      <c r="Z18" s="35"/>
      <c r="AA18" s="70"/>
      <c r="AB18" s="11"/>
      <c r="AC18" s="40"/>
      <c r="AD18" s="35"/>
      <c r="AE18" s="70"/>
      <c r="AF18" s="11"/>
      <c r="AG18" s="40"/>
      <c r="AH18" s="35"/>
      <c r="AI18" s="70"/>
      <c r="AJ18" s="11"/>
      <c r="AK18" s="40"/>
      <c r="AL18" s="35"/>
      <c r="AM18" s="70"/>
      <c r="AN18" s="11"/>
      <c r="AO18" s="40"/>
      <c r="AP18" s="35"/>
      <c r="AQ18" s="70"/>
      <c r="AR18" s="11"/>
      <c r="AS18" s="40"/>
      <c r="AT18" s="35"/>
      <c r="AU18" s="70"/>
      <c r="AV18" s="11"/>
      <c r="AW18" s="40"/>
      <c r="AX18" s="35"/>
      <c r="AY18" s="70"/>
      <c r="AZ18" s="11"/>
      <c r="BA18" s="40"/>
      <c r="BB18" s="40"/>
      <c r="BC18" s="71"/>
      <c r="BD18" s="11"/>
      <c r="BE18" s="11"/>
      <c r="BF18" s="35"/>
    </row>
    <row r="19" spans="1:58" ht="12.75">
      <c r="A19" s="52" t="s">
        <v>73</v>
      </c>
      <c r="B19" s="104"/>
      <c r="C19" s="70"/>
      <c r="D19" s="11"/>
      <c r="E19" s="7">
        <f>'Allianz Suisse'!$E$21</f>
        <v>100552.7527499999</v>
      </c>
      <c r="F19" s="35"/>
      <c r="G19" s="70"/>
      <c r="H19" s="11"/>
      <c r="I19" s="7">
        <f>Axa!$E$21</f>
        <v>27974.547109999927</v>
      </c>
      <c r="J19" s="35"/>
      <c r="K19" s="70"/>
      <c r="L19" s="11"/>
      <c r="M19" s="7">
        <f>Basler!$E$21</f>
        <v>357961</v>
      </c>
      <c r="N19" s="35"/>
      <c r="O19" s="70"/>
      <c r="P19" s="11"/>
      <c r="Q19" s="7">
        <f>Generali!$E$21</f>
        <v>-75019.78</v>
      </c>
      <c r="R19" s="35"/>
      <c r="S19" s="70"/>
      <c r="T19" s="11"/>
      <c r="U19" s="7">
        <f>Helvetia!$E$21</f>
        <v>119640.702</v>
      </c>
      <c r="V19" s="35"/>
      <c r="W19" s="70"/>
      <c r="X19" s="11"/>
      <c r="Y19" s="7">
        <f>Mobiliar!$E$21</f>
        <v>5498.2</v>
      </c>
      <c r="Z19" s="35"/>
      <c r="AA19" s="70"/>
      <c r="AB19" s="11"/>
      <c r="AC19" s="7">
        <f>Nationale!$E$21</f>
        <v>11991</v>
      </c>
      <c r="AD19" s="35"/>
      <c r="AE19" s="70"/>
      <c r="AF19" s="11"/>
      <c r="AG19" s="7">
        <f>Pax!$E$21</f>
        <v>186339</v>
      </c>
      <c r="AH19" s="35"/>
      <c r="AI19" s="70"/>
      <c r="AJ19" s="11"/>
      <c r="AK19" s="7">
        <f>Phenix!$E$21</f>
        <v>-348</v>
      </c>
      <c r="AL19" s="35"/>
      <c r="AM19" s="70"/>
      <c r="AN19" s="11"/>
      <c r="AO19" s="7">
        <f>Rentenanstalt!$E$21</f>
        <v>524872.3660200001</v>
      </c>
      <c r="AP19" s="35"/>
      <c r="AQ19" s="70"/>
      <c r="AR19" s="11"/>
      <c r="AS19" s="7">
        <f>Winterthur!$E$21</f>
        <v>1055142</v>
      </c>
      <c r="AT19" s="35"/>
      <c r="AU19" s="70"/>
      <c r="AV19" s="11"/>
      <c r="AW19" s="7">
        <f>Zenith!$E$21</f>
        <v>-132638.656</v>
      </c>
      <c r="AX19" s="35"/>
      <c r="AY19" s="70"/>
      <c r="AZ19" s="11"/>
      <c r="BA19" s="7">
        <f>Zuerich!$E$21</f>
        <v>-3873445</v>
      </c>
      <c r="BB19" s="40"/>
      <c r="BC19" s="71"/>
      <c r="BD19" s="11"/>
      <c r="BE19" s="7">
        <f>BA19+AW19+AS19+AO19+AK19+AG19+AC19+Y19+U19+Q19+M19+I19+E19</f>
        <v>-1691479.8681199995</v>
      </c>
      <c r="BF19" s="35"/>
    </row>
    <row r="20" spans="1:58" ht="12.75">
      <c r="A20" s="52" t="s">
        <v>32</v>
      </c>
      <c r="B20" s="52"/>
      <c r="C20" s="70"/>
      <c r="D20" s="11"/>
      <c r="E20" s="7">
        <f>'Allianz Suisse'!$E$22</f>
        <v>52394.99299</v>
      </c>
      <c r="F20" s="35"/>
      <c r="G20" s="70"/>
      <c r="H20" s="11"/>
      <c r="I20" s="7">
        <f>Axa!$E$22</f>
        <v>3943.8772417404452</v>
      </c>
      <c r="J20" s="35"/>
      <c r="K20" s="70"/>
      <c r="L20" s="11"/>
      <c r="M20" s="7">
        <f>Basler!$E$22</f>
        <v>97275</v>
      </c>
      <c r="N20" s="35"/>
      <c r="O20" s="70"/>
      <c r="P20" s="11"/>
      <c r="Q20" s="7">
        <f>Generali!$E$22</f>
        <v>3282.76594</v>
      </c>
      <c r="R20" s="35"/>
      <c r="S20" s="70"/>
      <c r="T20" s="11"/>
      <c r="U20" s="7">
        <f>Helvetia!$E$22</f>
        <v>83904.34470000005</v>
      </c>
      <c r="V20" s="35"/>
      <c r="W20" s="70"/>
      <c r="X20" s="11"/>
      <c r="Y20" s="7">
        <f>Mobiliar!$E$22</f>
        <v>30266.3</v>
      </c>
      <c r="Z20" s="35"/>
      <c r="AA20" s="70"/>
      <c r="AB20" s="11"/>
      <c r="AC20" s="7">
        <f>Nationale!$E$22</f>
        <v>12617</v>
      </c>
      <c r="AD20" s="35"/>
      <c r="AE20" s="70"/>
      <c r="AF20" s="11"/>
      <c r="AG20" s="7">
        <f>Pax!$E$22</f>
        <v>22296.889</v>
      </c>
      <c r="AH20" s="35"/>
      <c r="AI20" s="70"/>
      <c r="AJ20" s="11"/>
      <c r="AK20" s="7">
        <f>Phenix!$E$22</f>
        <v>2033</v>
      </c>
      <c r="AL20" s="35"/>
      <c r="AM20" s="70"/>
      <c r="AN20" s="11"/>
      <c r="AO20" s="7">
        <f>Rentenanstalt!$E$22</f>
        <v>372695.50474</v>
      </c>
      <c r="AP20" s="35"/>
      <c r="AQ20" s="70"/>
      <c r="AR20" s="11"/>
      <c r="AS20" s="7">
        <f>Winterthur!$E$22</f>
        <v>222863</v>
      </c>
      <c r="AT20" s="35"/>
      <c r="AU20" s="70"/>
      <c r="AV20" s="11"/>
      <c r="AW20" s="7">
        <f>Zenith!$E$22</f>
        <v>1612.576</v>
      </c>
      <c r="AX20" s="35"/>
      <c r="AY20" s="70"/>
      <c r="AZ20" s="11"/>
      <c r="BA20" s="7">
        <f>Zuerich!$E$22</f>
        <v>171501</v>
      </c>
      <c r="BB20" s="40"/>
      <c r="BC20" s="71"/>
      <c r="BD20" s="11"/>
      <c r="BE20" s="7">
        <f>BA20+AW20+AS20+AO20+AK20+AG20+AC20+Y20+U20+Q20+M20+I20+E20</f>
        <v>1076686.2506117404</v>
      </c>
      <c r="BF20" s="35"/>
    </row>
    <row r="21" spans="1:58" ht="12.75">
      <c r="A21" s="52" t="s">
        <v>33</v>
      </c>
      <c r="B21" s="52"/>
      <c r="C21" s="70"/>
      <c r="D21" s="11"/>
      <c r="E21" s="1"/>
      <c r="F21" s="35"/>
      <c r="G21" s="70"/>
      <c r="H21" s="11"/>
      <c r="I21" s="11"/>
      <c r="J21" s="35"/>
      <c r="K21" s="70"/>
      <c r="L21" s="11"/>
      <c r="M21" s="11"/>
      <c r="N21" s="35"/>
      <c r="O21" s="70"/>
      <c r="P21" s="11"/>
      <c r="Q21" s="11"/>
      <c r="R21" s="35"/>
      <c r="S21" s="70"/>
      <c r="T21" s="11"/>
      <c r="U21" s="11"/>
      <c r="V21" s="35"/>
      <c r="W21" s="70"/>
      <c r="X21" s="11"/>
      <c r="Y21" s="11"/>
      <c r="Z21" s="35"/>
      <c r="AA21" s="70"/>
      <c r="AB21" s="11"/>
      <c r="AC21" s="11"/>
      <c r="AD21" s="35"/>
      <c r="AE21" s="70"/>
      <c r="AF21" s="11"/>
      <c r="AG21" s="11"/>
      <c r="AH21" s="35"/>
      <c r="AI21" s="70"/>
      <c r="AJ21" s="11"/>
      <c r="AK21" s="11"/>
      <c r="AL21" s="35"/>
      <c r="AM21" s="70"/>
      <c r="AN21" s="11"/>
      <c r="AO21" s="11"/>
      <c r="AP21" s="35"/>
      <c r="AQ21" s="70"/>
      <c r="AR21" s="11"/>
      <c r="AS21" s="11"/>
      <c r="AT21" s="35"/>
      <c r="AU21" s="70"/>
      <c r="AV21" s="11"/>
      <c r="AW21" s="11"/>
      <c r="AX21" s="35"/>
      <c r="AY21" s="70"/>
      <c r="AZ21" s="11"/>
      <c r="BA21" s="11"/>
      <c r="BB21" s="40"/>
      <c r="BC21" s="71"/>
      <c r="BD21" s="11"/>
      <c r="BE21" s="40"/>
      <c r="BF21" s="35"/>
    </row>
    <row r="22" spans="1:58" ht="12.75">
      <c r="A22" s="52"/>
      <c r="B22" s="52" t="s">
        <v>68</v>
      </c>
      <c r="C22" s="70"/>
      <c r="D22" s="9">
        <f>'Allianz Suisse'!$D$24</f>
        <v>209635.31311</v>
      </c>
      <c r="E22" s="1"/>
      <c r="F22" s="35"/>
      <c r="G22" s="70"/>
      <c r="H22" s="9">
        <f>Axa!$D$24</f>
        <v>8542.87793</v>
      </c>
      <c r="I22" s="11"/>
      <c r="J22" s="35"/>
      <c r="K22" s="70"/>
      <c r="L22" s="9">
        <f>Basler!$D$24</f>
        <v>376873</v>
      </c>
      <c r="M22" s="11"/>
      <c r="N22" s="35"/>
      <c r="O22" s="70"/>
      <c r="P22" s="9">
        <f>Generali!$D$24</f>
        <v>18585.553200000002</v>
      </c>
      <c r="Q22" s="11"/>
      <c r="R22" s="35"/>
      <c r="S22" s="70"/>
      <c r="T22" s="9">
        <f>Helvetia!$D$24</f>
        <v>325625.43173999997</v>
      </c>
      <c r="U22" s="11"/>
      <c r="V22" s="35"/>
      <c r="W22" s="70"/>
      <c r="X22" s="9">
        <f>Mobiliar!$D$24</f>
        <v>53350.9</v>
      </c>
      <c r="Y22" s="11"/>
      <c r="Z22" s="35"/>
      <c r="AA22" s="70"/>
      <c r="AB22" s="9">
        <f>Nationale!$D$24</f>
        <v>45104</v>
      </c>
      <c r="AC22" s="11"/>
      <c r="AD22" s="35"/>
      <c r="AE22" s="70"/>
      <c r="AF22" s="9">
        <f>Pax!$D$24</f>
        <v>82524</v>
      </c>
      <c r="AG22" s="11"/>
      <c r="AH22" s="35"/>
      <c r="AI22" s="70"/>
      <c r="AJ22" s="9">
        <f>Phenix!$D$24</f>
        <v>3356</v>
      </c>
      <c r="AK22" s="11"/>
      <c r="AL22" s="35"/>
      <c r="AM22" s="70"/>
      <c r="AN22" s="9">
        <f>Rentenanstalt!$D$24</f>
        <v>1431051.1522000001</v>
      </c>
      <c r="AO22" s="11"/>
      <c r="AP22" s="35"/>
      <c r="AQ22" s="70"/>
      <c r="AR22" s="9">
        <f>Winterthur!$D$24</f>
        <v>1441121</v>
      </c>
      <c r="AS22" s="11"/>
      <c r="AT22" s="35"/>
      <c r="AU22" s="70"/>
      <c r="AV22" s="9">
        <f>Zenith!$D$24</f>
        <v>3870</v>
      </c>
      <c r="AW22" s="11"/>
      <c r="AX22" s="35"/>
      <c r="AY22" s="70"/>
      <c r="AZ22" s="9">
        <f>Zuerich!$D$24</f>
        <v>309528</v>
      </c>
      <c r="BA22" s="11"/>
      <c r="BB22" s="40"/>
      <c r="BC22" s="71"/>
      <c r="BD22" s="9">
        <f>AZ22+AV22+AR22+AN22+AJ22+AF22+AB22+X22+T22+P22+L22+H22+D22</f>
        <v>4309167.228180001</v>
      </c>
      <c r="BE22" s="40"/>
      <c r="BF22" s="35"/>
    </row>
    <row r="23" spans="1:58" ht="25.5" customHeight="1">
      <c r="A23" s="52"/>
      <c r="B23" s="105" t="s">
        <v>74</v>
      </c>
      <c r="C23" s="70"/>
      <c r="D23" s="9">
        <f>'Allianz Suisse'!$D$25</f>
        <v>-214.5639999999994</v>
      </c>
      <c r="E23" s="1"/>
      <c r="F23" s="35"/>
      <c r="G23" s="70"/>
      <c r="H23" s="9">
        <f>Axa!$D$25</f>
        <v>2168.66583</v>
      </c>
      <c r="I23" s="11"/>
      <c r="J23" s="35"/>
      <c r="K23" s="70"/>
      <c r="L23" s="9">
        <f>Basler!$D$25</f>
        <v>55095</v>
      </c>
      <c r="M23" s="11"/>
      <c r="N23" s="35"/>
      <c r="O23" s="70"/>
      <c r="P23" s="9">
        <f>Generali!$D$25</f>
        <v>517.9337400000003</v>
      </c>
      <c r="Q23" s="11"/>
      <c r="R23" s="35"/>
      <c r="S23" s="70"/>
      <c r="T23" s="9">
        <f>Helvetia!$D$25</f>
        <v>6806.226339999979</v>
      </c>
      <c r="U23" s="11"/>
      <c r="V23" s="35"/>
      <c r="W23" s="70"/>
      <c r="X23" s="9">
        <f>Mobiliar!$D$25</f>
        <v>12401</v>
      </c>
      <c r="Y23" s="11"/>
      <c r="Z23" s="35"/>
      <c r="AA23" s="70"/>
      <c r="AB23" s="9">
        <f>Nationale!$D$25</f>
        <v>7138</v>
      </c>
      <c r="AC23" s="11"/>
      <c r="AD23" s="35"/>
      <c r="AE23" s="70"/>
      <c r="AF23" s="9">
        <f>Pax!$D$25</f>
        <v>7219</v>
      </c>
      <c r="AG23" s="11"/>
      <c r="AH23" s="35"/>
      <c r="AI23" s="70"/>
      <c r="AJ23" s="9">
        <f>Phenix!$D$25</f>
        <v>62</v>
      </c>
      <c r="AK23" s="11"/>
      <c r="AL23" s="35"/>
      <c r="AM23" s="70"/>
      <c r="AN23" s="9">
        <f>Rentenanstalt!$D$25</f>
        <v>216277.87665999986</v>
      </c>
      <c r="AO23" s="11"/>
      <c r="AP23" s="35"/>
      <c r="AQ23" s="70"/>
      <c r="AR23" s="9">
        <f>Winterthur!$D$25</f>
        <v>-86595</v>
      </c>
      <c r="AS23" s="11"/>
      <c r="AT23" s="35"/>
      <c r="AU23" s="70"/>
      <c r="AV23" s="9">
        <f>Zenith!$D$25</f>
        <v>6483</v>
      </c>
      <c r="AW23" s="11"/>
      <c r="AX23" s="35"/>
      <c r="AY23" s="70"/>
      <c r="AZ23" s="9">
        <f>Zuerich!$D$25</f>
        <v>101899</v>
      </c>
      <c r="BA23" s="11"/>
      <c r="BB23" s="40"/>
      <c r="BC23" s="71"/>
      <c r="BD23" s="9">
        <f>AZ23+AV23+AR23+AN23+AJ23+AF23+AB23+X23+T23+P23+L23+H23+D23</f>
        <v>329258.13856999984</v>
      </c>
      <c r="BE23" s="40"/>
      <c r="BF23" s="35"/>
    </row>
    <row r="24" spans="1:58" ht="13.5" thickBot="1">
      <c r="A24" s="52"/>
      <c r="B24" s="52" t="s">
        <v>75</v>
      </c>
      <c r="C24" s="70"/>
      <c r="D24" s="10">
        <f>'Allianz Suisse'!$D$26</f>
        <v>16562.43842</v>
      </c>
      <c r="E24" s="3">
        <f>D$22+D$23-D$24</f>
        <v>192858.31068999998</v>
      </c>
      <c r="F24" s="35"/>
      <c r="G24" s="70"/>
      <c r="H24" s="10">
        <f>Axa!$D$26</f>
        <v>882.3802800000001</v>
      </c>
      <c r="I24" s="3">
        <f>H$22+H$23-H$24</f>
        <v>9829.163480000001</v>
      </c>
      <c r="J24" s="35"/>
      <c r="K24" s="70"/>
      <c r="L24" s="10">
        <f>Basler!$D$26</f>
        <v>45057</v>
      </c>
      <c r="M24" s="3">
        <f>L$22+L$23-L$24</f>
        <v>386911</v>
      </c>
      <c r="N24" s="35"/>
      <c r="O24" s="70"/>
      <c r="P24" s="10">
        <f>Generali!$D$26</f>
        <v>4174.763459999999</v>
      </c>
      <c r="Q24" s="3">
        <f>P$22+P$23-P$24</f>
        <v>14928.723480000004</v>
      </c>
      <c r="R24" s="35"/>
      <c r="S24" s="70"/>
      <c r="T24" s="10">
        <f>Helvetia!$D$26</f>
        <v>38865.35923</v>
      </c>
      <c r="U24" s="3">
        <f>T$22+T$23-T$24</f>
        <v>293566.29884999996</v>
      </c>
      <c r="V24" s="35"/>
      <c r="W24" s="70"/>
      <c r="X24" s="10">
        <f>Mobiliar!$D$26</f>
        <v>4142.1</v>
      </c>
      <c r="Y24" s="3">
        <f>X$22+X$23-X$24</f>
        <v>61609.799999999996</v>
      </c>
      <c r="Z24" s="35"/>
      <c r="AA24" s="70"/>
      <c r="AB24" s="10">
        <f>Nationale!$D$26</f>
        <v>7835</v>
      </c>
      <c r="AC24" s="3">
        <f>AB$22+AB$23-AB$24</f>
        <v>44407</v>
      </c>
      <c r="AD24" s="35"/>
      <c r="AE24" s="70"/>
      <c r="AF24" s="10">
        <f>Pax!$D$26</f>
        <v>6938.111</v>
      </c>
      <c r="AG24" s="3">
        <f>AF$22+AF$23-AF$24</f>
        <v>82804.889</v>
      </c>
      <c r="AH24" s="35"/>
      <c r="AI24" s="70"/>
      <c r="AJ24" s="10">
        <f>Phenix!$D$26</f>
        <v>395</v>
      </c>
      <c r="AK24" s="3">
        <f>AJ$22+AJ$23-AJ$24</f>
        <v>3023</v>
      </c>
      <c r="AL24" s="35"/>
      <c r="AM24" s="70"/>
      <c r="AN24" s="10">
        <f>Rentenanstalt!$D$26</f>
        <v>132320.47195</v>
      </c>
      <c r="AO24" s="3">
        <f>AN$22+AN$23-AN$24</f>
        <v>1515008.55691</v>
      </c>
      <c r="AP24" s="35"/>
      <c r="AQ24" s="70"/>
      <c r="AR24" s="10">
        <f>Winterthur!$D$26</f>
        <v>182390</v>
      </c>
      <c r="AS24" s="3">
        <f>AR$22+AR$23-AR$24</f>
        <v>1172136</v>
      </c>
      <c r="AT24" s="35"/>
      <c r="AU24" s="70"/>
      <c r="AV24" s="10">
        <f>Zenith!$D$26</f>
        <v>1079</v>
      </c>
      <c r="AW24" s="3">
        <f>AV$22+AV$23-AV$24</f>
        <v>9274</v>
      </c>
      <c r="AX24" s="35"/>
      <c r="AY24" s="70"/>
      <c r="AZ24" s="10">
        <f>Zuerich!$D$26</f>
        <v>24802</v>
      </c>
      <c r="BA24" s="3">
        <f>AZ$22+AZ$23-AZ$24</f>
        <v>386625</v>
      </c>
      <c r="BB24" s="40"/>
      <c r="BC24" s="71"/>
      <c r="BD24" s="10">
        <f>AZ24+AV24+AR24+AN24+AJ24+AF24+AB24+X24+T24+P24+L24+H24+D24</f>
        <v>465443.62434</v>
      </c>
      <c r="BE24" s="3">
        <f>BD$22+BD$23-BD$24</f>
        <v>4172981.74241</v>
      </c>
      <c r="BF24" s="35"/>
    </row>
    <row r="25" spans="1:58" ht="12.75">
      <c r="A25" s="52" t="s">
        <v>34</v>
      </c>
      <c r="B25" s="52"/>
      <c r="C25" s="70"/>
      <c r="D25" s="13"/>
      <c r="E25" s="9">
        <f>'Allianz Suisse'!$E$27</f>
        <v>0</v>
      </c>
      <c r="F25" s="35"/>
      <c r="G25" s="70"/>
      <c r="H25" s="13"/>
      <c r="I25" s="9">
        <f>Axa!$E$27</f>
        <v>0</v>
      </c>
      <c r="J25" s="35"/>
      <c r="K25" s="70"/>
      <c r="L25" s="13"/>
      <c r="M25" s="9">
        <f>Basler!$E$27</f>
        <v>0</v>
      </c>
      <c r="N25" s="35"/>
      <c r="O25" s="70"/>
      <c r="P25" s="13"/>
      <c r="Q25" s="9">
        <f>Generali!$E$27</f>
        <v>0</v>
      </c>
      <c r="R25" s="35"/>
      <c r="S25" s="70"/>
      <c r="T25" s="13"/>
      <c r="U25" s="9">
        <f>Helvetia!$E$27</f>
        <v>0</v>
      </c>
      <c r="V25" s="35"/>
      <c r="W25" s="70"/>
      <c r="X25" s="13"/>
      <c r="Y25" s="9">
        <f>Mobiliar!$E$27</f>
        <v>0</v>
      </c>
      <c r="Z25" s="35"/>
      <c r="AA25" s="70"/>
      <c r="AB25" s="13"/>
      <c r="AC25" s="9">
        <f>Nationale!$E$27</f>
        <v>0</v>
      </c>
      <c r="AD25" s="35"/>
      <c r="AE25" s="70"/>
      <c r="AF25" s="13"/>
      <c r="AG25" s="9">
        <f>Pax!$E$27</f>
        <v>0</v>
      </c>
      <c r="AH25" s="35"/>
      <c r="AI25" s="70"/>
      <c r="AJ25" s="13"/>
      <c r="AK25" s="9">
        <f>Phenix!$E$27</f>
        <v>0</v>
      </c>
      <c r="AL25" s="35"/>
      <c r="AM25" s="70"/>
      <c r="AN25" s="13"/>
      <c r="AO25" s="9">
        <f>Rentenanstalt!$E$27</f>
        <v>0</v>
      </c>
      <c r="AP25" s="35"/>
      <c r="AQ25" s="70"/>
      <c r="AR25" s="13"/>
      <c r="AS25" s="9">
        <f>Winterthur!$E$27</f>
        <v>0</v>
      </c>
      <c r="AT25" s="35"/>
      <c r="AU25" s="70"/>
      <c r="AV25" s="13"/>
      <c r="AW25" s="9">
        <f>Zenith!$E$27</f>
        <v>0</v>
      </c>
      <c r="AX25" s="35"/>
      <c r="AY25" s="70"/>
      <c r="AZ25" s="13"/>
      <c r="BA25" s="9">
        <f>Zuerich!$E$27</f>
        <v>0</v>
      </c>
      <c r="BB25" s="40"/>
      <c r="BC25" s="71"/>
      <c r="BD25" s="11"/>
      <c r="BE25" s="9">
        <f>BA25+AW25+AS25+AO25+AK25+AG25+AC25+Y25+U25+Q25+M25+I25+E25</f>
        <v>0</v>
      </c>
      <c r="BF25" s="35"/>
    </row>
    <row r="26" spans="1:58" ht="12.75">
      <c r="A26" s="52" t="s">
        <v>35</v>
      </c>
      <c r="B26" s="52"/>
      <c r="C26" s="70"/>
      <c r="D26" s="1"/>
      <c r="E26" s="9">
        <f>'Allianz Suisse'!$E$28</f>
        <v>-4413.120079999999</v>
      </c>
      <c r="F26" s="35"/>
      <c r="G26" s="70"/>
      <c r="H26" s="11"/>
      <c r="I26" s="9">
        <f>Axa!$E$28</f>
        <v>-1103.2700250000003</v>
      </c>
      <c r="J26" s="35"/>
      <c r="K26" s="70"/>
      <c r="L26" s="11"/>
      <c r="M26" s="9">
        <f>Basler!$E$28</f>
        <v>3235</v>
      </c>
      <c r="N26" s="35"/>
      <c r="O26" s="70"/>
      <c r="P26" s="11"/>
      <c r="Q26" s="9">
        <f>Generali!$E$28</f>
        <v>-136.84753</v>
      </c>
      <c r="R26" s="35"/>
      <c r="S26" s="70"/>
      <c r="T26" s="11"/>
      <c r="U26" s="9">
        <f>Helvetia!$E$28</f>
        <v>-7388.9616300000025</v>
      </c>
      <c r="V26" s="35"/>
      <c r="W26" s="70"/>
      <c r="X26" s="11"/>
      <c r="Y26" s="9">
        <f>Mobiliar!$E$28</f>
        <v>-2686.6</v>
      </c>
      <c r="Z26" s="35"/>
      <c r="AA26" s="70"/>
      <c r="AB26" s="11"/>
      <c r="AC26" s="9">
        <f>Nationale!$E$28</f>
        <v>-1762</v>
      </c>
      <c r="AD26" s="35"/>
      <c r="AE26" s="70"/>
      <c r="AF26" s="11"/>
      <c r="AG26" s="9">
        <f>Pax!$E$28</f>
        <v>-870</v>
      </c>
      <c r="AH26" s="35"/>
      <c r="AI26" s="70"/>
      <c r="AJ26" s="11"/>
      <c r="AK26" s="9">
        <f>Phenix!$E$28</f>
        <v>-398</v>
      </c>
      <c r="AL26" s="35"/>
      <c r="AM26" s="70"/>
      <c r="AN26" s="11"/>
      <c r="AO26" s="9">
        <f>Rentenanstalt!$E$28</f>
        <v>5232.20808</v>
      </c>
      <c r="AP26" s="35"/>
      <c r="AQ26" s="70"/>
      <c r="AR26" s="11"/>
      <c r="AS26" s="9">
        <f>Winterthur!$E$28</f>
        <v>-8522</v>
      </c>
      <c r="AT26" s="35"/>
      <c r="AU26" s="70"/>
      <c r="AV26" s="11"/>
      <c r="AW26" s="9">
        <f>Zenith!$E$28</f>
        <v>-1290.9275</v>
      </c>
      <c r="AX26" s="35"/>
      <c r="AY26" s="70"/>
      <c r="AZ26" s="11"/>
      <c r="BA26" s="9">
        <f>Zuerich!$E$28</f>
        <v>-8568</v>
      </c>
      <c r="BB26" s="40"/>
      <c r="BC26" s="71"/>
      <c r="BD26" s="11"/>
      <c r="BE26" s="9">
        <f>BA26+AW26+AS26+AO26+AK26+AG26+AC26+Y26+U26+Q26+M26+I26+E26</f>
        <v>-28672.518684999995</v>
      </c>
      <c r="BF26" s="35"/>
    </row>
    <row r="27" spans="1:58" ht="13.5" thickBot="1">
      <c r="A27" s="52" t="s">
        <v>77</v>
      </c>
      <c r="B27" s="52"/>
      <c r="C27" s="70"/>
      <c r="D27" s="1"/>
      <c r="E27" s="14">
        <f>'Allianz Suisse'!$E$29</f>
        <v>-36759.89688</v>
      </c>
      <c r="F27" s="35"/>
      <c r="G27" s="70"/>
      <c r="H27" s="11"/>
      <c r="I27" s="14">
        <f>Axa!$E$29</f>
        <v>102.76524999999998</v>
      </c>
      <c r="J27" s="35"/>
      <c r="K27" s="70"/>
      <c r="L27" s="11"/>
      <c r="M27" s="14">
        <f>Basler!$E$29</f>
        <v>-7353</v>
      </c>
      <c r="N27" s="35"/>
      <c r="O27" s="70"/>
      <c r="P27" s="11"/>
      <c r="Q27" s="14">
        <f>Generali!$E$29</f>
        <v>0</v>
      </c>
      <c r="R27" s="35"/>
      <c r="S27" s="70"/>
      <c r="T27" s="11"/>
      <c r="U27" s="14">
        <f>Helvetia!$E$29</f>
        <v>2668.82657</v>
      </c>
      <c r="V27" s="35"/>
      <c r="W27" s="70"/>
      <c r="X27" s="11"/>
      <c r="Y27" s="14">
        <f>Mobiliar!$E$29</f>
        <v>-169.8</v>
      </c>
      <c r="Z27" s="35"/>
      <c r="AA27" s="70"/>
      <c r="AB27" s="11"/>
      <c r="AC27" s="14">
        <f>Nationale!$E$29</f>
        <v>-329</v>
      </c>
      <c r="AD27" s="35"/>
      <c r="AE27" s="70"/>
      <c r="AF27" s="11"/>
      <c r="AG27" s="14">
        <f>Pax!$E$29</f>
        <v>-2822</v>
      </c>
      <c r="AH27" s="35"/>
      <c r="AI27" s="70"/>
      <c r="AJ27" s="11"/>
      <c r="AK27" s="14">
        <f>Phenix!$E$29</f>
        <v>0</v>
      </c>
      <c r="AL27" s="35"/>
      <c r="AM27" s="70"/>
      <c r="AN27" s="11"/>
      <c r="AO27" s="14">
        <f>Rentenanstalt!$E$29</f>
        <v>5691.06748</v>
      </c>
      <c r="AP27" s="35"/>
      <c r="AQ27" s="70"/>
      <c r="AR27" s="11"/>
      <c r="AS27" s="14">
        <f>Winterthur!$E$29</f>
        <v>-99</v>
      </c>
      <c r="AT27" s="35"/>
      <c r="AU27" s="70"/>
      <c r="AV27" s="11"/>
      <c r="AW27" s="14">
        <f>Zenith!$E$29</f>
        <v>-44.6636</v>
      </c>
      <c r="AX27" s="35"/>
      <c r="AY27" s="70"/>
      <c r="AZ27" s="11"/>
      <c r="BA27" s="14">
        <f>Zuerich!$E$29</f>
        <v>-32617</v>
      </c>
      <c r="BB27" s="40"/>
      <c r="BC27" s="71"/>
      <c r="BD27" s="11"/>
      <c r="BE27" s="14">
        <f>BA27+AW27+AS27+AO27+AK27+AG27+AC27+Y27+U27+Q27+M27+I27+E27</f>
        <v>-71731.70118</v>
      </c>
      <c r="BF27" s="35"/>
    </row>
    <row r="28" spans="1:58" ht="12.75">
      <c r="A28" s="52" t="s">
        <v>36</v>
      </c>
      <c r="B28" s="52"/>
      <c r="C28" s="70"/>
      <c r="E28" s="15">
        <f>E$11-E$17-E$19-E$20+E$24-E$25+E$26+E$27</f>
        <v>62966.286910000126</v>
      </c>
      <c r="F28" s="35"/>
      <c r="G28" s="70"/>
      <c r="H28" s="40"/>
      <c r="I28" s="15">
        <f>I$11-I$17-I$19-I$20+I$24-I$25+I$26+I$27</f>
        <v>2743.768293259346</v>
      </c>
      <c r="J28" s="35"/>
      <c r="K28" s="70"/>
      <c r="L28" s="40"/>
      <c r="M28" s="15">
        <f>M$11-M$17-M$19-M$20+M$24-M$25+M$26+M$27</f>
        <v>126370</v>
      </c>
      <c r="N28" s="35"/>
      <c r="O28" s="70"/>
      <c r="P28" s="40"/>
      <c r="Q28" s="15">
        <f>Q$11-Q$17-Q$19-Q$20+Q$24-Q$25+Q$26+Q$27</f>
        <v>-169.43689000001086</v>
      </c>
      <c r="R28" s="35"/>
      <c r="S28" s="70"/>
      <c r="T28" s="40"/>
      <c r="U28" s="15">
        <f>U$11-U$17-U$19-U$20+U$24-U$25+U$26+U$27</f>
        <v>172186.79840999964</v>
      </c>
      <c r="V28" s="35"/>
      <c r="W28" s="70"/>
      <c r="X28" s="40"/>
      <c r="Y28" s="15">
        <f>Y$11-Y$17-Y$19-Y$20+Y$24-Y$25+Y$26+Y$27</f>
        <v>151052</v>
      </c>
      <c r="Z28" s="35"/>
      <c r="AA28" s="70"/>
      <c r="AB28" s="40"/>
      <c r="AC28" s="15">
        <f>AC$11-AC$17-AC$19-AC$20+AC$24-AC$25+AC$26+AC$27</f>
        <v>6435</v>
      </c>
      <c r="AD28" s="35"/>
      <c r="AE28" s="70"/>
      <c r="AF28" s="40"/>
      <c r="AG28" s="15">
        <f>AG$11-AG$17-AG$19-AG$20+AG$24-AG$25+AG$26+AG$27</f>
        <v>13489</v>
      </c>
      <c r="AH28" s="35"/>
      <c r="AI28" s="70"/>
      <c r="AJ28" s="40"/>
      <c r="AK28" s="15">
        <f>AK$11-AK$17-AK$19-AK$20+AK$24-AK$25+AK$26+AK$27</f>
        <v>5</v>
      </c>
      <c r="AL28" s="35"/>
      <c r="AM28" s="70"/>
      <c r="AN28" s="40"/>
      <c r="AO28" s="15">
        <f>AO$11-AO$17-AO$19-AO$20+AO$24-AO$25+AO$26+AO$27</f>
        <v>447598.69494000037</v>
      </c>
      <c r="AP28" s="35"/>
      <c r="AQ28" s="70"/>
      <c r="AR28" s="40"/>
      <c r="AS28" s="15">
        <f>AS$11-AS$17-AS$19-AS$20+AS$24-AS$25+AS$26+AS$27</f>
        <v>399653</v>
      </c>
      <c r="AT28" s="35"/>
      <c r="AU28" s="70"/>
      <c r="AV28" s="40"/>
      <c r="AW28" s="15">
        <f>AW$11-AW$17-AW$19-AW$20+AW$24-AW$25+AW$26+AW$27</f>
        <v>132.1493899999974</v>
      </c>
      <c r="AX28" s="35"/>
      <c r="AY28" s="70"/>
      <c r="AZ28" s="40"/>
      <c r="BA28" s="15">
        <f>BA$11-BA$17-BA$19-BA$20+BA$24-BA$25+BA$26+BA$27</f>
        <v>182639</v>
      </c>
      <c r="BB28" s="40"/>
      <c r="BC28" s="71"/>
      <c r="BD28" s="11"/>
      <c r="BE28" s="15">
        <f>BE$11-BE$17-BE$19-BE$20+BE$24-BE$25+BE$26+BE$27</f>
        <v>1565101.2610532583</v>
      </c>
      <c r="BF28" s="35"/>
    </row>
    <row r="29" spans="1:58" ht="13.5" thickBot="1">
      <c r="A29" s="52" t="s">
        <v>37</v>
      </c>
      <c r="B29" s="52"/>
      <c r="C29" s="71"/>
      <c r="D29" s="1"/>
      <c r="E29" s="14">
        <f>'Allianz Suisse'!$E$31</f>
        <v>25252.7626</v>
      </c>
      <c r="F29" s="35"/>
      <c r="G29" s="71"/>
      <c r="H29" s="11"/>
      <c r="I29" s="14">
        <f>Axa!$E$31</f>
        <v>687.529</v>
      </c>
      <c r="J29" s="35"/>
      <c r="K29" s="71"/>
      <c r="L29" s="11"/>
      <c r="M29" s="14">
        <f>Basler!$E$31</f>
        <v>72200</v>
      </c>
      <c r="N29" s="35"/>
      <c r="O29" s="71"/>
      <c r="P29" s="11"/>
      <c r="Q29" s="14">
        <f>Generali!$E$31</f>
        <v>0</v>
      </c>
      <c r="R29" s="35"/>
      <c r="S29" s="71"/>
      <c r="T29" s="11"/>
      <c r="U29" s="14">
        <f>Helvetia!$E$31</f>
        <v>114905.48956999999</v>
      </c>
      <c r="V29" s="35"/>
      <c r="W29" s="71"/>
      <c r="X29" s="11"/>
      <c r="Y29" s="14">
        <f>Mobiliar!$E$31</f>
        <v>77937.9</v>
      </c>
      <c r="Z29" s="35"/>
      <c r="AA29" s="71"/>
      <c r="AB29" s="11"/>
      <c r="AC29" s="14">
        <f>Nationale!$E$31</f>
        <v>4242</v>
      </c>
      <c r="AD29" s="35"/>
      <c r="AE29" s="71"/>
      <c r="AF29" s="11"/>
      <c r="AG29" s="14">
        <f>Pax!$E$31</f>
        <v>0</v>
      </c>
      <c r="AH29" s="35"/>
      <c r="AI29" s="71"/>
      <c r="AJ29" s="11"/>
      <c r="AK29" s="14">
        <f>Phenix!$E$31</f>
        <v>0</v>
      </c>
      <c r="AL29" s="35"/>
      <c r="AM29" s="71"/>
      <c r="AN29" s="11"/>
      <c r="AO29" s="14">
        <f>Rentenanstalt!$E$31</f>
        <v>255993.31383</v>
      </c>
      <c r="AP29" s="35"/>
      <c r="AQ29" s="71"/>
      <c r="AR29" s="11"/>
      <c r="AS29" s="14">
        <f>Winterthur!$E$31</f>
        <v>217612</v>
      </c>
      <c r="AT29" s="35"/>
      <c r="AU29" s="71"/>
      <c r="AV29" s="11"/>
      <c r="AW29" s="14">
        <f>Zenith!$E$31</f>
        <v>47.174</v>
      </c>
      <c r="AX29" s="35"/>
      <c r="AY29" s="71"/>
      <c r="AZ29" s="11"/>
      <c r="BA29" s="14">
        <f>Zuerich!$E$31</f>
        <v>99980</v>
      </c>
      <c r="BB29" s="40"/>
      <c r="BC29" s="71"/>
      <c r="BD29" s="11"/>
      <c r="BE29" s="14">
        <f>BA29+AW29+AS29+AO29+AK29+AG29+AC29+Y29+U29+Q29+M29+I29+E29</f>
        <v>868858.169</v>
      </c>
      <c r="BF29" s="35"/>
    </row>
    <row r="30" spans="1:58" ht="13.5" thickBot="1">
      <c r="A30" s="52" t="s">
        <v>76</v>
      </c>
      <c r="B30" s="52"/>
      <c r="C30" s="71"/>
      <c r="D30" s="1"/>
      <c r="E30" s="16">
        <f>E$28-E$29</f>
        <v>37713.524310000124</v>
      </c>
      <c r="F30" s="35"/>
      <c r="G30" s="71"/>
      <c r="H30" s="11"/>
      <c r="I30" s="16">
        <f>I$28-I$29</f>
        <v>2056.239293259346</v>
      </c>
      <c r="J30" s="35"/>
      <c r="K30" s="71"/>
      <c r="L30" s="11"/>
      <c r="M30" s="16">
        <f>M$28-M$29</f>
        <v>54170</v>
      </c>
      <c r="N30" s="35"/>
      <c r="O30" s="71"/>
      <c r="P30" s="11"/>
      <c r="Q30" s="16">
        <f>Q$28-Q$29</f>
        <v>-169.43689000001086</v>
      </c>
      <c r="R30" s="35"/>
      <c r="S30" s="71"/>
      <c r="T30" s="11"/>
      <c r="U30" s="16">
        <f>U$28-U$29</f>
        <v>57281.30883999965</v>
      </c>
      <c r="V30" s="35"/>
      <c r="W30" s="71"/>
      <c r="X30" s="11"/>
      <c r="Y30" s="16">
        <f>Y$28-Y$29</f>
        <v>73114.1</v>
      </c>
      <c r="Z30" s="35"/>
      <c r="AA30" s="71"/>
      <c r="AB30" s="11"/>
      <c r="AC30" s="16">
        <f>AC$28-AC$29</f>
        <v>2193</v>
      </c>
      <c r="AD30" s="35"/>
      <c r="AE30" s="71"/>
      <c r="AF30" s="11"/>
      <c r="AG30" s="16">
        <f>AG$28-AG$29</f>
        <v>13489</v>
      </c>
      <c r="AH30" s="35"/>
      <c r="AI30" s="71"/>
      <c r="AJ30" s="11"/>
      <c r="AK30" s="16">
        <f>AK$28-AK$29</f>
        <v>5</v>
      </c>
      <c r="AL30" s="35"/>
      <c r="AM30" s="71"/>
      <c r="AN30" s="11"/>
      <c r="AO30" s="16">
        <f>AO$28-AO$29</f>
        <v>191605.38111000037</v>
      </c>
      <c r="AP30" s="35"/>
      <c r="AQ30" s="71"/>
      <c r="AR30" s="11"/>
      <c r="AS30" s="16">
        <f>AS$28-AS$29</f>
        <v>182041</v>
      </c>
      <c r="AT30" s="35"/>
      <c r="AU30" s="71"/>
      <c r="AV30" s="11"/>
      <c r="AW30" s="16">
        <f>AW$28-AW$29</f>
        <v>84.97538999999739</v>
      </c>
      <c r="AX30" s="35"/>
      <c r="AY30" s="71"/>
      <c r="AZ30" s="11"/>
      <c r="BA30" s="16">
        <f>BA$28-BA$29</f>
        <v>82659</v>
      </c>
      <c r="BB30" s="40"/>
      <c r="BC30" s="71"/>
      <c r="BD30" s="11"/>
      <c r="BE30" s="16">
        <f>BE$28-BE$29</f>
        <v>696243.0920532583</v>
      </c>
      <c r="BF30" s="35"/>
    </row>
    <row r="31" spans="1:58" ht="12.75">
      <c r="A31" s="52"/>
      <c r="B31" s="52"/>
      <c r="C31" s="71"/>
      <c r="D31" s="1"/>
      <c r="E31" s="1"/>
      <c r="F31" s="35"/>
      <c r="G31" s="71"/>
      <c r="H31" s="11"/>
      <c r="I31" s="11"/>
      <c r="J31" s="35"/>
      <c r="K31" s="71"/>
      <c r="L31" s="11"/>
      <c r="M31" s="11"/>
      <c r="N31" s="35"/>
      <c r="O31" s="71"/>
      <c r="P31" s="11"/>
      <c r="Q31" s="11"/>
      <c r="R31" s="35"/>
      <c r="S31" s="71"/>
      <c r="T31" s="11"/>
      <c r="U31" s="11"/>
      <c r="V31" s="35"/>
      <c r="W31" s="71"/>
      <c r="X31" s="11"/>
      <c r="Y31" s="11"/>
      <c r="Z31" s="35"/>
      <c r="AA31" s="71"/>
      <c r="AB31" s="11"/>
      <c r="AC31" s="11"/>
      <c r="AD31" s="35"/>
      <c r="AE31" s="71"/>
      <c r="AF31" s="11"/>
      <c r="AG31" s="11"/>
      <c r="AH31" s="35"/>
      <c r="AI31" s="71"/>
      <c r="AJ31" s="11"/>
      <c r="AK31" s="11"/>
      <c r="AL31" s="35"/>
      <c r="AM31" s="71"/>
      <c r="AN31" s="11"/>
      <c r="AO31" s="11"/>
      <c r="AP31" s="35"/>
      <c r="AQ31" s="71"/>
      <c r="AR31" s="11"/>
      <c r="AS31" s="11"/>
      <c r="AT31" s="35"/>
      <c r="AU31" s="71"/>
      <c r="AV31" s="11"/>
      <c r="AW31" s="11"/>
      <c r="AX31" s="35"/>
      <c r="AY31" s="71"/>
      <c r="AZ31" s="11"/>
      <c r="BA31" s="11"/>
      <c r="BB31" s="40"/>
      <c r="BC31" s="71"/>
      <c r="BD31" s="11"/>
      <c r="BE31" s="11"/>
      <c r="BF31" s="35"/>
    </row>
    <row r="32" spans="1:58" ht="12.75">
      <c r="A32" s="102" t="s">
        <v>38</v>
      </c>
      <c r="B32" s="52"/>
      <c r="C32" s="70"/>
      <c r="D32" s="1"/>
      <c r="E32" s="1"/>
      <c r="F32" s="35"/>
      <c r="G32" s="70"/>
      <c r="H32" s="11"/>
      <c r="I32" s="11"/>
      <c r="J32" s="35"/>
      <c r="K32" s="70"/>
      <c r="L32" s="11"/>
      <c r="M32" s="11"/>
      <c r="N32" s="35"/>
      <c r="O32" s="70"/>
      <c r="P32" s="11"/>
      <c r="Q32" s="11"/>
      <c r="R32" s="35"/>
      <c r="S32" s="70"/>
      <c r="T32" s="11"/>
      <c r="U32" s="11"/>
      <c r="V32" s="35"/>
      <c r="W32" s="70"/>
      <c r="X32" s="11"/>
      <c r="Y32" s="11"/>
      <c r="Z32" s="35"/>
      <c r="AA32" s="70"/>
      <c r="AB32" s="11"/>
      <c r="AC32" s="11"/>
      <c r="AD32" s="35"/>
      <c r="AE32" s="70"/>
      <c r="AF32" s="11"/>
      <c r="AG32" s="11"/>
      <c r="AH32" s="35"/>
      <c r="AI32" s="70"/>
      <c r="AJ32" s="11"/>
      <c r="AK32" s="11"/>
      <c r="AL32" s="35"/>
      <c r="AM32" s="70"/>
      <c r="AN32" s="11"/>
      <c r="AO32" s="11"/>
      <c r="AP32" s="35"/>
      <c r="AQ32" s="70"/>
      <c r="AR32" s="11"/>
      <c r="AS32" s="11"/>
      <c r="AT32" s="35"/>
      <c r="AU32" s="70"/>
      <c r="AV32" s="11"/>
      <c r="AW32" s="11"/>
      <c r="AX32" s="35"/>
      <c r="AY32" s="70"/>
      <c r="AZ32" s="11"/>
      <c r="BA32" s="11"/>
      <c r="BB32" s="40"/>
      <c r="BC32" s="71"/>
      <c r="BD32" s="11"/>
      <c r="BE32" s="11"/>
      <c r="BF32" s="35"/>
    </row>
    <row r="33" spans="1:58" ht="12.75">
      <c r="A33" s="52" t="s">
        <v>39</v>
      </c>
      <c r="B33" s="52"/>
      <c r="C33" s="70"/>
      <c r="D33" s="1"/>
      <c r="E33" s="17">
        <f>'Allianz Suisse'!$E$35</f>
        <v>28465</v>
      </c>
      <c r="F33" s="35"/>
      <c r="G33" s="70"/>
      <c r="H33" s="11"/>
      <c r="I33" s="17">
        <f>Axa!$E$35</f>
        <v>368</v>
      </c>
      <c r="J33" s="35"/>
      <c r="K33" s="70"/>
      <c r="L33" s="11"/>
      <c r="M33" s="17">
        <f>Basler!$E$35</f>
        <v>20632</v>
      </c>
      <c r="N33" s="35"/>
      <c r="O33" s="70"/>
      <c r="P33" s="11"/>
      <c r="Q33" s="17">
        <f>Generali!$E$35</f>
        <v>0</v>
      </c>
      <c r="R33" s="35"/>
      <c r="S33" s="70"/>
      <c r="T33" s="11"/>
      <c r="U33" s="17">
        <f>Helvetia!$E$35</f>
        <v>87348</v>
      </c>
      <c r="V33" s="35"/>
      <c r="W33" s="70"/>
      <c r="X33" s="11"/>
      <c r="Y33" s="17">
        <f>Mobiliar!$E$35</f>
        <v>112370</v>
      </c>
      <c r="Z33" s="35"/>
      <c r="AA33" s="70"/>
      <c r="AB33" s="11"/>
      <c r="AC33" s="17">
        <f>Nationale!$E$35</f>
        <v>3700</v>
      </c>
      <c r="AD33" s="35"/>
      <c r="AE33" s="70"/>
      <c r="AF33" s="11"/>
      <c r="AG33" s="17">
        <f>Pax!$E$35</f>
        <v>917</v>
      </c>
      <c r="AH33" s="35"/>
      <c r="AI33" s="70"/>
      <c r="AJ33" s="11"/>
      <c r="AK33" s="17">
        <f>Phenix!$E$35</f>
        <v>82</v>
      </c>
      <c r="AL33" s="35"/>
      <c r="AM33" s="70"/>
      <c r="AN33" s="11"/>
      <c r="AO33" s="17">
        <f>Rentenanstalt!$E$35</f>
        <v>306659</v>
      </c>
      <c r="AP33" s="35"/>
      <c r="AQ33" s="70"/>
      <c r="AR33" s="11"/>
      <c r="AS33" s="17">
        <f>Winterthur!$E$35</f>
        <v>275651</v>
      </c>
      <c r="AT33" s="35"/>
      <c r="AU33" s="70"/>
      <c r="AV33" s="11"/>
      <c r="AW33" s="17">
        <f>Zenith!$E$35</f>
        <v>3982</v>
      </c>
      <c r="AX33" s="35"/>
      <c r="AY33" s="70"/>
      <c r="AZ33" s="11"/>
      <c r="BA33" s="17">
        <f>Zuerich!$E$35</f>
        <v>40212</v>
      </c>
      <c r="BB33" s="40"/>
      <c r="BC33" s="71"/>
      <c r="BD33" s="11"/>
      <c r="BE33" s="17">
        <f>BA33+AW33+AS33+AO33+AK33+AG33+AC33+Y33+U33+Q33+M33+I33+E33</f>
        <v>880386</v>
      </c>
      <c r="BF33" s="35"/>
    </row>
    <row r="34" spans="1:58" ht="12.75">
      <c r="A34" s="52" t="s">
        <v>40</v>
      </c>
      <c r="B34" s="52"/>
      <c r="C34" s="70"/>
      <c r="E34" s="18">
        <f>E29</f>
        <v>25252.7626</v>
      </c>
      <c r="F34" s="35"/>
      <c r="G34" s="70"/>
      <c r="H34" s="40"/>
      <c r="I34" s="18">
        <f>I29</f>
        <v>687.529</v>
      </c>
      <c r="J34" s="35"/>
      <c r="K34" s="70"/>
      <c r="L34" s="40"/>
      <c r="M34" s="18">
        <f>M29</f>
        <v>72200</v>
      </c>
      <c r="N34" s="35"/>
      <c r="O34" s="70"/>
      <c r="P34" s="40"/>
      <c r="Q34" s="18">
        <f>Q29</f>
        <v>0</v>
      </c>
      <c r="R34" s="35"/>
      <c r="S34" s="70"/>
      <c r="T34" s="40"/>
      <c r="U34" s="18">
        <f>U29</f>
        <v>114905.48956999999</v>
      </c>
      <c r="V34" s="35"/>
      <c r="W34" s="70"/>
      <c r="X34" s="40"/>
      <c r="Y34" s="18">
        <f>Y29</f>
        <v>77937.9</v>
      </c>
      <c r="Z34" s="35"/>
      <c r="AA34" s="70"/>
      <c r="AB34" s="40"/>
      <c r="AC34" s="18">
        <f>AC29</f>
        <v>4242</v>
      </c>
      <c r="AD34" s="35"/>
      <c r="AE34" s="70"/>
      <c r="AF34" s="40"/>
      <c r="AG34" s="18">
        <f>AG29</f>
        <v>0</v>
      </c>
      <c r="AH34" s="35"/>
      <c r="AI34" s="70"/>
      <c r="AJ34" s="40"/>
      <c r="AK34" s="18">
        <f>AK29</f>
        <v>0</v>
      </c>
      <c r="AL34" s="35"/>
      <c r="AM34" s="70"/>
      <c r="AN34" s="40"/>
      <c r="AO34" s="18">
        <f>AO29</f>
        <v>255993.31383</v>
      </c>
      <c r="AP34" s="35"/>
      <c r="AQ34" s="70"/>
      <c r="AR34" s="40"/>
      <c r="AS34" s="18">
        <f>AS29</f>
        <v>217612</v>
      </c>
      <c r="AT34" s="35"/>
      <c r="AU34" s="70"/>
      <c r="AV34" s="40"/>
      <c r="AW34" s="18">
        <f>AW29</f>
        <v>47.174</v>
      </c>
      <c r="AX34" s="35"/>
      <c r="AY34" s="70"/>
      <c r="AZ34" s="40"/>
      <c r="BA34" s="18">
        <f>BA29</f>
        <v>99980</v>
      </c>
      <c r="BB34" s="40"/>
      <c r="BC34" s="71"/>
      <c r="BD34" s="11"/>
      <c r="BE34" s="18">
        <f>BE29</f>
        <v>868858.169</v>
      </c>
      <c r="BF34" s="35"/>
    </row>
    <row r="35" spans="1:58" ht="12.75">
      <c r="A35" s="52" t="s">
        <v>41</v>
      </c>
      <c r="B35" s="52"/>
      <c r="C35" s="70"/>
      <c r="D35" s="9">
        <f>'Allianz Suisse'!$D$37</f>
        <v>0</v>
      </c>
      <c r="E35" s="19"/>
      <c r="F35" s="35"/>
      <c r="G35" s="70"/>
      <c r="H35" s="9">
        <f>Axa!$D$37</f>
        <v>0</v>
      </c>
      <c r="I35" s="13"/>
      <c r="J35" s="35"/>
      <c r="K35" s="70"/>
      <c r="L35" s="9">
        <f>Basler!$D$37</f>
        <v>0</v>
      </c>
      <c r="M35" s="13"/>
      <c r="N35" s="35"/>
      <c r="O35" s="70"/>
      <c r="P35" s="9">
        <f>Generali!$D$37</f>
        <v>0</v>
      </c>
      <c r="Q35" s="13"/>
      <c r="R35" s="35"/>
      <c r="S35" s="70"/>
      <c r="T35" s="9">
        <f>Helvetia!$D$37</f>
        <v>0</v>
      </c>
      <c r="U35" s="13"/>
      <c r="V35" s="35"/>
      <c r="W35" s="70"/>
      <c r="X35" s="9">
        <f>Mobiliar!$D$37</f>
        <v>0</v>
      </c>
      <c r="Y35" s="13"/>
      <c r="Z35" s="35"/>
      <c r="AA35" s="70"/>
      <c r="AB35" s="9">
        <f>Nationale!$D$37</f>
        <v>0</v>
      </c>
      <c r="AC35" s="13"/>
      <c r="AD35" s="35"/>
      <c r="AE35" s="70"/>
      <c r="AF35" s="9">
        <f>Pax!$D$37</f>
        <v>0</v>
      </c>
      <c r="AG35" s="13"/>
      <c r="AH35" s="35"/>
      <c r="AI35" s="70"/>
      <c r="AJ35" s="9">
        <f>Phenix!$D$37</f>
        <v>0</v>
      </c>
      <c r="AK35" s="13"/>
      <c r="AL35" s="35"/>
      <c r="AM35" s="70"/>
      <c r="AN35" s="9">
        <f>Rentenanstalt!$D$37</f>
        <v>0</v>
      </c>
      <c r="AO35" s="13"/>
      <c r="AP35" s="35"/>
      <c r="AQ35" s="70"/>
      <c r="AR35" s="9">
        <f>Winterthur!$D$37</f>
        <v>0</v>
      </c>
      <c r="AS35" s="13"/>
      <c r="AT35" s="35"/>
      <c r="AU35" s="70"/>
      <c r="AV35" s="9">
        <f>Zenith!$D$37</f>
        <v>0</v>
      </c>
      <c r="AW35" s="13"/>
      <c r="AX35" s="35"/>
      <c r="AY35" s="70"/>
      <c r="AZ35" s="9">
        <f>Zuerich!$D$37</f>
        <v>0</v>
      </c>
      <c r="BA35" s="13"/>
      <c r="BB35" s="40"/>
      <c r="BC35" s="71"/>
      <c r="BD35" s="9">
        <f>AZ35+AV35+AR35+AN35+AJ35+AF35+AB35+X35+T35+P35+L35+H35+D35</f>
        <v>0</v>
      </c>
      <c r="BE35" s="11"/>
      <c r="BF35" s="35"/>
    </row>
    <row r="36" spans="1:58" ht="13.5" thickBot="1">
      <c r="A36" s="52" t="s">
        <v>42</v>
      </c>
      <c r="B36" s="52"/>
      <c r="C36" s="70"/>
      <c r="D36" s="10">
        <f>'Allianz Suisse'!$D$38</f>
        <v>2955.96103</v>
      </c>
      <c r="E36" s="20">
        <f>D36+D35</f>
        <v>2955.96103</v>
      </c>
      <c r="F36" s="35"/>
      <c r="G36" s="70"/>
      <c r="H36" s="10">
        <f>Axa!$D$38</f>
        <v>19</v>
      </c>
      <c r="I36" s="20">
        <f>H36+H35</f>
        <v>19</v>
      </c>
      <c r="J36" s="35"/>
      <c r="K36" s="70"/>
      <c r="L36" s="10">
        <f>Basler!$D$38</f>
        <v>38437</v>
      </c>
      <c r="M36" s="20">
        <f>L36+L35</f>
        <v>38437</v>
      </c>
      <c r="N36" s="35"/>
      <c r="O36" s="70"/>
      <c r="P36" s="10">
        <f>Generali!$D$38</f>
        <v>0</v>
      </c>
      <c r="Q36" s="20">
        <f>P36+P35</f>
        <v>0</v>
      </c>
      <c r="R36" s="35"/>
      <c r="S36" s="70"/>
      <c r="T36" s="10">
        <f>Helvetia!$D$38</f>
        <v>32157.53688</v>
      </c>
      <c r="U36" s="20">
        <f>T36+T35</f>
        <v>32157.53688</v>
      </c>
      <c r="V36" s="35"/>
      <c r="W36" s="70"/>
      <c r="X36" s="10">
        <f>Mobiliar!$D$38</f>
        <v>45108</v>
      </c>
      <c r="Y36" s="20">
        <f>X36+X35</f>
        <v>45108</v>
      </c>
      <c r="Z36" s="35"/>
      <c r="AA36" s="70"/>
      <c r="AB36" s="10">
        <f>Nationale!$D$38</f>
        <v>2542</v>
      </c>
      <c r="AC36" s="20">
        <f>AB36+AB35</f>
        <v>2542</v>
      </c>
      <c r="AD36" s="35"/>
      <c r="AE36" s="70"/>
      <c r="AF36" s="10">
        <f>Pax!$D$38</f>
        <v>-59</v>
      </c>
      <c r="AG36" s="20">
        <f>AF36+AF35</f>
        <v>-59</v>
      </c>
      <c r="AH36" s="35"/>
      <c r="AI36" s="70"/>
      <c r="AJ36" s="10">
        <f>Phenix!$D$38</f>
        <v>8</v>
      </c>
      <c r="AK36" s="20">
        <f>AJ36+AJ35</f>
        <v>8</v>
      </c>
      <c r="AL36" s="35"/>
      <c r="AM36" s="70"/>
      <c r="AN36" s="10">
        <f>Rentenanstalt!$D$38</f>
        <v>176652.75248</v>
      </c>
      <c r="AO36" s="20">
        <f>AN36+AN35</f>
        <v>176652.75248</v>
      </c>
      <c r="AP36" s="35"/>
      <c r="AQ36" s="70"/>
      <c r="AR36" s="10">
        <f>Winterthur!$D$38</f>
        <v>162250</v>
      </c>
      <c r="AS36" s="20">
        <f>AR36+AR35</f>
        <v>162250</v>
      </c>
      <c r="AT36" s="35"/>
      <c r="AU36" s="70"/>
      <c r="AV36" s="10">
        <f>Zenith!$D$38</f>
        <v>1645</v>
      </c>
      <c r="AW36" s="20">
        <f>AV36+AV35</f>
        <v>1645</v>
      </c>
      <c r="AX36" s="35"/>
      <c r="AY36" s="70"/>
      <c r="AZ36" s="10">
        <f>Zuerich!$D$38</f>
        <v>46446</v>
      </c>
      <c r="BA36" s="20">
        <f>AZ36+AZ35</f>
        <v>46446</v>
      </c>
      <c r="BB36" s="40"/>
      <c r="BC36" s="71"/>
      <c r="BD36" s="10">
        <f>AZ36+AV36+AR36+AN36+AJ36+AF36+AB36+X36+T36+P36+L36+H36+D36</f>
        <v>508162.25039000006</v>
      </c>
      <c r="BE36" s="20">
        <f>BD36+BD35</f>
        <v>508162.25039000006</v>
      </c>
      <c r="BF36" s="35"/>
    </row>
    <row r="37" spans="1:58" ht="13.5" thickBot="1">
      <c r="A37" s="52" t="s">
        <v>43</v>
      </c>
      <c r="B37" s="52"/>
      <c r="C37" s="70"/>
      <c r="D37" s="1"/>
      <c r="E37" s="21">
        <f>E33+E34-E36</f>
        <v>50761.80157</v>
      </c>
      <c r="F37" s="35"/>
      <c r="G37" s="70"/>
      <c r="H37" s="11"/>
      <c r="I37" s="21">
        <f>I33+I34-I36</f>
        <v>1036.529</v>
      </c>
      <c r="J37" s="35"/>
      <c r="K37" s="70"/>
      <c r="L37" s="11"/>
      <c r="M37" s="21">
        <f>M33+M34-M36</f>
        <v>54395</v>
      </c>
      <c r="N37" s="35"/>
      <c r="O37" s="70"/>
      <c r="P37" s="11"/>
      <c r="Q37" s="21">
        <f>Q33+Q34-Q36</f>
        <v>0</v>
      </c>
      <c r="R37" s="35"/>
      <c r="S37" s="70"/>
      <c r="T37" s="11"/>
      <c r="U37" s="21">
        <f>U33+U34-U36</f>
        <v>170095.95268999998</v>
      </c>
      <c r="V37" s="35"/>
      <c r="W37" s="70"/>
      <c r="X37" s="11"/>
      <c r="Y37" s="21">
        <f>Y33+Y34-Y36</f>
        <v>145199.9</v>
      </c>
      <c r="Z37" s="35"/>
      <c r="AA37" s="70"/>
      <c r="AB37" s="11"/>
      <c r="AC37" s="21">
        <f>AC33+AC34-AC36</f>
        <v>5400</v>
      </c>
      <c r="AD37" s="35"/>
      <c r="AE37" s="70"/>
      <c r="AF37" s="11"/>
      <c r="AG37" s="21">
        <f>AG33+AG34-AG36</f>
        <v>976</v>
      </c>
      <c r="AH37" s="35"/>
      <c r="AI37" s="70"/>
      <c r="AJ37" s="11"/>
      <c r="AK37" s="21">
        <f>AK33+AK34-AK36</f>
        <v>74</v>
      </c>
      <c r="AL37" s="35"/>
      <c r="AM37" s="70"/>
      <c r="AN37" s="11"/>
      <c r="AO37" s="21">
        <f>AO33+AO34-AO36</f>
        <v>385999.56135</v>
      </c>
      <c r="AP37" s="35"/>
      <c r="AQ37" s="70"/>
      <c r="AR37" s="11"/>
      <c r="AS37" s="21">
        <f>AS33+AS34-AS36</f>
        <v>331013</v>
      </c>
      <c r="AT37" s="35"/>
      <c r="AU37" s="70"/>
      <c r="AV37" s="11"/>
      <c r="AW37" s="21">
        <f>AW33+AW34-AW36</f>
        <v>2384.174</v>
      </c>
      <c r="AX37" s="35"/>
      <c r="AY37" s="70"/>
      <c r="AZ37" s="11"/>
      <c r="BA37" s="21">
        <f>BA33+BA34-BA36</f>
        <v>93746</v>
      </c>
      <c r="BB37" s="40"/>
      <c r="BC37" s="71"/>
      <c r="BD37" s="11"/>
      <c r="BE37" s="21">
        <f>BE33+BE34-BE36</f>
        <v>1241081.91861</v>
      </c>
      <c r="BF37" s="35"/>
    </row>
    <row r="38" spans="1:58" ht="12.75">
      <c r="A38" s="52"/>
      <c r="B38" s="52"/>
      <c r="C38" s="70"/>
      <c r="D38" s="1"/>
      <c r="E38" s="1"/>
      <c r="F38" s="35"/>
      <c r="G38" s="70"/>
      <c r="H38" s="11"/>
      <c r="I38" s="11"/>
      <c r="J38" s="35"/>
      <c r="K38" s="70"/>
      <c r="L38" s="11"/>
      <c r="M38" s="11"/>
      <c r="N38" s="35"/>
      <c r="O38" s="70"/>
      <c r="P38" s="11"/>
      <c r="Q38" s="11"/>
      <c r="R38" s="35"/>
      <c r="S38" s="70"/>
      <c r="T38" s="11"/>
      <c r="U38" s="11"/>
      <c r="V38" s="35"/>
      <c r="W38" s="70"/>
      <c r="X38" s="11"/>
      <c r="Y38" s="11"/>
      <c r="Z38" s="35"/>
      <c r="AA38" s="70"/>
      <c r="AB38" s="11"/>
      <c r="AC38" s="11"/>
      <c r="AD38" s="35"/>
      <c r="AE38" s="70"/>
      <c r="AF38" s="11"/>
      <c r="AG38" s="11"/>
      <c r="AH38" s="35"/>
      <c r="AI38" s="70"/>
      <c r="AJ38" s="11"/>
      <c r="AK38" s="11"/>
      <c r="AL38" s="35"/>
      <c r="AM38" s="70"/>
      <c r="AN38" s="11"/>
      <c r="AO38" s="11"/>
      <c r="AP38" s="35"/>
      <c r="AQ38" s="70"/>
      <c r="AR38" s="11"/>
      <c r="AS38" s="11"/>
      <c r="AT38" s="35"/>
      <c r="AU38" s="70"/>
      <c r="AV38" s="11"/>
      <c r="AW38" s="11"/>
      <c r="AX38" s="35"/>
      <c r="AY38" s="70"/>
      <c r="AZ38" s="11"/>
      <c r="BA38" s="11"/>
      <c r="BB38" s="40"/>
      <c r="BC38" s="71"/>
      <c r="BD38" s="11"/>
      <c r="BE38" s="11"/>
      <c r="BF38" s="35"/>
    </row>
    <row r="39" spans="1:58" ht="12.75">
      <c r="A39" s="102" t="s">
        <v>44</v>
      </c>
      <c r="B39" s="52"/>
      <c r="C39" s="70"/>
      <c r="D39" s="1"/>
      <c r="E39" s="1"/>
      <c r="F39" s="35"/>
      <c r="G39" s="70"/>
      <c r="H39" s="11"/>
      <c r="I39" s="11"/>
      <c r="J39" s="35"/>
      <c r="K39" s="70"/>
      <c r="L39" s="11"/>
      <c r="M39" s="11"/>
      <c r="N39" s="35"/>
      <c r="O39" s="70"/>
      <c r="P39" s="11"/>
      <c r="Q39" s="11"/>
      <c r="R39" s="35"/>
      <c r="S39" s="70"/>
      <c r="T39" s="11"/>
      <c r="U39" s="11"/>
      <c r="V39" s="35"/>
      <c r="W39" s="70"/>
      <c r="X39" s="11"/>
      <c r="Y39" s="11"/>
      <c r="Z39" s="35"/>
      <c r="AA39" s="70"/>
      <c r="AB39" s="11"/>
      <c r="AC39" s="11"/>
      <c r="AD39" s="35"/>
      <c r="AE39" s="70"/>
      <c r="AF39" s="11"/>
      <c r="AG39" s="11"/>
      <c r="AH39" s="35"/>
      <c r="AI39" s="70"/>
      <c r="AJ39" s="11"/>
      <c r="AK39" s="11"/>
      <c r="AL39" s="35"/>
      <c r="AM39" s="70"/>
      <c r="AN39" s="11"/>
      <c r="AO39" s="11"/>
      <c r="AP39" s="35"/>
      <c r="AQ39" s="70"/>
      <c r="AR39" s="11"/>
      <c r="AS39" s="11"/>
      <c r="AT39" s="35"/>
      <c r="AU39" s="70"/>
      <c r="AV39" s="11"/>
      <c r="AW39" s="11"/>
      <c r="AX39" s="35"/>
      <c r="AY39" s="70"/>
      <c r="AZ39" s="11"/>
      <c r="BA39" s="11"/>
      <c r="BB39" s="40"/>
      <c r="BC39" s="71"/>
      <c r="BD39" s="11"/>
      <c r="BE39" s="11"/>
      <c r="BF39" s="35"/>
    </row>
    <row r="40" spans="1:58" ht="12.75">
      <c r="A40" s="52" t="s">
        <v>39</v>
      </c>
      <c r="B40" s="52"/>
      <c r="C40" s="70"/>
      <c r="D40" s="1"/>
      <c r="E40" s="17">
        <f>'Allianz Suisse'!$E$42</f>
        <v>148587</v>
      </c>
      <c r="F40" s="35"/>
      <c r="G40" s="70"/>
      <c r="H40" s="11"/>
      <c r="I40" s="17">
        <f>Axa!$E$42</f>
        <v>4875</v>
      </c>
      <c r="J40" s="35"/>
      <c r="K40" s="70"/>
      <c r="L40" s="11"/>
      <c r="M40" s="17">
        <f>Basler!$E$42</f>
        <v>200976.58500000002</v>
      </c>
      <c r="N40" s="35"/>
      <c r="O40" s="70"/>
      <c r="P40" s="11"/>
      <c r="Q40" s="17">
        <f>Generali!$E$42</f>
        <v>15145</v>
      </c>
      <c r="R40" s="35"/>
      <c r="S40" s="70"/>
      <c r="T40" s="11"/>
      <c r="U40" s="17">
        <f>Helvetia!$E$42</f>
        <v>237287</v>
      </c>
      <c r="V40" s="35"/>
      <c r="W40" s="70"/>
      <c r="X40" s="11"/>
      <c r="Y40" s="17">
        <f>Mobiliar!$E$42</f>
        <v>175325</v>
      </c>
      <c r="Z40" s="35"/>
      <c r="AA40" s="70"/>
      <c r="AB40" s="11"/>
      <c r="AC40" s="17">
        <f>Nationale!$E$42</f>
        <v>47152</v>
      </c>
      <c r="AD40" s="35"/>
      <c r="AE40" s="70"/>
      <c r="AF40" s="11"/>
      <c r="AG40" s="17">
        <f>Pax!$E$42</f>
        <v>68000</v>
      </c>
      <c r="AH40" s="35"/>
      <c r="AI40" s="70"/>
      <c r="AJ40" s="11"/>
      <c r="AK40" s="17">
        <f>Phenix!$E$42</f>
        <v>2247</v>
      </c>
      <c r="AL40" s="35"/>
      <c r="AM40" s="70"/>
      <c r="AN40" s="11"/>
      <c r="AO40" s="17">
        <f>Rentenanstalt!$E$42</f>
        <v>669411</v>
      </c>
      <c r="AP40" s="35"/>
      <c r="AQ40" s="70"/>
      <c r="AR40" s="11"/>
      <c r="AS40" s="17">
        <f>Winterthur!$E$42</f>
        <v>488522</v>
      </c>
      <c r="AT40" s="35"/>
      <c r="AU40" s="70"/>
      <c r="AV40" s="11"/>
      <c r="AW40" s="17">
        <f>Zenith!$E$42</f>
        <v>0</v>
      </c>
      <c r="AX40" s="35"/>
      <c r="AY40" s="70"/>
      <c r="AZ40" s="11"/>
      <c r="BA40" s="17">
        <f>Zuerich!$E$42</f>
        <v>336319</v>
      </c>
      <c r="BB40" s="40"/>
      <c r="BC40" s="71"/>
      <c r="BD40" s="11"/>
      <c r="BE40" s="91">
        <f>BA40+AW40+AS40+AO40+AK40+AG40+AC40+Y40+U40+Q40+M40+I40+E40</f>
        <v>2393846.585</v>
      </c>
      <c r="BF40" s="35"/>
    </row>
    <row r="41" spans="1:58" ht="12.75">
      <c r="A41" s="52" t="s">
        <v>45</v>
      </c>
      <c r="B41" s="52"/>
      <c r="C41" s="70"/>
      <c r="D41" s="9">
        <f>'Allianz Suisse'!$D$43</f>
        <v>3419.229048</v>
      </c>
      <c r="E41" s="59"/>
      <c r="F41" s="35"/>
      <c r="G41" s="70"/>
      <c r="H41" s="9">
        <f>Axa!$D$43</f>
        <v>212.65615</v>
      </c>
      <c r="I41" s="72"/>
      <c r="J41" s="35"/>
      <c r="K41" s="70"/>
      <c r="L41" s="9">
        <f>Basler!$D$43</f>
        <v>5537</v>
      </c>
      <c r="M41" s="72"/>
      <c r="N41" s="35"/>
      <c r="O41" s="70"/>
      <c r="P41" s="9">
        <f>Generali!$D$43</f>
        <v>151.2911</v>
      </c>
      <c r="Q41" s="72"/>
      <c r="R41" s="35"/>
      <c r="S41" s="70"/>
      <c r="T41" s="9">
        <f>Helvetia!$D$43</f>
        <v>6892.632528</v>
      </c>
      <c r="U41" s="72"/>
      <c r="V41" s="35"/>
      <c r="W41" s="70"/>
      <c r="X41" s="9">
        <f>Mobiliar!$D$43</f>
        <v>3618</v>
      </c>
      <c r="Y41" s="72"/>
      <c r="Z41" s="35"/>
      <c r="AA41" s="70"/>
      <c r="AB41" s="9">
        <f>Nationale!$D$43</f>
        <v>788</v>
      </c>
      <c r="AC41" s="72"/>
      <c r="AD41" s="35"/>
      <c r="AE41" s="70"/>
      <c r="AF41" s="9">
        <f>Pax!$D$43</f>
        <v>2225</v>
      </c>
      <c r="AG41" s="72"/>
      <c r="AH41" s="35"/>
      <c r="AI41" s="70"/>
      <c r="AJ41" s="9">
        <f>Phenix!$D$43</f>
        <v>82</v>
      </c>
      <c r="AK41" s="72"/>
      <c r="AL41" s="35"/>
      <c r="AM41" s="70"/>
      <c r="AN41" s="9">
        <f>Rentenanstalt!$D$43</f>
        <v>15945.746000000001</v>
      </c>
      <c r="AO41" s="72"/>
      <c r="AP41" s="35"/>
      <c r="AQ41" s="70"/>
      <c r="AR41" s="9">
        <f>Winterthur!$D$43</f>
        <v>23821</v>
      </c>
      <c r="AS41" s="72"/>
      <c r="AT41" s="35"/>
      <c r="AU41" s="70"/>
      <c r="AV41" s="9">
        <f>Zenith!$D$43</f>
        <v>5377</v>
      </c>
      <c r="AW41" s="72"/>
      <c r="AX41" s="35"/>
      <c r="AY41" s="70"/>
      <c r="AZ41" s="9">
        <f>Zuerich!$D$43</f>
        <v>9509.518</v>
      </c>
      <c r="BA41" s="72"/>
      <c r="BB41" s="40"/>
      <c r="BC41" s="71"/>
      <c r="BD41" s="8">
        <f>AZ41+AV41+AR41+AN41+AJ41+AF41+AB41+X41+T41+P41+L41+H41+D41</f>
        <v>77579.07282599999</v>
      </c>
      <c r="BE41" s="40"/>
      <c r="BF41" s="35"/>
    </row>
    <row r="42" spans="1:58" ht="12.75">
      <c r="A42" s="52" t="s">
        <v>46</v>
      </c>
      <c r="B42" s="52"/>
      <c r="C42" s="70"/>
      <c r="D42" s="9">
        <f>'Allianz Suisse'!$D$44</f>
        <v>1883.4480999999998</v>
      </c>
      <c r="E42" s="60">
        <f>D42+D41</f>
        <v>5302.677148</v>
      </c>
      <c r="F42" s="35"/>
      <c r="G42" s="70"/>
      <c r="H42" s="9">
        <f>Axa!$D$44</f>
        <v>37.138</v>
      </c>
      <c r="I42" s="60">
        <f>H42+H41</f>
        <v>249.79415</v>
      </c>
      <c r="J42" s="35"/>
      <c r="K42" s="70"/>
      <c r="L42" s="9">
        <f>Basler!$D$44</f>
        <v>2010</v>
      </c>
      <c r="M42" s="60">
        <f>L42+L41</f>
        <v>7547</v>
      </c>
      <c r="N42" s="35"/>
      <c r="O42" s="70"/>
      <c r="P42" s="9">
        <f>Generali!$D$44</f>
        <v>75.72</v>
      </c>
      <c r="Q42" s="60">
        <f>P42+P41</f>
        <v>227.0111</v>
      </c>
      <c r="R42" s="35"/>
      <c r="S42" s="70"/>
      <c r="T42" s="9">
        <f>Helvetia!$D$44</f>
        <v>2372.74392026</v>
      </c>
      <c r="U42" s="60">
        <f>T42+T41</f>
        <v>9265.37644826</v>
      </c>
      <c r="V42" s="35"/>
      <c r="W42" s="70"/>
      <c r="X42" s="9">
        <f>Mobiliar!$D$44</f>
        <v>1753</v>
      </c>
      <c r="Y42" s="60">
        <f>X42+X41</f>
        <v>5371</v>
      </c>
      <c r="Z42" s="35"/>
      <c r="AA42" s="70"/>
      <c r="AB42" s="9">
        <f>Nationale!$D$44</f>
        <v>471</v>
      </c>
      <c r="AC42" s="60">
        <f>AB42+AB41</f>
        <v>1259</v>
      </c>
      <c r="AD42" s="35"/>
      <c r="AE42" s="70"/>
      <c r="AF42" s="9">
        <f>Pax!$D$44</f>
        <v>0</v>
      </c>
      <c r="AG42" s="60">
        <f>AF42+AF41</f>
        <v>2225</v>
      </c>
      <c r="AH42" s="35"/>
      <c r="AI42" s="70"/>
      <c r="AJ42" s="9">
        <f>Phenix!$D$44</f>
        <v>34</v>
      </c>
      <c r="AK42" s="60">
        <f>AJ42+AJ41</f>
        <v>116</v>
      </c>
      <c r="AL42" s="35"/>
      <c r="AM42" s="70"/>
      <c r="AN42" s="9">
        <f>Rentenanstalt!$D$44</f>
        <v>6694.11</v>
      </c>
      <c r="AO42" s="60">
        <f>AN42+AN41</f>
        <v>22639.856</v>
      </c>
      <c r="AP42" s="35"/>
      <c r="AQ42" s="70"/>
      <c r="AR42" s="9">
        <f>Winterthur!$D$44</f>
        <v>5520</v>
      </c>
      <c r="AS42" s="60">
        <f>AR42+AR41</f>
        <v>29341</v>
      </c>
      <c r="AT42" s="35"/>
      <c r="AU42" s="70"/>
      <c r="AV42" s="9">
        <f>Zenith!$D$44</f>
        <v>0</v>
      </c>
      <c r="AW42" s="60">
        <f>AV42+AV41</f>
        <v>5377</v>
      </c>
      <c r="AX42" s="35"/>
      <c r="AY42" s="70"/>
      <c r="AZ42" s="9">
        <f>Zuerich!$D$44</f>
        <v>3363</v>
      </c>
      <c r="BA42" s="60">
        <f>AZ42+AZ41</f>
        <v>12872.518</v>
      </c>
      <c r="BB42" s="40"/>
      <c r="BC42" s="71"/>
      <c r="BD42" s="8">
        <f>AZ42+AV42+AR42+AN42+AJ42+AF42+AB42+X42+T42+P42+L42+H42+D42</f>
        <v>24214.160020260002</v>
      </c>
      <c r="BE42" s="92">
        <f>BD42+BD41</f>
        <v>101793.23284625998</v>
      </c>
      <c r="BF42" s="35"/>
    </row>
    <row r="43" spans="1:58" ht="12.75">
      <c r="A43" s="52" t="s">
        <v>111</v>
      </c>
      <c r="B43" s="52"/>
      <c r="C43" s="70"/>
      <c r="D43" s="9">
        <f>'Allianz Suisse'!$D$45</f>
        <v>1124.7901479999618</v>
      </c>
      <c r="E43" s="59"/>
      <c r="F43" s="35"/>
      <c r="G43" s="70"/>
      <c r="H43" s="9">
        <f>Axa!$D$45</f>
        <v>53.21165</v>
      </c>
      <c r="I43" s="72"/>
      <c r="J43" s="35"/>
      <c r="K43" s="70"/>
      <c r="L43" s="9">
        <f>Basler!$D$45</f>
        <v>1672</v>
      </c>
      <c r="M43" s="72"/>
      <c r="N43" s="35"/>
      <c r="O43" s="70"/>
      <c r="P43" s="9">
        <f>Generali!$D$45</f>
        <v>174.508</v>
      </c>
      <c r="Q43" s="72"/>
      <c r="R43" s="35"/>
      <c r="S43" s="70"/>
      <c r="T43" s="9">
        <f>Helvetia!$D$45</f>
        <v>1296.2663499999999</v>
      </c>
      <c r="U43" s="72"/>
      <c r="V43" s="35"/>
      <c r="W43" s="70"/>
      <c r="X43" s="9">
        <f>Mobiliar!$D$45</f>
        <v>788</v>
      </c>
      <c r="Y43" s="72"/>
      <c r="Z43" s="35"/>
      <c r="AA43" s="70"/>
      <c r="AB43" s="9">
        <f>Nationale!$D$45</f>
        <v>150</v>
      </c>
      <c r="AC43" s="72"/>
      <c r="AD43" s="35"/>
      <c r="AE43" s="70"/>
      <c r="AF43" s="9">
        <f>Pax!$D$45</f>
        <v>2225</v>
      </c>
      <c r="AG43" s="72"/>
      <c r="AH43" s="35"/>
      <c r="AI43" s="70"/>
      <c r="AJ43" s="9">
        <f>Phenix!$D$45</f>
        <v>87</v>
      </c>
      <c r="AK43" s="72"/>
      <c r="AL43" s="35"/>
      <c r="AM43" s="70"/>
      <c r="AN43" s="9">
        <f>Rentenanstalt!$D$45</f>
        <v>4351.356</v>
      </c>
      <c r="AO43" s="72"/>
      <c r="AP43" s="35"/>
      <c r="AQ43" s="70"/>
      <c r="AR43" s="9">
        <f>Winterthur!$D$45</f>
        <v>4204</v>
      </c>
      <c r="AS43" s="72"/>
      <c r="AT43" s="35"/>
      <c r="AU43" s="70"/>
      <c r="AV43" s="9">
        <f>Zenith!$D$45</f>
        <v>0</v>
      </c>
      <c r="AW43" s="72"/>
      <c r="AX43" s="35"/>
      <c r="AY43" s="70"/>
      <c r="AZ43" s="9">
        <f>Zuerich!$D$45</f>
        <v>4820</v>
      </c>
      <c r="BA43" s="72"/>
      <c r="BB43" s="40"/>
      <c r="BC43" s="71"/>
      <c r="BD43" s="8">
        <f>AZ43+AV43+AR43+AN43+AJ43+AF43+AB43+X43+T43+P43+L43+H43+D43</f>
        <v>20946.13214799996</v>
      </c>
      <c r="BE43" s="40"/>
      <c r="BF43" s="35"/>
    </row>
    <row r="44" spans="1:58" ht="13.5" thickBot="1">
      <c r="A44" s="52" t="s">
        <v>48</v>
      </c>
      <c r="B44" s="52"/>
      <c r="C44" s="70"/>
      <c r="D44" s="9">
        <f>'Allianz Suisse'!$D$46</f>
        <v>0</v>
      </c>
      <c r="E44" s="20">
        <f>D44+D43</f>
        <v>1124.7901479999618</v>
      </c>
      <c r="F44" s="35"/>
      <c r="G44" s="70"/>
      <c r="H44" s="9">
        <f>Axa!$D$46</f>
        <v>42.5312</v>
      </c>
      <c r="I44" s="20">
        <f>H44+H43</f>
        <v>95.74285</v>
      </c>
      <c r="J44" s="35"/>
      <c r="K44" s="70"/>
      <c r="L44" s="9">
        <f>Basler!$D$46</f>
        <v>0</v>
      </c>
      <c r="M44" s="20">
        <f>L44+L43</f>
        <v>1672</v>
      </c>
      <c r="N44" s="35"/>
      <c r="O44" s="70"/>
      <c r="P44" s="9">
        <f>Generali!$D$46</f>
        <v>3653.441</v>
      </c>
      <c r="Q44" s="20">
        <f>P44+P43</f>
        <v>3827.9489999999996</v>
      </c>
      <c r="R44" s="35"/>
      <c r="S44" s="70"/>
      <c r="T44" s="9">
        <f>Helvetia!$D$46</f>
        <v>0</v>
      </c>
      <c r="U44" s="20">
        <f>T44+T43</f>
        <v>1296.2663499999999</v>
      </c>
      <c r="V44" s="35"/>
      <c r="W44" s="70"/>
      <c r="X44" s="9">
        <f>Mobiliar!$D$46</f>
        <v>724</v>
      </c>
      <c r="Y44" s="20">
        <f>X44+X43</f>
        <v>1512</v>
      </c>
      <c r="Z44" s="35"/>
      <c r="AA44" s="70"/>
      <c r="AB44" s="9">
        <f>Nationale!$D$46</f>
        <v>0</v>
      </c>
      <c r="AC44" s="20">
        <f>AB44+AB43</f>
        <v>150</v>
      </c>
      <c r="AD44" s="35"/>
      <c r="AE44" s="70"/>
      <c r="AF44" s="9">
        <f>Pax!$D$46</f>
        <v>0</v>
      </c>
      <c r="AG44" s="20">
        <f>AF44+AF43</f>
        <v>2225</v>
      </c>
      <c r="AH44" s="35"/>
      <c r="AI44" s="70"/>
      <c r="AJ44" s="9">
        <f>Phenix!$D$46</f>
        <v>0</v>
      </c>
      <c r="AK44" s="20">
        <f>AJ44+AJ43</f>
        <v>87</v>
      </c>
      <c r="AL44" s="35"/>
      <c r="AM44" s="70"/>
      <c r="AN44" s="9">
        <f>Rentenanstalt!$D$46</f>
        <v>0</v>
      </c>
      <c r="AO44" s="20">
        <f>AN44+AN43</f>
        <v>4351.356</v>
      </c>
      <c r="AP44" s="35"/>
      <c r="AQ44" s="70"/>
      <c r="AR44" s="9">
        <f>Winterthur!$D$46</f>
        <v>4764</v>
      </c>
      <c r="AS44" s="20">
        <f>AR44+AR43</f>
        <v>8968</v>
      </c>
      <c r="AT44" s="35"/>
      <c r="AU44" s="70"/>
      <c r="AV44" s="9">
        <f>Zenith!$D$46</f>
        <v>0</v>
      </c>
      <c r="AW44" s="20">
        <f>AV44+AV43</f>
        <v>0</v>
      </c>
      <c r="AX44" s="35"/>
      <c r="AY44" s="70"/>
      <c r="AZ44" s="9">
        <f>Zuerich!$D$46</f>
        <v>0</v>
      </c>
      <c r="BA44" s="20">
        <f>AZ44+AZ43</f>
        <v>4820</v>
      </c>
      <c r="BB44" s="40"/>
      <c r="BC44" s="71"/>
      <c r="BD44" s="8">
        <f>AZ44+AV44+AR44+AN44+AJ44+AF44+AB44+X44+T44+P44+L44+H44+D44</f>
        <v>9183.972199999998</v>
      </c>
      <c r="BE44" s="89">
        <f>BD44+BD43</f>
        <v>30130.104347999957</v>
      </c>
      <c r="BF44" s="35"/>
    </row>
    <row r="45" spans="1:58" ht="13.5" thickBot="1">
      <c r="A45" s="52" t="s">
        <v>49</v>
      </c>
      <c r="B45" s="52"/>
      <c r="C45" s="70"/>
      <c r="E45" s="21">
        <f>E40+E42-E44</f>
        <v>152764.88700000002</v>
      </c>
      <c r="F45" s="35"/>
      <c r="G45" s="70"/>
      <c r="H45" s="40"/>
      <c r="I45" s="21">
        <f>I40+I42-I44</f>
        <v>5029.0513</v>
      </c>
      <c r="J45" s="35"/>
      <c r="K45" s="70"/>
      <c r="L45" s="40"/>
      <c r="M45" s="21">
        <f>M40+M42-M44</f>
        <v>206851.58500000002</v>
      </c>
      <c r="N45" s="35"/>
      <c r="O45" s="70"/>
      <c r="P45" s="40"/>
      <c r="Q45" s="21">
        <f>Q40+Q42-Q44</f>
        <v>11544.0621</v>
      </c>
      <c r="R45" s="35"/>
      <c r="S45" s="70"/>
      <c r="T45" s="40"/>
      <c r="U45" s="21">
        <f>U40+U42-U44</f>
        <v>245256.11009826002</v>
      </c>
      <c r="V45" s="35"/>
      <c r="W45" s="70"/>
      <c r="X45" s="40"/>
      <c r="Y45" s="21">
        <f>Y40+Y42-Y44</f>
        <v>179184</v>
      </c>
      <c r="Z45" s="35"/>
      <c r="AA45" s="70"/>
      <c r="AB45" s="40"/>
      <c r="AC45" s="21">
        <f>AC40+AC42-AC44</f>
        <v>48261</v>
      </c>
      <c r="AD45" s="35"/>
      <c r="AE45" s="70"/>
      <c r="AF45" s="40"/>
      <c r="AG45" s="21">
        <f>AG40+AG42-AG44</f>
        <v>68000</v>
      </c>
      <c r="AH45" s="35"/>
      <c r="AI45" s="70"/>
      <c r="AJ45" s="40"/>
      <c r="AK45" s="21">
        <f>AK40+AK42-AK44</f>
        <v>2276</v>
      </c>
      <c r="AL45" s="35"/>
      <c r="AM45" s="70"/>
      <c r="AN45" s="40"/>
      <c r="AO45" s="21">
        <f>AO40+AO42-AO44</f>
        <v>687699.5</v>
      </c>
      <c r="AP45" s="35"/>
      <c r="AQ45" s="70"/>
      <c r="AR45" s="40"/>
      <c r="AS45" s="21">
        <f>AS40+AS42-AS44</f>
        <v>508895</v>
      </c>
      <c r="AT45" s="35"/>
      <c r="AU45" s="70"/>
      <c r="AV45" s="40"/>
      <c r="AW45" s="21">
        <f>AW40+AW42-AW44</f>
        <v>5377</v>
      </c>
      <c r="AX45" s="35"/>
      <c r="AY45" s="70"/>
      <c r="AZ45" s="40"/>
      <c r="BA45" s="21">
        <f>BA40+BA42-BA44</f>
        <v>344371.518</v>
      </c>
      <c r="BB45" s="40"/>
      <c r="BC45" s="71"/>
      <c r="BD45" s="11"/>
      <c r="BE45" s="91">
        <f>BE40+BE42-BE44</f>
        <v>2465509.71349826</v>
      </c>
      <c r="BF45" s="35"/>
    </row>
    <row r="46" spans="1:58" ht="12.75">
      <c r="A46" s="52"/>
      <c r="B46" s="52"/>
      <c r="C46" s="70"/>
      <c r="E46" s="1"/>
      <c r="F46" s="35"/>
      <c r="G46" s="70"/>
      <c r="H46" s="40"/>
      <c r="I46" s="11"/>
      <c r="J46" s="35"/>
      <c r="K46" s="70"/>
      <c r="L46" s="40"/>
      <c r="M46" s="11"/>
      <c r="N46" s="35"/>
      <c r="O46" s="70"/>
      <c r="P46" s="40"/>
      <c r="Q46" s="11"/>
      <c r="R46" s="35"/>
      <c r="S46" s="70"/>
      <c r="T46" s="40"/>
      <c r="U46" s="11"/>
      <c r="V46" s="35"/>
      <c r="W46" s="70"/>
      <c r="X46" s="40"/>
      <c r="Y46" s="11"/>
      <c r="Z46" s="35"/>
      <c r="AA46" s="70"/>
      <c r="AB46" s="40"/>
      <c r="AC46" s="11"/>
      <c r="AD46" s="35"/>
      <c r="AE46" s="70"/>
      <c r="AF46" s="40"/>
      <c r="AG46" s="11"/>
      <c r="AH46" s="35"/>
      <c r="AI46" s="70"/>
      <c r="AJ46" s="40"/>
      <c r="AK46" s="11"/>
      <c r="AL46" s="35"/>
      <c r="AM46" s="70"/>
      <c r="AN46" s="40"/>
      <c r="AO46" s="11"/>
      <c r="AP46" s="35"/>
      <c r="AQ46" s="70"/>
      <c r="AR46" s="40"/>
      <c r="AS46" s="11"/>
      <c r="AT46" s="35"/>
      <c r="AU46" s="70"/>
      <c r="AV46" s="40"/>
      <c r="AW46" s="11"/>
      <c r="AX46" s="35"/>
      <c r="AY46" s="70"/>
      <c r="AZ46" s="40"/>
      <c r="BA46" s="11"/>
      <c r="BB46" s="40"/>
      <c r="BC46" s="71"/>
      <c r="BD46" s="11"/>
      <c r="BE46" s="11"/>
      <c r="BF46" s="35"/>
    </row>
    <row r="47" spans="1:58" ht="12.75">
      <c r="A47" s="102" t="s">
        <v>50</v>
      </c>
      <c r="B47" s="52"/>
      <c r="C47" s="70"/>
      <c r="E47" s="1"/>
      <c r="F47" s="35"/>
      <c r="G47" s="70"/>
      <c r="H47" s="40"/>
      <c r="I47" s="11"/>
      <c r="J47" s="35"/>
      <c r="K47" s="70"/>
      <c r="L47" s="40"/>
      <c r="M47" s="11"/>
      <c r="N47" s="35"/>
      <c r="O47" s="70"/>
      <c r="P47" s="40"/>
      <c r="Q47" s="11"/>
      <c r="R47" s="35"/>
      <c r="S47" s="70"/>
      <c r="T47" s="40"/>
      <c r="U47" s="11"/>
      <c r="V47" s="35"/>
      <c r="W47" s="70"/>
      <c r="X47" s="40"/>
      <c r="Y47" s="11"/>
      <c r="Z47" s="35"/>
      <c r="AA47" s="70"/>
      <c r="AB47" s="40"/>
      <c r="AC47" s="11"/>
      <c r="AD47" s="35"/>
      <c r="AE47" s="70"/>
      <c r="AF47" s="40"/>
      <c r="AG47" s="11"/>
      <c r="AH47" s="35"/>
      <c r="AI47" s="70"/>
      <c r="AJ47" s="40"/>
      <c r="AK47" s="11"/>
      <c r="AL47" s="35"/>
      <c r="AM47" s="70"/>
      <c r="AN47" s="40"/>
      <c r="AO47" s="11"/>
      <c r="AP47" s="35"/>
      <c r="AQ47" s="70"/>
      <c r="AR47" s="40"/>
      <c r="AS47" s="11"/>
      <c r="AT47" s="35"/>
      <c r="AU47" s="70"/>
      <c r="AV47" s="40"/>
      <c r="AW47" s="11"/>
      <c r="AX47" s="35"/>
      <c r="AY47" s="70"/>
      <c r="AZ47" s="40"/>
      <c r="BA47" s="11"/>
      <c r="BB47" s="40"/>
      <c r="BC47" s="71"/>
      <c r="BD47" s="11"/>
      <c r="BE47" s="11"/>
      <c r="BF47" s="35"/>
    </row>
    <row r="48" spans="1:58" ht="12.75">
      <c r="A48" s="104" t="s">
        <v>4</v>
      </c>
      <c r="B48" s="52" t="s">
        <v>82</v>
      </c>
      <c r="C48" s="70"/>
      <c r="E48" s="89">
        <f>E24</f>
        <v>192858.31068999998</v>
      </c>
      <c r="F48" s="35"/>
      <c r="G48" s="70"/>
      <c r="H48" s="40"/>
      <c r="I48" s="89">
        <f>I24</f>
        <v>9829.163480000001</v>
      </c>
      <c r="J48" s="35"/>
      <c r="K48" s="70"/>
      <c r="L48" s="40"/>
      <c r="M48" s="89">
        <f>M24</f>
        <v>386911</v>
      </c>
      <c r="N48" s="35"/>
      <c r="O48" s="70"/>
      <c r="P48" s="40"/>
      <c r="Q48" s="89">
        <f>Q24</f>
        <v>14928.723480000004</v>
      </c>
      <c r="R48" s="35"/>
      <c r="S48" s="70"/>
      <c r="T48" s="40"/>
      <c r="U48" s="89">
        <f>U24</f>
        <v>293566.29884999996</v>
      </c>
      <c r="V48" s="35"/>
      <c r="W48" s="70"/>
      <c r="X48" s="40"/>
      <c r="Y48" s="89">
        <f>Y24</f>
        <v>61609.799999999996</v>
      </c>
      <c r="Z48" s="35"/>
      <c r="AA48" s="70"/>
      <c r="AB48" s="40"/>
      <c r="AC48" s="89">
        <f>AC24</f>
        <v>44407</v>
      </c>
      <c r="AD48" s="35"/>
      <c r="AE48" s="70"/>
      <c r="AF48" s="40"/>
      <c r="AG48" s="89">
        <f>AG24</f>
        <v>82804.889</v>
      </c>
      <c r="AH48" s="35"/>
      <c r="AI48" s="70"/>
      <c r="AJ48" s="40"/>
      <c r="AK48" s="89">
        <f>AK24</f>
        <v>3023</v>
      </c>
      <c r="AL48" s="35"/>
      <c r="AM48" s="70"/>
      <c r="AN48" s="40"/>
      <c r="AO48" s="89">
        <f>AO24</f>
        <v>1515008.55691</v>
      </c>
      <c r="AP48" s="35"/>
      <c r="AQ48" s="70"/>
      <c r="AR48" s="40"/>
      <c r="AS48" s="89">
        <f>AS24</f>
        <v>1172136</v>
      </c>
      <c r="AT48" s="35"/>
      <c r="AU48" s="70"/>
      <c r="AV48" s="40"/>
      <c r="AW48" s="89">
        <f>AW24</f>
        <v>9274</v>
      </c>
      <c r="AX48" s="35"/>
      <c r="AY48" s="70"/>
      <c r="AZ48" s="40"/>
      <c r="BA48" s="89">
        <f>BA24</f>
        <v>386625</v>
      </c>
      <c r="BB48" s="40"/>
      <c r="BC48" s="71"/>
      <c r="BD48" s="11"/>
      <c r="BE48" s="89">
        <f>BE24</f>
        <v>4172981.74241</v>
      </c>
      <c r="BF48" s="35"/>
    </row>
    <row r="49" spans="1:58" ht="12.75">
      <c r="A49" s="52"/>
      <c r="B49" s="52"/>
      <c r="C49" s="70"/>
      <c r="D49" s="1"/>
      <c r="E49" s="1"/>
      <c r="F49" s="35"/>
      <c r="G49" s="70"/>
      <c r="H49" s="11"/>
      <c r="I49" s="11"/>
      <c r="J49" s="35"/>
      <c r="K49" s="70"/>
      <c r="L49" s="11"/>
      <c r="M49" s="11"/>
      <c r="N49" s="35"/>
      <c r="O49" s="70"/>
      <c r="P49" s="11"/>
      <c r="Q49" s="11"/>
      <c r="R49" s="35"/>
      <c r="S49" s="70"/>
      <c r="T49" s="11"/>
      <c r="U49" s="11"/>
      <c r="V49" s="35"/>
      <c r="W49" s="70"/>
      <c r="X49" s="11"/>
      <c r="Y49" s="11"/>
      <c r="Z49" s="35"/>
      <c r="AA49" s="70"/>
      <c r="AB49" s="11"/>
      <c r="AC49" s="11"/>
      <c r="AD49" s="35"/>
      <c r="AE49" s="70"/>
      <c r="AF49" s="11"/>
      <c r="AG49" s="11"/>
      <c r="AH49" s="35"/>
      <c r="AI49" s="70"/>
      <c r="AJ49" s="11"/>
      <c r="AK49" s="11"/>
      <c r="AL49" s="35"/>
      <c r="AM49" s="70"/>
      <c r="AN49" s="11"/>
      <c r="AO49" s="11"/>
      <c r="AP49" s="35"/>
      <c r="AQ49" s="70"/>
      <c r="AR49" s="11"/>
      <c r="AS49" s="11"/>
      <c r="AT49" s="35"/>
      <c r="AU49" s="70"/>
      <c r="AV49" s="11"/>
      <c r="AW49" s="11"/>
      <c r="AX49" s="35"/>
      <c r="AY49" s="70"/>
      <c r="AZ49" s="11"/>
      <c r="BA49" s="11"/>
      <c r="BB49" s="40"/>
      <c r="BC49" s="71"/>
      <c r="BD49" s="11"/>
      <c r="BE49" s="11"/>
      <c r="BF49" s="35"/>
    </row>
    <row r="50" spans="1:58" ht="25.5">
      <c r="A50" s="52"/>
      <c r="B50" s="52"/>
      <c r="C50" s="70"/>
      <c r="D50" s="106" t="s">
        <v>99</v>
      </c>
      <c r="E50" s="106" t="s">
        <v>100</v>
      </c>
      <c r="F50" s="35"/>
      <c r="G50" s="70"/>
      <c r="H50" s="106" t="s">
        <v>99</v>
      </c>
      <c r="I50" s="106" t="s">
        <v>100</v>
      </c>
      <c r="J50" s="35"/>
      <c r="K50" s="70"/>
      <c r="L50" s="106" t="s">
        <v>99</v>
      </c>
      <c r="M50" s="106" t="s">
        <v>100</v>
      </c>
      <c r="N50" s="35"/>
      <c r="O50" s="70"/>
      <c r="P50" s="106" t="s">
        <v>99</v>
      </c>
      <c r="Q50" s="106" t="s">
        <v>100</v>
      </c>
      <c r="R50" s="35"/>
      <c r="S50" s="70"/>
      <c r="T50" s="106" t="s">
        <v>99</v>
      </c>
      <c r="U50" s="106" t="s">
        <v>100</v>
      </c>
      <c r="V50" s="35"/>
      <c r="W50" s="70"/>
      <c r="X50" s="106" t="s">
        <v>99</v>
      </c>
      <c r="Y50" s="106" t="s">
        <v>100</v>
      </c>
      <c r="Z50" s="35"/>
      <c r="AA50" s="70"/>
      <c r="AB50" s="106" t="s">
        <v>99</v>
      </c>
      <c r="AC50" s="106" t="s">
        <v>100</v>
      </c>
      <c r="AD50" s="35"/>
      <c r="AE50" s="70"/>
      <c r="AF50" s="106" t="s">
        <v>99</v>
      </c>
      <c r="AG50" s="106" t="s">
        <v>100</v>
      </c>
      <c r="AH50" s="35"/>
      <c r="AI50" s="70"/>
      <c r="AJ50" s="106" t="s">
        <v>99</v>
      </c>
      <c r="AK50" s="106" t="s">
        <v>100</v>
      </c>
      <c r="AL50" s="35"/>
      <c r="AM50" s="70"/>
      <c r="AN50" s="106" t="s">
        <v>99</v>
      </c>
      <c r="AO50" s="106" t="s">
        <v>100</v>
      </c>
      <c r="AP50" s="35"/>
      <c r="AQ50" s="70"/>
      <c r="AR50" s="106" t="s">
        <v>99</v>
      </c>
      <c r="AS50" s="106" t="s">
        <v>100</v>
      </c>
      <c r="AT50" s="35"/>
      <c r="AU50" s="70"/>
      <c r="AV50" s="106" t="s">
        <v>99</v>
      </c>
      <c r="AW50" s="106" t="s">
        <v>100</v>
      </c>
      <c r="AX50" s="35"/>
      <c r="AY50" s="70"/>
      <c r="AZ50" s="106" t="s">
        <v>99</v>
      </c>
      <c r="BA50" s="106" t="s">
        <v>100</v>
      </c>
      <c r="BB50" s="40"/>
      <c r="BC50" s="71"/>
      <c r="BD50" s="106" t="s">
        <v>99</v>
      </c>
      <c r="BE50" s="106" t="s">
        <v>100</v>
      </c>
      <c r="BF50" s="35"/>
    </row>
    <row r="51" spans="1:58" ht="12.75">
      <c r="A51" s="104" t="s">
        <v>5</v>
      </c>
      <c r="B51" s="52" t="s">
        <v>83</v>
      </c>
      <c r="C51" s="70"/>
      <c r="D51" s="22">
        <f>'Allianz Suisse'!$D$53</f>
        <v>5816028</v>
      </c>
      <c r="E51" s="23">
        <f>'Allianz Suisse'!$E$53</f>
        <v>6012780</v>
      </c>
      <c r="F51" s="35"/>
      <c r="G51" s="70"/>
      <c r="H51" s="22">
        <f>Axa!$D$53</f>
        <v>252969.02339000002</v>
      </c>
      <c r="I51" s="23">
        <f>Axa!$E$53</f>
        <v>280911.02339</v>
      </c>
      <c r="J51" s="35"/>
      <c r="K51" s="70"/>
      <c r="L51" s="22">
        <f>Basler!$D$53</f>
        <v>11318833</v>
      </c>
      <c r="M51" s="23">
        <f>Basler!$E$53</f>
        <v>12246860</v>
      </c>
      <c r="N51" s="35"/>
      <c r="O51" s="70"/>
      <c r="P51" s="22">
        <f>Generali!$D$53</f>
        <v>570214</v>
      </c>
      <c r="Q51" s="23">
        <f>Generali!$E$53</f>
        <v>575350</v>
      </c>
      <c r="R51" s="35"/>
      <c r="S51" s="70"/>
      <c r="T51" s="22">
        <f>Helvetia!$D$53</f>
        <v>9517690</v>
      </c>
      <c r="U51" s="23">
        <f>Helvetia!$E$53</f>
        <v>9874751</v>
      </c>
      <c r="V51" s="35"/>
      <c r="W51" s="70"/>
      <c r="X51" s="22">
        <f>Mobiliar!$D$53</f>
        <v>1849795</v>
      </c>
      <c r="Y51" s="23">
        <f>Mobiliar!$E$53</f>
        <v>1943213</v>
      </c>
      <c r="Z51" s="35"/>
      <c r="AA51" s="70"/>
      <c r="AB51" s="22">
        <f>Nationale!$D$53</f>
        <v>1486951</v>
      </c>
      <c r="AC51" s="23">
        <f>Nationale!$E$53</f>
        <v>1523046</v>
      </c>
      <c r="AD51" s="35"/>
      <c r="AE51" s="70"/>
      <c r="AF51" s="22">
        <f>Pax!$D$53</f>
        <v>2143668</v>
      </c>
      <c r="AG51" s="23">
        <f>Pax!$E$53</f>
        <v>2264687</v>
      </c>
      <c r="AH51" s="35"/>
      <c r="AI51" s="70"/>
      <c r="AJ51" s="22">
        <f>Phenix!$D$53</f>
        <v>97308</v>
      </c>
      <c r="AK51" s="23">
        <f>Phenix!$E$53</f>
        <v>101472</v>
      </c>
      <c r="AL51" s="35"/>
      <c r="AM51" s="70"/>
      <c r="AN51" s="22">
        <f>Rentenanstalt!$D$53</f>
        <v>44164948</v>
      </c>
      <c r="AO51" s="23">
        <f>Rentenanstalt!$E$53</f>
        <v>45816109</v>
      </c>
      <c r="AP51" s="35"/>
      <c r="AQ51" s="70"/>
      <c r="AR51" s="22">
        <f>Winterthur!$D$53</f>
        <v>35378636</v>
      </c>
      <c r="AS51" s="23">
        <f>Winterthur!$E$53</f>
        <v>36770139</v>
      </c>
      <c r="AT51" s="35"/>
      <c r="AU51" s="70"/>
      <c r="AV51" s="22">
        <f>Zenith!$D$53</f>
        <v>259147</v>
      </c>
      <c r="AW51" s="23">
        <f>Zenith!$E$53</f>
        <v>265500</v>
      </c>
      <c r="AX51" s="35"/>
      <c r="AY51" s="70"/>
      <c r="AZ51" s="22">
        <f>Zuerich!$D$53</f>
        <v>12122725</v>
      </c>
      <c r="BA51" s="23">
        <f>Zuerich!$E$53</f>
        <v>12828838</v>
      </c>
      <c r="BB51" s="40"/>
      <c r="BC51" s="71"/>
      <c r="BD51" s="91">
        <f>AZ51+AV51+AR51+AN51+AJ51+AF51+AB51+X51+T51+P51+L51+H51+D51</f>
        <v>124978912.02339</v>
      </c>
      <c r="BE51" s="93">
        <f>BA51+AW51+AS51+AO51+AK51+AG51+AC51+Y51+U51+Q51+M51+I51+E51</f>
        <v>130503656.02339</v>
      </c>
      <c r="BF51" s="35"/>
    </row>
    <row r="52" spans="1:58" ht="12.75">
      <c r="A52" s="104" t="s">
        <v>6</v>
      </c>
      <c r="B52" s="52" t="s">
        <v>84</v>
      </c>
      <c r="C52" s="70"/>
      <c r="D52" s="24">
        <f>'Allianz Suisse'!$D$54</f>
        <v>5822537.357279999</v>
      </c>
      <c r="E52" s="23">
        <f>'Allianz Suisse'!$E$54</f>
        <v>5995466.245759999</v>
      </c>
      <c r="F52" s="35"/>
      <c r="G52" s="70"/>
      <c r="H52" s="24">
        <f>Axa!$D$54</f>
        <v>280771.2989564006</v>
      </c>
      <c r="I52" s="23">
        <f>Axa!$E$54</f>
        <v>307960.53074887814</v>
      </c>
      <c r="J52" s="35"/>
      <c r="K52" s="70"/>
      <c r="L52" s="24">
        <f>Basler!$D$54</f>
        <v>11787084</v>
      </c>
      <c r="M52" s="23">
        <f>Basler!$E$54</f>
        <v>12682119</v>
      </c>
      <c r="N52" s="35"/>
      <c r="O52" s="70"/>
      <c r="P52" s="24">
        <f>Generali!$D$54</f>
        <v>535839.77698</v>
      </c>
      <c r="Q52" s="23">
        <f>Generali!$E$54</f>
        <v>508053</v>
      </c>
      <c r="R52" s="35"/>
      <c r="S52" s="70"/>
      <c r="T52" s="24">
        <f>Helvetia!$D$54</f>
        <v>9885563.61717</v>
      </c>
      <c r="U52" s="23">
        <f>Helvetia!$E$54</f>
        <v>10165625.2757348</v>
      </c>
      <c r="V52" s="35"/>
      <c r="W52" s="70"/>
      <c r="X52" s="24">
        <f>Mobiliar!$D$54</f>
        <v>1986154.9</v>
      </c>
      <c r="Y52" s="23">
        <f>Mobiliar!$E$54</f>
        <v>2051317.4</v>
      </c>
      <c r="Z52" s="35"/>
      <c r="AA52" s="70"/>
      <c r="AB52" s="24">
        <f>Nationale!$D$54</f>
        <v>1437696</v>
      </c>
      <c r="AC52" s="23">
        <f>Nationale!$E$54</f>
        <v>1448591</v>
      </c>
      <c r="AD52" s="35"/>
      <c r="AE52" s="70"/>
      <c r="AF52" s="24">
        <f>Pax!$D$54</f>
        <v>2469411</v>
      </c>
      <c r="AG52" s="23">
        <f>Pax!$E$54</f>
        <v>2590350</v>
      </c>
      <c r="AH52" s="35"/>
      <c r="AI52" s="70"/>
      <c r="AJ52" s="24">
        <f>Phenix!$D$54</f>
        <v>102139</v>
      </c>
      <c r="AK52" s="23">
        <f>Phenix!$E$54</f>
        <v>104754</v>
      </c>
      <c r="AL52" s="35"/>
      <c r="AM52" s="70"/>
      <c r="AN52" s="24">
        <f>Rentenanstalt!$D$54</f>
        <v>44686386.92307</v>
      </c>
      <c r="AO52" s="23">
        <f>Rentenanstalt!$E$54</f>
        <v>45592906.08417</v>
      </c>
      <c r="AP52" s="35"/>
      <c r="AQ52" s="70"/>
      <c r="AR52" s="24">
        <f>Winterthur!$D$54</f>
        <v>37221131</v>
      </c>
      <c r="AS52" s="23">
        <f>Winterthur!$E$54</f>
        <v>38211205</v>
      </c>
      <c r="AT52" s="35"/>
      <c r="AU52" s="70"/>
      <c r="AV52" s="24">
        <f>Zenith!$D$54</f>
        <v>141712</v>
      </c>
      <c r="AW52" s="23">
        <f>Zenith!$E$54</f>
        <v>141225</v>
      </c>
      <c r="AX52" s="35"/>
      <c r="AY52" s="70"/>
      <c r="AZ52" s="24">
        <f>Zuerich!$D$54</f>
        <v>9075915</v>
      </c>
      <c r="BA52" s="23">
        <f>Zuerich!$E$54</f>
        <v>9467520</v>
      </c>
      <c r="BB52" s="40"/>
      <c r="BC52" s="71"/>
      <c r="BD52" s="91">
        <f>AZ52+AV52+AR52+AN52+AJ52+AF52+AB52+X52+T52+P52+L52+H52+D52</f>
        <v>125432341.8734564</v>
      </c>
      <c r="BE52" s="93">
        <f>BA52+AW52+AS52+AO52+AK52+AG52+AC52+Y52+U52+Q52+M52+I52+E52</f>
        <v>129267092.53641367</v>
      </c>
      <c r="BF52" s="35"/>
    </row>
    <row r="53" spans="1:58" ht="12.75">
      <c r="A53" s="52"/>
      <c r="B53" s="52"/>
      <c r="C53" s="70"/>
      <c r="D53" s="1"/>
      <c r="E53" s="1"/>
      <c r="F53" s="35"/>
      <c r="G53" s="70"/>
      <c r="H53" s="11"/>
      <c r="I53" s="11"/>
      <c r="J53" s="35"/>
      <c r="K53" s="70"/>
      <c r="L53" s="11"/>
      <c r="M53" s="11"/>
      <c r="N53" s="35"/>
      <c r="O53" s="70"/>
      <c r="P53" s="11"/>
      <c r="Q53" s="11"/>
      <c r="R53" s="35"/>
      <c r="S53" s="70"/>
      <c r="T53" s="11"/>
      <c r="U53" s="11"/>
      <c r="V53" s="35"/>
      <c r="W53" s="70"/>
      <c r="X53" s="11"/>
      <c r="Y53" s="11"/>
      <c r="Z53" s="35"/>
      <c r="AA53" s="70"/>
      <c r="AB53" s="11"/>
      <c r="AC53" s="11"/>
      <c r="AD53" s="35"/>
      <c r="AE53" s="70"/>
      <c r="AF53" s="11"/>
      <c r="AG53" s="11"/>
      <c r="AH53" s="35"/>
      <c r="AI53" s="70"/>
      <c r="AJ53" s="11"/>
      <c r="AK53" s="11"/>
      <c r="AL53" s="35"/>
      <c r="AM53" s="70"/>
      <c r="AN53" s="11"/>
      <c r="AO53" s="11"/>
      <c r="AP53" s="35"/>
      <c r="AQ53" s="70"/>
      <c r="AR53" s="11"/>
      <c r="AS53" s="11"/>
      <c r="AT53" s="35"/>
      <c r="AU53" s="70"/>
      <c r="AV53" s="11"/>
      <c r="AW53" s="11"/>
      <c r="AX53" s="35"/>
      <c r="AY53" s="70"/>
      <c r="AZ53" s="11"/>
      <c r="BA53" s="11"/>
      <c r="BB53" s="40"/>
      <c r="BC53" s="71"/>
      <c r="BD53" s="11"/>
      <c r="BE53" s="11"/>
      <c r="BF53" s="35"/>
    </row>
    <row r="54" spans="1:58" ht="12.75">
      <c r="A54" s="104" t="s">
        <v>7</v>
      </c>
      <c r="B54" s="52" t="s">
        <v>110</v>
      </c>
      <c r="C54" s="70"/>
      <c r="D54" s="1"/>
      <c r="E54" s="25">
        <f>E$48/((D$51+D$52)/2)</f>
        <v>0.03314125148068457</v>
      </c>
      <c r="F54" s="35"/>
      <c r="G54" s="70"/>
      <c r="H54" s="11"/>
      <c r="I54" s="25">
        <f>I$48/((H$51+H$52)/2)</f>
        <v>0.036831256955777894</v>
      </c>
      <c r="J54" s="35"/>
      <c r="K54" s="70"/>
      <c r="L54" s="11"/>
      <c r="M54" s="25">
        <f>M$48/((L$51+L$52)/2)</f>
        <v>0.03349020945587228</v>
      </c>
      <c r="N54" s="35"/>
      <c r="O54" s="70"/>
      <c r="P54" s="11"/>
      <c r="Q54" s="25">
        <f>Q$48/((P$51+P$52)/2)</f>
        <v>0.026994570771706607</v>
      </c>
      <c r="R54" s="35"/>
      <c r="S54" s="70"/>
      <c r="T54" s="11"/>
      <c r="U54" s="25">
        <f>U$48/((T$51+T$52)/2)</f>
        <v>0.030259492005013246</v>
      </c>
      <c r="V54" s="35"/>
      <c r="W54" s="70"/>
      <c r="X54" s="11"/>
      <c r="Y54" s="25">
        <f>Y$48/((X$51+X$52)/2)</f>
        <v>0.03212231734309147</v>
      </c>
      <c r="Z54" s="35"/>
      <c r="AA54" s="70"/>
      <c r="AB54" s="11"/>
      <c r="AC54" s="25">
        <f>AC$48/((AB$51+AB$52)/2)</f>
        <v>0.030367425538877</v>
      </c>
      <c r="AD54" s="35"/>
      <c r="AE54" s="70"/>
      <c r="AF54" s="11"/>
      <c r="AG54" s="25">
        <f>AG$48/((AF$51+AF$52)/2)</f>
        <v>0.035900052437862</v>
      </c>
      <c r="AH54" s="35"/>
      <c r="AI54" s="70"/>
      <c r="AJ54" s="11"/>
      <c r="AK54" s="25">
        <f>AK$48/((AJ$51+AJ$52)/2)</f>
        <v>0.03031381770595697</v>
      </c>
      <c r="AL54" s="35"/>
      <c r="AM54" s="70"/>
      <c r="AN54" s="11"/>
      <c r="AO54" s="25">
        <f>AO$48/((AN$51+AN$52)/2)</f>
        <v>0.03410210005784915</v>
      </c>
      <c r="AP54" s="35"/>
      <c r="AQ54" s="70"/>
      <c r="AR54" s="11"/>
      <c r="AS54" s="25">
        <f>AS$48/((AR$51+AR$52)/2)</f>
        <v>0.032290351565453373</v>
      </c>
      <c r="AT54" s="35"/>
      <c r="AU54" s="70"/>
      <c r="AV54" s="11"/>
      <c r="AW54" s="25">
        <f>AW$48/((AV$51+AV$52)/2)</f>
        <v>0.04627063381388468</v>
      </c>
      <c r="AX54" s="35"/>
      <c r="AY54" s="70"/>
      <c r="AZ54" s="11"/>
      <c r="BA54" s="25">
        <f>BA$48/((AZ$51+AZ$52)/2)</f>
        <v>0.03647639659902711</v>
      </c>
      <c r="BB54" s="40"/>
      <c r="BC54" s="71"/>
      <c r="BD54" s="11"/>
      <c r="BE54" s="25">
        <f>BE$48/((BD$51+BD$52)/2)</f>
        <v>0.03332902717007283</v>
      </c>
      <c r="BF54" s="35"/>
    </row>
    <row r="55" spans="1:58" ht="12.75">
      <c r="A55" s="104" t="s">
        <v>8</v>
      </c>
      <c r="B55" s="52" t="s">
        <v>102</v>
      </c>
      <c r="C55" s="70"/>
      <c r="D55" s="1"/>
      <c r="E55" s="25">
        <f>(E$48+(E$52-D$52)-(E$51-D$51))/((E$51+E$52)/2)</f>
        <v>0.028153186686971032</v>
      </c>
      <c r="F55" s="35"/>
      <c r="G55" s="70"/>
      <c r="H55" s="11"/>
      <c r="I55" s="25">
        <f>(I$48+(I$52-H$52)-(I$51-H$51))/((I$51+I$52)/2)</f>
        <v>0.03082640079550189</v>
      </c>
      <c r="J55" s="35"/>
      <c r="K55" s="70"/>
      <c r="L55" s="11"/>
      <c r="M55" s="25">
        <f>(M$48+(M$52-L$52)-(M$51-L$51))/((M$51+M$52)/2)</f>
        <v>0.028394183331776242</v>
      </c>
      <c r="N55" s="35"/>
      <c r="O55" s="70"/>
      <c r="P55" s="11"/>
      <c r="Q55" s="25">
        <f>(Q$48+(Q$52-P$52)-(Q$51-P$51))/((Q$51+Q$52)/2)</f>
        <v>-0.03321765492619083</v>
      </c>
      <c r="R55" s="35"/>
      <c r="S55" s="70"/>
      <c r="T55" s="11"/>
      <c r="U55" s="25">
        <f>(U$48+(U$52-T$52)-(U$51-T$51))/((U$51+U$52)/2)</f>
        <v>0.021613062991938225</v>
      </c>
      <c r="V55" s="35"/>
      <c r="W55" s="70"/>
      <c r="X55" s="11"/>
      <c r="Y55" s="25">
        <f>(Y$48+(Y$52-X$52)-(Y$51-X$51))/((Y$51+Y$52)/2)</f>
        <v>0.016699985560255086</v>
      </c>
      <c r="Z55" s="35"/>
      <c r="AA55" s="70"/>
      <c r="AB55" s="11"/>
      <c r="AC55" s="25">
        <f>(AC$48+(AC$52-AB$52)-(AC$51-AB$51))/((AC$51+AC$52)/2)</f>
        <v>0.012926881715364293</v>
      </c>
      <c r="AD55" s="35"/>
      <c r="AE55" s="70"/>
      <c r="AF55" s="11"/>
      <c r="AG55" s="25">
        <f>(AG$48+(AG$52-AF$52)-(AG$51-AF$51))/((AG$51+AG$52)/2)</f>
        <v>0.034077964390384664</v>
      </c>
      <c r="AH55" s="35"/>
      <c r="AI55" s="70"/>
      <c r="AJ55" s="11"/>
      <c r="AK55" s="25">
        <f>(AK$48+(AK$52-AJ$52)-(AK$51-AJ$51))/((AK$51+AK$52)/2)</f>
        <v>0.014294996751137101</v>
      </c>
      <c r="AL55" s="35"/>
      <c r="AM55" s="70"/>
      <c r="AN55" s="11"/>
      <c r="AO55" s="25">
        <f>(AO$48+(AO$52-AN$52)-(AO$51-AN$51))/((AO$51+AO$52)/2)</f>
        <v>0.016855377279815155</v>
      </c>
      <c r="AP55" s="35"/>
      <c r="AQ55" s="70"/>
      <c r="AR55" s="11"/>
      <c r="AS55" s="25">
        <f>(AS$48+(AS$52-AR$52)-(AS$51-AR$51))/((AS$51+AS$52)/2)</f>
        <v>0.020557300226573694</v>
      </c>
      <c r="AT55" s="35"/>
      <c r="AU55" s="70"/>
      <c r="AV55" s="11"/>
      <c r="AW55" s="25">
        <f>(AW$48+(AW$52-AV$52)-(AW$51-AV$51))/((AW$51+AW$52)/2)</f>
        <v>0.011968774970803368</v>
      </c>
      <c r="AX55" s="35"/>
      <c r="AY55" s="70"/>
      <c r="AZ55" s="11"/>
      <c r="BA55" s="25">
        <f>(BA$48+(BA$52-AZ$52)-(BA$51-AZ$51))/((BA$51+BA$52)/2)</f>
        <v>0.006468948874968728</v>
      </c>
      <c r="BB55" s="40"/>
      <c r="BC55" s="71"/>
      <c r="BD55" s="11"/>
      <c r="BE55" s="25">
        <f>(BE$48+(BE$52-BD$52)-(BE$51-BD$51))/((BE$51+BE$52)/2)</f>
        <v>0.019116766757867967</v>
      </c>
      <c r="BF55" s="35"/>
    </row>
    <row r="56" spans="1:58" ht="12.75">
      <c r="A56" s="52"/>
      <c r="B56" s="104" t="s">
        <v>101</v>
      </c>
      <c r="C56" s="70"/>
      <c r="D56" s="1"/>
      <c r="E56" s="1"/>
      <c r="F56" s="35"/>
      <c r="G56" s="70"/>
      <c r="H56" s="11"/>
      <c r="I56" s="11"/>
      <c r="J56" s="35"/>
      <c r="K56" s="70"/>
      <c r="L56" s="11"/>
      <c r="M56" s="11"/>
      <c r="N56" s="35"/>
      <c r="O56" s="70"/>
      <c r="P56" s="11"/>
      <c r="Q56" s="11"/>
      <c r="R56" s="35"/>
      <c r="S56" s="70"/>
      <c r="T56" s="11"/>
      <c r="U56" s="11"/>
      <c r="V56" s="35"/>
      <c r="W56" s="70"/>
      <c r="X56" s="11"/>
      <c r="Y56" s="11"/>
      <c r="Z56" s="35"/>
      <c r="AA56" s="70"/>
      <c r="AB56" s="11"/>
      <c r="AC56" s="11"/>
      <c r="AD56" s="35"/>
      <c r="AE56" s="70"/>
      <c r="AF56" s="11"/>
      <c r="AG56" s="11"/>
      <c r="AH56" s="35"/>
      <c r="AI56" s="70"/>
      <c r="AJ56" s="11"/>
      <c r="AK56" s="11"/>
      <c r="AL56" s="35"/>
      <c r="AM56" s="70"/>
      <c r="AN56" s="11"/>
      <c r="AO56" s="11"/>
      <c r="AP56" s="35"/>
      <c r="AQ56" s="70"/>
      <c r="AR56" s="11"/>
      <c r="AS56" s="11"/>
      <c r="AT56" s="35"/>
      <c r="AU56" s="70"/>
      <c r="AV56" s="11"/>
      <c r="AW56" s="11"/>
      <c r="AX56" s="35"/>
      <c r="AY56" s="70"/>
      <c r="AZ56" s="11"/>
      <c r="BA56" s="11"/>
      <c r="BB56" s="40"/>
      <c r="BC56" s="71"/>
      <c r="BD56" s="11"/>
      <c r="BE56" s="40"/>
      <c r="BF56" s="35"/>
    </row>
    <row r="57" spans="3:58" ht="12.75">
      <c r="C57" s="70"/>
      <c r="D57" s="1"/>
      <c r="E57" s="1"/>
      <c r="F57" s="35"/>
      <c r="G57" s="70"/>
      <c r="H57" s="11"/>
      <c r="I57" s="11"/>
      <c r="J57" s="35"/>
      <c r="K57" s="70"/>
      <c r="L57" s="11"/>
      <c r="M57" s="11"/>
      <c r="N57" s="35"/>
      <c r="O57" s="70"/>
      <c r="P57" s="11"/>
      <c r="Q57" s="11"/>
      <c r="R57" s="35"/>
      <c r="S57" s="70"/>
      <c r="T57" s="11"/>
      <c r="U57" s="11"/>
      <c r="V57" s="35"/>
      <c r="W57" s="70"/>
      <c r="X57" s="11"/>
      <c r="Y57" s="11"/>
      <c r="Z57" s="35"/>
      <c r="AA57" s="70"/>
      <c r="AB57" s="11"/>
      <c r="AC57" s="11"/>
      <c r="AD57" s="35"/>
      <c r="AE57" s="70"/>
      <c r="AF57" s="11"/>
      <c r="AG57" s="11"/>
      <c r="AH57" s="35"/>
      <c r="AI57" s="70"/>
      <c r="AJ57" s="11"/>
      <c r="AK57" s="11"/>
      <c r="AL57" s="35"/>
      <c r="AM57" s="70"/>
      <c r="AN57" s="11"/>
      <c r="AO57" s="11"/>
      <c r="AP57" s="35"/>
      <c r="AQ57" s="70"/>
      <c r="AR57" s="11"/>
      <c r="AS57" s="11"/>
      <c r="AT57" s="35"/>
      <c r="AU57" s="70"/>
      <c r="AV57" s="11"/>
      <c r="AW57" s="11"/>
      <c r="AX57" s="35"/>
      <c r="AY57" s="70"/>
      <c r="AZ57" s="11"/>
      <c r="BA57" s="11"/>
      <c r="BB57" s="40"/>
      <c r="BC57" s="71"/>
      <c r="BD57" s="11"/>
      <c r="BE57" s="40"/>
      <c r="BF57" s="35"/>
    </row>
    <row r="58" spans="1:58" ht="12.75">
      <c r="A58" s="52" t="s">
        <v>9</v>
      </c>
      <c r="B58" s="104" t="s">
        <v>85</v>
      </c>
      <c r="C58" s="70"/>
      <c r="D58" s="1"/>
      <c r="E58" s="1"/>
      <c r="F58" s="35"/>
      <c r="G58" s="70"/>
      <c r="H58" s="11"/>
      <c r="I58" s="11"/>
      <c r="J58" s="35"/>
      <c r="K58" s="70"/>
      <c r="L58" s="11"/>
      <c r="M58" s="11"/>
      <c r="N58" s="35"/>
      <c r="O58" s="70"/>
      <c r="P58" s="11"/>
      <c r="Q58" s="11"/>
      <c r="R58" s="35"/>
      <c r="S58" s="70"/>
      <c r="T58" s="11"/>
      <c r="U58" s="11"/>
      <c r="V58" s="35"/>
      <c r="W58" s="70"/>
      <c r="X58" s="11"/>
      <c r="Y58" s="11"/>
      <c r="Z58" s="35"/>
      <c r="AA58" s="70"/>
      <c r="AB58" s="11"/>
      <c r="AC58" s="11"/>
      <c r="AD58" s="35"/>
      <c r="AE58" s="70"/>
      <c r="AF58" s="11"/>
      <c r="AG58" s="11"/>
      <c r="AH58" s="35"/>
      <c r="AI58" s="70"/>
      <c r="AJ58" s="11"/>
      <c r="AK58" s="11"/>
      <c r="AL58" s="35"/>
      <c r="AM58" s="70"/>
      <c r="AN58" s="11"/>
      <c r="AO58" s="11"/>
      <c r="AP58" s="35"/>
      <c r="AQ58" s="70"/>
      <c r="AR58" s="11"/>
      <c r="AS58" s="11"/>
      <c r="AT58" s="35"/>
      <c r="AU58" s="70"/>
      <c r="AV58" s="11"/>
      <c r="AW58" s="11"/>
      <c r="AX58" s="35"/>
      <c r="AY58" s="70"/>
      <c r="AZ58" s="11"/>
      <c r="BA58" s="11"/>
      <c r="BB58" s="40"/>
      <c r="BC58" s="71"/>
      <c r="BD58" s="11"/>
      <c r="BE58" s="40"/>
      <c r="BF58" s="35"/>
    </row>
    <row r="59" spans="1:58" ht="12.75">
      <c r="A59" s="104"/>
      <c r="B59" s="52" t="s">
        <v>86</v>
      </c>
      <c r="C59" s="70"/>
      <c r="D59" s="26">
        <f>'Allianz Suisse'!$D$61</f>
        <v>0.012354099198704525</v>
      </c>
      <c r="E59" s="1"/>
      <c r="F59" s="35"/>
      <c r="G59" s="70"/>
      <c r="H59" s="26">
        <f>Axa!$D$61</f>
        <v>0.048595408756928284</v>
      </c>
      <c r="I59" s="11"/>
      <c r="J59" s="35"/>
      <c r="K59" s="70"/>
      <c r="L59" s="26">
        <f>Basler!$D$61</f>
        <v>0.011653263860680047</v>
      </c>
      <c r="M59" s="11"/>
      <c r="N59" s="35"/>
      <c r="O59" s="70"/>
      <c r="P59" s="26">
        <f>Generali!$D$61</f>
        <v>0.11700855390647898</v>
      </c>
      <c r="Q59" s="11"/>
      <c r="R59" s="35"/>
      <c r="S59" s="70"/>
      <c r="T59" s="26">
        <f>Helvetia!$D$61</f>
        <v>0.06752037611195737</v>
      </c>
      <c r="U59" s="11"/>
      <c r="V59" s="35"/>
      <c r="W59" s="70"/>
      <c r="X59" s="26">
        <f>Mobiliar!$D$61</f>
        <v>0.009464065466394387</v>
      </c>
      <c r="Y59" s="11"/>
      <c r="Z59" s="35"/>
      <c r="AA59" s="70"/>
      <c r="AB59" s="26">
        <f>Nationale!$D$61</f>
        <v>0.01876891915954416</v>
      </c>
      <c r="AC59" s="11"/>
      <c r="AD59" s="35"/>
      <c r="AE59" s="70"/>
      <c r="AF59" s="26">
        <f>Pax!$D$61</f>
        <v>0.1402613821676505</v>
      </c>
      <c r="AG59" s="11"/>
      <c r="AH59" s="35"/>
      <c r="AI59" s="70"/>
      <c r="AJ59" s="26">
        <f>Phenix!$D$61</f>
        <v>0.04650525264590411</v>
      </c>
      <c r="AK59" s="11"/>
      <c r="AL59" s="35"/>
      <c r="AM59" s="70"/>
      <c r="AN59" s="26">
        <f>Rentenanstalt!$D$61</f>
        <v>0.0947443000428448</v>
      </c>
      <c r="AO59" s="11"/>
      <c r="AP59" s="35"/>
      <c r="AQ59" s="70"/>
      <c r="AR59" s="26">
        <f>Winterthur!$D$61</f>
        <v>0.008917300229270304</v>
      </c>
      <c r="AS59" s="11"/>
      <c r="AT59" s="35"/>
      <c r="AU59" s="70"/>
      <c r="AV59" s="26">
        <f>Zenith!$D$61</f>
        <v>0.23580924692333746</v>
      </c>
      <c r="AW59" s="11"/>
      <c r="AX59" s="35"/>
      <c r="AY59" s="70"/>
      <c r="AZ59" s="26">
        <f>Zuerich!$D$61</f>
        <v>0.06959177118780861</v>
      </c>
      <c r="BA59" s="11"/>
      <c r="BB59" s="40"/>
      <c r="BC59" s="71"/>
      <c r="BD59" s="26">
        <f aca="true" t="shared" si="0" ref="BD59:BD66">(AZ59*$AZ$52+AV59*$AV$52+AR59*$AR$52+AN59*$AN$52+AJ59*$AJ$52+AF59*$AF$52+AB59*$AB$52+X59*$X$52+T59*$T$52+P59*$P$52+L59*$L$52+H59*$H$52+D59*$D$52)/$BD$52</f>
        <v>0.05246431393419269</v>
      </c>
      <c r="BE59" s="40"/>
      <c r="BF59" s="35"/>
    </row>
    <row r="60" spans="1:58" ht="12.75">
      <c r="A60" s="52"/>
      <c r="B60" s="52" t="s">
        <v>87</v>
      </c>
      <c r="C60" s="70"/>
      <c r="D60" s="26">
        <f>'Allianz Suisse'!$D$62</f>
        <v>0.4486839851020588</v>
      </c>
      <c r="E60" s="1"/>
      <c r="F60" s="35"/>
      <c r="G60" s="70"/>
      <c r="H60" s="26">
        <f>Axa!$D$62</f>
        <v>0.7901294955039181</v>
      </c>
      <c r="I60" s="11"/>
      <c r="J60" s="35"/>
      <c r="K60" s="70"/>
      <c r="L60" s="26">
        <f>Basler!$D$62</f>
        <v>0.4988388985774599</v>
      </c>
      <c r="M60" s="11"/>
      <c r="N60" s="35"/>
      <c r="O60" s="70"/>
      <c r="P60" s="26">
        <f>Generali!$D$62</f>
        <v>0.4553040393436602</v>
      </c>
      <c r="Q60" s="11"/>
      <c r="R60" s="35"/>
      <c r="S60" s="70"/>
      <c r="T60" s="26">
        <f>Helvetia!$D$62</f>
        <v>0.5254240875480755</v>
      </c>
      <c r="U60" s="11"/>
      <c r="V60" s="35"/>
      <c r="W60" s="70"/>
      <c r="X60" s="26">
        <f>Mobiliar!$D$62</f>
        <v>0.7991769926907513</v>
      </c>
      <c r="Y60" s="11"/>
      <c r="Z60" s="35"/>
      <c r="AA60" s="70"/>
      <c r="AB60" s="26">
        <f>Nationale!$D$62</f>
        <v>0.6620119969729344</v>
      </c>
      <c r="AC60" s="11"/>
      <c r="AD60" s="35"/>
      <c r="AE60" s="70"/>
      <c r="AF60" s="26">
        <f>Pax!$D$62</f>
        <v>0.5097636642907964</v>
      </c>
      <c r="AG60" s="11"/>
      <c r="AH60" s="35"/>
      <c r="AI60" s="70"/>
      <c r="AJ60" s="26">
        <f>Phenix!$D$62</f>
        <v>0.8369281077746992</v>
      </c>
      <c r="AK60" s="11"/>
      <c r="AL60" s="35"/>
      <c r="AM60" s="70"/>
      <c r="AN60" s="26">
        <f>Rentenanstalt!$D$62</f>
        <v>0.5120290995242108</v>
      </c>
      <c r="AO60" s="11"/>
      <c r="AP60" s="35"/>
      <c r="AQ60" s="70"/>
      <c r="AR60" s="26">
        <f>Winterthur!$D$62</f>
        <v>0.5822108952035875</v>
      </c>
      <c r="AS60" s="11"/>
      <c r="AT60" s="35"/>
      <c r="AU60" s="70"/>
      <c r="AV60" s="26">
        <f>Zenith!$D$62</f>
        <v>0.3956616235745738</v>
      </c>
      <c r="AW60" s="11"/>
      <c r="AX60" s="35"/>
      <c r="AY60" s="70"/>
      <c r="AZ60" s="26">
        <f>Zuerich!$D$62</f>
        <v>0.5648474010609399</v>
      </c>
      <c r="BA60" s="11"/>
      <c r="BB60" s="40"/>
      <c r="BC60" s="71"/>
      <c r="BD60" s="26">
        <f t="shared" si="0"/>
        <v>0.5402871297228611</v>
      </c>
      <c r="BE60" s="40"/>
      <c r="BF60" s="35"/>
    </row>
    <row r="61" spans="1:58" ht="12.75">
      <c r="A61" s="52"/>
      <c r="B61" s="52" t="s">
        <v>88</v>
      </c>
      <c r="C61" s="70"/>
      <c r="D61" s="26">
        <f>'Allianz Suisse'!$D$63</f>
        <v>0.21124391596425643</v>
      </c>
      <c r="E61" s="1"/>
      <c r="F61" s="35"/>
      <c r="G61" s="70"/>
      <c r="H61" s="26">
        <f>Axa!$D$63</f>
        <v>0</v>
      </c>
      <c r="I61" s="11"/>
      <c r="J61" s="35"/>
      <c r="K61" s="70"/>
      <c r="L61" s="26">
        <f>Basler!$D$63</f>
        <v>0.17698720056631478</v>
      </c>
      <c r="M61" s="11"/>
      <c r="N61" s="35"/>
      <c r="O61" s="70"/>
      <c r="P61" s="26">
        <f>Generali!$D$63</f>
        <v>0.20397279997763113</v>
      </c>
      <c r="Q61" s="11"/>
      <c r="R61" s="35"/>
      <c r="S61" s="70"/>
      <c r="T61" s="26">
        <f>Helvetia!$D$63</f>
        <v>0.1821796144250163</v>
      </c>
      <c r="U61" s="11"/>
      <c r="V61" s="35"/>
      <c r="W61" s="70"/>
      <c r="X61" s="26">
        <f>Mobiliar!$D$63</f>
        <v>0.06638127771403933</v>
      </c>
      <c r="Y61" s="11"/>
      <c r="Z61" s="35"/>
      <c r="AA61" s="70"/>
      <c r="AB61" s="26">
        <f>Nationale!$D$63</f>
        <v>0.11783645499465811</v>
      </c>
      <c r="AC61" s="11"/>
      <c r="AD61" s="35"/>
      <c r="AE61" s="70"/>
      <c r="AF61" s="26">
        <f>Pax!$D$63</f>
        <v>0.1326563297887634</v>
      </c>
      <c r="AG61" s="11"/>
      <c r="AH61" s="35"/>
      <c r="AI61" s="70"/>
      <c r="AJ61" s="26">
        <f>Phenix!$D$63</f>
        <v>0.00407288107383076</v>
      </c>
      <c r="AK61" s="11"/>
      <c r="AL61" s="35"/>
      <c r="AM61" s="70"/>
      <c r="AN61" s="26">
        <f>Rentenanstalt!$D$63</f>
        <v>0.14716348204859986</v>
      </c>
      <c r="AO61" s="11"/>
      <c r="AP61" s="35"/>
      <c r="AQ61" s="70"/>
      <c r="AR61" s="26">
        <f>Winterthur!$D$63</f>
        <v>0.14378200920332054</v>
      </c>
      <c r="AS61" s="11"/>
      <c r="AT61" s="35"/>
      <c r="AU61" s="70"/>
      <c r="AV61" s="26">
        <f>Zenith!$D$63</f>
        <v>0</v>
      </c>
      <c r="AW61" s="11"/>
      <c r="AX61" s="35"/>
      <c r="AY61" s="70"/>
      <c r="AZ61" s="26">
        <f>Zuerich!$D$63</f>
        <v>0.15737796134053703</v>
      </c>
      <c r="BA61" s="11"/>
      <c r="BB61" s="40"/>
      <c r="BC61" s="71"/>
      <c r="BD61" s="26">
        <f t="shared" si="0"/>
        <v>0.1531656111400051</v>
      </c>
      <c r="BE61" s="40"/>
      <c r="BF61" s="35"/>
    </row>
    <row r="62" spans="1:58" ht="12.75">
      <c r="A62" s="52"/>
      <c r="B62" s="52" t="s">
        <v>89</v>
      </c>
      <c r="C62" s="70"/>
      <c r="D62" s="26">
        <f>'Allianz Suisse'!$D$64</f>
        <v>0.09102879339147742</v>
      </c>
      <c r="E62" s="1"/>
      <c r="F62" s="35"/>
      <c r="G62" s="70"/>
      <c r="H62" s="26">
        <f>Axa!$D$64</f>
        <v>0.12245415762862188</v>
      </c>
      <c r="I62" s="11"/>
      <c r="J62" s="35"/>
      <c r="K62" s="70"/>
      <c r="L62" s="26">
        <f>Basler!$D$64</f>
        <v>0.0631099260851963</v>
      </c>
      <c r="M62" s="11"/>
      <c r="N62" s="35"/>
      <c r="O62" s="70"/>
      <c r="P62" s="26">
        <f>Generali!$D$64</f>
        <v>0</v>
      </c>
      <c r="Q62" s="11"/>
      <c r="R62" s="35"/>
      <c r="S62" s="70"/>
      <c r="T62" s="26">
        <f>Helvetia!$D$64</f>
        <v>0.06522062377507357</v>
      </c>
      <c r="U62" s="11"/>
      <c r="V62" s="35"/>
      <c r="W62" s="70"/>
      <c r="X62" s="26">
        <f>Mobiliar!$D$64</f>
        <v>0.08851676170876703</v>
      </c>
      <c r="Y62" s="11"/>
      <c r="Z62" s="35"/>
      <c r="AA62" s="70"/>
      <c r="AB62" s="26">
        <f>Nationale!$D$64</f>
        <v>0.02545252960292023</v>
      </c>
      <c r="AC62" s="11"/>
      <c r="AD62" s="35"/>
      <c r="AE62" s="70"/>
      <c r="AF62" s="26">
        <f>Pax!$D$64</f>
        <v>0.052525480772540496</v>
      </c>
      <c r="AG62" s="11"/>
      <c r="AH62" s="35"/>
      <c r="AI62" s="70"/>
      <c r="AJ62" s="26">
        <f>Phenix!$D$64</f>
        <v>0.009976600514984483</v>
      </c>
      <c r="AK62" s="11"/>
      <c r="AL62" s="35"/>
      <c r="AM62" s="70"/>
      <c r="AN62" s="26">
        <f>Rentenanstalt!$D$64</f>
        <v>0.05396034417844454</v>
      </c>
      <c r="AO62" s="11"/>
      <c r="AP62" s="35"/>
      <c r="AQ62" s="70"/>
      <c r="AR62" s="26">
        <f>Winterthur!$D$64</f>
        <v>0.062380560117853485</v>
      </c>
      <c r="AS62" s="11"/>
      <c r="AT62" s="35"/>
      <c r="AU62" s="70"/>
      <c r="AV62" s="26">
        <f>Zenith!$D$64</f>
        <v>0.36852912950208877</v>
      </c>
      <c r="AW62" s="11"/>
      <c r="AX62" s="35"/>
      <c r="AY62" s="70"/>
      <c r="AZ62" s="26">
        <f>Zuerich!$D$64</f>
        <v>0.10059514660505305</v>
      </c>
      <c r="BA62" s="11"/>
      <c r="BB62" s="40"/>
      <c r="BC62" s="71"/>
      <c r="BD62" s="26">
        <f t="shared" si="0"/>
        <v>0.06373585542248239</v>
      </c>
      <c r="BE62" s="40"/>
      <c r="BF62" s="35"/>
    </row>
    <row r="63" spans="1:58" ht="12.75">
      <c r="A63" s="52"/>
      <c r="B63" s="52" t="s">
        <v>90</v>
      </c>
      <c r="C63" s="70"/>
      <c r="D63" s="26">
        <f>'Allianz Suisse'!$D$65</f>
        <v>0</v>
      </c>
      <c r="E63" s="1"/>
      <c r="F63" s="35"/>
      <c r="G63" s="70"/>
      <c r="H63" s="26">
        <f>Axa!$D$65</f>
        <v>0.016585463640010855</v>
      </c>
      <c r="I63" s="11"/>
      <c r="J63" s="35"/>
      <c r="K63" s="70"/>
      <c r="L63" s="26">
        <f>Basler!$D$65</f>
        <v>0.06337105937312401</v>
      </c>
      <c r="M63" s="11"/>
      <c r="N63" s="35"/>
      <c r="O63" s="70"/>
      <c r="P63" s="26">
        <f>Generali!$D$65</f>
        <v>0</v>
      </c>
      <c r="Q63" s="11"/>
      <c r="R63" s="35"/>
      <c r="S63" s="70"/>
      <c r="T63" s="26">
        <f>Helvetia!$D$65</f>
        <v>0.02214381979089089</v>
      </c>
      <c r="U63" s="11"/>
      <c r="V63" s="35"/>
      <c r="W63" s="70"/>
      <c r="X63" s="26">
        <f>Mobiliar!$D$65</f>
        <v>0</v>
      </c>
      <c r="Y63" s="11"/>
      <c r="Z63" s="35"/>
      <c r="AA63" s="70"/>
      <c r="AB63" s="26">
        <f>Nationale!$D$65</f>
        <v>0.05054684717770655</v>
      </c>
      <c r="AC63" s="11"/>
      <c r="AD63" s="35"/>
      <c r="AE63" s="70"/>
      <c r="AF63" s="26">
        <f>Pax!$D$65</f>
        <v>0</v>
      </c>
      <c r="AG63" s="11"/>
      <c r="AH63" s="35"/>
      <c r="AI63" s="70"/>
      <c r="AJ63" s="26">
        <f>Phenix!$D$65</f>
        <v>0</v>
      </c>
      <c r="AK63" s="11"/>
      <c r="AL63" s="35"/>
      <c r="AM63" s="70"/>
      <c r="AN63" s="26">
        <f>Rentenanstalt!$D$65</f>
        <v>0.07455832228718272</v>
      </c>
      <c r="AO63" s="11"/>
      <c r="AP63" s="35"/>
      <c r="AQ63" s="70"/>
      <c r="AR63" s="26">
        <f>Winterthur!$D$65</f>
        <v>0.027947726789924788</v>
      </c>
      <c r="AS63" s="11"/>
      <c r="AT63" s="35"/>
      <c r="AU63" s="70"/>
      <c r="AV63" s="26">
        <f>Zenith!$D$65</f>
        <v>0</v>
      </c>
      <c r="AW63" s="11"/>
      <c r="AX63" s="35"/>
      <c r="AY63" s="70"/>
      <c r="AZ63" s="26">
        <f>Zuerich!$D$65</f>
        <v>0</v>
      </c>
      <c r="BA63" s="11"/>
      <c r="BB63" s="40"/>
      <c r="BC63" s="71"/>
      <c r="BD63" s="26">
        <f t="shared" si="0"/>
        <v>0.0431721182800139</v>
      </c>
      <c r="BE63" s="40"/>
      <c r="BF63" s="35"/>
    </row>
    <row r="64" spans="1:58" ht="12.75">
      <c r="A64" s="52"/>
      <c r="B64" s="52" t="s">
        <v>91</v>
      </c>
      <c r="C64" s="70"/>
      <c r="D64" s="26">
        <f>'Allianz Suisse'!$D$66</f>
        <v>0.09961292893635418</v>
      </c>
      <c r="E64" s="1"/>
      <c r="F64" s="35"/>
      <c r="G64" s="70"/>
      <c r="H64" s="26">
        <f>Axa!$D$66</f>
        <v>0</v>
      </c>
      <c r="I64" s="11"/>
      <c r="J64" s="35"/>
      <c r="K64" s="70"/>
      <c r="L64" s="26">
        <f>Basler!$D$66</f>
        <v>0.01665814886871087</v>
      </c>
      <c r="M64" s="11"/>
      <c r="N64" s="35"/>
      <c r="O64" s="70"/>
      <c r="P64" s="26">
        <f>Generali!$D$66</f>
        <v>0</v>
      </c>
      <c r="Q64" s="11"/>
      <c r="R64" s="35"/>
      <c r="S64" s="70"/>
      <c r="T64" s="26">
        <f>Helvetia!$D$66</f>
        <v>0.005196897295847581</v>
      </c>
      <c r="U64" s="11"/>
      <c r="V64" s="35"/>
      <c r="W64" s="70"/>
      <c r="X64" s="26">
        <f>Mobiliar!$D$66</f>
        <v>0</v>
      </c>
      <c r="Y64" s="11"/>
      <c r="Z64" s="35"/>
      <c r="AA64" s="70"/>
      <c r="AB64" s="26">
        <f>Nationale!$D$66</f>
        <v>0</v>
      </c>
      <c r="AC64" s="11"/>
      <c r="AD64" s="35"/>
      <c r="AE64" s="70"/>
      <c r="AF64" s="26">
        <f>Pax!$D$66</f>
        <v>0</v>
      </c>
      <c r="AG64" s="11"/>
      <c r="AH64" s="35"/>
      <c r="AI64" s="70"/>
      <c r="AJ64" s="26">
        <f>Phenix!$D$66</f>
        <v>0</v>
      </c>
      <c r="AK64" s="11"/>
      <c r="AL64" s="35"/>
      <c r="AM64" s="70"/>
      <c r="AN64" s="26">
        <f>Rentenanstalt!$D$66</f>
        <v>0.007821962669341417</v>
      </c>
      <c r="AO64" s="11"/>
      <c r="AP64" s="35"/>
      <c r="AQ64" s="70"/>
      <c r="AR64" s="26">
        <f>Winterthur!$D$66</f>
        <v>0.021065023521182093</v>
      </c>
      <c r="AS64" s="11"/>
      <c r="AT64" s="35"/>
      <c r="AU64" s="70"/>
      <c r="AV64" s="26">
        <f>Zenith!$D$66</f>
        <v>0</v>
      </c>
      <c r="AW64" s="11"/>
      <c r="AX64" s="35"/>
      <c r="AY64" s="70"/>
      <c r="AZ64" s="26">
        <f>Zuerich!$D$66</f>
        <v>0.10639577386963188</v>
      </c>
      <c r="BA64" s="11"/>
      <c r="BB64" s="40"/>
      <c r="BC64" s="71"/>
      <c r="BD64" s="26">
        <f t="shared" si="0"/>
        <v>0.023334998497619493</v>
      </c>
      <c r="BE64" s="40"/>
      <c r="BF64" s="35"/>
    </row>
    <row r="65" spans="1:58" ht="12.75">
      <c r="A65" s="52"/>
      <c r="B65" s="52" t="s">
        <v>92</v>
      </c>
      <c r="C65" s="70"/>
      <c r="D65" s="26">
        <f>'Allianz Suisse'!$D$67</f>
        <v>0.13707627740714876</v>
      </c>
      <c r="E65" s="1"/>
      <c r="F65" s="35"/>
      <c r="G65" s="70"/>
      <c r="H65" s="26">
        <f>Axa!$D$67</f>
        <v>0.02223547447052077</v>
      </c>
      <c r="I65" s="11"/>
      <c r="J65" s="35"/>
      <c r="K65" s="70"/>
      <c r="L65" s="26">
        <f>Basler!$D$67</f>
        <v>0.1368692205807645</v>
      </c>
      <c r="M65" s="11"/>
      <c r="N65" s="35"/>
      <c r="O65" s="70"/>
      <c r="P65" s="26">
        <f>Generali!$D$67</f>
        <v>0.2237146067722298</v>
      </c>
      <c r="Q65" s="11"/>
      <c r="R65" s="35"/>
      <c r="S65" s="70"/>
      <c r="T65" s="26">
        <f>Helvetia!$D$67</f>
        <v>0.13210685136978184</v>
      </c>
      <c r="U65" s="11"/>
      <c r="V65" s="35"/>
      <c r="W65" s="70"/>
      <c r="X65" s="26">
        <f>Mobiliar!$D$67</f>
        <v>0.0364609024200479</v>
      </c>
      <c r="Y65" s="11"/>
      <c r="Z65" s="35"/>
      <c r="AA65" s="70"/>
      <c r="AB65" s="26">
        <f>Nationale!$D$67</f>
        <v>0.12538325209223647</v>
      </c>
      <c r="AC65" s="11"/>
      <c r="AD65" s="35"/>
      <c r="AE65" s="70"/>
      <c r="AF65" s="26">
        <f>Pax!$D$67</f>
        <v>0.16479314298024914</v>
      </c>
      <c r="AG65" s="11"/>
      <c r="AH65" s="35"/>
      <c r="AI65" s="70"/>
      <c r="AJ65" s="26">
        <f>Phenix!$D$67</f>
        <v>0.10251715799058146</v>
      </c>
      <c r="AK65" s="11"/>
      <c r="AL65" s="35"/>
      <c r="AM65" s="70"/>
      <c r="AN65" s="26">
        <f>Rentenanstalt!$D$67</f>
        <v>0.10665061271041296</v>
      </c>
      <c r="AO65" s="11"/>
      <c r="AP65" s="35"/>
      <c r="AQ65" s="70"/>
      <c r="AR65" s="26">
        <f>Winterthur!$D$67</f>
        <v>0.15282445339987116</v>
      </c>
      <c r="AS65" s="11"/>
      <c r="AT65" s="35"/>
      <c r="AU65" s="70"/>
      <c r="AV65" s="26">
        <f>Zenith!$D$67</f>
        <v>0</v>
      </c>
      <c r="AW65" s="11"/>
      <c r="AX65" s="35"/>
      <c r="AY65" s="70"/>
      <c r="AZ65" s="26">
        <f>Zuerich!$D$67</f>
        <v>0</v>
      </c>
      <c r="BA65" s="11"/>
      <c r="BB65" s="40"/>
      <c r="BC65" s="71"/>
      <c r="BD65" s="26">
        <f t="shared" si="0"/>
        <v>0.11932897065567281</v>
      </c>
      <c r="BE65" s="40"/>
      <c r="BF65" s="35"/>
    </row>
    <row r="66" spans="1:58" ht="13.5" thickBot="1">
      <c r="A66" s="52"/>
      <c r="B66" s="52" t="s">
        <v>93</v>
      </c>
      <c r="C66" s="70"/>
      <c r="D66" s="27">
        <f>'Allianz Suisse'!$D$68</f>
        <v>0</v>
      </c>
      <c r="E66" s="28">
        <f>SUM(D$59:D$66)</f>
        <v>1</v>
      </c>
      <c r="F66" s="35"/>
      <c r="G66" s="70"/>
      <c r="H66" s="27">
        <f>Axa!$D$68</f>
        <v>0</v>
      </c>
      <c r="I66" s="28">
        <f>SUM(H$59:H$66)</f>
        <v>0.9999999999999999</v>
      </c>
      <c r="J66" s="35"/>
      <c r="K66" s="70"/>
      <c r="L66" s="27">
        <f>Basler!$D$68</f>
        <v>0.03251228208774961</v>
      </c>
      <c r="M66" s="28">
        <f>SUM(L$59:L$66)</f>
        <v>0.9999999999999999</v>
      </c>
      <c r="N66" s="35"/>
      <c r="O66" s="70"/>
      <c r="P66" s="27">
        <f>Generali!$D$68</f>
        <v>0</v>
      </c>
      <c r="Q66" s="28">
        <f>SUM(P$59:P$66)</f>
        <v>1</v>
      </c>
      <c r="R66" s="35"/>
      <c r="S66" s="70"/>
      <c r="T66" s="27">
        <f>Helvetia!$D$68</f>
        <v>0.0002077296833569794</v>
      </c>
      <c r="U66" s="28">
        <f>SUM(T$59:T$66)</f>
        <v>1</v>
      </c>
      <c r="V66" s="35"/>
      <c r="W66" s="70"/>
      <c r="X66" s="27">
        <f>Mobiliar!$D$68</f>
        <v>0</v>
      </c>
      <c r="Y66" s="28">
        <f>SUM(X$59:X$66)</f>
        <v>0.9999999999999998</v>
      </c>
      <c r="Z66" s="35"/>
      <c r="AA66" s="70"/>
      <c r="AB66" s="27">
        <f>Nationale!$D$68</f>
        <v>0</v>
      </c>
      <c r="AC66" s="28">
        <f>SUM(AB$59:AB$66)</f>
        <v>0.9999999999999999</v>
      </c>
      <c r="AD66" s="35"/>
      <c r="AE66" s="70"/>
      <c r="AF66" s="27">
        <f>Pax!$D$68</f>
        <v>0</v>
      </c>
      <c r="AG66" s="28">
        <f>SUM(AF$59:AF$66)</f>
        <v>1</v>
      </c>
      <c r="AH66" s="35"/>
      <c r="AI66" s="70"/>
      <c r="AJ66" s="27">
        <f>Phenix!$D$68</f>
        <v>0</v>
      </c>
      <c r="AK66" s="28">
        <f>SUM(AJ$59:AJ$66)</f>
        <v>1</v>
      </c>
      <c r="AL66" s="35"/>
      <c r="AM66" s="70"/>
      <c r="AN66" s="27">
        <f>Rentenanstalt!$D$68</f>
        <v>0.003071876538962959</v>
      </c>
      <c r="AO66" s="28">
        <f>SUM(AN$59:AN$66)</f>
        <v>1.0000000000000002</v>
      </c>
      <c r="AP66" s="35"/>
      <c r="AQ66" s="70"/>
      <c r="AR66" s="27">
        <f>Winterthur!$D$68</f>
        <v>0.0008720315349901646</v>
      </c>
      <c r="AS66" s="28">
        <f>SUM(AR$59:AR$66)</f>
        <v>1</v>
      </c>
      <c r="AT66" s="35"/>
      <c r="AU66" s="70"/>
      <c r="AV66" s="27">
        <f>Zenith!$D$68</f>
        <v>0</v>
      </c>
      <c r="AW66" s="28">
        <f>SUM(AV$59:AV$66)</f>
        <v>1</v>
      </c>
      <c r="AX66" s="35"/>
      <c r="AY66" s="70"/>
      <c r="AZ66" s="27">
        <f>Zuerich!$D$68</f>
        <v>0.0011919459360295905</v>
      </c>
      <c r="BA66" s="28">
        <f>SUM(AZ$59:AZ$66)</f>
        <v>1</v>
      </c>
      <c r="BB66" s="40"/>
      <c r="BC66" s="71"/>
      <c r="BD66" s="27">
        <f t="shared" si="0"/>
        <v>0.0045110023471525255</v>
      </c>
      <c r="BE66" s="28">
        <f>SUM(BD$59:BD$66)</f>
        <v>0.9999999999999999</v>
      </c>
      <c r="BF66" s="35"/>
    </row>
    <row r="67" spans="1:58" ht="12.75">
      <c r="A67" s="52"/>
      <c r="B67" s="52"/>
      <c r="C67" s="70"/>
      <c r="D67" s="1"/>
      <c r="E67" s="1"/>
      <c r="F67" s="35"/>
      <c r="G67" s="70"/>
      <c r="H67" s="11"/>
      <c r="I67" s="11"/>
      <c r="J67" s="35"/>
      <c r="K67" s="70"/>
      <c r="L67" s="11"/>
      <c r="M67" s="11"/>
      <c r="N67" s="35"/>
      <c r="O67" s="70"/>
      <c r="P67" s="11"/>
      <c r="Q67" s="11"/>
      <c r="R67" s="35"/>
      <c r="S67" s="70"/>
      <c r="T67" s="11"/>
      <c r="U67" s="11"/>
      <c r="V67" s="35"/>
      <c r="W67" s="70"/>
      <c r="X67" s="11"/>
      <c r="Y67" s="11"/>
      <c r="Z67" s="35"/>
      <c r="AA67" s="70"/>
      <c r="AB67" s="11"/>
      <c r="AC67" s="11"/>
      <c r="AD67" s="35"/>
      <c r="AE67" s="70"/>
      <c r="AF67" s="11"/>
      <c r="AG67" s="11"/>
      <c r="AH67" s="35"/>
      <c r="AI67" s="70"/>
      <c r="AJ67" s="11"/>
      <c r="AK67" s="11"/>
      <c r="AL67" s="35"/>
      <c r="AM67" s="70"/>
      <c r="AN67" s="11"/>
      <c r="AO67" s="11"/>
      <c r="AP67" s="35"/>
      <c r="AQ67" s="70"/>
      <c r="AR67" s="11"/>
      <c r="AS67" s="11"/>
      <c r="AT67" s="35"/>
      <c r="AU67" s="70"/>
      <c r="AV67" s="11"/>
      <c r="AW67" s="11"/>
      <c r="AX67" s="35"/>
      <c r="AY67" s="70"/>
      <c r="AZ67" s="11"/>
      <c r="BA67" s="11"/>
      <c r="BB67" s="40"/>
      <c r="BC67" s="71"/>
      <c r="BD67" s="11"/>
      <c r="BE67" s="11"/>
      <c r="BF67" s="35"/>
    </row>
    <row r="68" spans="1:58" ht="12.75">
      <c r="A68" s="52" t="s">
        <v>10</v>
      </c>
      <c r="B68" s="52" t="s">
        <v>94</v>
      </c>
      <c r="C68" s="70"/>
      <c r="E68" s="17">
        <f>'Allianz Suisse'!$E$70</f>
        <v>5423137.13098</v>
      </c>
      <c r="F68" s="35"/>
      <c r="G68" s="70"/>
      <c r="H68" s="40"/>
      <c r="I68" s="17">
        <f>Axa!$E$70</f>
        <v>281108.72329999995</v>
      </c>
      <c r="J68" s="35"/>
      <c r="K68" s="70"/>
      <c r="L68" s="40"/>
      <c r="M68" s="17">
        <f>Basler!$E$70</f>
        <v>11523559</v>
      </c>
      <c r="N68" s="35"/>
      <c r="O68" s="70"/>
      <c r="P68" s="40"/>
      <c r="Q68" s="17">
        <f>Generali!$E$70</f>
        <v>473896.53411</v>
      </c>
      <c r="R68" s="35"/>
      <c r="S68" s="70"/>
      <c r="T68" s="40"/>
      <c r="U68" s="17">
        <f>Helvetia!$E$70</f>
        <v>9120729.101999998</v>
      </c>
      <c r="V68" s="35"/>
      <c r="W68" s="70"/>
      <c r="X68" s="40"/>
      <c r="Y68" s="17">
        <f>Mobiliar!$E$70</f>
        <v>1679632.826</v>
      </c>
      <c r="Z68" s="35"/>
      <c r="AA68" s="70"/>
      <c r="AB68" s="40"/>
      <c r="AC68" s="17">
        <f>Nationale!$E$70</f>
        <v>1458650</v>
      </c>
      <c r="AD68" s="35"/>
      <c r="AE68" s="70"/>
      <c r="AF68" s="40"/>
      <c r="AG68" s="17">
        <f>Pax!$E$70</f>
        <v>2429359.728</v>
      </c>
      <c r="AH68" s="35"/>
      <c r="AI68" s="70"/>
      <c r="AJ68" s="40"/>
      <c r="AK68" s="17">
        <f>Phenix!$E$70</f>
        <v>98568</v>
      </c>
      <c r="AL68" s="35"/>
      <c r="AM68" s="70"/>
      <c r="AN68" s="40"/>
      <c r="AO68" s="17">
        <f>Rentenanstalt!$E$70</f>
        <v>42464173.82861001</v>
      </c>
      <c r="AP68" s="35"/>
      <c r="AQ68" s="70"/>
      <c r="AR68" s="40"/>
      <c r="AS68" s="17">
        <f>Winterthur!$E$70</f>
        <v>35529997.1357437</v>
      </c>
      <c r="AT68" s="35"/>
      <c r="AU68" s="70"/>
      <c r="AV68" s="40"/>
      <c r="AW68" s="17">
        <f>Zenith!$E$70</f>
        <v>124560.721</v>
      </c>
      <c r="AX68" s="35"/>
      <c r="AY68" s="70"/>
      <c r="AZ68" s="40"/>
      <c r="BA68" s="17">
        <f>Zuerich!$E$70</f>
        <v>9412430</v>
      </c>
      <c r="BB68" s="40"/>
      <c r="BC68" s="71"/>
      <c r="BD68" s="11"/>
      <c r="BE68" s="17">
        <f>BA68+AW68+AS68+AO68+AK68+AG68+AC68+Y68+U68+Q68+M68+I68+E68</f>
        <v>120019802.7297437</v>
      </c>
      <c r="BF68" s="35"/>
    </row>
    <row r="69" spans="1:58" ht="12.75">
      <c r="A69" s="104" t="s">
        <v>11</v>
      </c>
      <c r="B69" s="52" t="s">
        <v>95</v>
      </c>
      <c r="C69" s="70"/>
      <c r="E69" s="29">
        <f>'Allianz Suisse'!$E$71</f>
        <v>114616</v>
      </c>
      <c r="F69" s="35"/>
      <c r="G69" s="70"/>
      <c r="H69" s="40"/>
      <c r="I69" s="29">
        <f>Axa!$E$71</f>
        <v>5395</v>
      </c>
      <c r="J69" s="35"/>
      <c r="K69" s="70"/>
      <c r="L69" s="40"/>
      <c r="M69" s="29">
        <f>Basler!$E$71</f>
        <v>185569</v>
      </c>
      <c r="N69" s="35"/>
      <c r="O69" s="70"/>
      <c r="P69" s="40"/>
      <c r="Q69" s="29">
        <f>Generali!$E$71</f>
        <v>10456</v>
      </c>
      <c r="R69" s="35"/>
      <c r="S69" s="70"/>
      <c r="T69" s="40"/>
      <c r="U69" s="29">
        <f>Helvetia!$E$71</f>
        <v>163254.867</v>
      </c>
      <c r="V69" s="35"/>
      <c r="W69" s="70"/>
      <c r="X69" s="40"/>
      <c r="Y69" s="29">
        <f>Mobiliar!$E$71</f>
        <v>124751</v>
      </c>
      <c r="Z69" s="35"/>
      <c r="AA69" s="70"/>
      <c r="AB69" s="40"/>
      <c r="AC69" s="29">
        <f>Nationale!$E$71</f>
        <v>23491</v>
      </c>
      <c r="AD69" s="35"/>
      <c r="AE69" s="70"/>
      <c r="AF69" s="40"/>
      <c r="AG69" s="29">
        <f>Pax!$E$71</f>
        <v>39685</v>
      </c>
      <c r="AH69" s="35"/>
      <c r="AI69" s="70"/>
      <c r="AJ69" s="40"/>
      <c r="AK69" s="29">
        <f>Phenix!$E$71</f>
        <v>2384</v>
      </c>
      <c r="AL69" s="35"/>
      <c r="AM69" s="70"/>
      <c r="AN69" s="40"/>
      <c r="AO69" s="29">
        <f>Rentenanstalt!$E$71</f>
        <v>658142</v>
      </c>
      <c r="AP69" s="35"/>
      <c r="AQ69" s="70"/>
      <c r="AR69" s="40"/>
      <c r="AS69" s="29">
        <f>Winterthur!$E$71</f>
        <v>597303</v>
      </c>
      <c r="AT69" s="35"/>
      <c r="AU69" s="70"/>
      <c r="AV69" s="40"/>
      <c r="AW69" s="29">
        <f>Zenith!$E$71</f>
        <v>2260</v>
      </c>
      <c r="AX69" s="35"/>
      <c r="AY69" s="70"/>
      <c r="AZ69" s="40"/>
      <c r="BA69" s="29">
        <f>Zuerich!$E$71</f>
        <v>203567</v>
      </c>
      <c r="BB69" s="40"/>
      <c r="BC69" s="71"/>
      <c r="BD69" s="11"/>
      <c r="BE69" s="29">
        <f>BA69+AW69+AS69+AO69+AK69+AG69+AC69+Y69+U69+Q69+M69+I69+E69</f>
        <v>2130873.867</v>
      </c>
      <c r="BF69" s="35"/>
    </row>
    <row r="70" spans="1:58" ht="12.75">
      <c r="A70" s="104"/>
      <c r="B70" s="52"/>
      <c r="C70" s="70"/>
      <c r="E70" s="1"/>
      <c r="F70" s="35"/>
      <c r="G70" s="70"/>
      <c r="H70" s="40"/>
      <c r="I70" s="11"/>
      <c r="J70" s="35"/>
      <c r="K70" s="70"/>
      <c r="L70" s="40"/>
      <c r="M70" s="11"/>
      <c r="N70" s="35"/>
      <c r="O70" s="70"/>
      <c r="P70" s="40"/>
      <c r="Q70" s="11"/>
      <c r="R70" s="35"/>
      <c r="S70" s="70"/>
      <c r="T70" s="40"/>
      <c r="U70" s="11"/>
      <c r="V70" s="35"/>
      <c r="W70" s="70"/>
      <c r="X70" s="40"/>
      <c r="Y70" s="11"/>
      <c r="Z70" s="35"/>
      <c r="AA70" s="70"/>
      <c r="AB70" s="40"/>
      <c r="AC70" s="11"/>
      <c r="AD70" s="35"/>
      <c r="AE70" s="70"/>
      <c r="AF70" s="40"/>
      <c r="AG70" s="11"/>
      <c r="AH70" s="35"/>
      <c r="AI70" s="70"/>
      <c r="AJ70" s="40"/>
      <c r="AK70" s="11"/>
      <c r="AL70" s="35"/>
      <c r="AM70" s="70"/>
      <c r="AN70" s="40"/>
      <c r="AO70" s="11"/>
      <c r="AP70" s="35"/>
      <c r="AQ70" s="70"/>
      <c r="AR70" s="40"/>
      <c r="AS70" s="11"/>
      <c r="AT70" s="35"/>
      <c r="AU70" s="70"/>
      <c r="AV70" s="40"/>
      <c r="AW70" s="11"/>
      <c r="AX70" s="35"/>
      <c r="AY70" s="70"/>
      <c r="AZ70" s="40"/>
      <c r="BA70" s="11"/>
      <c r="BB70" s="40"/>
      <c r="BC70" s="71"/>
      <c r="BD70" s="11"/>
      <c r="BE70" s="11"/>
      <c r="BF70" s="35"/>
    </row>
    <row r="71" spans="1:58" ht="12.75">
      <c r="A71" s="52" t="s">
        <v>12</v>
      </c>
      <c r="B71" s="52" t="s">
        <v>96</v>
      </c>
      <c r="C71" s="70"/>
      <c r="E71" s="1"/>
      <c r="F71" s="35"/>
      <c r="G71" s="70"/>
      <c r="H71" s="40"/>
      <c r="I71" s="11"/>
      <c r="J71" s="35"/>
      <c r="K71" s="70"/>
      <c r="L71" s="40"/>
      <c r="M71" s="11"/>
      <c r="N71" s="35"/>
      <c r="O71" s="70"/>
      <c r="P71" s="40"/>
      <c r="Q71" s="11"/>
      <c r="R71" s="35"/>
      <c r="S71" s="70"/>
      <c r="T71" s="40"/>
      <c r="U71" s="11"/>
      <c r="V71" s="35"/>
      <c r="W71" s="70"/>
      <c r="X71" s="40"/>
      <c r="Y71" s="11"/>
      <c r="Z71" s="35"/>
      <c r="AA71" s="70"/>
      <c r="AB71" s="40"/>
      <c r="AC71" s="11"/>
      <c r="AD71" s="35"/>
      <c r="AE71" s="70"/>
      <c r="AF71" s="40"/>
      <c r="AG71" s="11"/>
      <c r="AH71" s="35"/>
      <c r="AI71" s="70"/>
      <c r="AJ71" s="40"/>
      <c r="AK71" s="11"/>
      <c r="AL71" s="35"/>
      <c r="AM71" s="70"/>
      <c r="AN71" s="40"/>
      <c r="AO71" s="11"/>
      <c r="AP71" s="35"/>
      <c r="AQ71" s="70"/>
      <c r="AR71" s="40"/>
      <c r="AS71" s="11"/>
      <c r="AT71" s="35"/>
      <c r="AU71" s="70"/>
      <c r="AV71" s="40"/>
      <c r="AW71" s="11"/>
      <c r="AX71" s="35"/>
      <c r="AY71" s="70"/>
      <c r="AZ71" s="40"/>
      <c r="BA71" s="11"/>
      <c r="BB71" s="40"/>
      <c r="BC71" s="71"/>
      <c r="BD71" s="11"/>
      <c r="BE71" s="11"/>
      <c r="BF71" s="35"/>
    </row>
    <row r="72" spans="1:58" ht="12.75">
      <c r="A72" s="104"/>
      <c r="B72" s="52" t="s">
        <v>75</v>
      </c>
      <c r="C72" s="70"/>
      <c r="D72" s="15">
        <f>D24</f>
        <v>16562.43842</v>
      </c>
      <c r="E72" s="1"/>
      <c r="F72" s="35"/>
      <c r="G72" s="70"/>
      <c r="H72" s="15">
        <f>H24</f>
        <v>882.3802800000001</v>
      </c>
      <c r="I72" s="11"/>
      <c r="J72" s="35"/>
      <c r="K72" s="70"/>
      <c r="L72" s="15">
        <f>L24</f>
        <v>45057</v>
      </c>
      <c r="M72" s="11"/>
      <c r="N72" s="35"/>
      <c r="O72" s="70"/>
      <c r="P72" s="15">
        <f>P24</f>
        <v>4174.763459999999</v>
      </c>
      <c r="Q72" s="11"/>
      <c r="R72" s="35"/>
      <c r="S72" s="70"/>
      <c r="T72" s="15">
        <f>T24</f>
        <v>38865.35923</v>
      </c>
      <c r="U72" s="11"/>
      <c r="V72" s="35"/>
      <c r="W72" s="70"/>
      <c r="X72" s="15">
        <f>X24</f>
        <v>4142.1</v>
      </c>
      <c r="Y72" s="11"/>
      <c r="Z72" s="35"/>
      <c r="AA72" s="70"/>
      <c r="AB72" s="15">
        <f>AB24</f>
        <v>7835</v>
      </c>
      <c r="AC72" s="11"/>
      <c r="AD72" s="35"/>
      <c r="AE72" s="70"/>
      <c r="AF72" s="15">
        <f>AF24</f>
        <v>6938.111</v>
      </c>
      <c r="AG72" s="11"/>
      <c r="AH72" s="35"/>
      <c r="AI72" s="70"/>
      <c r="AJ72" s="15">
        <f>AJ24</f>
        <v>395</v>
      </c>
      <c r="AK72" s="11"/>
      <c r="AL72" s="35"/>
      <c r="AM72" s="70"/>
      <c r="AN72" s="15">
        <f>AN24</f>
        <v>132320.47195</v>
      </c>
      <c r="AO72" s="11"/>
      <c r="AP72" s="35"/>
      <c r="AQ72" s="70"/>
      <c r="AR72" s="15">
        <f>AR24</f>
        <v>182390</v>
      </c>
      <c r="AS72" s="11"/>
      <c r="AT72" s="35"/>
      <c r="AU72" s="70"/>
      <c r="AV72" s="15">
        <f>AV24</f>
        <v>1079</v>
      </c>
      <c r="AW72" s="11"/>
      <c r="AX72" s="35"/>
      <c r="AY72" s="70"/>
      <c r="AZ72" s="15">
        <f>AZ24</f>
        <v>24802</v>
      </c>
      <c r="BA72" s="11"/>
      <c r="BB72" s="40"/>
      <c r="BC72" s="71"/>
      <c r="BD72" s="15">
        <f>BD24</f>
        <v>465443.62434</v>
      </c>
      <c r="BE72" s="11"/>
      <c r="BF72" s="35"/>
    </row>
    <row r="73" spans="1:58" ht="12.75">
      <c r="A73" s="104"/>
      <c r="B73" s="52" t="s">
        <v>32</v>
      </c>
      <c r="C73" s="70"/>
      <c r="D73" s="41">
        <f>E20</f>
        <v>52394.99299</v>
      </c>
      <c r="E73" s="18">
        <f>D73+D72</f>
        <v>68957.43140999999</v>
      </c>
      <c r="F73" s="35"/>
      <c r="G73" s="70"/>
      <c r="H73" s="41">
        <f>I20</f>
        <v>3943.8772417404452</v>
      </c>
      <c r="I73" s="18">
        <f>H73+H72</f>
        <v>4826.257521740446</v>
      </c>
      <c r="J73" s="35"/>
      <c r="K73" s="70"/>
      <c r="L73" s="41">
        <f>M20</f>
        <v>97275</v>
      </c>
      <c r="M73" s="18">
        <f>L73+L72</f>
        <v>142332</v>
      </c>
      <c r="N73" s="35"/>
      <c r="O73" s="70"/>
      <c r="P73" s="41">
        <f>Q20</f>
        <v>3282.76594</v>
      </c>
      <c r="Q73" s="18">
        <f>P73+P72</f>
        <v>7457.529399999999</v>
      </c>
      <c r="R73" s="35"/>
      <c r="S73" s="70"/>
      <c r="T73" s="41">
        <f>U20</f>
        <v>83904.34470000005</v>
      </c>
      <c r="U73" s="18">
        <f>T73+T72</f>
        <v>122769.70393000005</v>
      </c>
      <c r="V73" s="35"/>
      <c r="W73" s="70"/>
      <c r="X73" s="41">
        <f>Y20</f>
        <v>30266.3</v>
      </c>
      <c r="Y73" s="18">
        <f>X73+X72</f>
        <v>34408.4</v>
      </c>
      <c r="Z73" s="35"/>
      <c r="AA73" s="70"/>
      <c r="AB73" s="41">
        <f>AC20</f>
        <v>12617</v>
      </c>
      <c r="AC73" s="18">
        <f>AB73+AB72</f>
        <v>20452</v>
      </c>
      <c r="AD73" s="35"/>
      <c r="AE73" s="70"/>
      <c r="AF73" s="41">
        <f>AG20</f>
        <v>22296.889</v>
      </c>
      <c r="AG73" s="18">
        <f>AF73+AF72</f>
        <v>29235</v>
      </c>
      <c r="AH73" s="35"/>
      <c r="AI73" s="70"/>
      <c r="AJ73" s="41">
        <f>AK20</f>
        <v>2033</v>
      </c>
      <c r="AK73" s="18">
        <f>AJ73+AJ72</f>
        <v>2428</v>
      </c>
      <c r="AL73" s="35"/>
      <c r="AM73" s="70"/>
      <c r="AN73" s="41">
        <f>AO20</f>
        <v>372695.50474</v>
      </c>
      <c r="AO73" s="18">
        <f>AN73+AN72</f>
        <v>505015.97669000004</v>
      </c>
      <c r="AP73" s="35"/>
      <c r="AQ73" s="70"/>
      <c r="AR73" s="41">
        <f>AS20</f>
        <v>222863</v>
      </c>
      <c r="AS73" s="18">
        <f>AR73+AR72</f>
        <v>405253</v>
      </c>
      <c r="AT73" s="35"/>
      <c r="AU73" s="70"/>
      <c r="AV73" s="41">
        <f>AW20</f>
        <v>1612.576</v>
      </c>
      <c r="AW73" s="18">
        <f>AV73+AV72</f>
        <v>2691.576</v>
      </c>
      <c r="AX73" s="35"/>
      <c r="AY73" s="70"/>
      <c r="AZ73" s="41">
        <f>BA20</f>
        <v>171501</v>
      </c>
      <c r="BA73" s="18">
        <f>AZ73+AZ72</f>
        <v>196303</v>
      </c>
      <c r="BB73" s="40"/>
      <c r="BC73" s="71"/>
      <c r="BD73" s="90">
        <f>BE20</f>
        <v>1076686.2506117404</v>
      </c>
      <c r="BE73" s="18">
        <f>BD73+BD72</f>
        <v>1542129.8749517403</v>
      </c>
      <c r="BF73" s="35"/>
    </row>
    <row r="74" spans="1:58" ht="12.75">
      <c r="A74" s="104"/>
      <c r="B74" s="52" t="s">
        <v>97</v>
      </c>
      <c r="C74" s="70"/>
      <c r="E74" s="18">
        <f>(1000*E73)/E69</f>
        <v>601.638788738047</v>
      </c>
      <c r="F74" s="35"/>
      <c r="G74" s="70"/>
      <c r="H74" s="40"/>
      <c r="I74" s="18">
        <f>(1000*I73)/I69</f>
        <v>894.5797074588407</v>
      </c>
      <c r="J74" s="35"/>
      <c r="K74" s="70"/>
      <c r="L74" s="40"/>
      <c r="M74" s="18">
        <f>(1000*M73)/M69</f>
        <v>767.0031093555497</v>
      </c>
      <c r="N74" s="35"/>
      <c r="O74" s="70"/>
      <c r="P74" s="40"/>
      <c r="Q74" s="18">
        <f>(1000*Q73)/Q69</f>
        <v>713.2296671767406</v>
      </c>
      <c r="R74" s="35"/>
      <c r="S74" s="70"/>
      <c r="T74" s="40"/>
      <c r="U74" s="18">
        <f>(1000*U73)/U69</f>
        <v>752.0125199697725</v>
      </c>
      <c r="V74" s="35"/>
      <c r="W74" s="70"/>
      <c r="X74" s="40"/>
      <c r="Y74" s="18">
        <f>(1000*Y73)/Y69</f>
        <v>275.8166267204271</v>
      </c>
      <c r="Z74" s="35"/>
      <c r="AA74" s="70"/>
      <c r="AB74" s="40"/>
      <c r="AC74" s="18">
        <f>(1000*AC73)/AC69</f>
        <v>870.6313056064024</v>
      </c>
      <c r="AD74" s="35"/>
      <c r="AE74" s="70"/>
      <c r="AF74" s="40"/>
      <c r="AG74" s="18">
        <f>(1000*AG73)/AG69</f>
        <v>736.6763260677837</v>
      </c>
      <c r="AH74" s="35"/>
      <c r="AI74" s="70"/>
      <c r="AJ74" s="40"/>
      <c r="AK74" s="18">
        <f>(1000*AK73)/AK69</f>
        <v>1018.4563758389262</v>
      </c>
      <c r="AL74" s="35"/>
      <c r="AM74" s="70"/>
      <c r="AN74" s="40"/>
      <c r="AO74" s="18">
        <f>(1000*AO73)/AO69</f>
        <v>767.3358890482602</v>
      </c>
      <c r="AP74" s="35"/>
      <c r="AQ74" s="70"/>
      <c r="AR74" s="40"/>
      <c r="AS74" s="18">
        <f>(1000*AS73)/AS69</f>
        <v>678.471395589843</v>
      </c>
      <c r="AT74" s="35"/>
      <c r="AU74" s="70"/>
      <c r="AV74" s="40"/>
      <c r="AW74" s="18">
        <f>(1000*AW73)/AW69</f>
        <v>1190.962831858407</v>
      </c>
      <c r="AX74" s="35"/>
      <c r="AY74" s="70"/>
      <c r="AZ74" s="40"/>
      <c r="BA74" s="18">
        <f>(1000*BA73)/BA69</f>
        <v>964.3164167080126</v>
      </c>
      <c r="BB74" s="40"/>
      <c r="BC74" s="71"/>
      <c r="BD74" s="11"/>
      <c r="BE74" s="18">
        <f>(1000*BE73)/BE69</f>
        <v>723.7077233120623</v>
      </c>
      <c r="BF74" s="35"/>
    </row>
    <row r="75" spans="1:58" ht="12.75">
      <c r="A75" s="104"/>
      <c r="B75" s="52"/>
      <c r="C75" s="70"/>
      <c r="D75" s="40"/>
      <c r="E75" s="11"/>
      <c r="F75" s="35"/>
      <c r="G75" s="70"/>
      <c r="H75" s="40"/>
      <c r="I75" s="11"/>
      <c r="J75" s="35"/>
      <c r="K75" s="70"/>
      <c r="L75" s="40"/>
      <c r="M75" s="11"/>
      <c r="N75" s="35"/>
      <c r="O75" s="70"/>
      <c r="P75" s="40"/>
      <c r="Q75" s="11"/>
      <c r="R75" s="35"/>
      <c r="S75" s="70"/>
      <c r="T75" s="40"/>
      <c r="U75" s="11"/>
      <c r="V75" s="35"/>
      <c r="W75" s="70"/>
      <c r="X75" s="40"/>
      <c r="Y75" s="11"/>
      <c r="Z75" s="35"/>
      <c r="AA75" s="70"/>
      <c r="AB75" s="40"/>
      <c r="AC75" s="11"/>
      <c r="AD75" s="35"/>
      <c r="AE75" s="70"/>
      <c r="AF75" s="40"/>
      <c r="AG75" s="11"/>
      <c r="AH75" s="35"/>
      <c r="AI75" s="70"/>
      <c r="AJ75" s="40"/>
      <c r="AK75" s="11"/>
      <c r="AL75" s="35"/>
      <c r="AM75" s="70"/>
      <c r="AN75" s="40"/>
      <c r="AO75" s="11"/>
      <c r="AP75" s="35"/>
      <c r="AQ75" s="70"/>
      <c r="AR75" s="40"/>
      <c r="AS75" s="11"/>
      <c r="AT75" s="35"/>
      <c r="AU75" s="70"/>
      <c r="AV75" s="40"/>
      <c r="AW75" s="11"/>
      <c r="AX75" s="35"/>
      <c r="AY75" s="70"/>
      <c r="AZ75" s="40"/>
      <c r="BA75" s="11"/>
      <c r="BB75" s="40"/>
      <c r="BC75" s="71"/>
      <c r="BD75" s="11"/>
      <c r="BE75" s="11"/>
      <c r="BF75" s="35"/>
    </row>
    <row r="76" spans="2:58" ht="12.75">
      <c r="B76" s="52"/>
      <c r="C76" s="70"/>
      <c r="D76" s="40"/>
      <c r="E76" s="40"/>
      <c r="F76" s="35"/>
      <c r="G76" s="70"/>
      <c r="H76" s="40"/>
      <c r="I76" s="40"/>
      <c r="J76" s="35"/>
      <c r="K76" s="70"/>
      <c r="L76" s="40"/>
      <c r="M76" s="40"/>
      <c r="N76" s="35"/>
      <c r="O76" s="70"/>
      <c r="P76" s="40"/>
      <c r="Q76" s="40"/>
      <c r="R76" s="35"/>
      <c r="S76" s="70"/>
      <c r="T76" s="40"/>
      <c r="U76" s="40"/>
      <c r="V76" s="35"/>
      <c r="W76" s="70"/>
      <c r="X76" s="40"/>
      <c r="Y76" s="40"/>
      <c r="Z76" s="35"/>
      <c r="AA76" s="70"/>
      <c r="AB76" s="40"/>
      <c r="AC76" s="40"/>
      <c r="AD76" s="35"/>
      <c r="AE76" s="70"/>
      <c r="AF76" s="40"/>
      <c r="AG76" s="40"/>
      <c r="AH76" s="35"/>
      <c r="AI76" s="70"/>
      <c r="AJ76" s="40"/>
      <c r="AK76" s="40"/>
      <c r="AL76" s="35"/>
      <c r="AM76" s="70"/>
      <c r="AN76" s="40"/>
      <c r="AO76" s="40"/>
      <c r="AP76" s="35"/>
      <c r="AQ76" s="70"/>
      <c r="AR76" s="40"/>
      <c r="AS76" s="40"/>
      <c r="AT76" s="35"/>
      <c r="AU76" s="70"/>
      <c r="AV76" s="40"/>
      <c r="AW76" s="40"/>
      <c r="AX76" s="35"/>
      <c r="AY76" s="70"/>
      <c r="AZ76" s="40"/>
      <c r="BA76" s="40"/>
      <c r="BB76" s="40"/>
      <c r="BC76" s="71"/>
      <c r="BD76" s="11"/>
      <c r="BE76" s="11"/>
      <c r="BF76" s="35"/>
    </row>
    <row r="77" spans="1:58" ht="13.5" thickBot="1">
      <c r="A77" s="107" t="s">
        <v>117</v>
      </c>
      <c r="B77" s="52"/>
      <c r="C77" s="70"/>
      <c r="D77" s="11"/>
      <c r="E77" s="11"/>
      <c r="F77" s="35"/>
      <c r="G77" s="70"/>
      <c r="H77" s="11"/>
      <c r="I77" s="11"/>
      <c r="J77" s="35"/>
      <c r="K77" s="70"/>
      <c r="L77" s="11"/>
      <c r="M77" s="11"/>
      <c r="N77" s="35"/>
      <c r="O77" s="70"/>
      <c r="P77" s="11"/>
      <c r="Q77" s="11"/>
      <c r="R77" s="35"/>
      <c r="S77" s="70"/>
      <c r="T77" s="11"/>
      <c r="U77" s="11"/>
      <c r="V77" s="35"/>
      <c r="W77" s="70"/>
      <c r="X77" s="11"/>
      <c r="Y77" s="11"/>
      <c r="Z77" s="35"/>
      <c r="AA77" s="70"/>
      <c r="AB77" s="11"/>
      <c r="AC77" s="11"/>
      <c r="AD77" s="35"/>
      <c r="AE77" s="70"/>
      <c r="AF77" s="11"/>
      <c r="AG77" s="11"/>
      <c r="AH77" s="35"/>
      <c r="AI77" s="70"/>
      <c r="AJ77" s="11"/>
      <c r="AK77" s="11"/>
      <c r="AL77" s="35"/>
      <c r="AM77" s="70"/>
      <c r="AN77" s="11"/>
      <c r="AO77" s="11"/>
      <c r="AP77" s="35"/>
      <c r="AQ77" s="70"/>
      <c r="AR77" s="11"/>
      <c r="AS77" s="11"/>
      <c r="AT77" s="35"/>
      <c r="AU77" s="70"/>
      <c r="AV77" s="11"/>
      <c r="AW77" s="11"/>
      <c r="AX77" s="35"/>
      <c r="AY77" s="70"/>
      <c r="AZ77" s="11"/>
      <c r="BA77" s="11"/>
      <c r="BB77" s="40"/>
      <c r="BC77" s="96"/>
      <c r="BD77" s="100"/>
      <c r="BE77" s="100"/>
      <c r="BF77" s="38"/>
    </row>
    <row r="78" spans="1:58" ht="13.5" customHeight="1" thickBot="1">
      <c r="A78" s="104" t="s">
        <v>51</v>
      </c>
      <c r="B78" s="52"/>
      <c r="C78" s="127" t="s">
        <v>115</v>
      </c>
      <c r="D78" s="120"/>
      <c r="E78" s="119" t="s">
        <v>116</v>
      </c>
      <c r="F78" s="120"/>
      <c r="G78" s="127" t="s">
        <v>115</v>
      </c>
      <c r="H78" s="120"/>
      <c r="I78" s="119" t="s">
        <v>116</v>
      </c>
      <c r="J78" s="120"/>
      <c r="K78" s="127" t="s">
        <v>115</v>
      </c>
      <c r="L78" s="120"/>
      <c r="M78" s="119" t="s">
        <v>116</v>
      </c>
      <c r="N78" s="120"/>
      <c r="O78" s="127" t="s">
        <v>115</v>
      </c>
      <c r="P78" s="120"/>
      <c r="Q78" s="119" t="s">
        <v>116</v>
      </c>
      <c r="R78" s="120"/>
      <c r="S78" s="127" t="s">
        <v>115</v>
      </c>
      <c r="T78" s="120"/>
      <c r="U78" s="119" t="s">
        <v>116</v>
      </c>
      <c r="V78" s="120"/>
      <c r="W78" s="127" t="s">
        <v>115</v>
      </c>
      <c r="X78" s="120"/>
      <c r="Y78" s="119" t="s">
        <v>116</v>
      </c>
      <c r="Z78" s="120"/>
      <c r="AA78" s="127" t="s">
        <v>115</v>
      </c>
      <c r="AB78" s="120"/>
      <c r="AC78" s="119" t="s">
        <v>116</v>
      </c>
      <c r="AD78" s="120"/>
      <c r="AE78" s="127" t="s">
        <v>115</v>
      </c>
      <c r="AF78" s="120"/>
      <c r="AG78" s="119" t="s">
        <v>116</v>
      </c>
      <c r="AH78" s="120"/>
      <c r="AI78" s="127" t="s">
        <v>115</v>
      </c>
      <c r="AJ78" s="120"/>
      <c r="AK78" s="119" t="s">
        <v>116</v>
      </c>
      <c r="AL78" s="120"/>
      <c r="AM78" s="127" t="s">
        <v>115</v>
      </c>
      <c r="AN78" s="120"/>
      <c r="AO78" s="119" t="s">
        <v>116</v>
      </c>
      <c r="AP78" s="120"/>
      <c r="AQ78" s="127" t="s">
        <v>115</v>
      </c>
      <c r="AR78" s="120"/>
      <c r="AS78" s="119" t="s">
        <v>116</v>
      </c>
      <c r="AT78" s="120"/>
      <c r="AU78" s="127" t="s">
        <v>115</v>
      </c>
      <c r="AV78" s="120"/>
      <c r="AW78" s="119" t="s">
        <v>116</v>
      </c>
      <c r="AX78" s="120"/>
      <c r="AY78" s="127" t="s">
        <v>115</v>
      </c>
      <c r="AZ78" s="120"/>
      <c r="BA78" s="119" t="s">
        <v>116</v>
      </c>
      <c r="BB78" s="120"/>
      <c r="BC78" s="127" t="s">
        <v>115</v>
      </c>
      <c r="BD78" s="120"/>
      <c r="BE78" s="119" t="s">
        <v>116</v>
      </c>
      <c r="BF78" s="120"/>
    </row>
    <row r="79" spans="1:58" ht="12.75">
      <c r="A79" s="52"/>
      <c r="B79" s="52" t="s">
        <v>103</v>
      </c>
      <c r="C79" s="37">
        <f>'Allianz Suisse'!$C$81</f>
        <v>180316.43182</v>
      </c>
      <c r="D79" s="35"/>
      <c r="E79" s="30">
        <f>'Allianz Suisse'!$E$81</f>
        <v>12541.878869999999</v>
      </c>
      <c r="F79" s="35"/>
      <c r="G79" s="37">
        <f>Axa!$C$81</f>
        <v>9814</v>
      </c>
      <c r="H79" s="35"/>
      <c r="I79" s="30">
        <f>Axa!$E$81</f>
        <v>16</v>
      </c>
      <c r="J79" s="35"/>
      <c r="K79" s="37">
        <f>Basler!$C$81</f>
        <v>301368</v>
      </c>
      <c r="L79" s="35"/>
      <c r="M79" s="30">
        <f>Basler!$E$81</f>
        <v>85541</v>
      </c>
      <c r="N79" s="35"/>
      <c r="O79" s="37">
        <f>Generali!$C$81</f>
        <v>14928</v>
      </c>
      <c r="P79" s="35"/>
      <c r="Q79" s="30">
        <f>Generali!$E$81</f>
        <v>0</v>
      </c>
      <c r="R79" s="35"/>
      <c r="S79" s="37">
        <f>Helvetia!$C$81</f>
        <v>247754.0453808681</v>
      </c>
      <c r="T79" s="35"/>
      <c r="U79" s="30">
        <f>Helvetia!$E$81</f>
        <v>45812.25346913183</v>
      </c>
      <c r="V79" s="35"/>
      <c r="W79" s="37">
        <f>Mobiliar!$C$81</f>
        <v>32918</v>
      </c>
      <c r="X79" s="35"/>
      <c r="Y79" s="30">
        <f>Mobiliar!$E$81</f>
        <v>28691</v>
      </c>
      <c r="Z79" s="35"/>
      <c r="AA79" s="37">
        <f>Nationale!$C$81</f>
        <v>38869</v>
      </c>
      <c r="AB79" s="35"/>
      <c r="AC79" s="30">
        <f>Nationale!$E$81</f>
        <v>5536</v>
      </c>
      <c r="AD79" s="35"/>
      <c r="AE79" s="37">
        <f>Pax!$C$81</f>
        <v>82627</v>
      </c>
      <c r="AF79" s="35"/>
      <c r="AG79" s="30">
        <f>Pax!$E$81</f>
        <v>175</v>
      </c>
      <c r="AH79" s="35"/>
      <c r="AI79" s="37">
        <f>Phenix!$C$81</f>
        <v>3023</v>
      </c>
      <c r="AJ79" s="35"/>
      <c r="AK79" s="30">
        <f>Phenix!$E$81</f>
        <v>0</v>
      </c>
      <c r="AL79" s="35"/>
      <c r="AM79" s="37">
        <f>Rentenanstalt!$C$81</f>
        <v>1217070</v>
      </c>
      <c r="AN79" s="35"/>
      <c r="AO79" s="30">
        <f>Rentenanstalt!$E$81</f>
        <v>297938</v>
      </c>
      <c r="AP79" s="35"/>
      <c r="AQ79" s="37">
        <f>Winterthur!$C$81</f>
        <v>1172136</v>
      </c>
      <c r="AR79" s="35"/>
      <c r="AS79" s="30">
        <f>Winterthur!$E$81</f>
        <v>0</v>
      </c>
      <c r="AT79" s="35"/>
      <c r="AU79" s="37">
        <f>Zenith!$C$81</f>
        <v>9274</v>
      </c>
      <c r="AV79" s="35"/>
      <c r="AW79" s="30">
        <f>Zenith!$E$81</f>
        <v>0</v>
      </c>
      <c r="AX79" s="35"/>
      <c r="AY79" s="37">
        <f>Zuerich!$C$81</f>
        <v>338573</v>
      </c>
      <c r="AZ79" s="35"/>
      <c r="BA79" s="30">
        <f>Zuerich!$E$81</f>
        <v>48050</v>
      </c>
      <c r="BB79" s="35"/>
      <c r="BC79" s="94">
        <f>AY79+AU79+AQ79+AM79+AI79+AE79+AA79+W79+S79+O79+K79+G79+C79</f>
        <v>3648670.477200868</v>
      </c>
      <c r="BD79" s="34"/>
      <c r="BE79" s="94">
        <f>BA79+AW79+AS79+AO79+AK79+AG79+AC79+Y79+U79+Q79+M79+I79+E79</f>
        <v>524301.1323391318</v>
      </c>
      <c r="BF79" s="34"/>
    </row>
    <row r="80" spans="2:58" ht="12.75">
      <c r="B80" s="52" t="s">
        <v>104</v>
      </c>
      <c r="C80" s="37">
        <f>'Allianz Suisse'!$C$82</f>
        <v>113822.051259953</v>
      </c>
      <c r="D80" s="35"/>
      <c r="E80" s="30">
        <f>'Allianz Suisse'!$E$82</f>
        <v>24288.161470000003</v>
      </c>
      <c r="F80" s="35"/>
      <c r="G80" s="37">
        <f>Axa!$C$82</f>
        <v>5350.845492112038</v>
      </c>
      <c r="H80" s="35"/>
      <c r="I80" s="30">
        <f>Axa!$E$82</f>
        <v>568.0931885651243</v>
      </c>
      <c r="J80" s="35"/>
      <c r="K80" s="37">
        <f>Basler!$C$82</f>
        <v>154045</v>
      </c>
      <c r="L80" s="35"/>
      <c r="M80" s="30">
        <f>Basler!$E$82</f>
        <v>66226</v>
      </c>
      <c r="N80" s="35"/>
      <c r="O80" s="37">
        <f>Generali!$C$82</f>
        <v>5011.606439220564</v>
      </c>
      <c r="P80" s="35"/>
      <c r="Q80" s="30">
        <f>Generali!$E$82</f>
        <v>0</v>
      </c>
      <c r="R80" s="35"/>
      <c r="S80" s="37">
        <f>Helvetia!$C$82</f>
        <v>168827.28328804157</v>
      </c>
      <c r="T80" s="35"/>
      <c r="U80" s="30">
        <f>Helvetia!$E$82</f>
        <v>96656.4659029147</v>
      </c>
      <c r="V80" s="35"/>
      <c r="W80" s="37">
        <f>Mobiliar!$C$82</f>
        <v>90225</v>
      </c>
      <c r="X80" s="35"/>
      <c r="Y80" s="30">
        <f>Mobiliar!$E$82</f>
        <v>176010</v>
      </c>
      <c r="Z80" s="35"/>
      <c r="AA80" s="37">
        <f>Nationale!$C$82</f>
        <v>26677</v>
      </c>
      <c r="AB80" s="35"/>
      <c r="AC80" s="30">
        <f>Nationale!$E$82</f>
        <v>3626</v>
      </c>
      <c r="AD80" s="35"/>
      <c r="AE80" s="37">
        <f>Pax!$C$82</f>
        <v>55568</v>
      </c>
      <c r="AF80" s="35"/>
      <c r="AG80" s="30">
        <f>Pax!$E$82</f>
        <v>0</v>
      </c>
      <c r="AH80" s="35"/>
      <c r="AI80" s="37">
        <f>Phenix!$C$82</f>
        <v>2167</v>
      </c>
      <c r="AJ80" s="35"/>
      <c r="AK80" s="30">
        <f>Phenix!$E$82</f>
        <v>0</v>
      </c>
      <c r="AL80" s="35"/>
      <c r="AM80" s="37">
        <f>Rentenanstalt!$C$82</f>
        <v>663442.019</v>
      </c>
      <c r="AN80" s="35"/>
      <c r="AO80" s="30">
        <f>Rentenanstalt!$E$82</f>
        <v>194863.766</v>
      </c>
      <c r="AP80" s="35"/>
      <c r="AQ80" s="37">
        <f>Winterthur!$C$82</f>
        <v>652082</v>
      </c>
      <c r="AR80" s="35"/>
      <c r="AS80" s="30">
        <f>Winterthur!$E$82</f>
        <v>175469</v>
      </c>
      <c r="AT80" s="35"/>
      <c r="AU80" s="37">
        <f>Zenith!$C$82</f>
        <v>2743.673099999999</v>
      </c>
      <c r="AV80" s="35"/>
      <c r="AW80" s="30">
        <f>Zenith!$E$82</f>
        <v>0</v>
      </c>
      <c r="AX80" s="35"/>
      <c r="AY80" s="37">
        <f>Zuerich!$C$82</f>
        <v>244693.48500000002</v>
      </c>
      <c r="AZ80" s="35"/>
      <c r="BA80" s="30">
        <f>Zuerich!$E$82</f>
        <v>113394.889</v>
      </c>
      <c r="BB80" s="35"/>
      <c r="BC80" s="37">
        <f>AY80+AU80+AQ80+AM80+AI80+AE80+AA80+W80+S80+O80+K80+G80+C80</f>
        <v>2184654.963579327</v>
      </c>
      <c r="BD80" s="35"/>
      <c r="BE80" s="37">
        <f>BA80+AW80+AS80+AO80+AK80+AG80+AC80+Y80+U80+Q80+M80+I80+E80</f>
        <v>851102.37556148</v>
      </c>
      <c r="BF80" s="35"/>
    </row>
    <row r="81" spans="1:58" ht="12.75">
      <c r="A81" s="52"/>
      <c r="B81" s="52" t="s">
        <v>105</v>
      </c>
      <c r="C81" s="37">
        <f>'Allianz Suisse'!$C$83</f>
        <v>48475.4078006283</v>
      </c>
      <c r="D81" s="73">
        <f>SUM(C79:C81)</f>
        <v>342613.8908805813</v>
      </c>
      <c r="E81" s="30">
        <f>'Allianz Suisse'!$E$83</f>
        <v>1537.26145</v>
      </c>
      <c r="F81" s="73">
        <f>SUM(E79:E81)</f>
        <v>38367.30179</v>
      </c>
      <c r="G81" s="37">
        <f>Axa!$C$83</f>
        <v>2826.877249322837</v>
      </c>
      <c r="H81" s="73">
        <f>SUM(G79:G81)</f>
        <v>17991.722741434874</v>
      </c>
      <c r="I81" s="30">
        <f>Axa!$E$83</f>
        <v>74.36149999999991</v>
      </c>
      <c r="J81" s="73">
        <f>SUM(I79:I81)</f>
        <v>658.4546885651241</v>
      </c>
      <c r="K81" s="37">
        <f>Basler!$C$83</f>
        <v>67586</v>
      </c>
      <c r="L81" s="73">
        <f>SUM(K79:K81)</f>
        <v>522999</v>
      </c>
      <c r="M81" s="30">
        <f>Basler!$E$83</f>
        <v>9644</v>
      </c>
      <c r="N81" s="73">
        <f>SUM(M79:M81)</f>
        <v>161411</v>
      </c>
      <c r="O81" s="37">
        <f>Generali!$C$83</f>
        <v>1814.9320456299447</v>
      </c>
      <c r="P81" s="73">
        <f>SUM(O79:O81)</f>
        <v>21754.538484850513</v>
      </c>
      <c r="Q81" s="30">
        <f>Generali!$E$83</f>
        <v>0</v>
      </c>
      <c r="R81" s="73">
        <f>SUM(Q79:Q81)</f>
        <v>0</v>
      </c>
      <c r="S81" s="37">
        <f>Helvetia!$C$83</f>
        <v>59905.773633194105</v>
      </c>
      <c r="T81" s="73">
        <f>SUM(S79:S81)</f>
        <v>476487.10230210377</v>
      </c>
      <c r="U81" s="30">
        <f>Helvetia!$E$83</f>
        <v>32756.316974184792</v>
      </c>
      <c r="V81" s="73">
        <f>SUM(U79:U81)</f>
        <v>175225.03634623133</v>
      </c>
      <c r="W81" s="37">
        <f>Mobiliar!$C$83</f>
        <v>6386</v>
      </c>
      <c r="X81" s="73">
        <f>SUM(W79:W81)</f>
        <v>129529</v>
      </c>
      <c r="Y81" s="30">
        <f>Mobiliar!$E$83</f>
        <v>10473</v>
      </c>
      <c r="Z81" s="73">
        <f>SUM(Y79:Y81)</f>
        <v>215174</v>
      </c>
      <c r="AA81" s="37">
        <f>Nationale!$C$83</f>
        <v>10120</v>
      </c>
      <c r="AB81" s="73">
        <f>SUM(AA79:AA81)</f>
        <v>75666</v>
      </c>
      <c r="AC81" s="30">
        <f>Nationale!$E$83</f>
        <v>0</v>
      </c>
      <c r="AD81" s="73">
        <f>SUM(AC79:AC81)</f>
        <v>9162</v>
      </c>
      <c r="AE81" s="37">
        <f>Pax!$C$83</f>
        <v>22459</v>
      </c>
      <c r="AF81" s="73">
        <f>SUM(AE79:AE81)</f>
        <v>160654</v>
      </c>
      <c r="AG81" s="30">
        <f>Pax!$E$83</f>
        <v>0</v>
      </c>
      <c r="AH81" s="73">
        <f>SUM(AG79:AG81)</f>
        <v>175</v>
      </c>
      <c r="AI81" s="37">
        <f>Phenix!$C$83</f>
        <v>727</v>
      </c>
      <c r="AJ81" s="73">
        <f>SUM(AI79:AI81)</f>
        <v>5917</v>
      </c>
      <c r="AK81" s="30">
        <f>Phenix!$E$83</f>
        <v>0</v>
      </c>
      <c r="AL81" s="73">
        <f>SUM(AK79:AK81)</f>
        <v>0</v>
      </c>
      <c r="AM81" s="37">
        <f>Rentenanstalt!$C$83</f>
        <v>205498.02599999998</v>
      </c>
      <c r="AN81" s="73">
        <f>SUM(AM79:AM81)</f>
        <v>2086010.045</v>
      </c>
      <c r="AO81" s="30">
        <f>Rentenanstalt!$E$83</f>
        <v>33410.053</v>
      </c>
      <c r="AP81" s="73">
        <f>SUM(AO79:AO81)</f>
        <v>526211.819</v>
      </c>
      <c r="AQ81" s="37">
        <f>Winterthur!$C$83</f>
        <v>177346</v>
      </c>
      <c r="AR81" s="73">
        <f>SUM(AQ79:AQ81)</f>
        <v>2001564</v>
      </c>
      <c r="AS81" s="30">
        <f>Winterthur!$E$83</f>
        <v>28410</v>
      </c>
      <c r="AT81" s="73">
        <f>SUM(AS79:AS81)</f>
        <v>203879</v>
      </c>
      <c r="AU81" s="37">
        <f>Zenith!$C$83</f>
        <v>225.1239</v>
      </c>
      <c r="AV81" s="73">
        <f>SUM(AU79:AU81)</f>
        <v>12242.797</v>
      </c>
      <c r="AW81" s="30">
        <f>Zenith!$E$83</f>
        <v>0</v>
      </c>
      <c r="AX81" s="73">
        <f>SUM(AW79:AW81)</f>
        <v>0</v>
      </c>
      <c r="AY81" s="37">
        <f>Zuerich!$C$83</f>
        <v>94462.45199999999</v>
      </c>
      <c r="AZ81" s="73">
        <f>SUM(AY79:AY81)</f>
        <v>677728.9369999999</v>
      </c>
      <c r="BA81" s="30">
        <f>Zuerich!$E$83</f>
        <v>5439.747</v>
      </c>
      <c r="BB81" s="73">
        <f>SUM(BA79:BA81)</f>
        <v>166884.636</v>
      </c>
      <c r="BC81" s="37">
        <f>AY81+AU81+AQ81+AM81+AI81+AE81+AA81+W81+S81+O81+K81+G81+C81</f>
        <v>697832.5926287753</v>
      </c>
      <c r="BD81" s="73">
        <f>SUM(BC79:BC81)</f>
        <v>6531158.03340897</v>
      </c>
      <c r="BE81" s="37">
        <f>BA81+AW81+AS81+AO81+AK81+AG81+AC81+Y81+U81+Q81+M81+I81+E81</f>
        <v>121744.7399241848</v>
      </c>
      <c r="BF81" s="73">
        <f>SUM(BE79:BE81)</f>
        <v>1497148.2478247965</v>
      </c>
    </row>
    <row r="82" spans="1:58" ht="12.75">
      <c r="A82" s="52" t="s">
        <v>52</v>
      </c>
      <c r="B82" s="52"/>
      <c r="C82" s="70"/>
      <c r="D82" s="35"/>
      <c r="E82" s="40"/>
      <c r="F82" s="35"/>
      <c r="G82" s="70"/>
      <c r="H82" s="35"/>
      <c r="I82" s="40"/>
      <c r="J82" s="35"/>
      <c r="K82" s="70"/>
      <c r="L82" s="35"/>
      <c r="M82" s="40"/>
      <c r="N82" s="35"/>
      <c r="O82" s="70"/>
      <c r="P82" s="35"/>
      <c r="Q82" s="40"/>
      <c r="R82" s="35"/>
      <c r="S82" s="70"/>
      <c r="T82" s="35"/>
      <c r="U82" s="40"/>
      <c r="V82" s="35"/>
      <c r="W82" s="70"/>
      <c r="X82" s="35"/>
      <c r="Y82" s="40"/>
      <c r="Z82" s="35"/>
      <c r="AA82" s="70"/>
      <c r="AB82" s="35"/>
      <c r="AC82" s="40"/>
      <c r="AD82" s="35"/>
      <c r="AE82" s="70"/>
      <c r="AF82" s="35"/>
      <c r="AG82" s="40"/>
      <c r="AH82" s="35"/>
      <c r="AI82" s="70"/>
      <c r="AJ82" s="35"/>
      <c r="AK82" s="40"/>
      <c r="AL82" s="35"/>
      <c r="AM82" s="70"/>
      <c r="AN82" s="35"/>
      <c r="AO82" s="40"/>
      <c r="AP82" s="35"/>
      <c r="AQ82" s="70"/>
      <c r="AR82" s="35"/>
      <c r="AS82" s="40"/>
      <c r="AT82" s="35"/>
      <c r="AU82" s="70"/>
      <c r="AV82" s="35"/>
      <c r="AW82" s="40"/>
      <c r="AX82" s="35"/>
      <c r="AY82" s="70"/>
      <c r="AZ82" s="35"/>
      <c r="BA82" s="40"/>
      <c r="BB82" s="35"/>
      <c r="BC82" s="71"/>
      <c r="BD82" s="36"/>
      <c r="BE82" s="71"/>
      <c r="BF82" s="36"/>
    </row>
    <row r="83" spans="1:58" ht="12.75">
      <c r="A83" s="52"/>
      <c r="B83" s="52" t="s">
        <v>103</v>
      </c>
      <c r="C83" s="37">
        <f>'Allianz Suisse'!$C$85</f>
        <v>135896.66254499997</v>
      </c>
      <c r="D83" s="35"/>
      <c r="E83" s="30">
        <f>'Allianz Suisse'!$E$85</f>
        <v>3666.3274310000006</v>
      </c>
      <c r="F83" s="35"/>
      <c r="G83" s="37">
        <f>Axa!$C$85</f>
        <v>5598.831026403927</v>
      </c>
      <c r="H83" s="35"/>
      <c r="I83" s="30">
        <f>Axa!$E$85</f>
        <v>0.8493801642154576</v>
      </c>
      <c r="J83" s="35"/>
      <c r="K83" s="37">
        <f>Basler!$C$85</f>
        <v>230305</v>
      </c>
      <c r="L83" s="35"/>
      <c r="M83" s="30">
        <f>Basler!$E$85</f>
        <v>59018</v>
      </c>
      <c r="N83" s="35"/>
      <c r="O83" s="37">
        <f>Generali!$C$85</f>
        <v>13734.590608475486</v>
      </c>
      <c r="P83" s="35"/>
      <c r="Q83" s="30">
        <f>Generali!$E$85</f>
        <v>0</v>
      </c>
      <c r="R83" s="35"/>
      <c r="S83" s="37">
        <f>Helvetia!$C$85</f>
        <v>198559.71971719497</v>
      </c>
      <c r="T83" s="35"/>
      <c r="U83" s="30">
        <f>Helvetia!$E$85</f>
        <v>29457.923660276745</v>
      </c>
      <c r="V83" s="35"/>
      <c r="W83" s="37">
        <f>Mobiliar!$C$85</f>
        <v>27873</v>
      </c>
      <c r="X83" s="35"/>
      <c r="Y83" s="30">
        <f>Mobiliar!$E$85</f>
        <v>15828</v>
      </c>
      <c r="Z83" s="35"/>
      <c r="AA83" s="37">
        <f>Nationale!$C$85</f>
        <v>32852</v>
      </c>
      <c r="AB83" s="35"/>
      <c r="AC83" s="30">
        <f>Nationale!$E$85</f>
        <v>4804</v>
      </c>
      <c r="AD83" s="35"/>
      <c r="AE83" s="37">
        <f>Pax!$C$85</f>
        <v>59222.665</v>
      </c>
      <c r="AF83" s="35"/>
      <c r="AG83" s="30">
        <f>Pax!$E$85</f>
        <v>0</v>
      </c>
      <c r="AH83" s="35"/>
      <c r="AI83" s="37">
        <f>Phenix!$C$85</f>
        <v>3184.8519309197445</v>
      </c>
      <c r="AJ83" s="35"/>
      <c r="AK83" s="30">
        <f>Phenix!$E$85</f>
        <v>0</v>
      </c>
      <c r="AL83" s="35"/>
      <c r="AM83" s="37">
        <f>Rentenanstalt!$C$85</f>
        <v>744170.6069813025</v>
      </c>
      <c r="AN83" s="35"/>
      <c r="AO83" s="30">
        <f>Rentenanstalt!$E$85</f>
        <v>171649.10853867372</v>
      </c>
      <c r="AP83" s="35"/>
      <c r="AQ83" s="37">
        <f>Winterthur!$C$85</f>
        <v>1036750</v>
      </c>
      <c r="AR83" s="35"/>
      <c r="AS83" s="30">
        <f>Winterthur!$E$85</f>
        <v>0</v>
      </c>
      <c r="AT83" s="35"/>
      <c r="AU83" s="37">
        <f>Zenith!$C$85</f>
        <v>15189.280777902899</v>
      </c>
      <c r="AV83" s="35"/>
      <c r="AW83" s="30">
        <f>Zenith!$E$85</f>
        <v>0</v>
      </c>
      <c r="AX83" s="35"/>
      <c r="AY83" s="37">
        <f>Zuerich!$C$85</f>
        <v>216304.925068235</v>
      </c>
      <c r="AZ83" s="35"/>
      <c r="BA83" s="30">
        <f>Zuerich!$E$85</f>
        <v>30441.677987314484</v>
      </c>
      <c r="BB83" s="35"/>
      <c r="BC83" s="37">
        <f>AY83+AU83+AQ83+AM83+AI83+AE83+AA83+W83+S83+O83+K83+G83+C83</f>
        <v>2719642.1336554335</v>
      </c>
      <c r="BD83" s="36"/>
      <c r="BE83" s="37">
        <f>BA83+AW83+AS83+AO83+AK83+AG83+AC83+Y83+U83+Q83+M83+I83+E83</f>
        <v>314865.8869974292</v>
      </c>
      <c r="BF83" s="36"/>
    </row>
    <row r="84" spans="1:58" ht="12.75">
      <c r="A84" s="52"/>
      <c r="B84" s="52" t="s">
        <v>104</v>
      </c>
      <c r="C84" s="37">
        <f>'Allianz Suisse'!$C$86</f>
        <v>35736.6531310813</v>
      </c>
      <c r="D84" s="81"/>
      <c r="E84" s="30">
        <f>'Allianz Suisse'!$E$86</f>
        <v>9654.17092799999</v>
      </c>
      <c r="F84" s="35"/>
      <c r="G84" s="37">
        <f>Axa!$C$86</f>
        <v>5780.421387558037</v>
      </c>
      <c r="H84" s="81"/>
      <c r="I84" s="30">
        <f>Axa!$E$86</f>
        <v>387.29664433999795</v>
      </c>
      <c r="J84" s="35"/>
      <c r="K84" s="37">
        <f>Basler!$C$86</f>
        <v>112711</v>
      </c>
      <c r="L84" s="81"/>
      <c r="M84" s="30">
        <f>Basler!$E$86</f>
        <v>21742</v>
      </c>
      <c r="N84" s="35"/>
      <c r="O84" s="37">
        <f>Generali!$C$86</f>
        <v>6747.355296374997</v>
      </c>
      <c r="P84" s="81"/>
      <c r="Q84" s="30">
        <f>Generali!$E$86</f>
        <v>140.4435</v>
      </c>
      <c r="R84" s="35"/>
      <c r="S84" s="37">
        <f>Helvetia!$C$86</f>
        <v>101451.56921364632</v>
      </c>
      <c r="T84" s="81"/>
      <c r="U84" s="30">
        <f>Helvetia!$E$86</f>
        <v>63842.7741201772</v>
      </c>
      <c r="V84" s="35"/>
      <c r="W84" s="37">
        <f>Mobiliar!$C$86</f>
        <v>42920</v>
      </c>
      <c r="X84" s="81"/>
      <c r="Y84" s="30">
        <f>Mobiliar!$E$86</f>
        <v>89620</v>
      </c>
      <c r="Z84" s="35"/>
      <c r="AA84" s="37">
        <f>Nationale!$C$86</f>
        <v>20530</v>
      </c>
      <c r="AB84" s="81"/>
      <c r="AC84" s="30">
        <f>Nationale!$E$86</f>
        <v>6560</v>
      </c>
      <c r="AD84" s="35"/>
      <c r="AE84" s="37">
        <f>Pax!$C$86</f>
        <v>54296</v>
      </c>
      <c r="AF84" s="81"/>
      <c r="AG84" s="30">
        <f>Pax!$E$86</f>
        <v>0</v>
      </c>
      <c r="AH84" s="35"/>
      <c r="AI84" s="37">
        <f>Phenix!$C$86</f>
        <v>1448</v>
      </c>
      <c r="AJ84" s="81"/>
      <c r="AK84" s="30">
        <f>Phenix!$E$86</f>
        <v>0</v>
      </c>
      <c r="AL84" s="35"/>
      <c r="AM84" s="37">
        <f>Rentenanstalt!$C$86</f>
        <v>316722.25155058614</v>
      </c>
      <c r="AN84" s="81"/>
      <c r="AO84" s="30">
        <f>Rentenanstalt!$E$86</f>
        <v>100044.1746494139</v>
      </c>
      <c r="AP84" s="35"/>
      <c r="AQ84" s="37">
        <f>Winterthur!$C$86</f>
        <v>312964</v>
      </c>
      <c r="AR84" s="81"/>
      <c r="AS84" s="30">
        <f>Winterthur!$E$86</f>
        <v>73317</v>
      </c>
      <c r="AT84" s="35"/>
      <c r="AU84" s="37">
        <f>Zenith!$C$86</f>
        <v>-4736.8</v>
      </c>
      <c r="AV84" s="81"/>
      <c r="AW84" s="30">
        <f>Zenith!$E$86</f>
        <v>0</v>
      </c>
      <c r="AX84" s="35"/>
      <c r="AY84" s="37">
        <f>Zuerich!$C$86</f>
        <v>162407.34200000003</v>
      </c>
      <c r="AZ84" s="81"/>
      <c r="BA84" s="30">
        <f>Zuerich!$E$86</f>
        <v>57348.16676968999</v>
      </c>
      <c r="BB84" s="35"/>
      <c r="BC84" s="37">
        <f>AY84+AU84+AQ84+AM84+AI84+AE84+AA84+W84+S84+O84+K84+G84+C84</f>
        <v>1168977.792579247</v>
      </c>
      <c r="BD84" s="36"/>
      <c r="BE84" s="37">
        <f>BA84+AW84+AS84+AO84+AK84+AG84+AC84+Y84+U84+Q84+M84+I84+E84</f>
        <v>422656.0266116211</v>
      </c>
      <c r="BF84" s="36"/>
    </row>
    <row r="85" spans="1:58" ht="12.75">
      <c r="A85" s="52"/>
      <c r="B85" s="52" t="s">
        <v>105</v>
      </c>
      <c r="C85" s="37">
        <f>'Allianz Suisse'!$C$87</f>
        <v>54850.9695245</v>
      </c>
      <c r="D85" s="73">
        <f>SUM(C83:C85)</f>
        <v>226484.28520058127</v>
      </c>
      <c r="E85" s="30">
        <f>'Allianz Suisse'!$E$87</f>
        <v>3012.1539510000002</v>
      </c>
      <c r="F85" s="73">
        <f>SUM(E83:E85)</f>
        <v>16332.65230999999</v>
      </c>
      <c r="G85" s="37">
        <f>Axa!$C$87</f>
        <v>3213.7874410268214</v>
      </c>
      <c r="H85" s="73">
        <f>SUM(G83:G85)</f>
        <v>14593.039854988785</v>
      </c>
      <c r="I85" s="30">
        <f>Axa!$E$87</f>
        <v>-74.69259894350074</v>
      </c>
      <c r="J85" s="73">
        <f>SUM(I83:I85)</f>
        <v>313.4534255607127</v>
      </c>
      <c r="K85" s="37">
        <f>Basler!$C$87</f>
        <v>82617</v>
      </c>
      <c r="L85" s="73">
        <f>SUM(K83:K85)</f>
        <v>425633</v>
      </c>
      <c r="M85" s="30">
        <f>Basler!$E$87</f>
        <v>15646</v>
      </c>
      <c r="N85" s="73">
        <f>SUM(M83:M85)</f>
        <v>96406</v>
      </c>
      <c r="O85" s="37">
        <f>Generali!$C$87</f>
        <v>3282.76594</v>
      </c>
      <c r="P85" s="73">
        <f>SUM(O83:O85)</f>
        <v>23764.711844850484</v>
      </c>
      <c r="Q85" s="30">
        <f>Generali!$E$87</f>
        <v>0</v>
      </c>
      <c r="R85" s="73">
        <f>SUM(Q83:Q85)</f>
        <v>140.4435</v>
      </c>
      <c r="S85" s="37">
        <f>Helvetia!$C$87</f>
        <v>52288.69407907116</v>
      </c>
      <c r="T85" s="73">
        <f>SUM(S83:S85)</f>
        <v>352299.9830099124</v>
      </c>
      <c r="U85" s="30">
        <f>Helvetia!$E$87</f>
        <v>23224.672050928883</v>
      </c>
      <c r="V85" s="73">
        <f>SUM(U83:U85)</f>
        <v>116525.36983138284</v>
      </c>
      <c r="W85" s="37">
        <f>Mobiliar!$C$87</f>
        <v>11655</v>
      </c>
      <c r="X85" s="73">
        <f>SUM(W83:W85)</f>
        <v>82448</v>
      </c>
      <c r="Y85" s="30">
        <f>Mobiliar!$E$87</f>
        <v>19114</v>
      </c>
      <c r="Z85" s="73">
        <f>SUM(Y83:Y85)</f>
        <v>124562</v>
      </c>
      <c r="AA85" s="37">
        <f>Nationale!$C$87</f>
        <v>11546</v>
      </c>
      <c r="AB85" s="73">
        <f>SUM(AA83:AA85)</f>
        <v>64928</v>
      </c>
      <c r="AC85" s="30">
        <f>Nationale!$E$87</f>
        <v>0</v>
      </c>
      <c r="AD85" s="73">
        <f>SUM(AC83:AC85)</f>
        <v>11364</v>
      </c>
      <c r="AE85" s="37">
        <f>Pax!$C$87</f>
        <v>23820</v>
      </c>
      <c r="AF85" s="73">
        <f>SUM(AE83:AE85)</f>
        <v>137338.665</v>
      </c>
      <c r="AG85" s="30">
        <f>Pax!$E$87</f>
        <v>0</v>
      </c>
      <c r="AH85" s="73">
        <f>SUM(AG83:AG85)</f>
        <v>0</v>
      </c>
      <c r="AI85" s="37">
        <f>Phenix!$C$87</f>
        <v>1476</v>
      </c>
      <c r="AJ85" s="73">
        <f>SUM(AI83:AI85)</f>
        <v>6108.8519309197445</v>
      </c>
      <c r="AK85" s="30">
        <f>Phenix!$E$87</f>
        <v>0</v>
      </c>
      <c r="AL85" s="73">
        <f>SUM(AK83:AK85)</f>
        <v>0</v>
      </c>
      <c r="AM85" s="37">
        <f>Rentenanstalt!$C$87</f>
        <v>314896.95638000005</v>
      </c>
      <c r="AN85" s="73">
        <f>SUM(AM83:AM85)</f>
        <v>1375789.8149118887</v>
      </c>
      <c r="AO85" s="30">
        <f>Rentenanstalt!$E$87</f>
        <v>33410</v>
      </c>
      <c r="AP85" s="73">
        <f>SUM(AO83:AO85)</f>
        <v>305103.28318808763</v>
      </c>
      <c r="AQ85" s="37">
        <f>Winterthur!$C$87</f>
        <v>177333</v>
      </c>
      <c r="AR85" s="73">
        <f>SUM(AQ83:AQ85)</f>
        <v>1527047</v>
      </c>
      <c r="AS85" s="30">
        <f>Winterthur!$E$87</f>
        <v>34677</v>
      </c>
      <c r="AT85" s="73">
        <f>SUM(AS83:AS85)</f>
        <v>107994</v>
      </c>
      <c r="AU85" s="37">
        <f>Zenith!$C$87</f>
        <v>1657.567</v>
      </c>
      <c r="AV85" s="73">
        <f>SUM(AU83:AU85)</f>
        <v>12110.047777902899</v>
      </c>
      <c r="AW85" s="30">
        <f>Zenith!$E$87</f>
        <v>0</v>
      </c>
      <c r="AX85" s="73">
        <f>SUM(AW83:AW85)</f>
        <v>0</v>
      </c>
      <c r="AY85" s="37">
        <f>Zuerich!$C$87</f>
        <v>177626</v>
      </c>
      <c r="AZ85" s="73">
        <f>SUM(AY83:AY85)</f>
        <v>556338.267068235</v>
      </c>
      <c r="BA85" s="30">
        <f>Zuerich!$E$87</f>
        <v>14663</v>
      </c>
      <c r="BB85" s="73">
        <f>SUM(BA83:BA85)</f>
        <v>102452.84475700447</v>
      </c>
      <c r="BC85" s="37">
        <f>AY85+AU85+AQ85+AM85+AI85+AE85+AA85+W85+S85+O85+K85+G85+C85</f>
        <v>916263.740364598</v>
      </c>
      <c r="BD85" s="73">
        <f>SUM(BC83:BC85)</f>
        <v>4804883.666599278</v>
      </c>
      <c r="BE85" s="37">
        <f>BA85+AW85+AS85+AO85+AK85+AG85+AC85+Y85+U85+Q85+M85+I85+E85</f>
        <v>143672.13340298535</v>
      </c>
      <c r="BF85" s="73">
        <f>SUM(BE83:BE85)</f>
        <v>881194.0470120355</v>
      </c>
    </row>
    <row r="86" spans="1:58" ht="12.75">
      <c r="A86" s="52" t="s">
        <v>53</v>
      </c>
      <c r="B86" s="52"/>
      <c r="C86" s="70"/>
      <c r="D86" s="74">
        <f>D81-D85</f>
        <v>116129.60568000001</v>
      </c>
      <c r="E86" s="40"/>
      <c r="F86" s="74">
        <f>F81-F85</f>
        <v>22034.649480000007</v>
      </c>
      <c r="G86" s="70"/>
      <c r="H86" s="74">
        <f>H81-H85</f>
        <v>3398.6828864460895</v>
      </c>
      <c r="I86" s="40"/>
      <c r="J86" s="74">
        <f>J81-J85</f>
        <v>345.00126300441144</v>
      </c>
      <c r="K86" s="70"/>
      <c r="L86" s="74">
        <f>L81-L85</f>
        <v>97366</v>
      </c>
      <c r="M86" s="40"/>
      <c r="N86" s="74">
        <f>N81-N85</f>
        <v>65005</v>
      </c>
      <c r="O86" s="70"/>
      <c r="P86" s="74">
        <f>P81-P85</f>
        <v>-2010.1733599999716</v>
      </c>
      <c r="Q86" s="40"/>
      <c r="R86" s="74">
        <f>R81-R85</f>
        <v>-140.4435</v>
      </c>
      <c r="S86" s="70"/>
      <c r="T86" s="74">
        <f>T81-T85</f>
        <v>124187.11929219135</v>
      </c>
      <c r="U86" s="40"/>
      <c r="V86" s="74">
        <f>V81-V85</f>
        <v>58699.66651484849</v>
      </c>
      <c r="W86" s="70"/>
      <c r="X86" s="74">
        <f>X81-X85</f>
        <v>47081</v>
      </c>
      <c r="Y86" s="40"/>
      <c r="Z86" s="74">
        <f>Z81-Z85</f>
        <v>90612</v>
      </c>
      <c r="AA86" s="70"/>
      <c r="AB86" s="74">
        <f>AB81-AB85</f>
        <v>10738</v>
      </c>
      <c r="AC86" s="40"/>
      <c r="AD86" s="74">
        <f>AD81-AD85</f>
        <v>-2202</v>
      </c>
      <c r="AE86" s="70"/>
      <c r="AF86" s="74">
        <f>AF81-AF85</f>
        <v>23315.334999999992</v>
      </c>
      <c r="AG86" s="40"/>
      <c r="AH86" s="74">
        <f>AH81-AH85</f>
        <v>175</v>
      </c>
      <c r="AI86" s="70"/>
      <c r="AJ86" s="74">
        <f>AJ81-AJ85</f>
        <v>-191.85193091974452</v>
      </c>
      <c r="AK86" s="40"/>
      <c r="AL86" s="74">
        <f>AL81-AL85</f>
        <v>0</v>
      </c>
      <c r="AM86" s="70"/>
      <c r="AN86" s="74">
        <f>AN81-AN85</f>
        <v>710220.2300881112</v>
      </c>
      <c r="AO86" s="40"/>
      <c r="AP86" s="74">
        <f>AP81-AP85</f>
        <v>221108.53581191238</v>
      </c>
      <c r="AQ86" s="70"/>
      <c r="AR86" s="74">
        <f>AR81-AR85</f>
        <v>474517</v>
      </c>
      <c r="AS86" s="40"/>
      <c r="AT86" s="74">
        <f>AT81-AT85</f>
        <v>95885</v>
      </c>
      <c r="AU86" s="70"/>
      <c r="AV86" s="74">
        <f>AV81-AV85</f>
        <v>132.74922209710166</v>
      </c>
      <c r="AW86" s="40"/>
      <c r="AX86" s="74">
        <f>AX81-AX85</f>
        <v>0</v>
      </c>
      <c r="AY86" s="70"/>
      <c r="AZ86" s="74">
        <f>AZ81-AZ85</f>
        <v>121390.66993176495</v>
      </c>
      <c r="BA86" s="40"/>
      <c r="BB86" s="74">
        <f>BB81-BB85</f>
        <v>64431.79124299553</v>
      </c>
      <c r="BC86" s="71"/>
      <c r="BD86" s="74">
        <f>BD81-BD85</f>
        <v>1726274.3668096913</v>
      </c>
      <c r="BE86" s="71"/>
      <c r="BF86" s="74">
        <f>BF81-BF85</f>
        <v>615954.200812761</v>
      </c>
    </row>
    <row r="87" spans="1:58" ht="12.75">
      <c r="A87" s="52" t="s">
        <v>54</v>
      </c>
      <c r="B87" s="52"/>
      <c r="C87" s="70"/>
      <c r="D87" s="75">
        <f>'Allianz Suisse'!$D$89</f>
        <v>61165.254700000005</v>
      </c>
      <c r="E87" s="40"/>
      <c r="F87" s="75">
        <f>'Allianz Suisse'!$F$89</f>
        <v>14032.71355</v>
      </c>
      <c r="G87" s="70"/>
      <c r="H87" s="75">
        <f>Axa!$D$89</f>
        <v>1000</v>
      </c>
      <c r="I87" s="40"/>
      <c r="J87" s="75">
        <f>Axa!$F$89</f>
        <v>0</v>
      </c>
      <c r="K87" s="70"/>
      <c r="L87" s="75">
        <f>Basler!$D$89</f>
        <v>33400</v>
      </c>
      <c r="M87" s="40"/>
      <c r="N87" s="75">
        <f>Basler!$F$89</f>
        <v>2600</v>
      </c>
      <c r="O87" s="70"/>
      <c r="P87" s="75">
        <f>Generali!$D$89</f>
        <v>-1980.4564899999998</v>
      </c>
      <c r="Q87" s="40"/>
      <c r="R87" s="75">
        <f>Generali!$F$89</f>
        <v>0</v>
      </c>
      <c r="S87" s="70"/>
      <c r="T87" s="75">
        <f>Helvetia!$D$89</f>
        <v>11300</v>
      </c>
      <c r="U87" s="40"/>
      <c r="V87" s="75">
        <f>Helvetia!$F$89</f>
        <v>-600</v>
      </c>
      <c r="W87" s="70"/>
      <c r="X87" s="75">
        <f>Mobiliar!$D$89</f>
        <v>9453</v>
      </c>
      <c r="Y87" s="40"/>
      <c r="Z87" s="75">
        <f>Mobiliar!$F$89</f>
        <v>-22812</v>
      </c>
      <c r="AA87" s="70"/>
      <c r="AB87" s="75">
        <f>Nationale!$D$89</f>
        <v>2101</v>
      </c>
      <c r="AC87" s="40"/>
      <c r="AD87" s="75">
        <f>Nationale!$F$89</f>
        <v>0</v>
      </c>
      <c r="AE87" s="70"/>
      <c r="AF87" s="75">
        <f>Pax!$D$89</f>
        <v>10000</v>
      </c>
      <c r="AG87" s="40"/>
      <c r="AH87" s="75">
        <f>Pax!$F$89</f>
        <v>0</v>
      </c>
      <c r="AI87" s="70"/>
      <c r="AJ87" s="75">
        <f>Phenix!$D$89</f>
        <v>-197</v>
      </c>
      <c r="AK87" s="40"/>
      <c r="AL87" s="75">
        <f>Phenix!$F$89</f>
        <v>0</v>
      </c>
      <c r="AM87" s="70"/>
      <c r="AN87" s="75">
        <f>Rentenanstalt!$D$89</f>
        <v>420131.821</v>
      </c>
      <c r="AO87" s="40"/>
      <c r="AP87" s="75">
        <f>Rentenanstalt!$F$89</f>
        <v>63598.328</v>
      </c>
      <c r="AQ87" s="70"/>
      <c r="AR87" s="75">
        <f>Winterthur!$D$89</f>
        <v>170749</v>
      </c>
      <c r="AS87" s="40"/>
      <c r="AT87" s="75">
        <f>Winterthur!$F$89</f>
        <v>0</v>
      </c>
      <c r="AU87" s="70"/>
      <c r="AV87" s="75">
        <f>Zenith!$D$89</f>
        <v>0</v>
      </c>
      <c r="AW87" s="40"/>
      <c r="AX87" s="75">
        <f>Zenith!$F$89</f>
        <v>0</v>
      </c>
      <c r="AY87" s="70"/>
      <c r="AZ87" s="75">
        <f>Zuerich!$D$89</f>
        <v>-8931.33</v>
      </c>
      <c r="BA87" s="40"/>
      <c r="BB87" s="75">
        <f>Zuerich!$F$89</f>
        <v>12114.96435</v>
      </c>
      <c r="BC87" s="71"/>
      <c r="BD87" s="75">
        <f>AZ87+AV87+AR87+AN87+AJ87+AF87+AB87+X87+T87+P87+L87+H87+D87</f>
        <v>708191.2892100001</v>
      </c>
      <c r="BE87" s="71"/>
      <c r="BF87" s="75">
        <f>BB87+AX87+AT87+AP87+AL87+AH87+AD87+Z87+V87+R87+N87+J87+F87</f>
        <v>68934.0059</v>
      </c>
    </row>
    <row r="88" spans="1:58" ht="12.75">
      <c r="A88" s="52" t="s">
        <v>55</v>
      </c>
      <c r="B88" s="52"/>
      <c r="C88" s="70"/>
      <c r="D88" s="75">
        <f>'Allianz Suisse'!$D$90</f>
        <v>0</v>
      </c>
      <c r="E88" s="40"/>
      <c r="F88" s="76"/>
      <c r="G88" s="70"/>
      <c r="H88" s="75">
        <f>Axa!$D$90</f>
        <v>0</v>
      </c>
      <c r="I88" s="40"/>
      <c r="J88" s="76"/>
      <c r="K88" s="70"/>
      <c r="L88" s="75">
        <f>Basler!$D$90</f>
        <v>0</v>
      </c>
      <c r="M88" s="40"/>
      <c r="N88" s="76"/>
      <c r="O88" s="70"/>
      <c r="P88" s="75">
        <f>Generali!$D$90</f>
        <v>0</v>
      </c>
      <c r="Q88" s="40"/>
      <c r="R88" s="76"/>
      <c r="S88" s="70"/>
      <c r="T88" s="75">
        <f>Helvetia!$D$90</f>
        <v>0</v>
      </c>
      <c r="U88" s="40"/>
      <c r="V88" s="76"/>
      <c r="W88" s="70"/>
      <c r="X88" s="75">
        <f>Mobiliar!$D$90</f>
        <v>0</v>
      </c>
      <c r="Y88" s="40"/>
      <c r="Z88" s="76"/>
      <c r="AA88" s="70"/>
      <c r="AB88" s="75">
        <f>Nationale!$D$90</f>
        <v>0</v>
      </c>
      <c r="AC88" s="40"/>
      <c r="AD88" s="76"/>
      <c r="AE88" s="70"/>
      <c r="AF88" s="75">
        <f>Pax!$D$90</f>
        <v>0</v>
      </c>
      <c r="AG88" s="40"/>
      <c r="AH88" s="76"/>
      <c r="AI88" s="70"/>
      <c r="AJ88" s="75">
        <f>Phenix!$D$90</f>
        <v>0</v>
      </c>
      <c r="AK88" s="40"/>
      <c r="AL88" s="76"/>
      <c r="AM88" s="70"/>
      <c r="AN88" s="75">
        <f>Rentenanstalt!$D$90</f>
        <v>0</v>
      </c>
      <c r="AO88" s="40"/>
      <c r="AP88" s="76"/>
      <c r="AQ88" s="70"/>
      <c r="AR88" s="75">
        <f>Winterthur!$D$90</f>
        <v>0</v>
      </c>
      <c r="AS88" s="40"/>
      <c r="AT88" s="76"/>
      <c r="AU88" s="70"/>
      <c r="AV88" s="75">
        <f>Zenith!$D$90</f>
        <v>0</v>
      </c>
      <c r="AW88" s="40"/>
      <c r="AX88" s="76"/>
      <c r="AY88" s="70"/>
      <c r="AZ88" s="75">
        <f>Zuerich!$D$90</f>
        <v>0</v>
      </c>
      <c r="BA88" s="40"/>
      <c r="BB88" s="76"/>
      <c r="BC88" s="71"/>
      <c r="BD88" s="75">
        <f>AZ88+AV88+AR88+AN88+AJ88+AF88+AB88+X88+T88+P88+L88+H88+D88</f>
        <v>0</v>
      </c>
      <c r="BE88" s="71"/>
      <c r="BF88" s="36"/>
    </row>
    <row r="89" spans="1:58" ht="13.5" thickBot="1">
      <c r="A89" s="52" t="s">
        <v>56</v>
      </c>
      <c r="B89" s="52"/>
      <c r="C89" s="70"/>
      <c r="D89" s="75">
        <f>'Allianz Suisse'!$D$91</f>
        <v>20704</v>
      </c>
      <c r="E89" s="40"/>
      <c r="F89" s="75">
        <f>'Allianz Suisse'!$F$91</f>
        <v>4548.87845</v>
      </c>
      <c r="G89" s="70"/>
      <c r="H89" s="75">
        <f>Axa!$D$91</f>
        <v>600</v>
      </c>
      <c r="I89" s="40"/>
      <c r="J89" s="75">
        <f>Axa!$F$91</f>
        <v>87.52899999999998</v>
      </c>
      <c r="K89" s="70"/>
      <c r="L89" s="75">
        <f>Basler!$D$91</f>
        <v>22573</v>
      </c>
      <c r="M89" s="40"/>
      <c r="N89" s="75">
        <f>Basler!$F$91</f>
        <v>49627</v>
      </c>
      <c r="O89" s="70"/>
      <c r="P89" s="75">
        <f>Generali!$D$91</f>
        <v>0</v>
      </c>
      <c r="Q89" s="40"/>
      <c r="R89" s="75">
        <f>Generali!$F$91</f>
        <v>0</v>
      </c>
      <c r="S89" s="70"/>
      <c r="T89" s="75">
        <f>Helvetia!$D$91</f>
        <v>75360</v>
      </c>
      <c r="U89" s="40"/>
      <c r="V89" s="75">
        <f>Helvetia!$F$91</f>
        <v>39545.94249355247</v>
      </c>
      <c r="W89" s="70"/>
      <c r="X89" s="75">
        <f>Mobiliar!$D$91</f>
        <v>31000</v>
      </c>
      <c r="Y89" s="40"/>
      <c r="Z89" s="75">
        <f>Mobiliar!$F$91</f>
        <v>46938</v>
      </c>
      <c r="AA89" s="70"/>
      <c r="AB89" s="75">
        <f>Nationale!$D$91</f>
        <v>2584</v>
      </c>
      <c r="AC89" s="40"/>
      <c r="AD89" s="75">
        <f>Nationale!$F$91</f>
        <v>1658</v>
      </c>
      <c r="AE89" s="70"/>
      <c r="AF89" s="75">
        <f>Pax!$D$91</f>
        <v>0</v>
      </c>
      <c r="AG89" s="40"/>
      <c r="AH89" s="75">
        <f>Pax!$F$91</f>
        <v>0</v>
      </c>
      <c r="AI89" s="70"/>
      <c r="AJ89" s="75">
        <f>Phenix!$D$91</f>
        <v>0</v>
      </c>
      <c r="AK89" s="40"/>
      <c r="AL89" s="75">
        <f>Phenix!$F$91</f>
        <v>0</v>
      </c>
      <c r="AM89" s="70"/>
      <c r="AN89" s="75">
        <f>Rentenanstalt!$D$91</f>
        <v>123771</v>
      </c>
      <c r="AO89" s="40"/>
      <c r="AP89" s="75">
        <f>Rentenanstalt!$F$91</f>
        <v>132221.87865</v>
      </c>
      <c r="AQ89" s="70"/>
      <c r="AR89" s="75">
        <f>Winterthur!$D$91</f>
        <v>133635</v>
      </c>
      <c r="AS89" s="40"/>
      <c r="AT89" s="75">
        <f>Winterthur!$F$91</f>
        <v>83977</v>
      </c>
      <c r="AU89" s="70"/>
      <c r="AV89" s="75">
        <f>Zenith!$D$91</f>
        <v>47</v>
      </c>
      <c r="AW89" s="40"/>
      <c r="AX89" s="75">
        <f>Zenith!$F$91</f>
        <v>0</v>
      </c>
      <c r="AY89" s="70"/>
      <c r="AZ89" s="75">
        <f>Zuerich!$D$91</f>
        <v>62549</v>
      </c>
      <c r="BA89" s="40"/>
      <c r="BB89" s="75">
        <f>Zuerich!$F$91</f>
        <v>37431</v>
      </c>
      <c r="BC89" s="71"/>
      <c r="BD89" s="75">
        <f>AZ89+AV89+AR89+AN89+AJ89+AF89+AB89+X89+T89+P89+L89+H89+D89</f>
        <v>472823</v>
      </c>
      <c r="BE89" s="71"/>
      <c r="BF89" s="75">
        <f>BB89+AX89+AT89+AP89+AL89+AH89+AD89+Z89+V89+R89+N89+J89+F89</f>
        <v>396035.2285935524</v>
      </c>
    </row>
    <row r="90" spans="1:58" ht="13.5" thickBot="1">
      <c r="A90" s="52" t="s">
        <v>57</v>
      </c>
      <c r="B90" s="52"/>
      <c r="C90" s="70"/>
      <c r="D90" s="77">
        <f>D86-D87-D88-D89</f>
        <v>34260.35098</v>
      </c>
      <c r="E90" s="40"/>
      <c r="F90" s="77">
        <f>F86-F87-F89</f>
        <v>3453.0574800000068</v>
      </c>
      <c r="G90" s="70"/>
      <c r="H90" s="77">
        <f>H86-H87-H88-H89</f>
        <v>1798.6828864460895</v>
      </c>
      <c r="I90" s="40"/>
      <c r="J90" s="77">
        <f>J86-J87-J89</f>
        <v>257.47226300441145</v>
      </c>
      <c r="K90" s="70"/>
      <c r="L90" s="77">
        <f>L86-L87-L88-L89</f>
        <v>41393</v>
      </c>
      <c r="M90" s="40"/>
      <c r="N90" s="77">
        <f>N86-N87-N89</f>
        <v>12778</v>
      </c>
      <c r="O90" s="70"/>
      <c r="P90" s="77">
        <f>P86-P87-P88-P89</f>
        <v>-29.716869999971777</v>
      </c>
      <c r="Q90" s="40"/>
      <c r="R90" s="77">
        <f>R86-R87-R89</f>
        <v>-140.4435</v>
      </c>
      <c r="S90" s="70"/>
      <c r="T90" s="77">
        <f>T86-T87-T88-T89</f>
        <v>37527.119292191346</v>
      </c>
      <c r="U90" s="40"/>
      <c r="V90" s="77">
        <f>V86-V87-V89</f>
        <v>19753.724021296017</v>
      </c>
      <c r="W90" s="70"/>
      <c r="X90" s="77">
        <f>X86-X87-X88-X89</f>
        <v>6628</v>
      </c>
      <c r="Y90" s="40"/>
      <c r="Z90" s="77">
        <f>Z86-Z87-Z89</f>
        <v>66486</v>
      </c>
      <c r="AA90" s="70"/>
      <c r="AB90" s="77">
        <f>AB86-AB87-AB88-AB89</f>
        <v>6053</v>
      </c>
      <c r="AC90" s="40"/>
      <c r="AD90" s="77">
        <f>AD86-AD87-AD89</f>
        <v>-3860</v>
      </c>
      <c r="AE90" s="70"/>
      <c r="AF90" s="77">
        <f>AF86-AF87-AF88-AF89</f>
        <v>13315.334999999992</v>
      </c>
      <c r="AG90" s="40"/>
      <c r="AH90" s="77">
        <f>AH86-AH87-AH89</f>
        <v>175</v>
      </c>
      <c r="AI90" s="70"/>
      <c r="AJ90" s="77">
        <f>AJ86-AJ87-AJ88-AJ89</f>
        <v>5.148069080255482</v>
      </c>
      <c r="AK90" s="40"/>
      <c r="AL90" s="77">
        <f>AL86-AL87-AL89</f>
        <v>0</v>
      </c>
      <c r="AM90" s="70"/>
      <c r="AN90" s="77">
        <f>AN86-AN87-AN88-AN89</f>
        <v>166317.40908811125</v>
      </c>
      <c r="AO90" s="40"/>
      <c r="AP90" s="77">
        <f>AP86-AP87-AP89</f>
        <v>25288.329161912377</v>
      </c>
      <c r="AQ90" s="70"/>
      <c r="AR90" s="77">
        <f>AR86-AR87-AR88-AR89</f>
        <v>170133</v>
      </c>
      <c r="AS90" s="40"/>
      <c r="AT90" s="77">
        <f>AT86-AT87-AT89</f>
        <v>11908</v>
      </c>
      <c r="AU90" s="70"/>
      <c r="AV90" s="77">
        <f>AV86-AV87-AV88-AV89</f>
        <v>85.74922209710166</v>
      </c>
      <c r="AW90" s="40"/>
      <c r="AX90" s="77">
        <f>AX86-AX87-AX89</f>
        <v>0</v>
      </c>
      <c r="AY90" s="70"/>
      <c r="AZ90" s="77">
        <f>AZ86-AZ87-AZ88-AZ89</f>
        <v>67772.99993176495</v>
      </c>
      <c r="BA90" s="40"/>
      <c r="BB90" s="77">
        <f>BB86-BB87-BB89</f>
        <v>14885.82689299553</v>
      </c>
      <c r="BC90" s="71"/>
      <c r="BD90" s="77">
        <f>BD86-BD87-BD88-BD89</f>
        <v>545260.0775996912</v>
      </c>
      <c r="BE90" s="71"/>
      <c r="BF90" s="77">
        <f>BF86-BF87-BF89</f>
        <v>150984.96631920856</v>
      </c>
    </row>
    <row r="91" spans="1:58" ht="12.75">
      <c r="A91" s="108" t="s">
        <v>58</v>
      </c>
      <c r="B91" s="52"/>
      <c r="C91" s="70"/>
      <c r="D91" s="82"/>
      <c r="E91" s="40"/>
      <c r="F91" s="64"/>
      <c r="G91" s="70"/>
      <c r="H91" s="82"/>
      <c r="I91" s="40"/>
      <c r="J91" s="64"/>
      <c r="K91" s="70"/>
      <c r="L91" s="82"/>
      <c r="M91" s="40"/>
      <c r="N91" s="64"/>
      <c r="O91" s="70"/>
      <c r="P91" s="82"/>
      <c r="Q91" s="40"/>
      <c r="R91" s="64"/>
      <c r="S91" s="70"/>
      <c r="T91" s="82"/>
      <c r="U91" s="40"/>
      <c r="V91" s="64"/>
      <c r="W91" s="70"/>
      <c r="X91" s="82"/>
      <c r="Y91" s="40"/>
      <c r="Z91" s="64"/>
      <c r="AA91" s="70"/>
      <c r="AB91" s="82"/>
      <c r="AC91" s="40"/>
      <c r="AD91" s="64"/>
      <c r="AE91" s="70"/>
      <c r="AF91" s="82"/>
      <c r="AG91" s="40"/>
      <c r="AH91" s="64"/>
      <c r="AI91" s="70"/>
      <c r="AJ91" s="82"/>
      <c r="AK91" s="40"/>
      <c r="AL91" s="64"/>
      <c r="AM91" s="70"/>
      <c r="AN91" s="82"/>
      <c r="AO91" s="40"/>
      <c r="AP91" s="64"/>
      <c r="AQ91" s="70"/>
      <c r="AR91" s="82"/>
      <c r="AS91" s="40"/>
      <c r="AT91" s="64"/>
      <c r="AU91" s="70"/>
      <c r="AV91" s="82"/>
      <c r="AW91" s="40"/>
      <c r="AX91" s="64"/>
      <c r="AY91" s="70"/>
      <c r="AZ91" s="82"/>
      <c r="BA91" s="40"/>
      <c r="BB91" s="64"/>
      <c r="BC91" s="71"/>
      <c r="BD91" s="36"/>
      <c r="BE91" s="71"/>
      <c r="BF91" s="36"/>
    </row>
    <row r="92" spans="1:58" ht="12.75">
      <c r="A92" s="52" t="s">
        <v>106</v>
      </c>
      <c r="B92" s="52"/>
      <c r="C92" s="70"/>
      <c r="D92" s="78">
        <f>IF(D$81&gt;0,MIN(MAX((D$85+D$87+D$88+D$89)/D$81,0.9),1),0)</f>
        <v>0.900003029964884</v>
      </c>
      <c r="E92" s="40"/>
      <c r="F92" s="78">
        <f>IF(F$81&gt;0,MIN((F$85+F$87+F$88+F$89)/F$81,1),0)</f>
        <v>0.9099999916882349</v>
      </c>
      <c r="G92" s="70"/>
      <c r="H92" s="78">
        <f>IF(H$81&gt;0,MIN(MAX((H$85+H$87+H$88+H$89)/H$81,0.9),1),0)</f>
        <v>0.9000272007135965</v>
      </c>
      <c r="I92" s="40"/>
      <c r="J92" s="78">
        <f>IF(J$81&gt;0,MIN((J$85+J$87+J$88+J$89)/J$81,1),0)</f>
        <v>0.6089749720432793</v>
      </c>
      <c r="K92" s="70"/>
      <c r="L92" s="78">
        <f>IF(L$81&gt;0,MIN(MAX((L$85+L$87+L$88+L$89)/L$81,0.9),1),0)</f>
        <v>0.9208545331826639</v>
      </c>
      <c r="M92" s="40"/>
      <c r="N92" s="78">
        <f>IF(N$81&gt;0,MIN((N$85+N$87+N$88+N$89)/N$81,1),0)</f>
        <v>0.9208356307810496</v>
      </c>
      <c r="O92" s="70"/>
      <c r="P92" s="78">
        <f>IF(P$81&gt;0,MIN(MAX((P$85+P$87+P$88+P$89)/P$81,0.9),1),0)</f>
        <v>1</v>
      </c>
      <c r="Q92" s="40"/>
      <c r="R92" s="78">
        <f>IF(R$81&gt;0,MIN((R$85+R$87+R$88+R$89)/R$81,1),0)</f>
        <v>0</v>
      </c>
      <c r="S92" s="70"/>
      <c r="T92" s="78">
        <f>IF(T$81&gt;0,MIN(MAX((T$85+T$87+T$88+T$89)/T$81,0.9),1),0)</f>
        <v>0.9212421089450638</v>
      </c>
      <c r="U92" s="40"/>
      <c r="V92" s="78">
        <f>IF(V$81&gt;0,MIN((V$85+V$87+V$88+V$89)/V$81,1),0)</f>
        <v>0.8872665434506507</v>
      </c>
      <c r="W92" s="70"/>
      <c r="X92" s="78">
        <f>IF(X$81&gt;0,MIN(MAX((X$85+X$87+X$88+X$89)/X$81,0.9),1),0)</f>
        <v>0.9488299917393016</v>
      </c>
      <c r="Y92" s="40"/>
      <c r="Z92" s="78">
        <f>IF(Z$81&gt;0,MIN((Z$85+Z$87+Z$88+Z$89)/Z$81,1),0)</f>
        <v>0.69101285471293</v>
      </c>
      <c r="AA92" s="70"/>
      <c r="AB92" s="78">
        <f>IF(AB$81&gt;0,MIN(MAX((AB$85+AB$87+AB$88+AB$89)/AB$81,0.9),1),0)</f>
        <v>0.920003700473132</v>
      </c>
      <c r="AC92" s="40"/>
      <c r="AD92" s="78">
        <f>IF(AD$81&gt;0,MIN((AD$85+AD$87+AD$88+AD$89)/AD$81,1),0)</f>
        <v>1</v>
      </c>
      <c r="AE92" s="70"/>
      <c r="AF92" s="78">
        <f>IF(AF$81&gt;0,MIN(MAX((AF$85+AF$87+AF$88+AF$89)/AF$81,0.9),1),0)</f>
        <v>0.917117936683805</v>
      </c>
      <c r="AG92" s="40"/>
      <c r="AH92" s="78">
        <f>IF(AH$81&gt;0,MIN((AH$85+AH$87+AH$88+AH$89)/AH$81,1),0)</f>
        <v>0</v>
      </c>
      <c r="AI92" s="70"/>
      <c r="AJ92" s="78">
        <f>IF(AJ$81&gt;0,MIN(MAX((AJ$85+AJ$87+AJ$88+AJ$89)/AJ$81,0.9),1),0)</f>
        <v>0.9991299528341634</v>
      </c>
      <c r="AK92" s="40"/>
      <c r="AL92" s="78">
        <f>IF(AL$81&gt;0,MIN((AL$85+AL$87+AL$88+AL$89)/AL$81,1),0)</f>
        <v>0</v>
      </c>
      <c r="AM92" s="70"/>
      <c r="AN92" s="78">
        <f>IF(AN$81&gt;0,MIN(MAX((AN$85+AN$87+AN$88+AN$89)/AN$81,0.9),1),0)</f>
        <v>0.9202700823580592</v>
      </c>
      <c r="AO92" s="40"/>
      <c r="AP92" s="78">
        <f>IF(AP$81&gt;0,MIN((AP$85+AP$87+AP$88+AP$89)/AP$81,1),0)</f>
        <v>0.9519426811621796</v>
      </c>
      <c r="AQ92" s="70"/>
      <c r="AR92" s="78">
        <f>IF(AR$81&gt;0,MIN(MAX((AR$85+AR$87+AR$88+AR$89)/AR$81,0.9),1),0)</f>
        <v>0.9149999700234417</v>
      </c>
      <c r="AS92" s="40"/>
      <c r="AT92" s="78">
        <f>IF(AT$81&gt;0,MIN((AT$85+AT$87+AT$88+AT$89)/AT$81,1),0)</f>
        <v>0.9415928074985653</v>
      </c>
      <c r="AU92" s="70"/>
      <c r="AV92" s="78">
        <f>IF(AV$81&gt;0,MIN(MAX((AV$85+AV$87+AV$88+AV$89)/AV$81,0.9),1),0)</f>
        <v>0.9929959451180068</v>
      </c>
      <c r="AW92" s="40"/>
      <c r="AX92" s="78">
        <f>IF(AX$81&gt;0,MIN((AX$85+AX$87+AX$88+AX$89)/AX$81,1),0)</f>
        <v>0</v>
      </c>
      <c r="AY92" s="70"/>
      <c r="AZ92" s="78">
        <f>IF(AZ$81&gt;0,MIN(MAX((AZ$85+AZ$87+AZ$88+AZ$89)/AZ$81,0.9),1),0)</f>
        <v>0.9</v>
      </c>
      <c r="BA92" s="40"/>
      <c r="BB92" s="78">
        <f>IF(BB$81&gt;0,MIN((BB$85+BB$87+BB$88+BB$89)/BB$81,1),0)</f>
        <v>0.9108016936142909</v>
      </c>
      <c r="BC92" s="71"/>
      <c r="BD92" s="78">
        <f>IF(BD$81&gt;0,MIN(MAX((BD$85+BD$87+BD$88+BD$89)/BD$81,0.9),1),0)</f>
        <v>0.9165140278629745</v>
      </c>
      <c r="BE92" s="71"/>
      <c r="BF92" s="78">
        <f>IF(BF$81&gt;0,MIN((BF$85+BF$87+BF$88+BF$89)/BF$81,1),0)</f>
        <v>0.899151626074055</v>
      </c>
    </row>
    <row r="93" spans="1:58" ht="12.75">
      <c r="A93" s="52"/>
      <c r="B93" s="52"/>
      <c r="C93" s="70"/>
      <c r="D93" s="35"/>
      <c r="E93" s="40"/>
      <c r="F93" s="35"/>
      <c r="G93" s="70"/>
      <c r="H93" s="35"/>
      <c r="I93" s="40"/>
      <c r="J93" s="35"/>
      <c r="K93" s="70"/>
      <c r="L93" s="35"/>
      <c r="M93" s="40"/>
      <c r="N93" s="35"/>
      <c r="O93" s="70"/>
      <c r="P93" s="35"/>
      <c r="Q93" s="40"/>
      <c r="R93" s="35"/>
      <c r="S93" s="70"/>
      <c r="T93" s="35"/>
      <c r="U93" s="40"/>
      <c r="V93" s="35"/>
      <c r="W93" s="70"/>
      <c r="X93" s="35"/>
      <c r="Y93" s="40"/>
      <c r="Z93" s="35"/>
      <c r="AA93" s="70"/>
      <c r="AB93" s="35"/>
      <c r="AC93" s="40"/>
      <c r="AD93" s="35"/>
      <c r="AE93" s="70"/>
      <c r="AF93" s="35"/>
      <c r="AG93" s="40"/>
      <c r="AH93" s="35"/>
      <c r="AI93" s="70"/>
      <c r="AJ93" s="35"/>
      <c r="AK93" s="40"/>
      <c r="AL93" s="35"/>
      <c r="AM93" s="70"/>
      <c r="AN93" s="35"/>
      <c r="AO93" s="40"/>
      <c r="AP93" s="35"/>
      <c r="AQ93" s="70"/>
      <c r="AR93" s="35"/>
      <c r="AS93" s="40"/>
      <c r="AT93" s="35"/>
      <c r="AU93" s="70"/>
      <c r="AV93" s="35"/>
      <c r="AW93" s="40"/>
      <c r="AX93" s="35"/>
      <c r="AY93" s="70"/>
      <c r="AZ93" s="35"/>
      <c r="BA93" s="40"/>
      <c r="BB93" s="35"/>
      <c r="BC93" s="71"/>
      <c r="BD93" s="36"/>
      <c r="BE93" s="71"/>
      <c r="BF93" s="36"/>
    </row>
    <row r="94" spans="1:58" ht="12.75">
      <c r="A94" s="52" t="s">
        <v>59</v>
      </c>
      <c r="B94" s="52"/>
      <c r="C94" s="70"/>
      <c r="D94" s="35"/>
      <c r="E94" s="40"/>
      <c r="F94" s="35"/>
      <c r="G94" s="70"/>
      <c r="H94" s="35"/>
      <c r="I94" s="40"/>
      <c r="J94" s="35"/>
      <c r="K94" s="70"/>
      <c r="L94" s="35"/>
      <c r="M94" s="40"/>
      <c r="N94" s="35"/>
      <c r="O94" s="70"/>
      <c r="P94" s="35"/>
      <c r="Q94" s="40"/>
      <c r="R94" s="35"/>
      <c r="S94" s="70"/>
      <c r="T94" s="35"/>
      <c r="U94" s="40"/>
      <c r="V94" s="35"/>
      <c r="W94" s="70"/>
      <c r="X94" s="35"/>
      <c r="Y94" s="40"/>
      <c r="Z94" s="35"/>
      <c r="AA94" s="70"/>
      <c r="AB94" s="35"/>
      <c r="AC94" s="40"/>
      <c r="AD94" s="35"/>
      <c r="AE94" s="70"/>
      <c r="AF94" s="35"/>
      <c r="AG94" s="40"/>
      <c r="AH94" s="35"/>
      <c r="AI94" s="70"/>
      <c r="AJ94" s="35"/>
      <c r="AK94" s="40"/>
      <c r="AL94" s="35"/>
      <c r="AM94" s="70"/>
      <c r="AN94" s="35"/>
      <c r="AO94" s="40"/>
      <c r="AP94" s="35"/>
      <c r="AQ94" s="70"/>
      <c r="AR94" s="35"/>
      <c r="AS94" s="40"/>
      <c r="AT94" s="35"/>
      <c r="AU94" s="70"/>
      <c r="AV94" s="35"/>
      <c r="AW94" s="40"/>
      <c r="AX94" s="35"/>
      <c r="AY94" s="70"/>
      <c r="AZ94" s="35"/>
      <c r="BA94" s="40"/>
      <c r="BB94" s="35"/>
      <c r="BC94" s="71"/>
      <c r="BD94" s="36"/>
      <c r="BE94" s="71"/>
      <c r="BF94" s="36"/>
    </row>
    <row r="95" spans="1:58" ht="12.75">
      <c r="A95" s="52"/>
      <c r="B95" s="52" t="s">
        <v>107</v>
      </c>
      <c r="C95" s="70"/>
      <c r="D95" s="73">
        <f>D90</f>
        <v>34260.35098</v>
      </c>
      <c r="E95" s="80">
        <f>IF(D$81&gt;0,D95/D$81,0)</f>
        <v>0.09999697003511604</v>
      </c>
      <c r="F95" s="35"/>
      <c r="G95" s="70"/>
      <c r="H95" s="73">
        <f>H90</f>
        <v>1798.6828864460895</v>
      </c>
      <c r="I95" s="80">
        <f>IF(H$81&gt;0,H95/H$81,0)</f>
        <v>0.09997279928640347</v>
      </c>
      <c r="J95" s="35"/>
      <c r="K95" s="70"/>
      <c r="L95" s="73">
        <f>L90</f>
        <v>41393</v>
      </c>
      <c r="M95" s="80">
        <f>IF(L$81&gt;0,L95/L$81,0)</f>
        <v>0.07914546681733617</v>
      </c>
      <c r="N95" s="35"/>
      <c r="O95" s="70"/>
      <c r="P95" s="73">
        <f>P90</f>
        <v>-29.716869999971777</v>
      </c>
      <c r="Q95" s="80">
        <f>IF(P$81&gt;0,P95/P$81,0)</f>
        <v>-0.0013660078342119782</v>
      </c>
      <c r="R95" s="35"/>
      <c r="S95" s="70"/>
      <c r="T95" s="73">
        <f>T90</f>
        <v>37527.119292191346</v>
      </c>
      <c r="U95" s="80">
        <f>IF(T$81&gt;0,T95/T$81,0)</f>
        <v>0.07875789105493623</v>
      </c>
      <c r="V95" s="35"/>
      <c r="W95" s="70"/>
      <c r="X95" s="73">
        <f>X90</f>
        <v>6628</v>
      </c>
      <c r="Y95" s="80">
        <f>IF(X$81&gt;0,X95/X$81,0)</f>
        <v>0.051170008260698376</v>
      </c>
      <c r="Z95" s="35"/>
      <c r="AA95" s="70"/>
      <c r="AB95" s="73">
        <f>AB90</f>
        <v>6053</v>
      </c>
      <c r="AC95" s="80">
        <f>IF(AB$81&gt;0,AB95/AB$81,0)</f>
        <v>0.07999629952686808</v>
      </c>
      <c r="AD95" s="35"/>
      <c r="AE95" s="70"/>
      <c r="AF95" s="73">
        <f>AF90</f>
        <v>13315.334999999992</v>
      </c>
      <c r="AG95" s="80">
        <f>IF(AF$81&gt;0,AF95/AF$81,0)</f>
        <v>0.082882063316195</v>
      </c>
      <c r="AH95" s="35"/>
      <c r="AI95" s="70"/>
      <c r="AJ95" s="73">
        <f>AJ90</f>
        <v>5.148069080255482</v>
      </c>
      <c r="AK95" s="80">
        <f>IF(AJ$81&gt;0,AJ95/AJ$81,0)</f>
        <v>0.000870047165836654</v>
      </c>
      <c r="AL95" s="35"/>
      <c r="AM95" s="70"/>
      <c r="AN95" s="73">
        <f>AN90</f>
        <v>166317.40908811125</v>
      </c>
      <c r="AO95" s="80">
        <f>IF(AN$81&gt;0,AN95/AN$81,0)</f>
        <v>0.07972991764194082</v>
      </c>
      <c r="AP95" s="35"/>
      <c r="AQ95" s="70"/>
      <c r="AR95" s="73">
        <f>AR90</f>
        <v>170133</v>
      </c>
      <c r="AS95" s="80">
        <f>IF(AR$81&gt;0,AR95/AR$81,0)</f>
        <v>0.08500002997655833</v>
      </c>
      <c r="AT95" s="35"/>
      <c r="AU95" s="70"/>
      <c r="AV95" s="73">
        <f>AV90</f>
        <v>85.74922209710166</v>
      </c>
      <c r="AW95" s="80">
        <f>IF(AV$81&gt;0,AV95/AV$81,0)</f>
        <v>0.007004054881993196</v>
      </c>
      <c r="AX95" s="35"/>
      <c r="AY95" s="70"/>
      <c r="AZ95" s="73">
        <f>AZ90</f>
        <v>67772.99993176495</v>
      </c>
      <c r="BA95" s="80">
        <f>IF(AZ$81&gt;0,AZ95/AZ$81,0)</f>
        <v>0.10000015674668611</v>
      </c>
      <c r="BB95" s="35"/>
      <c r="BC95" s="71"/>
      <c r="BD95" s="73">
        <f>BD90</f>
        <v>545260.0775996912</v>
      </c>
      <c r="BE95" s="95">
        <f>IF(BD$81&gt;0,BD95/BD$81,0)</f>
        <v>0.08348597213702545</v>
      </c>
      <c r="BF95" s="36"/>
    </row>
    <row r="96" spans="1:58" ht="13.5" thickBot="1">
      <c r="A96" s="52"/>
      <c r="B96" s="52" t="s">
        <v>108</v>
      </c>
      <c r="C96" s="70"/>
      <c r="D96" s="73">
        <f>F90</f>
        <v>3453.0574800000068</v>
      </c>
      <c r="E96" s="80">
        <f>IF(F$81&gt;0,D96/F$81,0)</f>
        <v>0.09000000831176529</v>
      </c>
      <c r="F96" s="35"/>
      <c r="G96" s="70"/>
      <c r="H96" s="73">
        <f>J90</f>
        <v>257.47226300441145</v>
      </c>
      <c r="I96" s="80">
        <f>IF(J$81&gt;0,H96/J$81,0)</f>
        <v>0.39102502795672067</v>
      </c>
      <c r="J96" s="35"/>
      <c r="K96" s="70"/>
      <c r="L96" s="73">
        <f>N90</f>
        <v>12778</v>
      </c>
      <c r="M96" s="80">
        <f>IF(N$81&gt;0,L96/N$81,0)</f>
        <v>0.07916436921895038</v>
      </c>
      <c r="N96" s="35"/>
      <c r="O96" s="70"/>
      <c r="P96" s="73">
        <f>R90</f>
        <v>-140.4435</v>
      </c>
      <c r="Q96" s="80">
        <f>IF(R$81&gt;0,P96/R$81,0)</f>
        <v>0</v>
      </c>
      <c r="R96" s="35"/>
      <c r="S96" s="70"/>
      <c r="T96" s="73">
        <f>V90</f>
        <v>19753.724021296017</v>
      </c>
      <c r="U96" s="80">
        <f>IF(V$81&gt;0,T96/V$81,0)</f>
        <v>0.11273345654934927</v>
      </c>
      <c r="V96" s="35"/>
      <c r="W96" s="70"/>
      <c r="X96" s="73">
        <f>Z90</f>
        <v>66486</v>
      </c>
      <c r="Y96" s="80">
        <f>IF(Z$81&gt;0,X96/Z$81,0)</f>
        <v>0.30898714528707</v>
      </c>
      <c r="Z96" s="35"/>
      <c r="AA96" s="70"/>
      <c r="AB96" s="73">
        <f>AD90</f>
        <v>-3860</v>
      </c>
      <c r="AC96" s="80">
        <f>IF(AD$81&gt;0,AB96/AD$81,0)</f>
        <v>-0.4213053918358437</v>
      </c>
      <c r="AD96" s="35"/>
      <c r="AE96" s="70"/>
      <c r="AF96" s="73">
        <f>AH90</f>
        <v>175</v>
      </c>
      <c r="AG96" s="80">
        <f>IF(AH$81&gt;0,AF96/AH$81,0)</f>
        <v>1</v>
      </c>
      <c r="AH96" s="35"/>
      <c r="AI96" s="70"/>
      <c r="AJ96" s="73">
        <f>AL90</f>
        <v>0</v>
      </c>
      <c r="AK96" s="80">
        <f>IF(AL$81&gt;0,AJ96/AL$81,0)</f>
        <v>0</v>
      </c>
      <c r="AL96" s="35"/>
      <c r="AM96" s="70"/>
      <c r="AN96" s="73">
        <f>AP90</f>
        <v>25288.329161912377</v>
      </c>
      <c r="AO96" s="80">
        <f>IF(AP$81&gt;0,AN96/AP$81,0)</f>
        <v>0.04805731883782028</v>
      </c>
      <c r="AP96" s="35"/>
      <c r="AQ96" s="70"/>
      <c r="AR96" s="73">
        <f>AT90</f>
        <v>11908</v>
      </c>
      <c r="AS96" s="80">
        <f>IF(AT$81&gt;0,AR96/AT$81,0)</f>
        <v>0.058407192501434675</v>
      </c>
      <c r="AT96" s="35"/>
      <c r="AU96" s="70"/>
      <c r="AV96" s="73">
        <f>AX90</f>
        <v>0</v>
      </c>
      <c r="AW96" s="80">
        <f>IF(AX$81&gt;0,AV96/AX$81,0)</f>
        <v>0</v>
      </c>
      <c r="AX96" s="35"/>
      <c r="AY96" s="70"/>
      <c r="AZ96" s="73">
        <f>BB90</f>
        <v>14885.82689299553</v>
      </c>
      <c r="BA96" s="80">
        <f>IF(BB$81&gt;0,AZ96/BB$81,0)</f>
        <v>0.08919830638570905</v>
      </c>
      <c r="BB96" s="35"/>
      <c r="BC96" s="71"/>
      <c r="BD96" s="73">
        <f>BF90</f>
        <v>150984.96631920856</v>
      </c>
      <c r="BE96" s="95">
        <f>IF(BF$81&gt;0,BD96/BF$81,0)</f>
        <v>0.10084837392594508</v>
      </c>
      <c r="BF96" s="36"/>
    </row>
    <row r="97" spans="1:58" ht="13.5" thickBot="1">
      <c r="A97" s="52"/>
      <c r="B97" s="52" t="s">
        <v>113</v>
      </c>
      <c r="C97" s="79"/>
      <c r="D97" s="83">
        <f>D96+D95</f>
        <v>37713.408460000006</v>
      </c>
      <c r="E97" s="42"/>
      <c r="F97" s="38"/>
      <c r="G97" s="79"/>
      <c r="H97" s="83">
        <f>H96+H95</f>
        <v>2056.155149450501</v>
      </c>
      <c r="I97" s="42"/>
      <c r="J97" s="38"/>
      <c r="K97" s="79"/>
      <c r="L97" s="83">
        <f>L96+L95</f>
        <v>54171</v>
      </c>
      <c r="M97" s="42"/>
      <c r="N97" s="38"/>
      <c r="O97" s="79"/>
      <c r="P97" s="83">
        <f>P96+P95</f>
        <v>-170.16036999997178</v>
      </c>
      <c r="Q97" s="42"/>
      <c r="R97" s="38"/>
      <c r="S97" s="79"/>
      <c r="T97" s="83">
        <f>T96+T95</f>
        <v>57280.84331348736</v>
      </c>
      <c r="U97" s="42"/>
      <c r="V97" s="38"/>
      <c r="W97" s="79"/>
      <c r="X97" s="83">
        <f>X96+X95</f>
        <v>73114</v>
      </c>
      <c r="Y97" s="42"/>
      <c r="Z97" s="38"/>
      <c r="AA97" s="79"/>
      <c r="AB97" s="83">
        <f>AB96+AB95</f>
        <v>2193</v>
      </c>
      <c r="AC97" s="42"/>
      <c r="AD97" s="38"/>
      <c r="AE97" s="79"/>
      <c r="AF97" s="83">
        <f>AF96+AF95</f>
        <v>13490.334999999992</v>
      </c>
      <c r="AG97" s="42"/>
      <c r="AH97" s="38"/>
      <c r="AI97" s="79"/>
      <c r="AJ97" s="83">
        <f>AJ96+AJ95</f>
        <v>5.148069080255482</v>
      </c>
      <c r="AK97" s="42"/>
      <c r="AL97" s="38"/>
      <c r="AM97" s="79"/>
      <c r="AN97" s="83">
        <f>AN96+AN95</f>
        <v>191605.73825002363</v>
      </c>
      <c r="AO97" s="42"/>
      <c r="AP97" s="38"/>
      <c r="AQ97" s="79"/>
      <c r="AR97" s="83">
        <f>AR96+AR95</f>
        <v>182041</v>
      </c>
      <c r="AS97" s="42"/>
      <c r="AT97" s="38"/>
      <c r="AU97" s="79"/>
      <c r="AV97" s="83">
        <f>AV96+AV95</f>
        <v>85.74922209710166</v>
      </c>
      <c r="AW97" s="42"/>
      <c r="AX97" s="38"/>
      <c r="AY97" s="79"/>
      <c r="AZ97" s="83">
        <f>AZ96+AZ95</f>
        <v>82658.82682476047</v>
      </c>
      <c r="BA97" s="42"/>
      <c r="BB97" s="38"/>
      <c r="BC97" s="96"/>
      <c r="BD97" s="83">
        <f>BD96+BD95</f>
        <v>696245.0439188997</v>
      </c>
      <c r="BE97" s="96"/>
      <c r="BF97" s="97"/>
    </row>
  </sheetData>
  <sheetProtection/>
  <mergeCells count="42">
    <mergeCell ref="AY4:BB4"/>
    <mergeCell ref="AY78:AZ78"/>
    <mergeCell ref="BA78:BB78"/>
    <mergeCell ref="BC78:BD78"/>
    <mergeCell ref="AQ4:AT4"/>
    <mergeCell ref="AQ78:AR78"/>
    <mergeCell ref="AS78:AT78"/>
    <mergeCell ref="AU4:AX4"/>
    <mergeCell ref="AU78:AV78"/>
    <mergeCell ref="AW78:AX78"/>
    <mergeCell ref="AI78:AJ78"/>
    <mergeCell ref="AK78:AL78"/>
    <mergeCell ref="AM4:AP4"/>
    <mergeCell ref="AM78:AN78"/>
    <mergeCell ref="AO78:AP78"/>
    <mergeCell ref="AA78:AB78"/>
    <mergeCell ref="AC78:AD78"/>
    <mergeCell ref="AE4:AH4"/>
    <mergeCell ref="AE78:AF78"/>
    <mergeCell ref="AG78:AH78"/>
    <mergeCell ref="K78:L78"/>
    <mergeCell ref="M78:N78"/>
    <mergeCell ref="O4:R4"/>
    <mergeCell ref="O78:P78"/>
    <mergeCell ref="Q78:R78"/>
    <mergeCell ref="K4:N4"/>
    <mergeCell ref="C4:F4"/>
    <mergeCell ref="C78:D78"/>
    <mergeCell ref="E78:F78"/>
    <mergeCell ref="G4:J4"/>
    <mergeCell ref="G78:H78"/>
    <mergeCell ref="I78:J78"/>
    <mergeCell ref="BE78:BF78"/>
    <mergeCell ref="BC4:BF4"/>
    <mergeCell ref="S4:V4"/>
    <mergeCell ref="AA4:AD4"/>
    <mergeCell ref="AI4:AL4"/>
    <mergeCell ref="S78:T78"/>
    <mergeCell ref="U78:V78"/>
    <mergeCell ref="W4:Z4"/>
    <mergeCell ref="W78:X78"/>
    <mergeCell ref="Y78:Z78"/>
  </mergeCells>
  <conditionalFormatting sqref="AV97 D97 H97 L97 P97 T97 X97 AB97 AF97 AJ97 AN97 AR97 AZ97 BD97">
    <cfRule type="expression" priority="1" dxfId="0" stopIfTrue="1">
      <formula>IF(D$100="",0,1)</formula>
    </cfRule>
  </conditionalFormatting>
  <conditionalFormatting sqref="BD12:BE14 BE15:BE16 BE18 BD18:BD21 BE21:BE23 BE31:BE32 BE9:BF10 BD74:BD77 BE75:BE77 BF11:BF77 BD67:BD71 BE67 BE70:BE72 BE56:BE65 BD53:BD58 BE53 BD7:BE8 BE49 BE46:BE47 BE43 BE41 BD37:BD40 BE35 BE38:BE39 BD25:BD34 BF88 BD79:BD80 BF79:BF80 BC82 BD82:BD84 BE82 BF82:BF84 BE86:BE94 BD93:BD94 BD91 BF91 BF93:BF97 BC86:BC97 BE97 BC5:BC77 BF5:BF8 BD5:BE5 BD45:BD49">
    <cfRule type="expression" priority="2" dxfId="3" stopIfTrue="1">
      <formula>IF(ISBLANK(BC5),1,0)</formula>
    </cfRule>
  </conditionalFormatting>
  <conditionalFormatting sqref="AV92 AR92 D92 F92 H92 J92 L92 AX92 P92 N92 T92 R92 X92 V92 AB92 Z92 AF92 AD92 AJ92 AH92 AN92 AL92 AT92 AP92 AZ92 BB92 BD92 BF92">
    <cfRule type="expression" priority="3" dxfId="2" stopIfTrue="1">
      <formula>IF($B$94=0,0,1)</formula>
    </cfRule>
  </conditionalFormatting>
  <conditionalFormatting sqref="AW45 E45 I45 M45 Q45 U45 Y45 AC45 AG45 AK45 AO45 AS45 BA45 BE45">
    <cfRule type="expression" priority="4" dxfId="0" stopIfTrue="1">
      <formula>IF(#REF!="",0,1)</formula>
    </cfRule>
  </conditionalFormatting>
  <printOptions/>
  <pageMargins left="0.17" right="0.17" top="1" bottom="1" header="0.4921259845" footer="0.4921259845"/>
  <pageSetup fitToWidth="2" horizontalDpi="600" verticalDpi="600" orientation="landscape" paperSize="8" scale="50" r:id="rId1"/>
  <colBreaks count="1" manualBreakCount="1">
    <brk id="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tabColor indexed="12"/>
    <pageSetUpPr fitToPage="1"/>
  </sheetPr>
  <dimension ref="A1:F100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4" width="13.421875" style="0" customWidth="1"/>
    <col min="5" max="6" width="14.00390625" style="0" customWidth="1"/>
  </cols>
  <sheetData>
    <row r="1" spans="1:2" ht="12.75">
      <c r="A1" s="101" t="s">
        <v>70</v>
      </c>
      <c r="B1" s="52"/>
    </row>
    <row r="2" spans="1:2" ht="12.75">
      <c r="A2" s="52" t="s">
        <v>71</v>
      </c>
      <c r="B2" s="52"/>
    </row>
    <row r="3" spans="1:2" ht="12.75">
      <c r="A3" s="102" t="s">
        <v>18</v>
      </c>
      <c r="B3" s="52"/>
    </row>
    <row r="4" spans="1:2" ht="12.75">
      <c r="A4" s="52"/>
      <c r="B4" s="52"/>
    </row>
    <row r="5" spans="1:2" ht="12.75">
      <c r="A5" s="52" t="s">
        <v>69</v>
      </c>
      <c r="B5" s="52"/>
    </row>
    <row r="6" spans="1:2" ht="12.75">
      <c r="A6" s="52"/>
      <c r="B6" s="52"/>
    </row>
    <row r="7" spans="1:6" ht="12.75">
      <c r="A7" s="52" t="s">
        <v>0</v>
      </c>
      <c r="B7" s="52" t="s">
        <v>1</v>
      </c>
      <c r="C7" s="1"/>
      <c r="D7" s="1" t="s">
        <v>3</v>
      </c>
      <c r="E7" s="1" t="s">
        <v>98</v>
      </c>
      <c r="F7" s="1"/>
    </row>
    <row r="8" spans="1:6" ht="12.75">
      <c r="A8" s="52"/>
      <c r="B8" s="52"/>
      <c r="C8" s="2"/>
      <c r="D8" s="2" t="s">
        <v>78</v>
      </c>
      <c r="E8" s="2" t="s">
        <v>79</v>
      </c>
      <c r="F8" s="2"/>
    </row>
    <row r="9" spans="1:2" ht="12.75">
      <c r="A9" s="102" t="s">
        <v>28</v>
      </c>
      <c r="B9" s="52"/>
    </row>
    <row r="10" spans="1:5" ht="12.75">
      <c r="A10" s="52" t="s">
        <v>29</v>
      </c>
      <c r="B10" s="52"/>
      <c r="D10" s="1"/>
      <c r="E10" s="1"/>
    </row>
    <row r="11" spans="1:5" ht="12.75">
      <c r="A11" s="52"/>
      <c r="B11" s="52" t="s">
        <v>60</v>
      </c>
      <c r="D11" s="3">
        <f>$E$13-D$12-D$13</f>
        <v>810161.4862794187</v>
      </c>
      <c r="E11" s="1"/>
    </row>
    <row r="12" spans="1:5" ht="12.75">
      <c r="A12" s="52"/>
      <c r="B12" s="52" t="s">
        <v>61</v>
      </c>
      <c r="D12" s="5">
        <v>138110.212729953</v>
      </c>
      <c r="E12" s="1"/>
    </row>
    <row r="13" spans="1:5" ht="13.5" thickBot="1">
      <c r="A13" s="52"/>
      <c r="B13" s="52" t="s">
        <v>62</v>
      </c>
      <c r="D13" s="6">
        <v>50012.6692506283</v>
      </c>
      <c r="E13" s="7">
        <v>998284.36826</v>
      </c>
    </row>
    <row r="14" spans="1:5" ht="12.75">
      <c r="A14" s="52"/>
      <c r="B14" s="103" t="s">
        <v>63</v>
      </c>
      <c r="D14" s="1"/>
      <c r="E14" s="1"/>
    </row>
    <row r="15" spans="1:5" ht="12.75">
      <c r="A15" s="52"/>
      <c r="B15" s="103" t="s">
        <v>64</v>
      </c>
      <c r="D15" s="1"/>
      <c r="E15" s="1"/>
    </row>
    <row r="16" spans="1:5" ht="12.75">
      <c r="A16" s="52" t="s">
        <v>30</v>
      </c>
      <c r="B16" s="52"/>
      <c r="D16" s="1"/>
      <c r="E16" s="1"/>
    </row>
    <row r="17" spans="1:5" ht="12.75">
      <c r="A17" s="52"/>
      <c r="B17" s="52" t="s">
        <v>65</v>
      </c>
      <c r="D17" s="8">
        <v>207747.04844</v>
      </c>
      <c r="E17" s="1"/>
    </row>
    <row r="18" spans="1:5" ht="12.75">
      <c r="A18" s="52"/>
      <c r="B18" s="52" t="s">
        <v>66</v>
      </c>
      <c r="D18" s="9">
        <v>468681.3629</v>
      </c>
      <c r="E18" s="1"/>
    </row>
    <row r="19" spans="1:5" ht="13.5" thickBot="1">
      <c r="A19" s="52"/>
      <c r="B19" s="52" t="s">
        <v>67</v>
      </c>
      <c r="D19" s="10">
        <v>257627.218</v>
      </c>
      <c r="E19" s="3">
        <f>$D$17+$D$18+$D$19</f>
        <v>934055.62934</v>
      </c>
    </row>
    <row r="20" spans="1:4" ht="12.75">
      <c r="A20" s="52" t="s">
        <v>31</v>
      </c>
      <c r="B20" s="52"/>
      <c r="D20" s="11"/>
    </row>
    <row r="21" spans="1:5" ht="12.75">
      <c r="A21" s="52" t="s">
        <v>73</v>
      </c>
      <c r="B21" s="104"/>
      <c r="D21" s="11"/>
      <c r="E21" s="7">
        <v>100552.7527499999</v>
      </c>
    </row>
    <row r="22" spans="1:5" ht="12.75">
      <c r="A22" s="52" t="s">
        <v>32</v>
      </c>
      <c r="B22" s="52"/>
      <c r="D22" s="11"/>
      <c r="E22" s="7">
        <v>52394.99299</v>
      </c>
    </row>
    <row r="23" spans="1:5" ht="12.75">
      <c r="A23" s="52" t="s">
        <v>33</v>
      </c>
      <c r="B23" s="52"/>
      <c r="D23" s="11"/>
      <c r="E23" s="1"/>
    </row>
    <row r="24" spans="1:5" ht="12.75">
      <c r="A24" s="52"/>
      <c r="B24" s="52" t="s">
        <v>68</v>
      </c>
      <c r="D24" s="9">
        <v>209635.31311</v>
      </c>
      <c r="E24" s="1"/>
    </row>
    <row r="25" spans="1:5" ht="25.5" customHeight="1">
      <c r="A25" s="52"/>
      <c r="B25" s="105" t="s">
        <v>74</v>
      </c>
      <c r="D25" s="9">
        <v>-214.5639999999994</v>
      </c>
      <c r="E25" s="1"/>
    </row>
    <row r="26" spans="1:5" ht="13.5" thickBot="1">
      <c r="A26" s="52"/>
      <c r="B26" s="52" t="s">
        <v>75</v>
      </c>
      <c r="D26" s="10">
        <v>16562.43842</v>
      </c>
      <c r="E26" s="3">
        <f>$D$24+$D$25-$D$26</f>
        <v>192858.31068999998</v>
      </c>
    </row>
    <row r="27" spans="1:5" ht="12.75">
      <c r="A27" s="52" t="s">
        <v>34</v>
      </c>
      <c r="B27" s="52"/>
      <c r="D27" s="13"/>
      <c r="E27" s="9">
        <v>0</v>
      </c>
    </row>
    <row r="28" spans="1:5" ht="12.75">
      <c r="A28" s="52" t="s">
        <v>35</v>
      </c>
      <c r="B28" s="52"/>
      <c r="D28" s="1"/>
      <c r="E28" s="9">
        <v>-4413.120079999999</v>
      </c>
    </row>
    <row r="29" spans="1:5" ht="13.5" thickBot="1">
      <c r="A29" s="52" t="s">
        <v>77</v>
      </c>
      <c r="B29" s="52"/>
      <c r="D29" s="1"/>
      <c r="E29" s="14">
        <v>-36759.89688</v>
      </c>
    </row>
    <row r="30" spans="1:5" ht="12.75">
      <c r="A30" s="52" t="s">
        <v>36</v>
      </c>
      <c r="B30" s="52"/>
      <c r="E30" s="15">
        <f>E$13-E$19-E$21-E$22+E$26-E$27+E$28+E$29</f>
        <v>62966.286910000126</v>
      </c>
    </row>
    <row r="31" spans="1:5" ht="13.5" thickBot="1">
      <c r="A31" s="52" t="s">
        <v>37</v>
      </c>
      <c r="B31" s="52"/>
      <c r="C31" s="1"/>
      <c r="D31" s="1"/>
      <c r="E31" s="14">
        <v>25252.7626</v>
      </c>
    </row>
    <row r="32" spans="1:5" ht="13.5" thickBot="1">
      <c r="A32" s="52" t="s">
        <v>76</v>
      </c>
      <c r="B32" s="52"/>
      <c r="C32" s="1"/>
      <c r="D32" s="1"/>
      <c r="E32" s="16">
        <f>E$30-E$31</f>
        <v>37713.524310000124</v>
      </c>
    </row>
    <row r="33" spans="1:5" ht="12.75">
      <c r="A33" s="52"/>
      <c r="B33" s="52"/>
      <c r="C33" s="1"/>
      <c r="D33" s="1"/>
      <c r="E33" s="1"/>
    </row>
    <row r="34" spans="1:5" ht="12.75">
      <c r="A34" s="102" t="s">
        <v>38</v>
      </c>
      <c r="B34" s="52"/>
      <c r="D34" s="1"/>
      <c r="E34" s="1"/>
    </row>
    <row r="35" spans="1:5" ht="12.75">
      <c r="A35" s="52" t="s">
        <v>39</v>
      </c>
      <c r="B35" s="52"/>
      <c r="D35" s="1"/>
      <c r="E35" s="17">
        <v>28465</v>
      </c>
    </row>
    <row r="36" spans="1:5" ht="12.75">
      <c r="A36" s="52" t="s">
        <v>40</v>
      </c>
      <c r="B36" s="52"/>
      <c r="E36" s="18">
        <f>E$31</f>
        <v>25252.7626</v>
      </c>
    </row>
    <row r="37" spans="1:5" ht="12.75">
      <c r="A37" s="52" t="s">
        <v>41</v>
      </c>
      <c r="B37" s="52"/>
      <c r="D37" s="9">
        <v>0</v>
      </c>
      <c r="E37" s="19"/>
    </row>
    <row r="38" spans="1:5" ht="13.5" thickBot="1">
      <c r="A38" s="52" t="s">
        <v>42</v>
      </c>
      <c r="B38" s="52"/>
      <c r="D38" s="10">
        <v>2955.96103</v>
      </c>
      <c r="E38" s="20">
        <f>$D$37+$D$38</f>
        <v>2955.96103</v>
      </c>
    </row>
    <row r="39" spans="1:5" ht="13.5" thickBot="1">
      <c r="A39" s="52" t="s">
        <v>43</v>
      </c>
      <c r="B39" s="52"/>
      <c r="D39" s="1"/>
      <c r="E39" s="21">
        <f>E35+E36-E38</f>
        <v>50761.80157</v>
      </c>
    </row>
    <row r="40" spans="1:5" ht="12.75">
      <c r="A40" s="52"/>
      <c r="B40" s="52"/>
      <c r="D40" s="1"/>
      <c r="E40" s="1"/>
    </row>
    <row r="41" spans="1:5" ht="12.75">
      <c r="A41" s="102" t="s">
        <v>44</v>
      </c>
      <c r="B41" s="52"/>
      <c r="D41" s="1"/>
      <c r="E41" s="1"/>
    </row>
    <row r="42" spans="1:5" ht="12.75">
      <c r="A42" s="52" t="s">
        <v>39</v>
      </c>
      <c r="B42" s="52"/>
      <c r="D42" s="1"/>
      <c r="E42" s="17">
        <v>148587</v>
      </c>
    </row>
    <row r="43" spans="1:5" ht="12.75">
      <c r="A43" s="52" t="s">
        <v>45</v>
      </c>
      <c r="B43" s="52"/>
      <c r="D43" s="9">
        <v>3419.229048</v>
      </c>
      <c r="E43" s="59"/>
    </row>
    <row r="44" spans="1:5" ht="12.75">
      <c r="A44" s="52" t="s">
        <v>46</v>
      </c>
      <c r="B44" s="52"/>
      <c r="D44" s="9">
        <v>1883.4480999999998</v>
      </c>
      <c r="E44" s="60">
        <f>D44+D43</f>
        <v>5302.677148</v>
      </c>
    </row>
    <row r="45" spans="1:5" ht="12.75">
      <c r="A45" s="52" t="s">
        <v>47</v>
      </c>
      <c r="B45" s="52"/>
      <c r="D45" s="9">
        <v>1124.7901479999618</v>
      </c>
      <c r="E45" s="59"/>
    </row>
    <row r="46" spans="1:5" ht="13.5" thickBot="1">
      <c r="A46" s="52" t="s">
        <v>48</v>
      </c>
      <c r="B46" s="52"/>
      <c r="D46" s="9">
        <v>0</v>
      </c>
      <c r="E46" s="20">
        <f>D46+D45</f>
        <v>1124.7901479999618</v>
      </c>
    </row>
    <row r="47" spans="1:5" ht="13.5" thickBot="1">
      <c r="A47" s="52" t="s">
        <v>49</v>
      </c>
      <c r="B47" s="52"/>
      <c r="E47" s="21">
        <f>E42+E44-E46</f>
        <v>152764.88700000002</v>
      </c>
    </row>
    <row r="48" spans="1:5" ht="12.75">
      <c r="A48" s="52"/>
      <c r="B48" s="52"/>
      <c r="E48" s="1"/>
    </row>
    <row r="49" spans="1:5" ht="12.75">
      <c r="A49" s="102" t="s">
        <v>50</v>
      </c>
      <c r="B49" s="52"/>
      <c r="E49" s="1"/>
    </row>
    <row r="50" spans="1:5" ht="13.5" thickBot="1">
      <c r="A50" s="104" t="s">
        <v>4</v>
      </c>
      <c r="B50" s="52" t="s">
        <v>82</v>
      </c>
      <c r="E50" s="20">
        <f>E$26</f>
        <v>192858.31068999998</v>
      </c>
    </row>
    <row r="51" spans="1:5" ht="12.75">
      <c r="A51" s="52"/>
      <c r="B51" s="52"/>
      <c r="D51" s="1"/>
      <c r="E51" s="1"/>
    </row>
    <row r="52" spans="1:5" ht="25.5">
      <c r="A52" s="52"/>
      <c r="B52" s="52"/>
      <c r="D52" s="106" t="s">
        <v>99</v>
      </c>
      <c r="E52" s="106" t="s">
        <v>100</v>
      </c>
    </row>
    <row r="53" spans="1:5" ht="12.75">
      <c r="A53" s="104" t="s">
        <v>5</v>
      </c>
      <c r="B53" s="52" t="s">
        <v>83</v>
      </c>
      <c r="D53" s="22">
        <v>5816028</v>
      </c>
      <c r="E53" s="23">
        <v>6012780</v>
      </c>
    </row>
    <row r="54" spans="1:5" ht="12.75">
      <c r="A54" s="104" t="s">
        <v>6</v>
      </c>
      <c r="B54" s="52" t="s">
        <v>84</v>
      </c>
      <c r="D54" s="24">
        <v>5822537.357279999</v>
      </c>
      <c r="E54" s="23">
        <v>5995466.245759999</v>
      </c>
    </row>
    <row r="55" spans="1:5" ht="12.75">
      <c r="A55" s="52"/>
      <c r="B55" s="52"/>
      <c r="D55" s="1"/>
      <c r="E55" s="1"/>
    </row>
    <row r="56" spans="1:5" ht="12.75">
      <c r="A56" s="104" t="s">
        <v>7</v>
      </c>
      <c r="B56" s="52" t="s">
        <v>109</v>
      </c>
      <c r="D56" s="1"/>
      <c r="E56" s="25">
        <f>E$50/(($D$53+$D$54)/2)</f>
        <v>0.03314125148068457</v>
      </c>
    </row>
    <row r="57" spans="1:5" ht="12.75">
      <c r="A57" s="104" t="s">
        <v>8</v>
      </c>
      <c r="B57" s="52" t="s">
        <v>102</v>
      </c>
      <c r="D57" s="1"/>
      <c r="E57" s="25">
        <f>(E$50+($E$54-$D$54)-($E$53-$D$53))/((E$53+$E$54)/2)</f>
        <v>0.028153186686971032</v>
      </c>
    </row>
    <row r="58" spans="1:5" ht="12.75">
      <c r="A58" s="52"/>
      <c r="B58" s="104" t="s">
        <v>101</v>
      </c>
      <c r="D58" s="1"/>
      <c r="E58" s="1"/>
    </row>
    <row r="59" spans="4:5" ht="12.75">
      <c r="D59" s="1"/>
      <c r="E59" s="1"/>
    </row>
    <row r="60" spans="1:5" ht="12.75">
      <c r="A60" s="52" t="s">
        <v>9</v>
      </c>
      <c r="B60" s="104" t="s">
        <v>85</v>
      </c>
      <c r="D60" s="1"/>
      <c r="E60" s="1"/>
    </row>
    <row r="61" spans="1:5" ht="12.75">
      <c r="A61" s="104"/>
      <c r="B61" s="52" t="s">
        <v>86</v>
      </c>
      <c r="D61" s="26">
        <v>0.012354099198704525</v>
      </c>
      <c r="E61" s="1"/>
    </row>
    <row r="62" spans="1:5" ht="12.75">
      <c r="A62" s="52"/>
      <c r="B62" s="52" t="s">
        <v>87</v>
      </c>
      <c r="D62" s="26">
        <v>0.4486839851020588</v>
      </c>
      <c r="E62" s="1"/>
    </row>
    <row r="63" spans="1:5" ht="12.75">
      <c r="A63" s="52"/>
      <c r="B63" s="52" t="s">
        <v>88</v>
      </c>
      <c r="D63" s="26">
        <v>0.21124391596425643</v>
      </c>
      <c r="E63" s="1"/>
    </row>
    <row r="64" spans="1:5" ht="12.75">
      <c r="A64" s="52"/>
      <c r="B64" s="52" t="s">
        <v>89</v>
      </c>
      <c r="D64" s="26">
        <v>0.09102879339147742</v>
      </c>
      <c r="E64" s="1"/>
    </row>
    <row r="65" spans="1:5" ht="12.75">
      <c r="A65" s="52"/>
      <c r="B65" s="52" t="s">
        <v>90</v>
      </c>
      <c r="D65" s="26">
        <v>0</v>
      </c>
      <c r="E65" s="1"/>
    </row>
    <row r="66" spans="1:5" ht="12.75">
      <c r="A66" s="52"/>
      <c r="B66" s="52" t="s">
        <v>91</v>
      </c>
      <c r="D66" s="26">
        <v>0.09961292893635418</v>
      </c>
      <c r="E66" s="1"/>
    </row>
    <row r="67" spans="1:5" ht="12.75">
      <c r="A67" s="52"/>
      <c r="B67" s="52" t="s">
        <v>92</v>
      </c>
      <c r="D67" s="26">
        <v>0.13707627740714876</v>
      </c>
      <c r="E67" s="1"/>
    </row>
    <row r="68" spans="1:5" ht="13.5" thickBot="1">
      <c r="A68" s="52"/>
      <c r="B68" s="52" t="s">
        <v>93</v>
      </c>
      <c r="D68" s="27">
        <v>0</v>
      </c>
      <c r="E68" s="28">
        <f>SUM($D$61:$D$68)</f>
        <v>1</v>
      </c>
    </row>
    <row r="69" spans="1:5" ht="12.75">
      <c r="A69" s="52"/>
      <c r="B69" s="52"/>
      <c r="D69" s="1"/>
      <c r="E69" s="1"/>
    </row>
    <row r="70" spans="1:5" ht="12.75">
      <c r="A70" s="52" t="s">
        <v>10</v>
      </c>
      <c r="B70" s="52" t="s">
        <v>94</v>
      </c>
      <c r="E70" s="17">
        <v>5423137.13098</v>
      </c>
    </row>
    <row r="71" spans="1:5" ht="12.75">
      <c r="A71" s="104" t="s">
        <v>11</v>
      </c>
      <c r="B71" s="52" t="s">
        <v>95</v>
      </c>
      <c r="E71" s="29">
        <v>114616</v>
      </c>
    </row>
    <row r="72" spans="1:5" ht="12.75">
      <c r="A72" s="104"/>
      <c r="B72" s="52"/>
      <c r="E72" s="1"/>
    </row>
    <row r="73" spans="1:5" ht="12.75">
      <c r="A73" s="52" t="s">
        <v>12</v>
      </c>
      <c r="B73" s="52" t="s">
        <v>96</v>
      </c>
      <c r="E73" s="1"/>
    </row>
    <row r="74" spans="1:5" ht="12.75">
      <c r="A74" s="104"/>
      <c r="B74" s="52" t="s">
        <v>75</v>
      </c>
      <c r="D74" s="15">
        <f>D26</f>
        <v>16562.43842</v>
      </c>
      <c r="E74" s="1"/>
    </row>
    <row r="75" spans="1:5" ht="12.75">
      <c r="A75" s="104"/>
      <c r="B75" s="52" t="s">
        <v>32</v>
      </c>
      <c r="D75" s="41">
        <f>E22</f>
        <v>52394.99299</v>
      </c>
      <c r="E75" s="18">
        <f>D75+D74</f>
        <v>68957.43140999999</v>
      </c>
    </row>
    <row r="76" spans="1:5" ht="12.75">
      <c r="A76" s="104"/>
      <c r="B76" s="52" t="s">
        <v>97</v>
      </c>
      <c r="E76" s="18">
        <f>(1000*E75)/E71</f>
        <v>601.638788738047</v>
      </c>
    </row>
    <row r="77" spans="1:5" ht="12.75">
      <c r="A77" s="104"/>
      <c r="B77" s="52"/>
      <c r="E77" s="1"/>
    </row>
    <row r="78" ht="12.75">
      <c r="B78" s="52"/>
    </row>
    <row r="79" spans="1:5" ht="12.75">
      <c r="A79" s="107" t="s">
        <v>117</v>
      </c>
      <c r="B79" s="52"/>
      <c r="D79" s="1"/>
      <c r="E79" s="1"/>
    </row>
    <row r="80" spans="1:6" ht="12.75">
      <c r="A80" s="110" t="s">
        <v>51</v>
      </c>
      <c r="B80" s="111"/>
      <c r="C80" s="118" t="s">
        <v>115</v>
      </c>
      <c r="D80" s="118"/>
      <c r="E80" s="118" t="s">
        <v>116</v>
      </c>
      <c r="F80" s="118"/>
    </row>
    <row r="81" spans="1:5" ht="12.75">
      <c r="A81" s="52"/>
      <c r="B81" s="52" t="s">
        <v>103</v>
      </c>
      <c r="C81" s="30">
        <v>180316.43182</v>
      </c>
      <c r="E81" s="30">
        <v>12541.878869999999</v>
      </c>
    </row>
    <row r="82" spans="2:5" ht="12.75">
      <c r="B82" s="52" t="s">
        <v>104</v>
      </c>
      <c r="C82" s="30">
        <v>113822.051259953</v>
      </c>
      <c r="E82" s="30">
        <v>24288.161470000003</v>
      </c>
    </row>
    <row r="83" spans="1:6" ht="12.75">
      <c r="A83" s="52"/>
      <c r="B83" s="52" t="s">
        <v>105</v>
      </c>
      <c r="C83" s="30">
        <v>48475.4078006283</v>
      </c>
      <c r="D83" s="53">
        <f>SUM(C81:C83)</f>
        <v>342613.8908805813</v>
      </c>
      <c r="E83" s="30">
        <v>1537.26145</v>
      </c>
      <c r="F83" s="53">
        <f>SUM(E81:E83)</f>
        <v>38367.30179</v>
      </c>
    </row>
    <row r="84" spans="1:2" ht="12.75">
      <c r="A84" s="52" t="s">
        <v>52</v>
      </c>
      <c r="B84" s="52"/>
    </row>
    <row r="85" spans="1:5" ht="12.75">
      <c r="A85" s="52"/>
      <c r="B85" s="52" t="s">
        <v>103</v>
      </c>
      <c r="C85" s="30">
        <v>135896.66254499997</v>
      </c>
      <c r="E85" s="30">
        <v>3666.3274310000006</v>
      </c>
    </row>
    <row r="86" spans="1:5" ht="12.75">
      <c r="A86" s="52"/>
      <c r="B86" s="52" t="s">
        <v>104</v>
      </c>
      <c r="C86" s="30">
        <v>35736.6531310813</v>
      </c>
      <c r="D86" s="52"/>
      <c r="E86" s="30">
        <v>9654.17092799999</v>
      </c>
    </row>
    <row r="87" spans="1:6" ht="12.75">
      <c r="A87" s="52"/>
      <c r="B87" s="52" t="s">
        <v>105</v>
      </c>
      <c r="C87" s="30">
        <v>54850.9695245</v>
      </c>
      <c r="D87" s="53">
        <f>SUM(C85:C87)</f>
        <v>226484.28520058127</v>
      </c>
      <c r="E87" s="30">
        <v>3012.1539510000002</v>
      </c>
      <c r="F87" s="53">
        <f>SUM(E85:E87)</f>
        <v>16332.65230999999</v>
      </c>
    </row>
    <row r="88" spans="1:6" ht="12.75">
      <c r="A88" s="52" t="s">
        <v>53</v>
      </c>
      <c r="B88" s="52"/>
      <c r="D88" s="54">
        <f>D83-D87</f>
        <v>116129.60568000001</v>
      </c>
      <c r="F88" s="54">
        <f>F83-F87</f>
        <v>22034.649480000007</v>
      </c>
    </row>
    <row r="89" spans="1:6" ht="12.75">
      <c r="A89" s="52" t="s">
        <v>54</v>
      </c>
      <c r="B89" s="52"/>
      <c r="D89" s="30">
        <v>61165.254700000005</v>
      </c>
      <c r="F89" s="30">
        <v>14032.71355</v>
      </c>
    </row>
    <row r="90" spans="1:6" ht="12.75">
      <c r="A90" s="52" t="s">
        <v>55</v>
      </c>
      <c r="B90" s="52"/>
      <c r="D90" s="30">
        <v>0</v>
      </c>
      <c r="F90" s="55"/>
    </row>
    <row r="91" spans="1:6" ht="13.5" thickBot="1">
      <c r="A91" s="52" t="s">
        <v>56</v>
      </c>
      <c r="B91" s="52"/>
      <c r="D91" s="30">
        <v>20704</v>
      </c>
      <c r="F91" s="30">
        <v>4548.87845</v>
      </c>
    </row>
    <row r="92" spans="1:6" ht="13.5" thickBot="1">
      <c r="A92" s="52" t="s">
        <v>57</v>
      </c>
      <c r="B92" s="52"/>
      <c r="D92" s="16">
        <f>D88-D89-D90-D91</f>
        <v>34260.35098</v>
      </c>
      <c r="F92" s="16">
        <f>F88-F89-F91</f>
        <v>3453.0574800000068</v>
      </c>
    </row>
    <row r="93" spans="1:6" ht="12.75">
      <c r="A93" s="108" t="s">
        <v>58</v>
      </c>
      <c r="B93" s="52"/>
      <c r="D93" s="56"/>
      <c r="F93" s="47"/>
    </row>
    <row r="94" spans="1:6" ht="12.75">
      <c r="A94" s="52" t="s">
        <v>106</v>
      </c>
      <c r="B94" s="52"/>
      <c r="D94" s="57">
        <f>IF(D$83&gt;0,MIN(MAX((D$87+D$89+D$90+D$91)/D$83,0.9),1),0)</f>
        <v>0.900003029964884</v>
      </c>
      <c r="F94" s="58">
        <f>IF(F$83&gt;0,MIN((F$87+F$89+F$90+F$91)/F$83,1),0)</f>
        <v>0.9099999916882349</v>
      </c>
    </row>
    <row r="95" spans="1:2" ht="12.75">
      <c r="A95" s="52"/>
      <c r="B95" s="52"/>
    </row>
    <row r="96" spans="1:2" ht="12.75">
      <c r="A96" s="52" t="s">
        <v>59</v>
      </c>
      <c r="B96" s="52"/>
    </row>
    <row r="97" spans="1:5" ht="12.75">
      <c r="A97" s="52"/>
      <c r="B97" s="52" t="s">
        <v>107</v>
      </c>
      <c r="D97" s="53">
        <f>D92</f>
        <v>34260.35098</v>
      </c>
      <c r="E97" s="58">
        <f>IF($D$83&gt;0,D97/$D$83,0)</f>
        <v>0.09999697003511604</v>
      </c>
    </row>
    <row r="98" spans="1:5" ht="13.5" thickBot="1">
      <c r="A98" s="52"/>
      <c r="B98" s="52" t="s">
        <v>108</v>
      </c>
      <c r="D98" s="53">
        <f>F92</f>
        <v>3453.0574800000068</v>
      </c>
      <c r="E98" s="58">
        <f>IF($F$83&gt;0,D98/$F$83,0)</f>
        <v>0.09000000831176529</v>
      </c>
    </row>
    <row r="99" spans="1:4" ht="13.5" thickBot="1">
      <c r="A99" s="52"/>
      <c r="B99" s="52" t="s">
        <v>113</v>
      </c>
      <c r="D99" s="31">
        <f>D98+D97</f>
        <v>37713.408460000006</v>
      </c>
    </row>
    <row r="100" ht="12.75">
      <c r="D100">
        <f>IF(ABS($E$32-$D$99)&lt;2,"","&lt;&gt; Pos. 411e ("&amp;TEXT($F$33,"#'##0")&amp;") ?")</f>
      </c>
    </row>
  </sheetData>
  <sheetProtection/>
  <mergeCells count="2">
    <mergeCell ref="C80:D80"/>
    <mergeCell ref="E80:F80"/>
  </mergeCells>
  <conditionalFormatting sqref="D99">
    <cfRule type="expression" priority="1" dxfId="0" stopIfTrue="1">
      <formula>IF(D$100="",0,1)</formula>
    </cfRule>
  </conditionalFormatting>
  <conditionalFormatting sqref="D94">
    <cfRule type="expression" priority="2" dxfId="2" stopIfTrue="1">
      <formula>IF($B$94=0,0,1)</formula>
    </cfRule>
  </conditionalFormatting>
  <conditionalFormatting sqref="E47">
    <cfRule type="expression" priority="3" dxfId="0" stopIfTrue="1">
      <formula>IF(#REF!="",0,1)</formula>
    </cfRule>
  </conditionalFormatting>
  <printOptions/>
  <pageMargins left="0.43" right="0.16" top="1" bottom="1" header="0.4921259845" footer="0.4921259845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tabColor indexed="12"/>
    <pageSetUpPr fitToPage="1"/>
  </sheetPr>
  <dimension ref="A1:G100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4" width="13.421875" style="0" customWidth="1"/>
    <col min="5" max="6" width="14.00390625" style="0" customWidth="1"/>
  </cols>
  <sheetData>
    <row r="1" spans="1:7" ht="12.75">
      <c r="A1" s="101" t="s">
        <v>70</v>
      </c>
      <c r="B1" s="52"/>
      <c r="G1" s="61"/>
    </row>
    <row r="2" spans="1:7" ht="12.75">
      <c r="A2" s="52" t="s">
        <v>71</v>
      </c>
      <c r="B2" s="52"/>
      <c r="G2" s="61"/>
    </row>
    <row r="3" spans="1:7" ht="12.75">
      <c r="A3" s="102" t="s">
        <v>19</v>
      </c>
      <c r="B3" s="52"/>
      <c r="G3" s="61"/>
    </row>
    <row r="4" spans="1:7" ht="12.75">
      <c r="A4" s="52"/>
      <c r="B4" s="52"/>
      <c r="G4" s="61"/>
    </row>
    <row r="5" spans="1:7" ht="12.75">
      <c r="A5" s="52" t="s">
        <v>69</v>
      </c>
      <c r="B5" s="52"/>
      <c r="G5" s="61"/>
    </row>
    <row r="6" spans="1:7" ht="12.75">
      <c r="A6" s="52"/>
      <c r="B6" s="52"/>
      <c r="G6" s="61"/>
    </row>
    <row r="7" spans="1:7" ht="12.75">
      <c r="A7" s="52" t="s">
        <v>0</v>
      </c>
      <c r="B7" s="52" t="s">
        <v>1</v>
      </c>
      <c r="C7" s="1"/>
      <c r="D7" s="1" t="s">
        <v>3</v>
      </c>
      <c r="E7" s="1" t="s">
        <v>98</v>
      </c>
      <c r="F7" s="1"/>
      <c r="G7" s="61"/>
    </row>
    <row r="8" spans="1:7" ht="12.75">
      <c r="A8" s="52"/>
      <c r="B8" s="52"/>
      <c r="C8" s="2"/>
      <c r="D8" s="2" t="s">
        <v>78</v>
      </c>
      <c r="E8" s="2" t="s">
        <v>79</v>
      </c>
      <c r="F8" s="2"/>
      <c r="G8" s="61"/>
    </row>
    <row r="9" spans="1:7" ht="12.75">
      <c r="A9" s="102" t="s">
        <v>28</v>
      </c>
      <c r="B9" s="52"/>
      <c r="G9" s="61"/>
    </row>
    <row r="10" spans="1:7" ht="12.75">
      <c r="A10" s="52" t="s">
        <v>29</v>
      </c>
      <c r="B10" s="52"/>
      <c r="D10" s="1"/>
      <c r="E10" s="1"/>
      <c r="G10" s="61"/>
    </row>
    <row r="11" spans="1:7" ht="12.75">
      <c r="A11" s="52"/>
      <c r="B11" s="52" t="s">
        <v>60</v>
      </c>
      <c r="D11" s="3">
        <f>$E$13-D$12-D$13</f>
        <v>63363.152139999605</v>
      </c>
      <c r="E11" s="1"/>
      <c r="G11" s="61"/>
    </row>
    <row r="12" spans="1:7" ht="12.75">
      <c r="A12" s="52"/>
      <c r="B12" s="52" t="s">
        <v>61</v>
      </c>
      <c r="D12" s="5">
        <v>5918.938680677163</v>
      </c>
      <c r="E12" s="1"/>
      <c r="G12" s="61"/>
    </row>
    <row r="13" spans="1:7" ht="13.5" thickBot="1">
      <c r="A13" s="52"/>
      <c r="B13" s="52" t="s">
        <v>62</v>
      </c>
      <c r="D13" s="6">
        <v>2901.238749322837</v>
      </c>
      <c r="E13" s="7">
        <v>72183.32956999961</v>
      </c>
      <c r="G13" s="61"/>
    </row>
    <row r="14" spans="1:7" ht="12.75">
      <c r="A14" s="52"/>
      <c r="B14" s="103" t="s">
        <v>63</v>
      </c>
      <c r="D14" s="1"/>
      <c r="E14" s="1"/>
      <c r="G14" s="61"/>
    </row>
    <row r="15" spans="1:7" ht="12.75">
      <c r="A15" s="52"/>
      <c r="B15" s="103" t="s">
        <v>64</v>
      </c>
      <c r="D15" s="1"/>
      <c r="E15" s="1"/>
      <c r="G15" s="61"/>
    </row>
    <row r="16" spans="1:5" ht="12.75">
      <c r="A16" s="52" t="s">
        <v>30</v>
      </c>
      <c r="B16" s="52"/>
      <c r="D16" s="1"/>
      <c r="E16" s="1"/>
    </row>
    <row r="17" spans="1:5" ht="12.75">
      <c r="A17" s="52"/>
      <c r="B17" s="52" t="s">
        <v>65</v>
      </c>
      <c r="D17" s="8">
        <v>9339.78043</v>
      </c>
      <c r="E17" s="1"/>
    </row>
    <row r="18" spans="1:5" ht="12.75">
      <c r="A18" s="52"/>
      <c r="B18" s="52" t="s">
        <v>66</v>
      </c>
      <c r="D18" s="9">
        <v>33963.90139999989</v>
      </c>
      <c r="E18" s="1"/>
    </row>
    <row r="19" spans="1:5" ht="13.5" thickBot="1">
      <c r="A19" s="52"/>
      <c r="B19" s="52" t="s">
        <v>67</v>
      </c>
      <c r="D19" s="10">
        <v>3046.1137999999996</v>
      </c>
      <c r="E19" s="3">
        <f>$D$17+$D$18+$D$19</f>
        <v>46349.79562999989</v>
      </c>
    </row>
    <row r="20" spans="1:4" ht="12.75">
      <c r="A20" s="52" t="s">
        <v>31</v>
      </c>
      <c r="B20" s="52"/>
      <c r="D20" s="11"/>
    </row>
    <row r="21" spans="1:5" ht="12.75">
      <c r="A21" s="52" t="s">
        <v>73</v>
      </c>
      <c r="B21" s="104"/>
      <c r="D21" s="11"/>
      <c r="E21" s="7">
        <v>27974.547109999927</v>
      </c>
    </row>
    <row r="22" spans="1:5" ht="12.75">
      <c r="A22" s="52" t="s">
        <v>32</v>
      </c>
      <c r="B22" s="52"/>
      <c r="D22" s="11"/>
      <c r="E22" s="7">
        <v>3943.8772417404452</v>
      </c>
    </row>
    <row r="23" spans="1:5" ht="12.75">
      <c r="A23" s="52" t="s">
        <v>33</v>
      </c>
      <c r="B23" s="52"/>
      <c r="D23" s="11"/>
      <c r="E23" s="1"/>
    </row>
    <row r="24" spans="1:5" ht="12.75">
      <c r="A24" s="52"/>
      <c r="B24" s="52" t="s">
        <v>68</v>
      </c>
      <c r="D24" s="9">
        <v>8542.87793</v>
      </c>
      <c r="E24" s="1"/>
    </row>
    <row r="25" spans="1:5" ht="25.5" customHeight="1">
      <c r="A25" s="52"/>
      <c r="B25" s="105" t="s">
        <v>74</v>
      </c>
      <c r="D25" s="9">
        <v>2168.66583</v>
      </c>
      <c r="E25" s="1"/>
    </row>
    <row r="26" spans="1:5" ht="13.5" thickBot="1">
      <c r="A26" s="52"/>
      <c r="B26" s="52" t="s">
        <v>75</v>
      </c>
      <c r="D26" s="10">
        <v>882.3802800000001</v>
      </c>
      <c r="E26" s="3">
        <f>$D$24+$D$25-$D$26</f>
        <v>9829.163480000001</v>
      </c>
    </row>
    <row r="27" spans="1:5" ht="12.75">
      <c r="A27" s="52" t="s">
        <v>34</v>
      </c>
      <c r="B27" s="52"/>
      <c r="D27" s="13"/>
      <c r="E27" s="9">
        <v>0</v>
      </c>
    </row>
    <row r="28" spans="1:5" ht="12.75">
      <c r="A28" s="52" t="s">
        <v>35</v>
      </c>
      <c r="B28" s="52"/>
      <c r="D28" s="1"/>
      <c r="E28" s="9">
        <v>-1103.2700250000003</v>
      </c>
    </row>
    <row r="29" spans="1:5" ht="13.5" thickBot="1">
      <c r="A29" s="52" t="s">
        <v>77</v>
      </c>
      <c r="B29" s="52"/>
      <c r="D29" s="1"/>
      <c r="E29" s="14">
        <v>102.76524999999998</v>
      </c>
    </row>
    <row r="30" spans="1:5" ht="12.75">
      <c r="A30" s="52" t="s">
        <v>36</v>
      </c>
      <c r="B30" s="52"/>
      <c r="E30" s="15">
        <f>E$13-E$19-E$21-E$22+E$26-E$27+E$28+E$29</f>
        <v>2743.768293259346</v>
      </c>
    </row>
    <row r="31" spans="1:5" ht="13.5" thickBot="1">
      <c r="A31" s="52" t="s">
        <v>37</v>
      </c>
      <c r="B31" s="52"/>
      <c r="C31" s="1"/>
      <c r="D31" s="1"/>
      <c r="E31" s="14">
        <v>687.529</v>
      </c>
    </row>
    <row r="32" spans="1:5" ht="13.5" thickBot="1">
      <c r="A32" s="52" t="s">
        <v>76</v>
      </c>
      <c r="B32" s="52"/>
      <c r="C32" s="1"/>
      <c r="D32" s="1"/>
      <c r="E32" s="16">
        <f>E$30-E$31</f>
        <v>2056.239293259346</v>
      </c>
    </row>
    <row r="33" spans="1:5" ht="12.75">
      <c r="A33" s="52"/>
      <c r="B33" s="52"/>
      <c r="C33" s="1"/>
      <c r="D33" s="1"/>
      <c r="E33" s="1"/>
    </row>
    <row r="34" spans="1:5" ht="12.75">
      <c r="A34" s="102" t="s">
        <v>38</v>
      </c>
      <c r="B34" s="52"/>
      <c r="D34" s="1"/>
      <c r="E34" s="1"/>
    </row>
    <row r="35" spans="1:5" ht="12.75">
      <c r="A35" s="52" t="s">
        <v>39</v>
      </c>
      <c r="B35" s="52"/>
      <c r="D35" s="1"/>
      <c r="E35" s="17">
        <v>368</v>
      </c>
    </row>
    <row r="36" spans="1:5" ht="12.75">
      <c r="A36" s="52" t="s">
        <v>40</v>
      </c>
      <c r="B36" s="52"/>
      <c r="E36" s="18">
        <f>E$31</f>
        <v>687.529</v>
      </c>
    </row>
    <row r="37" spans="1:5" ht="12.75">
      <c r="A37" s="52" t="s">
        <v>41</v>
      </c>
      <c r="B37" s="52"/>
      <c r="D37" s="9">
        <v>0</v>
      </c>
      <c r="E37" s="19"/>
    </row>
    <row r="38" spans="1:5" ht="13.5" thickBot="1">
      <c r="A38" s="52" t="s">
        <v>42</v>
      </c>
      <c r="B38" s="52"/>
      <c r="D38" s="10">
        <v>19</v>
      </c>
      <c r="E38" s="20">
        <f>$D$37+$D$38</f>
        <v>19</v>
      </c>
    </row>
    <row r="39" spans="1:5" ht="13.5" thickBot="1">
      <c r="A39" s="52" t="s">
        <v>43</v>
      </c>
      <c r="B39" s="52"/>
      <c r="D39" s="1"/>
      <c r="E39" s="21">
        <f>E35+E36-E38</f>
        <v>1036.529</v>
      </c>
    </row>
    <row r="40" spans="1:5" ht="12.75">
      <c r="A40" s="52"/>
      <c r="B40" s="52"/>
      <c r="D40" s="1"/>
      <c r="E40" s="1"/>
    </row>
    <row r="41" spans="1:5" ht="12.75">
      <c r="A41" s="102" t="s">
        <v>44</v>
      </c>
      <c r="B41" s="52"/>
      <c r="D41" s="1"/>
      <c r="E41" s="1"/>
    </row>
    <row r="42" spans="1:5" ht="12.75">
      <c r="A42" s="52" t="s">
        <v>39</v>
      </c>
      <c r="B42" s="52"/>
      <c r="D42" s="1"/>
      <c r="E42" s="17">
        <v>4875</v>
      </c>
    </row>
    <row r="43" spans="1:5" ht="12.75">
      <c r="A43" s="52" t="s">
        <v>45</v>
      </c>
      <c r="B43" s="52"/>
      <c r="D43" s="9">
        <v>212.65615</v>
      </c>
      <c r="E43" s="59"/>
    </row>
    <row r="44" spans="1:5" ht="12.75">
      <c r="A44" s="52" t="s">
        <v>46</v>
      </c>
      <c r="B44" s="52"/>
      <c r="D44" s="9">
        <v>37.138</v>
      </c>
      <c r="E44" s="60">
        <f>D44+D43</f>
        <v>249.79415</v>
      </c>
    </row>
    <row r="45" spans="1:5" ht="12.75">
      <c r="A45" s="52" t="s">
        <v>47</v>
      </c>
      <c r="B45" s="52"/>
      <c r="D45" s="9">
        <v>53.21165</v>
      </c>
      <c r="E45" s="59"/>
    </row>
    <row r="46" spans="1:5" ht="13.5" thickBot="1">
      <c r="A46" s="52" t="s">
        <v>48</v>
      </c>
      <c r="B46" s="52"/>
      <c r="D46" s="9">
        <v>42.5312</v>
      </c>
      <c r="E46" s="20">
        <f>D46+D45</f>
        <v>95.74285</v>
      </c>
    </row>
    <row r="47" spans="1:5" ht="13.5" thickBot="1">
      <c r="A47" s="52" t="s">
        <v>49</v>
      </c>
      <c r="B47" s="52"/>
      <c r="E47" s="21">
        <f>E42+E44-E46</f>
        <v>5029.0513</v>
      </c>
    </row>
    <row r="48" spans="1:5" ht="12.75">
      <c r="A48" s="52"/>
      <c r="B48" s="52"/>
      <c r="E48" s="1"/>
    </row>
    <row r="49" spans="1:5" ht="12.75">
      <c r="A49" s="102" t="s">
        <v>50</v>
      </c>
      <c r="B49" s="52"/>
      <c r="E49" s="1"/>
    </row>
    <row r="50" spans="1:5" ht="13.5" thickBot="1">
      <c r="A50" s="104" t="s">
        <v>4</v>
      </c>
      <c r="B50" s="52" t="s">
        <v>82</v>
      </c>
      <c r="E50" s="20">
        <f>E$26</f>
        <v>9829.163480000001</v>
      </c>
    </row>
    <row r="51" spans="1:5" ht="12.75">
      <c r="A51" s="52"/>
      <c r="B51" s="52"/>
      <c r="D51" s="1"/>
      <c r="E51" s="1"/>
    </row>
    <row r="52" spans="1:5" ht="25.5">
      <c r="A52" s="52"/>
      <c r="B52" s="52"/>
      <c r="D52" s="106" t="s">
        <v>99</v>
      </c>
      <c r="E52" s="106" t="s">
        <v>100</v>
      </c>
    </row>
    <row r="53" spans="1:5" ht="12.75">
      <c r="A53" s="104" t="s">
        <v>5</v>
      </c>
      <c r="B53" s="52" t="s">
        <v>83</v>
      </c>
      <c r="D53" s="22">
        <v>252969.02339000002</v>
      </c>
      <c r="E53" s="23">
        <v>280911.02339</v>
      </c>
    </row>
    <row r="54" spans="1:5" ht="12.75">
      <c r="A54" s="104" t="s">
        <v>6</v>
      </c>
      <c r="B54" s="52" t="s">
        <v>84</v>
      </c>
      <c r="D54" s="24">
        <v>280771.2989564006</v>
      </c>
      <c r="E54" s="23">
        <v>307960.53074887814</v>
      </c>
    </row>
    <row r="55" spans="1:5" ht="12.75">
      <c r="A55" s="52"/>
      <c r="B55" s="52"/>
      <c r="D55" s="1"/>
      <c r="E55" s="1"/>
    </row>
    <row r="56" spans="1:5" ht="12.75">
      <c r="A56" s="104" t="s">
        <v>7</v>
      </c>
      <c r="B56" s="52" t="s">
        <v>109</v>
      </c>
      <c r="D56" s="1"/>
      <c r="E56" s="25">
        <f>E$50/(($D$53+$D$54)/2)</f>
        <v>0.036831256955777894</v>
      </c>
    </row>
    <row r="57" spans="1:5" ht="12.75">
      <c r="A57" s="104" t="s">
        <v>8</v>
      </c>
      <c r="B57" s="52" t="s">
        <v>102</v>
      </c>
      <c r="D57" s="1"/>
      <c r="E57" s="25">
        <f>(E$50+($E$54-$D$54)-($E$53-$D$53))/((E$53+$E$54)/2)</f>
        <v>0.03082640079550189</v>
      </c>
    </row>
    <row r="58" spans="1:5" ht="12.75">
      <c r="A58" s="52"/>
      <c r="B58" s="104" t="s">
        <v>101</v>
      </c>
      <c r="D58" s="1"/>
      <c r="E58" s="1"/>
    </row>
    <row r="59" spans="4:5" ht="12.75">
      <c r="D59" s="1"/>
      <c r="E59" s="1"/>
    </row>
    <row r="60" spans="1:5" ht="12.75">
      <c r="A60" s="52" t="s">
        <v>9</v>
      </c>
      <c r="B60" s="104" t="s">
        <v>85</v>
      </c>
      <c r="D60" s="1"/>
      <c r="E60" s="1"/>
    </row>
    <row r="61" spans="1:5" ht="12.75">
      <c r="A61" s="104"/>
      <c r="B61" s="52" t="s">
        <v>86</v>
      </c>
      <c r="D61" s="26">
        <v>0.048595408756928284</v>
      </c>
      <c r="E61" s="1"/>
    </row>
    <row r="62" spans="1:5" ht="12.75">
      <c r="A62" s="52"/>
      <c r="B62" s="52" t="s">
        <v>87</v>
      </c>
      <c r="D62" s="26">
        <v>0.7901294955039181</v>
      </c>
      <c r="E62" s="1"/>
    </row>
    <row r="63" spans="1:5" ht="12.75">
      <c r="A63" s="52"/>
      <c r="B63" s="52" t="s">
        <v>88</v>
      </c>
      <c r="D63" s="26">
        <v>0</v>
      </c>
      <c r="E63" s="1"/>
    </row>
    <row r="64" spans="1:5" ht="12.75">
      <c r="A64" s="52"/>
      <c r="B64" s="52" t="s">
        <v>89</v>
      </c>
      <c r="D64" s="26">
        <v>0.12245415762862188</v>
      </c>
      <c r="E64" s="1"/>
    </row>
    <row r="65" spans="1:5" ht="12.75">
      <c r="A65" s="52"/>
      <c r="B65" s="52" t="s">
        <v>90</v>
      </c>
      <c r="D65" s="26">
        <v>0.016585463640010855</v>
      </c>
      <c r="E65" s="1"/>
    </row>
    <row r="66" spans="1:5" ht="12.75">
      <c r="A66" s="52"/>
      <c r="B66" s="52" t="s">
        <v>91</v>
      </c>
      <c r="D66" s="26">
        <v>0</v>
      </c>
      <c r="E66" s="1"/>
    </row>
    <row r="67" spans="1:5" ht="12.75">
      <c r="A67" s="52"/>
      <c r="B67" s="52" t="s">
        <v>92</v>
      </c>
      <c r="D67" s="26">
        <v>0.02223547447052077</v>
      </c>
      <c r="E67" s="1"/>
    </row>
    <row r="68" spans="1:5" ht="13.5" thickBot="1">
      <c r="A68" s="52"/>
      <c r="B68" s="52" t="s">
        <v>93</v>
      </c>
      <c r="D68" s="27">
        <v>0</v>
      </c>
      <c r="E68" s="28">
        <f>SUM($D$61:$D$68)</f>
        <v>0.9999999999999999</v>
      </c>
    </row>
    <row r="69" spans="1:5" ht="12.75">
      <c r="A69" s="52"/>
      <c r="B69" s="52"/>
      <c r="D69" s="1"/>
      <c r="E69" s="1"/>
    </row>
    <row r="70" spans="1:5" ht="12.75">
      <c r="A70" s="52" t="s">
        <v>10</v>
      </c>
      <c r="B70" s="52" t="s">
        <v>94</v>
      </c>
      <c r="E70" s="17">
        <v>281108.72329999995</v>
      </c>
    </row>
    <row r="71" spans="1:5" ht="12.75">
      <c r="A71" s="104" t="s">
        <v>11</v>
      </c>
      <c r="B71" s="52" t="s">
        <v>95</v>
      </c>
      <c r="E71" s="29">
        <v>5395</v>
      </c>
    </row>
    <row r="72" spans="1:5" ht="12.75">
      <c r="A72" s="104"/>
      <c r="B72" s="52"/>
      <c r="E72" s="1"/>
    </row>
    <row r="73" spans="1:5" ht="12.75">
      <c r="A73" s="52" t="s">
        <v>12</v>
      </c>
      <c r="B73" s="52" t="s">
        <v>96</v>
      </c>
      <c r="E73" s="1"/>
    </row>
    <row r="74" spans="1:5" ht="12.75">
      <c r="A74" s="104"/>
      <c r="B74" s="52" t="s">
        <v>75</v>
      </c>
      <c r="D74" s="15">
        <f>D26</f>
        <v>882.3802800000001</v>
      </c>
      <c r="E74" s="1"/>
    </row>
    <row r="75" spans="1:5" ht="12.75">
      <c r="A75" s="104"/>
      <c r="B75" s="52" t="s">
        <v>32</v>
      </c>
      <c r="D75" s="41">
        <f>E22</f>
        <v>3943.8772417404452</v>
      </c>
      <c r="E75" s="18">
        <f>D75+D74</f>
        <v>4826.257521740446</v>
      </c>
    </row>
    <row r="76" spans="1:5" ht="12.75">
      <c r="A76" s="104"/>
      <c r="B76" s="52" t="s">
        <v>97</v>
      </c>
      <c r="E76" s="18">
        <f>(1000*E75)/E71</f>
        <v>894.5797074588407</v>
      </c>
    </row>
    <row r="77" spans="1:5" ht="12.75">
      <c r="A77" s="104"/>
      <c r="B77" s="52"/>
      <c r="E77" s="1"/>
    </row>
    <row r="78" ht="12.75">
      <c r="B78" s="52"/>
    </row>
    <row r="79" spans="1:5" ht="12.75">
      <c r="A79" s="107" t="s">
        <v>117</v>
      </c>
      <c r="B79" s="52"/>
      <c r="D79" s="1"/>
      <c r="E79" s="1"/>
    </row>
    <row r="80" spans="1:6" ht="12.75">
      <c r="A80" s="110" t="s">
        <v>51</v>
      </c>
      <c r="B80" s="111"/>
      <c r="C80" s="118" t="s">
        <v>115</v>
      </c>
      <c r="D80" s="118"/>
      <c r="E80" s="118" t="s">
        <v>116</v>
      </c>
      <c r="F80" s="118"/>
    </row>
    <row r="81" spans="1:5" ht="12.75">
      <c r="A81" s="52"/>
      <c r="B81" s="52" t="s">
        <v>103</v>
      </c>
      <c r="C81" s="30">
        <v>9814</v>
      </c>
      <c r="E81" s="30">
        <v>16</v>
      </c>
    </row>
    <row r="82" spans="2:5" ht="12.75">
      <c r="B82" s="52" t="s">
        <v>104</v>
      </c>
      <c r="C82" s="30">
        <v>5350.845492112038</v>
      </c>
      <c r="E82" s="30">
        <v>568.0931885651243</v>
      </c>
    </row>
    <row r="83" spans="1:6" ht="12.75">
      <c r="A83" s="52"/>
      <c r="B83" s="52" t="s">
        <v>105</v>
      </c>
      <c r="C83" s="30">
        <v>2826.877249322837</v>
      </c>
      <c r="D83" s="53">
        <f>SUM(C81:C83)</f>
        <v>17991.722741434874</v>
      </c>
      <c r="E83" s="30">
        <v>74.36149999999991</v>
      </c>
      <c r="F83" s="53">
        <f>SUM(E81:E83)</f>
        <v>658.4546885651241</v>
      </c>
    </row>
    <row r="84" spans="1:2" ht="12.75">
      <c r="A84" s="52" t="s">
        <v>52</v>
      </c>
      <c r="B84" s="52"/>
    </row>
    <row r="85" spans="1:5" ht="12.75">
      <c r="A85" s="52"/>
      <c r="B85" s="52" t="s">
        <v>103</v>
      </c>
      <c r="C85" s="30">
        <v>5598.831026403927</v>
      </c>
      <c r="E85" s="30">
        <v>0.8493801642154576</v>
      </c>
    </row>
    <row r="86" spans="1:5" ht="12.75">
      <c r="A86" s="52"/>
      <c r="B86" s="52" t="s">
        <v>104</v>
      </c>
      <c r="C86" s="30">
        <v>5780.421387558037</v>
      </c>
      <c r="D86" s="52"/>
      <c r="E86" s="30">
        <v>387.29664433999795</v>
      </c>
    </row>
    <row r="87" spans="1:6" ht="12.75">
      <c r="A87" s="52"/>
      <c r="B87" s="52" t="s">
        <v>105</v>
      </c>
      <c r="C87" s="30">
        <v>3213.7874410268214</v>
      </c>
      <c r="D87" s="53">
        <f>SUM(C85:C87)</f>
        <v>14593.039854988785</v>
      </c>
      <c r="E87" s="30">
        <v>-74.69259894350074</v>
      </c>
      <c r="F87" s="53">
        <f>SUM(E85:E87)</f>
        <v>313.4534255607127</v>
      </c>
    </row>
    <row r="88" spans="1:6" ht="12.75">
      <c r="A88" s="52" t="s">
        <v>53</v>
      </c>
      <c r="B88" s="52"/>
      <c r="D88" s="54">
        <f>D83-D87</f>
        <v>3398.6828864460895</v>
      </c>
      <c r="F88" s="54">
        <f>F83-F87</f>
        <v>345.00126300441144</v>
      </c>
    </row>
    <row r="89" spans="1:6" ht="12.75">
      <c r="A89" s="52" t="s">
        <v>54</v>
      </c>
      <c r="B89" s="52"/>
      <c r="D89" s="30">
        <v>1000</v>
      </c>
      <c r="F89" s="30">
        <v>0</v>
      </c>
    </row>
    <row r="90" spans="1:6" ht="12.75">
      <c r="A90" s="52" t="s">
        <v>55</v>
      </c>
      <c r="B90" s="52"/>
      <c r="D90" s="30">
        <v>0</v>
      </c>
      <c r="F90" s="55"/>
    </row>
    <row r="91" spans="1:6" ht="13.5" thickBot="1">
      <c r="A91" s="52" t="s">
        <v>56</v>
      </c>
      <c r="B91" s="52"/>
      <c r="D91" s="30">
        <v>600</v>
      </c>
      <c r="F91" s="30">
        <v>87.52899999999998</v>
      </c>
    </row>
    <row r="92" spans="1:6" ht="13.5" thickBot="1">
      <c r="A92" s="52" t="s">
        <v>57</v>
      </c>
      <c r="B92" s="52"/>
      <c r="D92" s="16">
        <f>D88-D89-D90-D91</f>
        <v>1798.6828864460895</v>
      </c>
      <c r="F92" s="16">
        <f>F88-F89-F91</f>
        <v>257.47226300441145</v>
      </c>
    </row>
    <row r="93" spans="1:6" ht="12.75">
      <c r="A93" s="108" t="s">
        <v>58</v>
      </c>
      <c r="B93" s="52"/>
      <c r="D93" s="56"/>
      <c r="F93" s="47"/>
    </row>
    <row r="94" spans="1:6" ht="12.75">
      <c r="A94" s="52" t="s">
        <v>106</v>
      </c>
      <c r="B94" s="52"/>
      <c r="D94" s="57">
        <f>IF(D$83&gt;0,MIN(MAX((D$87+D$89+D$90+D$91)/D$83,0.9),1),0)</f>
        <v>0.9000272007135965</v>
      </c>
      <c r="F94" s="58">
        <f>IF(F$83&gt;0,MIN((F$87+F$89+F$90+F$91)/F$83,1),0)</f>
        <v>0.6089749720432793</v>
      </c>
    </row>
    <row r="95" spans="1:2" ht="12.75">
      <c r="A95" s="52"/>
      <c r="B95" s="52"/>
    </row>
    <row r="96" spans="1:2" ht="12.75">
      <c r="A96" s="52" t="s">
        <v>59</v>
      </c>
      <c r="B96" s="52"/>
    </row>
    <row r="97" spans="1:5" ht="12.75">
      <c r="A97" s="52"/>
      <c r="B97" s="52" t="s">
        <v>107</v>
      </c>
      <c r="D97" s="53">
        <f>D92</f>
        <v>1798.6828864460895</v>
      </c>
      <c r="E97" s="58">
        <f>IF($D$83&gt;0,D97/$D$83,0)</f>
        <v>0.09997279928640347</v>
      </c>
    </row>
    <row r="98" spans="1:5" ht="13.5" thickBot="1">
      <c r="A98" s="52"/>
      <c r="B98" s="52" t="s">
        <v>108</v>
      </c>
      <c r="D98" s="53">
        <f>F92</f>
        <v>257.47226300441145</v>
      </c>
      <c r="E98" s="58">
        <f>IF($F$83&gt;0,D98/$F$83,0)</f>
        <v>0.39102502795672067</v>
      </c>
    </row>
    <row r="99" spans="1:4" ht="13.5" thickBot="1">
      <c r="A99" s="52"/>
      <c r="B99" s="52" t="s">
        <v>113</v>
      </c>
      <c r="D99" s="31">
        <f>D98+D97</f>
        <v>2056.155149450501</v>
      </c>
    </row>
    <row r="100" ht="12.75">
      <c r="D100">
        <f>IF(ABS($E$32-$D$99)&lt;2,"","&lt;&gt; Pos. 411e ("&amp;TEXT($F$33,"#'##0")&amp;") ?")</f>
      </c>
    </row>
  </sheetData>
  <sheetProtection/>
  <mergeCells count="2">
    <mergeCell ref="C80:D80"/>
    <mergeCell ref="E80:F80"/>
  </mergeCells>
  <conditionalFormatting sqref="D99">
    <cfRule type="expression" priority="1" dxfId="0" stopIfTrue="1">
      <formula>IF(D$100="",0,1)</formula>
    </cfRule>
  </conditionalFormatting>
  <conditionalFormatting sqref="D94">
    <cfRule type="expression" priority="2" dxfId="2" stopIfTrue="1">
      <formula>IF($B$94=0,0,1)</formula>
    </cfRule>
  </conditionalFormatting>
  <conditionalFormatting sqref="E47">
    <cfRule type="expression" priority="3" dxfId="0" stopIfTrue="1">
      <formula>IF(#REF!="",0,1)</formula>
    </cfRule>
  </conditionalFormatting>
  <printOptions/>
  <pageMargins left="0.5" right="0.2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>
    <tabColor indexed="12"/>
    <pageSetUpPr fitToPage="1"/>
  </sheetPr>
  <dimension ref="A1:G100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4" width="13.421875" style="0" customWidth="1"/>
    <col min="5" max="6" width="14.00390625" style="0" customWidth="1"/>
  </cols>
  <sheetData>
    <row r="1" spans="1:7" ht="12.75">
      <c r="A1" s="101" t="s">
        <v>70</v>
      </c>
      <c r="B1" s="52"/>
      <c r="G1" s="61"/>
    </row>
    <row r="2" spans="1:7" ht="12.75">
      <c r="A2" s="52" t="s">
        <v>71</v>
      </c>
      <c r="B2" s="52"/>
      <c r="G2" s="61"/>
    </row>
    <row r="3" spans="1:7" ht="12.75">
      <c r="A3" s="102" t="s">
        <v>20</v>
      </c>
      <c r="B3" s="52"/>
      <c r="G3" s="61"/>
    </row>
    <row r="4" spans="1:7" ht="12.75">
      <c r="A4" s="52"/>
      <c r="B4" s="52"/>
      <c r="G4" s="61"/>
    </row>
    <row r="5" spans="1:7" ht="12.75">
      <c r="A5" s="52" t="s">
        <v>69</v>
      </c>
      <c r="B5" s="52"/>
      <c r="G5" s="61"/>
    </row>
    <row r="6" spans="1:7" ht="12.75">
      <c r="A6" s="52"/>
      <c r="B6" s="52"/>
      <c r="G6" s="61"/>
    </row>
    <row r="7" spans="1:7" ht="12.75">
      <c r="A7" s="52" t="s">
        <v>0</v>
      </c>
      <c r="B7" s="52" t="s">
        <v>1</v>
      </c>
      <c r="C7" s="1"/>
      <c r="D7" s="1" t="s">
        <v>3</v>
      </c>
      <c r="E7" s="1" t="s">
        <v>98</v>
      </c>
      <c r="F7" s="1"/>
      <c r="G7" s="61"/>
    </row>
    <row r="8" spans="1:7" ht="12.75">
      <c r="A8" s="52"/>
      <c r="B8" s="52"/>
      <c r="C8" s="2"/>
      <c r="D8" s="2" t="s">
        <v>78</v>
      </c>
      <c r="E8" s="2" t="s">
        <v>79</v>
      </c>
      <c r="F8" s="2"/>
      <c r="G8" s="61"/>
    </row>
    <row r="9" spans="1:7" ht="12.75">
      <c r="A9" s="102" t="s">
        <v>28</v>
      </c>
      <c r="B9" s="52"/>
      <c r="G9" s="61"/>
    </row>
    <row r="10" spans="1:7" ht="12.75">
      <c r="A10" s="52" t="s">
        <v>29</v>
      </c>
      <c r="B10" s="52"/>
      <c r="D10" s="1"/>
      <c r="E10" s="1"/>
      <c r="G10" s="61"/>
    </row>
    <row r="11" spans="1:7" ht="12.75">
      <c r="A11" s="52"/>
      <c r="B11" s="52" t="s">
        <v>60</v>
      </c>
      <c r="D11" s="3">
        <f>$E$13-D$12-D$13</f>
        <v>1428145</v>
      </c>
      <c r="E11" s="1"/>
      <c r="G11" s="61"/>
    </row>
    <row r="12" spans="1:7" ht="12.75">
      <c r="A12" s="52"/>
      <c r="B12" s="52" t="s">
        <v>61</v>
      </c>
      <c r="D12" s="5">
        <v>220271</v>
      </c>
      <c r="E12" s="1"/>
      <c r="G12" s="61"/>
    </row>
    <row r="13" spans="1:7" ht="13.5" thickBot="1">
      <c r="A13" s="52"/>
      <c r="B13" s="52" t="s">
        <v>62</v>
      </c>
      <c r="D13" s="6">
        <v>77230</v>
      </c>
      <c r="E13" s="7">
        <v>1725646</v>
      </c>
      <c r="G13" s="61"/>
    </row>
    <row r="14" spans="1:7" ht="12.75">
      <c r="A14" s="52"/>
      <c r="B14" s="103" t="s">
        <v>63</v>
      </c>
      <c r="D14" s="1"/>
      <c r="E14" s="1"/>
      <c r="G14" s="61"/>
    </row>
    <row r="15" spans="1:7" ht="12.75">
      <c r="A15" s="52"/>
      <c r="B15" s="103" t="s">
        <v>64</v>
      </c>
      <c r="D15" s="1"/>
      <c r="E15" s="1"/>
      <c r="G15" s="61"/>
    </row>
    <row r="16" spans="1:5" ht="12.75">
      <c r="A16" s="52" t="s">
        <v>30</v>
      </c>
      <c r="B16" s="52"/>
      <c r="D16" s="1"/>
      <c r="E16" s="1"/>
    </row>
    <row r="17" spans="1:5" ht="12.75">
      <c r="A17" s="52"/>
      <c r="B17" s="52" t="s">
        <v>65</v>
      </c>
      <c r="D17" s="8">
        <v>357494</v>
      </c>
      <c r="E17" s="1"/>
    </row>
    <row r="18" spans="1:5" ht="12.75">
      <c r="A18" s="52"/>
      <c r="B18" s="52" t="s">
        <v>66</v>
      </c>
      <c r="D18" s="9">
        <v>760430</v>
      </c>
      <c r="E18" s="1"/>
    </row>
    <row r="19" spans="1:5" ht="13.5" thickBot="1">
      <c r="A19" s="52"/>
      <c r="B19" s="52" t="s">
        <v>67</v>
      </c>
      <c r="D19" s="10">
        <v>408909</v>
      </c>
      <c r="E19" s="3">
        <f>$D$17+$D$18+$D$19</f>
        <v>1526833</v>
      </c>
    </row>
    <row r="20" spans="1:4" ht="12.75">
      <c r="A20" s="52" t="s">
        <v>31</v>
      </c>
      <c r="B20" s="52"/>
      <c r="D20" s="11"/>
    </row>
    <row r="21" spans="1:5" ht="12.75">
      <c r="A21" s="52" t="s">
        <v>73</v>
      </c>
      <c r="B21" s="104"/>
      <c r="D21" s="11"/>
      <c r="E21" s="7">
        <v>357961</v>
      </c>
    </row>
    <row r="22" spans="1:5" ht="12.75">
      <c r="A22" s="52" t="s">
        <v>32</v>
      </c>
      <c r="B22" s="52"/>
      <c r="D22" s="11"/>
      <c r="E22" s="7">
        <v>97275</v>
      </c>
    </row>
    <row r="23" spans="1:5" ht="12.75">
      <c r="A23" s="52" t="s">
        <v>33</v>
      </c>
      <c r="B23" s="52"/>
      <c r="D23" s="11"/>
      <c r="E23" s="1"/>
    </row>
    <row r="24" spans="1:5" ht="12.75">
      <c r="A24" s="52"/>
      <c r="B24" s="52" t="s">
        <v>68</v>
      </c>
      <c r="D24" s="9">
        <v>376873</v>
      </c>
      <c r="E24" s="1"/>
    </row>
    <row r="25" spans="1:5" ht="25.5" customHeight="1">
      <c r="A25" s="52"/>
      <c r="B25" s="105" t="s">
        <v>74</v>
      </c>
      <c r="D25" s="9">
        <v>55095</v>
      </c>
      <c r="E25" s="1"/>
    </row>
    <row r="26" spans="1:5" ht="13.5" thickBot="1">
      <c r="A26" s="52"/>
      <c r="B26" s="52" t="s">
        <v>75</v>
      </c>
      <c r="D26" s="10">
        <v>45057</v>
      </c>
      <c r="E26" s="3">
        <f>$D$24+$D$25-$D$26</f>
        <v>386911</v>
      </c>
    </row>
    <row r="27" spans="1:5" ht="12.75">
      <c r="A27" s="52" t="s">
        <v>34</v>
      </c>
      <c r="B27" s="52"/>
      <c r="D27" s="13"/>
      <c r="E27" s="9">
        <v>0</v>
      </c>
    </row>
    <row r="28" spans="1:5" ht="12.75">
      <c r="A28" s="52" t="s">
        <v>35</v>
      </c>
      <c r="B28" s="52"/>
      <c r="D28" s="1"/>
      <c r="E28" s="9">
        <v>3235</v>
      </c>
    </row>
    <row r="29" spans="1:5" ht="13.5" thickBot="1">
      <c r="A29" s="52" t="s">
        <v>77</v>
      </c>
      <c r="B29" s="52"/>
      <c r="D29" s="1"/>
      <c r="E29" s="14">
        <v>-7353</v>
      </c>
    </row>
    <row r="30" spans="1:5" ht="12.75">
      <c r="A30" s="52" t="s">
        <v>36</v>
      </c>
      <c r="B30" s="52"/>
      <c r="E30" s="15">
        <f>E$13-E$19-E$21-E$22+E$26-E$27+E$28+E$29</f>
        <v>126370</v>
      </c>
    </row>
    <row r="31" spans="1:5" ht="13.5" thickBot="1">
      <c r="A31" s="52" t="s">
        <v>37</v>
      </c>
      <c r="B31" s="52"/>
      <c r="C31" s="1"/>
      <c r="D31" s="1"/>
      <c r="E31" s="14">
        <v>72200</v>
      </c>
    </row>
    <row r="32" spans="1:5" ht="13.5" thickBot="1">
      <c r="A32" s="52" t="s">
        <v>76</v>
      </c>
      <c r="B32" s="52"/>
      <c r="C32" s="1"/>
      <c r="D32" s="1"/>
      <c r="E32" s="16">
        <f>E$30-E$31</f>
        <v>54170</v>
      </c>
    </row>
    <row r="33" spans="1:5" ht="12.75">
      <c r="A33" s="52"/>
      <c r="B33" s="52"/>
      <c r="C33" s="1"/>
      <c r="D33" s="1"/>
      <c r="E33" s="1"/>
    </row>
    <row r="34" spans="1:5" ht="12.75">
      <c r="A34" s="102" t="s">
        <v>38</v>
      </c>
      <c r="B34" s="52"/>
      <c r="D34" s="1"/>
      <c r="E34" s="1"/>
    </row>
    <row r="35" spans="1:5" ht="12.75">
      <c r="A35" s="52" t="s">
        <v>39</v>
      </c>
      <c r="B35" s="52"/>
      <c r="D35" s="1"/>
      <c r="E35" s="17">
        <v>20632</v>
      </c>
    </row>
    <row r="36" spans="1:5" ht="12.75">
      <c r="A36" s="52" t="s">
        <v>40</v>
      </c>
      <c r="B36" s="52"/>
      <c r="E36" s="18">
        <f>E$31</f>
        <v>72200</v>
      </c>
    </row>
    <row r="37" spans="1:5" ht="12.75">
      <c r="A37" s="52" t="s">
        <v>41</v>
      </c>
      <c r="B37" s="52"/>
      <c r="D37" s="9">
        <v>0</v>
      </c>
      <c r="E37" s="19"/>
    </row>
    <row r="38" spans="1:5" ht="13.5" thickBot="1">
      <c r="A38" s="52" t="s">
        <v>42</v>
      </c>
      <c r="B38" s="52"/>
      <c r="D38" s="10">
        <v>38437</v>
      </c>
      <c r="E38" s="20">
        <f>$D$37+$D$38</f>
        <v>38437</v>
      </c>
    </row>
    <row r="39" spans="1:5" ht="13.5" thickBot="1">
      <c r="A39" s="52" t="s">
        <v>43</v>
      </c>
      <c r="B39" s="52"/>
      <c r="D39" s="1"/>
      <c r="E39" s="21">
        <f>E35+E36-E38</f>
        <v>54395</v>
      </c>
    </row>
    <row r="40" spans="1:5" ht="12.75">
      <c r="A40" s="52"/>
      <c r="B40" s="52"/>
      <c r="D40" s="1"/>
      <c r="E40" s="1"/>
    </row>
    <row r="41" spans="1:5" ht="12.75">
      <c r="A41" s="102" t="s">
        <v>44</v>
      </c>
      <c r="B41" s="52"/>
      <c r="D41" s="1"/>
      <c r="E41" s="1"/>
    </row>
    <row r="42" spans="1:5" ht="12.75">
      <c r="A42" s="52" t="s">
        <v>39</v>
      </c>
      <c r="B42" s="52"/>
      <c r="D42" s="1"/>
      <c r="E42" s="17">
        <v>200976.58500000002</v>
      </c>
    </row>
    <row r="43" spans="1:5" ht="12.75">
      <c r="A43" s="52" t="s">
        <v>45</v>
      </c>
      <c r="B43" s="52"/>
      <c r="D43" s="9">
        <v>5537</v>
      </c>
      <c r="E43" s="59"/>
    </row>
    <row r="44" spans="1:5" ht="12.75">
      <c r="A44" s="52" t="s">
        <v>46</v>
      </c>
      <c r="B44" s="52"/>
      <c r="D44" s="9">
        <v>2010</v>
      </c>
      <c r="E44" s="60">
        <f>D44+D43</f>
        <v>7547</v>
      </c>
    </row>
    <row r="45" spans="1:5" ht="12.75">
      <c r="A45" s="52" t="s">
        <v>47</v>
      </c>
      <c r="B45" s="52"/>
      <c r="D45" s="9">
        <v>1672</v>
      </c>
      <c r="E45" s="59"/>
    </row>
    <row r="46" spans="1:5" ht="13.5" thickBot="1">
      <c r="A46" s="52" t="s">
        <v>48</v>
      </c>
      <c r="B46" s="52"/>
      <c r="D46" s="9">
        <v>0</v>
      </c>
      <c r="E46" s="20">
        <f>D46+D45</f>
        <v>1672</v>
      </c>
    </row>
    <row r="47" spans="1:5" ht="13.5" thickBot="1">
      <c r="A47" s="52" t="s">
        <v>49</v>
      </c>
      <c r="B47" s="52"/>
      <c r="E47" s="21">
        <f>E42+E44-E46</f>
        <v>206851.58500000002</v>
      </c>
    </row>
    <row r="48" spans="1:5" ht="12.75">
      <c r="A48" s="52"/>
      <c r="B48" s="52"/>
      <c r="E48" s="1"/>
    </row>
    <row r="49" spans="1:5" ht="12.75">
      <c r="A49" s="102" t="s">
        <v>50</v>
      </c>
      <c r="B49" s="52"/>
      <c r="E49" s="1"/>
    </row>
    <row r="50" spans="1:5" ht="13.5" thickBot="1">
      <c r="A50" s="104" t="s">
        <v>4</v>
      </c>
      <c r="B50" s="52" t="s">
        <v>82</v>
      </c>
      <c r="E50" s="20">
        <f>E$26</f>
        <v>386911</v>
      </c>
    </row>
    <row r="51" spans="1:5" ht="12.75">
      <c r="A51" s="52"/>
      <c r="B51" s="52"/>
      <c r="D51" s="1"/>
      <c r="E51" s="1"/>
    </row>
    <row r="52" spans="1:5" ht="25.5">
      <c r="A52" s="52"/>
      <c r="B52" s="52"/>
      <c r="D52" s="106" t="s">
        <v>99</v>
      </c>
      <c r="E52" s="106" t="s">
        <v>100</v>
      </c>
    </row>
    <row r="53" spans="1:5" ht="12.75">
      <c r="A53" s="104" t="s">
        <v>5</v>
      </c>
      <c r="B53" s="52" t="s">
        <v>83</v>
      </c>
      <c r="D53" s="22">
        <v>11318833</v>
      </c>
      <c r="E53" s="23">
        <v>12246860</v>
      </c>
    </row>
    <row r="54" spans="1:5" ht="12.75">
      <c r="A54" s="104" t="s">
        <v>6</v>
      </c>
      <c r="B54" s="52" t="s">
        <v>84</v>
      </c>
      <c r="D54" s="24">
        <v>11787084</v>
      </c>
      <c r="E54" s="23">
        <v>12682119</v>
      </c>
    </row>
    <row r="55" spans="1:5" ht="12.75">
      <c r="A55" s="52"/>
      <c r="B55" s="52"/>
      <c r="D55" s="1"/>
      <c r="E55" s="1"/>
    </row>
    <row r="56" spans="1:5" ht="12.75">
      <c r="A56" s="104" t="s">
        <v>7</v>
      </c>
      <c r="B56" s="52" t="s">
        <v>109</v>
      </c>
      <c r="D56" s="1"/>
      <c r="E56" s="25">
        <f>E$50/(($D$53+$D$54)/2)</f>
        <v>0.03349020945587228</v>
      </c>
    </row>
    <row r="57" spans="1:5" ht="12.75">
      <c r="A57" s="104" t="s">
        <v>8</v>
      </c>
      <c r="B57" s="52" t="s">
        <v>102</v>
      </c>
      <c r="D57" s="1"/>
      <c r="E57" s="25">
        <f>(E$50+($E$54-$D$54)-($E$53-$D$53))/((E$53+$E$54)/2)</f>
        <v>0.028394183331776242</v>
      </c>
    </row>
    <row r="58" spans="1:5" ht="12.75">
      <c r="A58" s="52"/>
      <c r="B58" s="104" t="s">
        <v>101</v>
      </c>
      <c r="D58" s="1"/>
      <c r="E58" s="1"/>
    </row>
    <row r="59" spans="4:5" ht="12.75">
      <c r="D59" s="1"/>
      <c r="E59" s="1"/>
    </row>
    <row r="60" spans="1:5" ht="12.75">
      <c r="A60" s="52" t="s">
        <v>9</v>
      </c>
      <c r="B60" s="104" t="s">
        <v>85</v>
      </c>
      <c r="D60" s="1"/>
      <c r="E60" s="1"/>
    </row>
    <row r="61" spans="1:5" ht="12.75">
      <c r="A61" s="104"/>
      <c r="B61" s="52" t="s">
        <v>86</v>
      </c>
      <c r="D61" s="26">
        <v>0.011653263860680047</v>
      </c>
      <c r="E61" s="1"/>
    </row>
    <row r="62" spans="1:5" ht="12.75">
      <c r="A62" s="52"/>
      <c r="B62" s="52" t="s">
        <v>87</v>
      </c>
      <c r="D62" s="26">
        <v>0.4988388985774599</v>
      </c>
      <c r="E62" s="1"/>
    </row>
    <row r="63" spans="1:5" ht="12.75">
      <c r="A63" s="52"/>
      <c r="B63" s="52" t="s">
        <v>88</v>
      </c>
      <c r="D63" s="26">
        <v>0.17698720056631478</v>
      </c>
      <c r="E63" s="1"/>
    </row>
    <row r="64" spans="1:5" ht="12.75">
      <c r="A64" s="52"/>
      <c r="B64" s="52" t="s">
        <v>89</v>
      </c>
      <c r="D64" s="26">
        <v>0.0631099260851963</v>
      </c>
      <c r="E64" s="1"/>
    </row>
    <row r="65" spans="1:5" ht="12.75">
      <c r="A65" s="52"/>
      <c r="B65" s="52" t="s">
        <v>90</v>
      </c>
      <c r="D65" s="26">
        <v>0.06337105937312401</v>
      </c>
      <c r="E65" s="1"/>
    </row>
    <row r="66" spans="1:5" ht="12.75">
      <c r="A66" s="52"/>
      <c r="B66" s="52" t="s">
        <v>91</v>
      </c>
      <c r="D66" s="26">
        <v>0.01665814886871087</v>
      </c>
      <c r="E66" s="1"/>
    </row>
    <row r="67" spans="1:5" ht="12.75">
      <c r="A67" s="52"/>
      <c r="B67" s="52" t="s">
        <v>92</v>
      </c>
      <c r="D67" s="26">
        <v>0.1368692205807645</v>
      </c>
      <c r="E67" s="1"/>
    </row>
    <row r="68" spans="1:5" ht="13.5" thickBot="1">
      <c r="A68" s="52"/>
      <c r="B68" s="52" t="s">
        <v>93</v>
      </c>
      <c r="D68" s="27">
        <v>0.03251228208774961</v>
      </c>
      <c r="E68" s="28">
        <f>SUM($D$61:$D$68)</f>
        <v>0.9999999999999999</v>
      </c>
    </row>
    <row r="69" spans="1:5" ht="12.75">
      <c r="A69" s="52"/>
      <c r="B69" s="52"/>
      <c r="D69" s="1"/>
      <c r="E69" s="1"/>
    </row>
    <row r="70" spans="1:5" ht="12.75">
      <c r="A70" s="52" t="s">
        <v>10</v>
      </c>
      <c r="B70" s="52" t="s">
        <v>94</v>
      </c>
      <c r="E70" s="17">
        <v>11523559</v>
      </c>
    </row>
    <row r="71" spans="1:5" ht="12.75">
      <c r="A71" s="104" t="s">
        <v>11</v>
      </c>
      <c r="B71" s="52" t="s">
        <v>95</v>
      </c>
      <c r="E71" s="29">
        <v>185569</v>
      </c>
    </row>
    <row r="72" spans="1:5" ht="12.75">
      <c r="A72" s="104"/>
      <c r="B72" s="52"/>
      <c r="E72" s="1"/>
    </row>
    <row r="73" spans="1:5" ht="12.75">
      <c r="A73" s="52" t="s">
        <v>12</v>
      </c>
      <c r="B73" s="52" t="s">
        <v>96</v>
      </c>
      <c r="E73" s="1"/>
    </row>
    <row r="74" spans="1:5" ht="12.75">
      <c r="A74" s="104"/>
      <c r="B74" s="52" t="s">
        <v>75</v>
      </c>
      <c r="D74" s="15">
        <f>D26</f>
        <v>45057</v>
      </c>
      <c r="E74" s="1"/>
    </row>
    <row r="75" spans="1:5" ht="12.75">
      <c r="A75" s="104"/>
      <c r="B75" s="52" t="s">
        <v>32</v>
      </c>
      <c r="D75" s="41">
        <f>E22</f>
        <v>97275</v>
      </c>
      <c r="E75" s="18">
        <f>D75+D74</f>
        <v>142332</v>
      </c>
    </row>
    <row r="76" spans="1:5" ht="12.75">
      <c r="A76" s="104"/>
      <c r="B76" s="52" t="s">
        <v>97</v>
      </c>
      <c r="E76" s="18">
        <f>(1000*E75)/E71</f>
        <v>767.0031093555497</v>
      </c>
    </row>
    <row r="77" spans="1:5" ht="12.75">
      <c r="A77" s="104"/>
      <c r="B77" s="52"/>
      <c r="E77" s="1"/>
    </row>
    <row r="78" ht="12.75">
      <c r="B78" s="52"/>
    </row>
    <row r="79" spans="1:5" ht="12.75">
      <c r="A79" s="107" t="s">
        <v>117</v>
      </c>
      <c r="B79" s="52"/>
      <c r="D79" s="1"/>
      <c r="E79" s="1"/>
    </row>
    <row r="80" spans="1:6" ht="12.75">
      <c r="A80" s="110" t="s">
        <v>51</v>
      </c>
      <c r="B80" s="111"/>
      <c r="C80" s="118" t="s">
        <v>115</v>
      </c>
      <c r="D80" s="118"/>
      <c r="E80" s="118" t="s">
        <v>116</v>
      </c>
      <c r="F80" s="118"/>
    </row>
    <row r="81" spans="1:5" ht="12.75">
      <c r="A81" s="52"/>
      <c r="B81" s="52" t="s">
        <v>103</v>
      </c>
      <c r="C81" s="30">
        <v>301368</v>
      </c>
      <c r="E81" s="30">
        <v>85541</v>
      </c>
    </row>
    <row r="82" spans="2:5" ht="12.75">
      <c r="B82" s="52" t="s">
        <v>104</v>
      </c>
      <c r="C82" s="30">
        <v>154045</v>
      </c>
      <c r="E82" s="30">
        <v>66226</v>
      </c>
    </row>
    <row r="83" spans="1:6" ht="12.75">
      <c r="A83" s="52"/>
      <c r="B83" s="52" t="s">
        <v>105</v>
      </c>
      <c r="C83" s="30">
        <v>67586</v>
      </c>
      <c r="D83" s="53">
        <f>SUM(C81:C83)</f>
        <v>522999</v>
      </c>
      <c r="E83" s="30">
        <v>9644</v>
      </c>
      <c r="F83" s="53">
        <f>SUM(E81:E83)</f>
        <v>161411</v>
      </c>
    </row>
    <row r="84" spans="1:2" ht="12.75">
      <c r="A84" s="52" t="s">
        <v>52</v>
      </c>
      <c r="B84" s="52"/>
    </row>
    <row r="85" spans="1:5" ht="12.75">
      <c r="A85" s="52"/>
      <c r="B85" s="52" t="s">
        <v>103</v>
      </c>
      <c r="C85" s="30">
        <v>230305</v>
      </c>
      <c r="E85" s="30">
        <v>59018</v>
      </c>
    </row>
    <row r="86" spans="1:5" ht="12.75">
      <c r="A86" s="52"/>
      <c r="B86" s="52" t="s">
        <v>104</v>
      </c>
      <c r="C86" s="30">
        <v>112711</v>
      </c>
      <c r="D86" s="52"/>
      <c r="E86" s="30">
        <v>21742</v>
      </c>
    </row>
    <row r="87" spans="1:6" ht="12.75">
      <c r="A87" s="52"/>
      <c r="B87" s="52" t="s">
        <v>105</v>
      </c>
      <c r="C87" s="30">
        <v>82617</v>
      </c>
      <c r="D87" s="53">
        <f>SUM(C85:C87)</f>
        <v>425633</v>
      </c>
      <c r="E87" s="30">
        <v>15646</v>
      </c>
      <c r="F87" s="53">
        <f>SUM(E85:E87)</f>
        <v>96406</v>
      </c>
    </row>
    <row r="88" spans="1:6" ht="12.75">
      <c r="A88" s="52" t="s">
        <v>53</v>
      </c>
      <c r="B88" s="52"/>
      <c r="D88" s="54">
        <f>D83-D87</f>
        <v>97366</v>
      </c>
      <c r="F88" s="54">
        <f>F83-F87</f>
        <v>65005</v>
      </c>
    </row>
    <row r="89" spans="1:6" ht="12.75">
      <c r="A89" s="52" t="s">
        <v>54</v>
      </c>
      <c r="B89" s="52"/>
      <c r="D89" s="30">
        <v>33400</v>
      </c>
      <c r="F89" s="30">
        <v>2600</v>
      </c>
    </row>
    <row r="90" spans="1:6" ht="12.75">
      <c r="A90" s="52" t="s">
        <v>55</v>
      </c>
      <c r="B90" s="52"/>
      <c r="D90" s="30">
        <v>0</v>
      </c>
      <c r="F90" s="55"/>
    </row>
    <row r="91" spans="1:6" ht="13.5" thickBot="1">
      <c r="A91" s="52" t="s">
        <v>56</v>
      </c>
      <c r="B91" s="52"/>
      <c r="D91" s="30">
        <v>22573</v>
      </c>
      <c r="F91" s="30">
        <v>49627</v>
      </c>
    </row>
    <row r="92" spans="1:6" ht="13.5" thickBot="1">
      <c r="A92" s="52" t="s">
        <v>57</v>
      </c>
      <c r="B92" s="52"/>
      <c r="D92" s="16">
        <f>D88-D89-D90-D91</f>
        <v>41393</v>
      </c>
      <c r="F92" s="16">
        <f>F88-F89-F91</f>
        <v>12778</v>
      </c>
    </row>
    <row r="93" spans="1:6" ht="12.75">
      <c r="A93" s="108" t="s">
        <v>58</v>
      </c>
      <c r="B93" s="52"/>
      <c r="D93" s="56"/>
      <c r="F93" s="47"/>
    </row>
    <row r="94" spans="1:6" ht="12.75">
      <c r="A94" s="52" t="s">
        <v>106</v>
      </c>
      <c r="B94" s="52"/>
      <c r="D94" s="57">
        <f>IF(D$83&gt;0,MIN(MAX((D$87+D$89+D$90+D$91)/D$83,0.9),1),0)</f>
        <v>0.9208545331826639</v>
      </c>
      <c r="F94" s="58">
        <f>IF(F$83&gt;0,MIN((F$87+F$89+F$90+F$91)/F$83,1),0)</f>
        <v>0.9208356307810496</v>
      </c>
    </row>
    <row r="95" spans="1:2" ht="12.75">
      <c r="A95" s="52"/>
      <c r="B95" s="52"/>
    </row>
    <row r="96" spans="1:2" ht="12.75">
      <c r="A96" s="52" t="s">
        <v>59</v>
      </c>
      <c r="B96" s="52"/>
    </row>
    <row r="97" spans="1:5" ht="12.75">
      <c r="A97" s="52"/>
      <c r="B97" s="52" t="s">
        <v>107</v>
      </c>
      <c r="D97" s="53">
        <f>D92</f>
        <v>41393</v>
      </c>
      <c r="E97" s="58">
        <f>IF($D$83&gt;0,D97/$D$83,0)</f>
        <v>0.07914546681733617</v>
      </c>
    </row>
    <row r="98" spans="1:5" ht="13.5" thickBot="1">
      <c r="A98" s="52"/>
      <c r="B98" s="52" t="s">
        <v>108</v>
      </c>
      <c r="D98" s="53">
        <f>F92</f>
        <v>12778</v>
      </c>
      <c r="E98" s="58">
        <f>IF($F$83&gt;0,D98/$F$83,0)</f>
        <v>0.07916436921895038</v>
      </c>
    </row>
    <row r="99" spans="1:4" ht="13.5" thickBot="1">
      <c r="A99" s="52"/>
      <c r="B99" s="52" t="s">
        <v>113</v>
      </c>
      <c r="D99" s="31">
        <f>D98+D97</f>
        <v>54171</v>
      </c>
    </row>
    <row r="100" ht="12.75">
      <c r="D100">
        <f>IF(ABS($E$32-$D$99)&lt;2,"","&lt;&gt; Pos. 411e ("&amp;TEXT($F$33,"#'##0")&amp;") ?")</f>
      </c>
    </row>
  </sheetData>
  <sheetProtection/>
  <mergeCells count="2">
    <mergeCell ref="C80:D80"/>
    <mergeCell ref="E80:F80"/>
  </mergeCells>
  <conditionalFormatting sqref="D99">
    <cfRule type="expression" priority="1" dxfId="0" stopIfTrue="1">
      <formula>IF(D$100="",0,1)</formula>
    </cfRule>
  </conditionalFormatting>
  <conditionalFormatting sqref="D94">
    <cfRule type="expression" priority="2" dxfId="2" stopIfTrue="1">
      <formula>IF($B$94=0,0,1)</formula>
    </cfRule>
  </conditionalFormatting>
  <conditionalFormatting sqref="E47">
    <cfRule type="expression" priority="3" dxfId="0" stopIfTrue="1">
      <formula>IF(#REF!="",0,1)</formula>
    </cfRule>
  </conditionalFormatting>
  <printOptions/>
  <pageMargins left="0.52" right="0.31" top="1" bottom="1" header="0.4921259845" footer="0.4921259845"/>
  <pageSetup fitToHeight="1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tabColor indexed="12"/>
    <pageSetUpPr fitToPage="1"/>
  </sheetPr>
  <dimension ref="A1:G100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4" width="13.421875" style="0" customWidth="1"/>
    <col min="5" max="6" width="14.00390625" style="0" customWidth="1"/>
  </cols>
  <sheetData>
    <row r="1" spans="1:7" ht="12.75">
      <c r="A1" s="101" t="s">
        <v>70</v>
      </c>
      <c r="B1" s="52"/>
      <c r="G1" s="61"/>
    </row>
    <row r="2" spans="1:7" ht="12.75">
      <c r="A2" s="52" t="s">
        <v>71</v>
      </c>
      <c r="B2" s="52"/>
      <c r="G2" s="61"/>
    </row>
    <row r="3" spans="1:7" ht="12.75">
      <c r="A3" s="102" t="s">
        <v>21</v>
      </c>
      <c r="B3" s="52"/>
      <c r="G3" s="61"/>
    </row>
    <row r="4" spans="1:7" ht="12.75">
      <c r="A4" s="52"/>
      <c r="B4" s="52"/>
      <c r="G4" s="61"/>
    </row>
    <row r="5" spans="1:7" ht="12.75">
      <c r="A5" s="52" t="s">
        <v>69</v>
      </c>
      <c r="B5" s="52"/>
      <c r="G5" s="61"/>
    </row>
    <row r="6" spans="1:7" ht="12.75">
      <c r="A6" s="52"/>
      <c r="B6" s="52"/>
      <c r="G6" s="61"/>
    </row>
    <row r="7" spans="1:7" ht="12.75">
      <c r="A7" s="52" t="s">
        <v>0</v>
      </c>
      <c r="B7" s="52" t="s">
        <v>1</v>
      </c>
      <c r="C7" s="1"/>
      <c r="D7" s="1" t="s">
        <v>3</v>
      </c>
      <c r="E7" s="1" t="s">
        <v>98</v>
      </c>
      <c r="F7" s="1"/>
      <c r="G7" s="61"/>
    </row>
    <row r="8" spans="1:7" ht="12.75">
      <c r="A8" s="52"/>
      <c r="B8" s="52"/>
      <c r="C8" s="2"/>
      <c r="D8" s="2" t="s">
        <v>78</v>
      </c>
      <c r="E8" s="2" t="s">
        <v>79</v>
      </c>
      <c r="F8" s="2"/>
      <c r="G8" s="61"/>
    </row>
    <row r="9" spans="1:7" ht="12.75">
      <c r="A9" s="102" t="s">
        <v>28</v>
      </c>
      <c r="B9" s="52"/>
      <c r="G9" s="61"/>
    </row>
    <row r="10" spans="1:7" ht="12.75">
      <c r="A10" s="52" t="s">
        <v>29</v>
      </c>
      <c r="B10" s="52"/>
      <c r="D10" s="1"/>
      <c r="E10" s="1"/>
      <c r="G10" s="61"/>
    </row>
    <row r="11" spans="1:7" ht="12.75">
      <c r="A11" s="52"/>
      <c r="B11" s="52" t="s">
        <v>60</v>
      </c>
      <c r="D11" s="3">
        <f>$E$13-D$12-D$13</f>
        <v>28302.870315149485</v>
      </c>
      <c r="E11" s="1"/>
      <c r="G11" s="61"/>
    </row>
    <row r="12" spans="1:7" ht="12.75">
      <c r="A12" s="52"/>
      <c r="B12" s="52" t="s">
        <v>61</v>
      </c>
      <c r="D12" s="5">
        <v>5011.606439220564</v>
      </c>
      <c r="E12" s="1"/>
      <c r="G12" s="61"/>
    </row>
    <row r="13" spans="1:7" ht="13.5" thickBot="1">
      <c r="A13" s="52"/>
      <c r="B13" s="52" t="s">
        <v>62</v>
      </c>
      <c r="D13" s="6">
        <v>1814.9320456299447</v>
      </c>
      <c r="E13" s="7">
        <v>35129.4088</v>
      </c>
      <c r="G13" s="61"/>
    </row>
    <row r="14" spans="1:7" ht="12.75">
      <c r="A14" s="52"/>
      <c r="B14" s="103" t="s">
        <v>63</v>
      </c>
      <c r="D14" s="1"/>
      <c r="E14" s="1"/>
      <c r="G14" s="61"/>
    </row>
    <row r="15" spans="1:7" ht="12.75">
      <c r="A15" s="52"/>
      <c r="B15" s="103" t="s">
        <v>64</v>
      </c>
      <c r="D15" s="1"/>
      <c r="E15" s="1"/>
      <c r="G15" s="61"/>
    </row>
    <row r="16" spans="1:5" ht="12.75">
      <c r="A16" s="52" t="s">
        <v>30</v>
      </c>
      <c r="B16" s="52"/>
      <c r="D16" s="1"/>
      <c r="E16" s="1"/>
    </row>
    <row r="17" spans="1:5" ht="12.75">
      <c r="A17" s="52"/>
      <c r="B17" s="52" t="s">
        <v>65</v>
      </c>
      <c r="D17" s="8">
        <v>38616.04825</v>
      </c>
      <c r="E17" s="1"/>
    </row>
    <row r="18" spans="1:5" ht="12.75">
      <c r="A18" s="52"/>
      <c r="B18" s="52" t="s">
        <v>66</v>
      </c>
      <c r="D18" s="9">
        <v>71404.20310000001</v>
      </c>
      <c r="E18" s="1"/>
    </row>
    <row r="19" spans="1:5" ht="13.5" thickBot="1">
      <c r="A19" s="52"/>
      <c r="B19" s="52" t="s">
        <v>67</v>
      </c>
      <c r="D19" s="10">
        <v>11807.484349999999</v>
      </c>
      <c r="E19" s="3">
        <f>$D$17+$D$18+$D$19</f>
        <v>121827.7357</v>
      </c>
    </row>
    <row r="20" spans="1:4" ht="12.75">
      <c r="A20" s="52" t="s">
        <v>31</v>
      </c>
      <c r="B20" s="52"/>
      <c r="D20" s="11"/>
    </row>
    <row r="21" spans="1:5" ht="12.75">
      <c r="A21" s="52" t="s">
        <v>73</v>
      </c>
      <c r="B21" s="104"/>
      <c r="D21" s="11"/>
      <c r="E21" s="7">
        <v>-75019.78</v>
      </c>
    </row>
    <row r="22" spans="1:5" ht="12.75">
      <c r="A22" s="52" t="s">
        <v>32</v>
      </c>
      <c r="B22" s="52"/>
      <c r="D22" s="11"/>
      <c r="E22" s="7">
        <v>3282.76594</v>
      </c>
    </row>
    <row r="23" spans="1:5" ht="12.75">
      <c r="A23" s="52" t="s">
        <v>33</v>
      </c>
      <c r="B23" s="52"/>
      <c r="D23" s="11"/>
      <c r="E23" s="1"/>
    </row>
    <row r="24" spans="1:5" ht="12.75">
      <c r="A24" s="52"/>
      <c r="B24" s="52" t="s">
        <v>68</v>
      </c>
      <c r="D24" s="9">
        <v>18585.553200000002</v>
      </c>
      <c r="E24" s="1"/>
    </row>
    <row r="25" spans="1:5" ht="25.5" customHeight="1">
      <c r="A25" s="52"/>
      <c r="B25" s="105" t="s">
        <v>74</v>
      </c>
      <c r="D25" s="9">
        <v>517.9337400000003</v>
      </c>
      <c r="E25" s="1"/>
    </row>
    <row r="26" spans="1:5" ht="13.5" thickBot="1">
      <c r="A26" s="52"/>
      <c r="B26" s="52" t="s">
        <v>75</v>
      </c>
      <c r="D26" s="10">
        <v>4174.763459999999</v>
      </c>
      <c r="E26" s="3">
        <f>$D$24+$D$25-$D$26</f>
        <v>14928.723480000004</v>
      </c>
    </row>
    <row r="27" spans="1:5" ht="12.75">
      <c r="A27" s="52" t="s">
        <v>34</v>
      </c>
      <c r="B27" s="52"/>
      <c r="D27" s="13"/>
      <c r="E27" s="9">
        <v>0</v>
      </c>
    </row>
    <row r="28" spans="1:5" ht="12.75">
      <c r="A28" s="52" t="s">
        <v>35</v>
      </c>
      <c r="B28" s="52"/>
      <c r="D28" s="1"/>
      <c r="E28" s="9">
        <v>-136.84753</v>
      </c>
    </row>
    <row r="29" spans="1:5" ht="13.5" thickBot="1">
      <c r="A29" s="52" t="s">
        <v>77</v>
      </c>
      <c r="B29" s="52"/>
      <c r="D29" s="1"/>
      <c r="E29" s="14">
        <v>0</v>
      </c>
    </row>
    <row r="30" spans="1:5" ht="12.75">
      <c r="A30" s="52" t="s">
        <v>36</v>
      </c>
      <c r="B30" s="52"/>
      <c r="E30" s="15">
        <f>E$13-E$19-E$21-E$22+E$26-E$27+E$28+E$29</f>
        <v>-169.43689000001086</v>
      </c>
    </row>
    <row r="31" spans="1:5" ht="13.5" thickBot="1">
      <c r="A31" s="52" t="s">
        <v>37</v>
      </c>
      <c r="B31" s="52"/>
      <c r="C31" s="1"/>
      <c r="D31" s="1"/>
      <c r="E31" s="14">
        <v>0</v>
      </c>
    </row>
    <row r="32" spans="1:5" ht="13.5" thickBot="1">
      <c r="A32" s="52" t="s">
        <v>76</v>
      </c>
      <c r="B32" s="52"/>
      <c r="C32" s="1"/>
      <c r="D32" s="1"/>
      <c r="E32" s="16">
        <f>E$30-E$31</f>
        <v>-169.43689000001086</v>
      </c>
    </row>
    <row r="33" spans="1:5" ht="12.75">
      <c r="A33" s="52"/>
      <c r="B33" s="52"/>
      <c r="C33" s="1"/>
      <c r="D33" s="1"/>
      <c r="E33" s="1"/>
    </row>
    <row r="34" spans="1:5" ht="12.75">
      <c r="A34" s="102" t="s">
        <v>38</v>
      </c>
      <c r="B34" s="52"/>
      <c r="D34" s="1"/>
      <c r="E34" s="1"/>
    </row>
    <row r="35" spans="1:5" ht="12.75">
      <c r="A35" s="52" t="s">
        <v>39</v>
      </c>
      <c r="B35" s="52"/>
      <c r="D35" s="1"/>
      <c r="E35" s="17">
        <v>0</v>
      </c>
    </row>
    <row r="36" spans="1:5" ht="12.75">
      <c r="A36" s="52" t="s">
        <v>40</v>
      </c>
      <c r="B36" s="52"/>
      <c r="E36" s="18">
        <f>E$31</f>
        <v>0</v>
      </c>
    </row>
    <row r="37" spans="1:5" ht="12.75">
      <c r="A37" s="52" t="s">
        <v>41</v>
      </c>
      <c r="B37" s="52"/>
      <c r="D37" s="9">
        <v>0</v>
      </c>
      <c r="E37" s="19"/>
    </row>
    <row r="38" spans="1:5" ht="13.5" thickBot="1">
      <c r="A38" s="52" t="s">
        <v>42</v>
      </c>
      <c r="B38" s="52"/>
      <c r="D38" s="10">
        <v>0</v>
      </c>
      <c r="E38" s="20">
        <f>$D$37+$D$38</f>
        <v>0</v>
      </c>
    </row>
    <row r="39" spans="1:5" ht="13.5" thickBot="1">
      <c r="A39" s="52" t="s">
        <v>43</v>
      </c>
      <c r="B39" s="52"/>
      <c r="D39" s="1"/>
      <c r="E39" s="21">
        <f>E35+E36-E38</f>
        <v>0</v>
      </c>
    </row>
    <row r="40" spans="1:5" ht="12.75">
      <c r="A40" s="52"/>
      <c r="B40" s="52"/>
      <c r="D40" s="1"/>
      <c r="E40" s="1"/>
    </row>
    <row r="41" spans="1:5" ht="12.75">
      <c r="A41" s="102" t="s">
        <v>44</v>
      </c>
      <c r="B41" s="52"/>
      <c r="D41" s="1"/>
      <c r="E41" s="1"/>
    </row>
    <row r="42" spans="1:5" ht="12.75">
      <c r="A42" s="52" t="s">
        <v>39</v>
      </c>
      <c r="B42" s="52"/>
      <c r="D42" s="1"/>
      <c r="E42" s="17">
        <v>15145</v>
      </c>
    </row>
    <row r="43" spans="1:5" ht="12.75">
      <c r="A43" s="52" t="s">
        <v>45</v>
      </c>
      <c r="B43" s="52"/>
      <c r="D43" s="9">
        <v>151.2911</v>
      </c>
      <c r="E43" s="59"/>
    </row>
    <row r="44" spans="1:5" ht="12.75">
      <c r="A44" s="52" t="s">
        <v>46</v>
      </c>
      <c r="B44" s="52"/>
      <c r="D44" s="9">
        <v>75.72</v>
      </c>
      <c r="E44" s="60">
        <f>D44+D43</f>
        <v>227.0111</v>
      </c>
    </row>
    <row r="45" spans="1:5" ht="12.75">
      <c r="A45" s="52" t="s">
        <v>47</v>
      </c>
      <c r="B45" s="52"/>
      <c r="D45" s="9">
        <v>174.508</v>
      </c>
      <c r="E45" s="59"/>
    </row>
    <row r="46" spans="1:5" ht="13.5" thickBot="1">
      <c r="A46" s="52" t="s">
        <v>48</v>
      </c>
      <c r="B46" s="52"/>
      <c r="D46" s="9">
        <v>3653.441</v>
      </c>
      <c r="E46" s="20">
        <f>D46+D45</f>
        <v>3827.9489999999996</v>
      </c>
    </row>
    <row r="47" spans="1:5" ht="13.5" thickBot="1">
      <c r="A47" s="52" t="s">
        <v>49</v>
      </c>
      <c r="B47" s="52"/>
      <c r="E47" s="21">
        <f>E42+E44-E46</f>
        <v>11544.0621</v>
      </c>
    </row>
    <row r="48" spans="1:5" ht="12.75">
      <c r="A48" s="52"/>
      <c r="B48" s="52"/>
      <c r="E48" s="1"/>
    </row>
    <row r="49" spans="1:5" ht="12.75">
      <c r="A49" s="102" t="s">
        <v>50</v>
      </c>
      <c r="B49" s="52"/>
      <c r="E49" s="1"/>
    </row>
    <row r="50" spans="1:5" ht="13.5" thickBot="1">
      <c r="A50" s="104" t="s">
        <v>4</v>
      </c>
      <c r="B50" s="52" t="s">
        <v>82</v>
      </c>
      <c r="E50" s="20">
        <f>E$26</f>
        <v>14928.723480000004</v>
      </c>
    </row>
    <row r="51" spans="1:5" ht="12.75">
      <c r="A51" s="52"/>
      <c r="B51" s="52"/>
      <c r="D51" s="1"/>
      <c r="E51" s="1"/>
    </row>
    <row r="52" spans="1:5" ht="25.5">
      <c r="A52" s="52"/>
      <c r="B52" s="52"/>
      <c r="D52" s="106" t="s">
        <v>99</v>
      </c>
      <c r="E52" s="106" t="s">
        <v>100</v>
      </c>
    </row>
    <row r="53" spans="1:5" ht="12.75">
      <c r="A53" s="104" t="s">
        <v>5</v>
      </c>
      <c r="B53" s="52" t="s">
        <v>83</v>
      </c>
      <c r="D53" s="22">
        <v>570214</v>
      </c>
      <c r="E53" s="23">
        <v>575350</v>
      </c>
    </row>
    <row r="54" spans="1:5" ht="12.75">
      <c r="A54" s="104" t="s">
        <v>6</v>
      </c>
      <c r="B54" s="52" t="s">
        <v>84</v>
      </c>
      <c r="D54" s="24">
        <v>535839.77698</v>
      </c>
      <c r="E54" s="23">
        <v>508053</v>
      </c>
    </row>
    <row r="55" spans="1:5" ht="12.75">
      <c r="A55" s="52"/>
      <c r="B55" s="52"/>
      <c r="D55" s="1"/>
      <c r="E55" s="1"/>
    </row>
    <row r="56" spans="1:5" ht="12.75">
      <c r="A56" s="104" t="s">
        <v>7</v>
      </c>
      <c r="B56" s="52" t="s">
        <v>109</v>
      </c>
      <c r="D56" s="1"/>
      <c r="E56" s="25">
        <f>E$50/(($D$53+$D$54)/2)</f>
        <v>0.026994570771706607</v>
      </c>
    </row>
    <row r="57" spans="1:5" ht="12.75">
      <c r="A57" s="104" t="s">
        <v>8</v>
      </c>
      <c r="B57" s="52" t="s">
        <v>102</v>
      </c>
      <c r="D57" s="1"/>
      <c r="E57" s="25">
        <f>(E$50+($E$54-$D$54)-($E$53-$D$53))/((E$53+$E$54)/2)</f>
        <v>-0.03321765492619083</v>
      </c>
    </row>
    <row r="58" spans="1:5" ht="12.75">
      <c r="A58" s="52"/>
      <c r="B58" s="104" t="s">
        <v>101</v>
      </c>
      <c r="D58" s="1"/>
      <c r="E58" s="1"/>
    </row>
    <row r="59" spans="4:5" ht="12.75">
      <c r="D59" s="1"/>
      <c r="E59" s="1"/>
    </row>
    <row r="60" spans="1:5" ht="12.75">
      <c r="A60" s="52" t="s">
        <v>9</v>
      </c>
      <c r="B60" s="104" t="s">
        <v>85</v>
      </c>
      <c r="D60" s="1"/>
      <c r="E60" s="1"/>
    </row>
    <row r="61" spans="1:5" ht="12.75">
      <c r="A61" s="104"/>
      <c r="B61" s="52" t="s">
        <v>86</v>
      </c>
      <c r="D61" s="26">
        <v>0.11700855390647898</v>
      </c>
      <c r="E61" s="1"/>
    </row>
    <row r="62" spans="1:5" ht="12.75">
      <c r="A62" s="52"/>
      <c r="B62" s="52" t="s">
        <v>87</v>
      </c>
      <c r="D62" s="26">
        <v>0.4553040393436602</v>
      </c>
      <c r="E62" s="1"/>
    </row>
    <row r="63" spans="1:5" ht="12.75">
      <c r="A63" s="52"/>
      <c r="B63" s="52" t="s">
        <v>88</v>
      </c>
      <c r="D63" s="26">
        <v>0.20397279997763113</v>
      </c>
      <c r="E63" s="1"/>
    </row>
    <row r="64" spans="1:5" ht="12.75">
      <c r="A64" s="52"/>
      <c r="B64" s="52" t="s">
        <v>89</v>
      </c>
      <c r="D64" s="26">
        <v>0</v>
      </c>
      <c r="E64" s="1"/>
    </row>
    <row r="65" spans="1:5" ht="12.75">
      <c r="A65" s="52"/>
      <c r="B65" s="52" t="s">
        <v>90</v>
      </c>
      <c r="D65" s="26">
        <v>0</v>
      </c>
      <c r="E65" s="1"/>
    </row>
    <row r="66" spans="1:5" ht="12.75">
      <c r="A66" s="52"/>
      <c r="B66" s="52" t="s">
        <v>91</v>
      </c>
      <c r="D66" s="26">
        <v>0</v>
      </c>
      <c r="E66" s="1"/>
    </row>
    <row r="67" spans="1:5" ht="12.75">
      <c r="A67" s="52"/>
      <c r="B67" s="52" t="s">
        <v>92</v>
      </c>
      <c r="D67" s="26">
        <v>0.2237146067722298</v>
      </c>
      <c r="E67" s="1"/>
    </row>
    <row r="68" spans="1:5" ht="13.5" thickBot="1">
      <c r="A68" s="52"/>
      <c r="B68" s="52" t="s">
        <v>93</v>
      </c>
      <c r="D68" s="27">
        <v>0</v>
      </c>
      <c r="E68" s="28">
        <f>SUM($D$61:$D$68)</f>
        <v>1</v>
      </c>
    </row>
    <row r="69" spans="1:5" ht="12.75">
      <c r="A69" s="52"/>
      <c r="B69" s="52"/>
      <c r="D69" s="1"/>
      <c r="E69" s="1"/>
    </row>
    <row r="70" spans="1:5" ht="12.75">
      <c r="A70" s="52" t="s">
        <v>10</v>
      </c>
      <c r="B70" s="52" t="s">
        <v>94</v>
      </c>
      <c r="E70" s="17">
        <v>473896.53411</v>
      </c>
    </row>
    <row r="71" spans="1:5" ht="12.75">
      <c r="A71" s="104" t="s">
        <v>11</v>
      </c>
      <c r="B71" s="52" t="s">
        <v>95</v>
      </c>
      <c r="E71" s="29">
        <v>10456</v>
      </c>
    </row>
    <row r="72" spans="1:5" ht="12.75">
      <c r="A72" s="104"/>
      <c r="B72" s="52"/>
      <c r="E72" s="1"/>
    </row>
    <row r="73" spans="1:5" ht="12.75">
      <c r="A73" s="52" t="s">
        <v>12</v>
      </c>
      <c r="B73" s="52" t="s">
        <v>96</v>
      </c>
      <c r="E73" s="1"/>
    </row>
    <row r="74" spans="1:5" ht="12.75">
      <c r="A74" s="104"/>
      <c r="B74" s="52" t="s">
        <v>75</v>
      </c>
      <c r="D74" s="15">
        <f>D26</f>
        <v>4174.763459999999</v>
      </c>
      <c r="E74" s="1"/>
    </row>
    <row r="75" spans="1:5" ht="12.75">
      <c r="A75" s="104"/>
      <c r="B75" s="52" t="s">
        <v>32</v>
      </c>
      <c r="D75" s="41">
        <f>E22</f>
        <v>3282.76594</v>
      </c>
      <c r="E75" s="18">
        <f>D75+D74</f>
        <v>7457.529399999999</v>
      </c>
    </row>
    <row r="76" spans="1:5" ht="12.75">
      <c r="A76" s="104"/>
      <c r="B76" s="52" t="s">
        <v>97</v>
      </c>
      <c r="E76" s="18">
        <f>(1000*E75)/E71</f>
        <v>713.2296671767406</v>
      </c>
    </row>
    <row r="77" spans="1:5" ht="12.75">
      <c r="A77" s="104"/>
      <c r="B77" s="52"/>
      <c r="E77" s="1"/>
    </row>
    <row r="78" ht="12.75">
      <c r="B78" s="52"/>
    </row>
    <row r="79" spans="1:5" ht="12.75">
      <c r="A79" s="107" t="s">
        <v>117</v>
      </c>
      <c r="B79" s="52"/>
      <c r="D79" s="1"/>
      <c r="E79" s="1"/>
    </row>
    <row r="80" spans="1:6" ht="12.75">
      <c r="A80" s="110" t="s">
        <v>51</v>
      </c>
      <c r="B80" s="111"/>
      <c r="C80" s="118" t="s">
        <v>115</v>
      </c>
      <c r="D80" s="118"/>
      <c r="E80" s="118" t="s">
        <v>116</v>
      </c>
      <c r="F80" s="118"/>
    </row>
    <row r="81" spans="1:5" ht="12.75">
      <c r="A81" s="52"/>
      <c r="B81" s="52" t="s">
        <v>103</v>
      </c>
      <c r="C81" s="30">
        <v>14928</v>
      </c>
      <c r="E81" s="30">
        <v>0</v>
      </c>
    </row>
    <row r="82" spans="2:5" ht="12.75">
      <c r="B82" s="52" t="s">
        <v>104</v>
      </c>
      <c r="C82" s="30">
        <v>5011.606439220564</v>
      </c>
      <c r="E82" s="30">
        <v>0</v>
      </c>
    </row>
    <row r="83" spans="1:6" ht="12.75">
      <c r="A83" s="52"/>
      <c r="B83" s="52" t="s">
        <v>105</v>
      </c>
      <c r="C83" s="30">
        <v>1814.9320456299447</v>
      </c>
      <c r="D83" s="53">
        <f>SUM(C81:C83)</f>
        <v>21754.538484850513</v>
      </c>
      <c r="E83" s="30">
        <v>0</v>
      </c>
      <c r="F83" s="53">
        <f>SUM(E81:E83)</f>
        <v>0</v>
      </c>
    </row>
    <row r="84" spans="1:2" ht="12.75">
      <c r="A84" s="52" t="s">
        <v>52</v>
      </c>
      <c r="B84" s="52"/>
    </row>
    <row r="85" spans="1:5" ht="12.75">
      <c r="A85" s="52"/>
      <c r="B85" s="52" t="s">
        <v>103</v>
      </c>
      <c r="C85" s="30">
        <v>13734.590608475486</v>
      </c>
      <c r="E85" s="30">
        <v>0</v>
      </c>
    </row>
    <row r="86" spans="1:5" ht="12.75">
      <c r="A86" s="52"/>
      <c r="B86" s="52" t="s">
        <v>104</v>
      </c>
      <c r="C86" s="30">
        <v>6747.355296374997</v>
      </c>
      <c r="D86" s="52"/>
      <c r="E86" s="30">
        <v>140.4435</v>
      </c>
    </row>
    <row r="87" spans="1:6" ht="12.75">
      <c r="A87" s="52"/>
      <c r="B87" s="52" t="s">
        <v>105</v>
      </c>
      <c r="C87" s="30">
        <v>3282.76594</v>
      </c>
      <c r="D87" s="53">
        <f>SUM(C85:C87)</f>
        <v>23764.711844850484</v>
      </c>
      <c r="E87" s="30">
        <v>0</v>
      </c>
      <c r="F87" s="53">
        <f>SUM(E85:E87)</f>
        <v>140.4435</v>
      </c>
    </row>
    <row r="88" spans="1:6" ht="12.75">
      <c r="A88" s="52" t="s">
        <v>53</v>
      </c>
      <c r="B88" s="52"/>
      <c r="D88" s="54">
        <f>D83-D87</f>
        <v>-2010.1733599999716</v>
      </c>
      <c r="F88" s="54">
        <f>F83-F87</f>
        <v>-140.4435</v>
      </c>
    </row>
    <row r="89" spans="1:6" ht="12.75">
      <c r="A89" s="52" t="s">
        <v>54</v>
      </c>
      <c r="B89" s="52"/>
      <c r="D89" s="30">
        <v>-1980.4564899999998</v>
      </c>
      <c r="F89" s="30">
        <v>0</v>
      </c>
    </row>
    <row r="90" spans="1:6" ht="12.75">
      <c r="A90" s="52" t="s">
        <v>55</v>
      </c>
      <c r="B90" s="52"/>
      <c r="D90" s="30">
        <v>0</v>
      </c>
      <c r="F90" s="55"/>
    </row>
    <row r="91" spans="1:6" ht="13.5" thickBot="1">
      <c r="A91" s="52" t="s">
        <v>56</v>
      </c>
      <c r="B91" s="52"/>
      <c r="D91" s="30">
        <v>0</v>
      </c>
      <c r="F91" s="30">
        <v>0</v>
      </c>
    </row>
    <row r="92" spans="1:6" ht="13.5" thickBot="1">
      <c r="A92" s="52" t="s">
        <v>57</v>
      </c>
      <c r="B92" s="52"/>
      <c r="D92" s="16">
        <f>D88-D89-D90-D91</f>
        <v>-29.716869999971777</v>
      </c>
      <c r="F92" s="16">
        <f>F88-F89-F91</f>
        <v>-140.4435</v>
      </c>
    </row>
    <row r="93" spans="1:6" ht="12.75">
      <c r="A93" s="108" t="s">
        <v>58</v>
      </c>
      <c r="B93" s="52"/>
      <c r="D93" s="56"/>
      <c r="F93" s="47"/>
    </row>
    <row r="94" spans="1:6" ht="12.75">
      <c r="A94" s="52" t="s">
        <v>106</v>
      </c>
      <c r="B94" s="52"/>
      <c r="D94" s="57">
        <f>IF(D$83&gt;0,MIN(MAX((D$87+D$89+D$90+D$91)/D$83,0.9),1),0)</f>
        <v>1</v>
      </c>
      <c r="F94" s="58">
        <f>IF(F$83&gt;0,MIN((F$87+F$89+F$90+F$91)/F$83,1),0)</f>
        <v>0</v>
      </c>
    </row>
    <row r="95" spans="1:2" ht="12.75">
      <c r="A95" s="52"/>
      <c r="B95" s="52"/>
    </row>
    <row r="96" spans="1:2" ht="12.75">
      <c r="A96" s="52" t="s">
        <v>59</v>
      </c>
      <c r="B96" s="52"/>
    </row>
    <row r="97" spans="1:5" ht="12.75">
      <c r="A97" s="52"/>
      <c r="B97" s="52" t="s">
        <v>107</v>
      </c>
      <c r="D97" s="53">
        <f>D92</f>
        <v>-29.716869999971777</v>
      </c>
      <c r="E97" s="58">
        <f>IF($D$83&gt;0,D97/$D$83,0)</f>
        <v>-0.0013660078342119782</v>
      </c>
    </row>
    <row r="98" spans="1:5" ht="13.5" thickBot="1">
      <c r="A98" s="52"/>
      <c r="B98" s="52" t="s">
        <v>108</v>
      </c>
      <c r="D98" s="53">
        <f>F92</f>
        <v>-140.4435</v>
      </c>
      <c r="E98" s="58">
        <f>IF($F$83&gt;0,D98/$F$83,0)</f>
        <v>0</v>
      </c>
    </row>
    <row r="99" spans="1:4" ht="13.5" thickBot="1">
      <c r="A99" s="52"/>
      <c r="B99" s="52" t="s">
        <v>113</v>
      </c>
      <c r="D99" s="31">
        <f>D98+D97</f>
        <v>-170.16036999997178</v>
      </c>
    </row>
    <row r="100" ht="12.75">
      <c r="D100">
        <f>IF(ABS($E$32-$D$99)&lt;2,"","&lt;&gt; Pos. 411e ("&amp;TEXT($F$33,"#'##0")&amp;") ?")</f>
      </c>
    </row>
  </sheetData>
  <sheetProtection/>
  <mergeCells count="2">
    <mergeCell ref="C80:D80"/>
    <mergeCell ref="E80:F80"/>
  </mergeCells>
  <conditionalFormatting sqref="D99">
    <cfRule type="expression" priority="1" dxfId="0" stopIfTrue="1">
      <formula>IF(D$100="",0,1)</formula>
    </cfRule>
  </conditionalFormatting>
  <conditionalFormatting sqref="D94">
    <cfRule type="expression" priority="2" dxfId="2" stopIfTrue="1">
      <formula>IF($B$94=0,0,1)</formula>
    </cfRule>
  </conditionalFormatting>
  <conditionalFormatting sqref="E47">
    <cfRule type="expression" priority="3" dxfId="0" stopIfTrue="1">
      <formula>IF(#REF!="",0,1)</formula>
    </cfRule>
  </conditionalFormatting>
  <printOptions/>
  <pageMargins left="0.51" right="0.36" top="1" bottom="1" header="0.4921259845" footer="0.4921259845"/>
  <pageSetup fitToHeight="1" fitToWidth="1"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>
    <tabColor indexed="12"/>
    <pageSetUpPr fitToPage="1"/>
  </sheetPr>
  <dimension ref="A1:G100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4" width="13.421875" style="0" customWidth="1"/>
    <col min="5" max="6" width="14.00390625" style="0" customWidth="1"/>
  </cols>
  <sheetData>
    <row r="1" spans="1:7" ht="12.75">
      <c r="A1" s="101" t="s">
        <v>70</v>
      </c>
      <c r="B1" s="52"/>
      <c r="G1" s="61"/>
    </row>
    <row r="2" spans="1:7" ht="12.75">
      <c r="A2" s="52" t="s">
        <v>71</v>
      </c>
      <c r="B2" s="52"/>
      <c r="G2" s="61"/>
    </row>
    <row r="3" spans="1:7" ht="12.75">
      <c r="A3" s="102" t="s">
        <v>24</v>
      </c>
      <c r="B3" s="52"/>
      <c r="G3" s="61"/>
    </row>
    <row r="4" spans="1:7" ht="12.75">
      <c r="A4" s="52"/>
      <c r="B4" s="52"/>
      <c r="G4" s="61"/>
    </row>
    <row r="5" spans="1:7" ht="12.75">
      <c r="A5" s="52" t="s">
        <v>69</v>
      </c>
      <c r="B5" s="52"/>
      <c r="G5" s="61"/>
    </row>
    <row r="6" spans="1:7" ht="12.75">
      <c r="A6" s="52"/>
      <c r="B6" s="52"/>
      <c r="G6" s="61"/>
    </row>
    <row r="7" spans="1:7" ht="12.75">
      <c r="A7" s="52" t="s">
        <v>0</v>
      </c>
      <c r="B7" s="52" t="s">
        <v>1</v>
      </c>
      <c r="C7" s="1"/>
      <c r="D7" s="1" t="s">
        <v>3</v>
      </c>
      <c r="E7" s="1" t="s">
        <v>98</v>
      </c>
      <c r="F7" s="1"/>
      <c r="G7" s="61"/>
    </row>
    <row r="8" spans="1:7" ht="12.75">
      <c r="A8" s="52"/>
      <c r="B8" s="52"/>
      <c r="C8" s="2"/>
      <c r="D8" s="2" t="s">
        <v>78</v>
      </c>
      <c r="E8" s="2" t="s">
        <v>79</v>
      </c>
      <c r="F8" s="2"/>
      <c r="G8" s="61"/>
    </row>
    <row r="9" spans="1:7" ht="12.75">
      <c r="A9" s="102" t="s">
        <v>28</v>
      </c>
      <c r="B9" s="52"/>
      <c r="G9" s="61"/>
    </row>
    <row r="10" spans="1:7" ht="12.75">
      <c r="A10" s="52" t="s">
        <v>29</v>
      </c>
      <c r="B10" s="52"/>
      <c r="D10" s="1"/>
      <c r="E10" s="1"/>
      <c r="G10" s="61"/>
    </row>
    <row r="11" spans="1:7" ht="12.75">
      <c r="A11" s="52"/>
      <c r="B11" s="52" t="s">
        <v>60</v>
      </c>
      <c r="D11" s="3">
        <f>$E$13-D$12-D$13</f>
        <v>1208123.0655816647</v>
      </c>
      <c r="E11" s="1"/>
      <c r="G11" s="61"/>
    </row>
    <row r="12" spans="1:7" ht="12.75">
      <c r="A12" s="52"/>
      <c r="B12" s="52" t="s">
        <v>61</v>
      </c>
      <c r="D12" s="5">
        <v>265483.74919095624</v>
      </c>
      <c r="E12" s="1"/>
      <c r="G12" s="61"/>
    </row>
    <row r="13" spans="1:7" ht="13.5" thickBot="1">
      <c r="A13" s="52"/>
      <c r="B13" s="52" t="s">
        <v>62</v>
      </c>
      <c r="D13" s="6">
        <v>92662.0906073789</v>
      </c>
      <c r="E13" s="7">
        <v>1566268.9053799997</v>
      </c>
      <c r="G13" s="61"/>
    </row>
    <row r="14" spans="1:7" ht="12.75">
      <c r="A14" s="52"/>
      <c r="B14" s="103" t="s">
        <v>63</v>
      </c>
      <c r="D14" s="1"/>
      <c r="E14" s="1"/>
      <c r="G14" s="61"/>
    </row>
    <row r="15" spans="1:7" ht="12.75">
      <c r="A15" s="52"/>
      <c r="B15" s="103" t="s">
        <v>64</v>
      </c>
      <c r="D15" s="1"/>
      <c r="E15" s="1"/>
      <c r="G15" s="61"/>
    </row>
    <row r="16" spans="1:5" ht="12.75">
      <c r="A16" s="52" t="s">
        <v>30</v>
      </c>
      <c r="B16" s="52"/>
      <c r="D16" s="1"/>
      <c r="E16" s="1"/>
    </row>
    <row r="17" spans="1:5" ht="12.75">
      <c r="A17" s="52"/>
      <c r="B17" s="52" t="s">
        <v>65</v>
      </c>
      <c r="D17" s="8">
        <v>411001.67451999994</v>
      </c>
      <c r="E17" s="1"/>
    </row>
    <row r="18" spans="1:5" ht="12.75">
      <c r="A18" s="52"/>
      <c r="B18" s="52" t="s">
        <v>66</v>
      </c>
      <c r="D18" s="9">
        <v>833111.4830700001</v>
      </c>
      <c r="E18" s="1"/>
    </row>
    <row r="19" spans="1:5" ht="13.5" thickBot="1">
      <c r="A19" s="52"/>
      <c r="B19" s="52" t="s">
        <v>67</v>
      </c>
      <c r="D19" s="10">
        <v>235270.06647</v>
      </c>
      <c r="E19" s="3">
        <f>$D$17+$D$18+$D$19</f>
        <v>1479383.22406</v>
      </c>
    </row>
    <row r="20" spans="1:4" ht="12.75">
      <c r="A20" s="52" t="s">
        <v>31</v>
      </c>
      <c r="B20" s="52"/>
      <c r="D20" s="11"/>
    </row>
    <row r="21" spans="1:5" ht="12.75">
      <c r="A21" s="52" t="s">
        <v>73</v>
      </c>
      <c r="B21" s="104"/>
      <c r="D21" s="11"/>
      <c r="E21" s="7">
        <v>119640.702</v>
      </c>
    </row>
    <row r="22" spans="1:5" ht="12.75">
      <c r="A22" s="52" t="s">
        <v>32</v>
      </c>
      <c r="B22" s="52"/>
      <c r="D22" s="11"/>
      <c r="E22" s="7">
        <v>83904.34470000005</v>
      </c>
    </row>
    <row r="23" spans="1:5" ht="12.75">
      <c r="A23" s="52" t="s">
        <v>33</v>
      </c>
      <c r="B23" s="52"/>
      <c r="D23" s="11"/>
      <c r="E23" s="1"/>
    </row>
    <row r="24" spans="1:5" ht="12.75">
      <c r="A24" s="52"/>
      <c r="B24" s="52" t="s">
        <v>68</v>
      </c>
      <c r="D24" s="9">
        <v>325625.43173999997</v>
      </c>
      <c r="E24" s="1"/>
    </row>
    <row r="25" spans="1:5" ht="25.5" customHeight="1">
      <c r="A25" s="52"/>
      <c r="B25" s="105" t="s">
        <v>74</v>
      </c>
      <c r="D25" s="9">
        <v>6806.226339999979</v>
      </c>
      <c r="E25" s="1"/>
    </row>
    <row r="26" spans="1:5" ht="13.5" thickBot="1">
      <c r="A26" s="52"/>
      <c r="B26" s="52" t="s">
        <v>75</v>
      </c>
      <c r="D26" s="10">
        <v>38865.35923</v>
      </c>
      <c r="E26" s="3">
        <f>$D$24+$D$25-$D$26</f>
        <v>293566.29884999996</v>
      </c>
    </row>
    <row r="27" spans="1:5" ht="12.75">
      <c r="A27" s="52" t="s">
        <v>34</v>
      </c>
      <c r="B27" s="52"/>
      <c r="D27" s="13"/>
      <c r="E27" s="9">
        <v>0</v>
      </c>
    </row>
    <row r="28" spans="1:5" ht="12.75">
      <c r="A28" s="52" t="s">
        <v>35</v>
      </c>
      <c r="B28" s="52"/>
      <c r="D28" s="1"/>
      <c r="E28" s="9">
        <v>-7388.9616300000025</v>
      </c>
    </row>
    <row r="29" spans="1:5" ht="13.5" thickBot="1">
      <c r="A29" s="52" t="s">
        <v>77</v>
      </c>
      <c r="B29" s="52"/>
      <c r="D29" s="1"/>
      <c r="E29" s="14">
        <v>2668.82657</v>
      </c>
    </row>
    <row r="30" spans="1:5" ht="12.75">
      <c r="A30" s="52" t="s">
        <v>36</v>
      </c>
      <c r="B30" s="52"/>
      <c r="E30" s="15">
        <f>E$13-E$19-E$21-E$22+E$26-E$27+E$28+E$29</f>
        <v>172186.79840999964</v>
      </c>
    </row>
    <row r="31" spans="1:5" ht="13.5" thickBot="1">
      <c r="A31" s="52" t="s">
        <v>37</v>
      </c>
      <c r="B31" s="52"/>
      <c r="C31" s="1"/>
      <c r="D31" s="1"/>
      <c r="E31" s="14">
        <v>114905.48956999999</v>
      </c>
    </row>
    <row r="32" spans="1:5" ht="13.5" thickBot="1">
      <c r="A32" s="52" t="s">
        <v>76</v>
      </c>
      <c r="B32" s="52"/>
      <c r="C32" s="1"/>
      <c r="D32" s="1"/>
      <c r="E32" s="16">
        <f>E$30-E$31</f>
        <v>57281.30883999965</v>
      </c>
    </row>
    <row r="33" spans="1:5" ht="12.75">
      <c r="A33" s="52"/>
      <c r="B33" s="52"/>
      <c r="C33" s="1"/>
      <c r="D33" s="1"/>
      <c r="E33" s="1"/>
    </row>
    <row r="34" spans="1:5" ht="12.75">
      <c r="A34" s="102" t="s">
        <v>38</v>
      </c>
      <c r="B34" s="52"/>
      <c r="D34" s="1"/>
      <c r="E34" s="1"/>
    </row>
    <row r="35" spans="1:5" ht="12.75">
      <c r="A35" s="52" t="s">
        <v>39</v>
      </c>
      <c r="B35" s="52"/>
      <c r="D35" s="1"/>
      <c r="E35" s="17">
        <v>87348</v>
      </c>
    </row>
    <row r="36" spans="1:5" ht="12.75">
      <c r="A36" s="52" t="s">
        <v>40</v>
      </c>
      <c r="B36" s="52"/>
      <c r="E36" s="18">
        <f>E$31</f>
        <v>114905.48956999999</v>
      </c>
    </row>
    <row r="37" spans="1:5" ht="12.75">
      <c r="A37" s="52" t="s">
        <v>41</v>
      </c>
      <c r="B37" s="52"/>
      <c r="D37" s="9">
        <v>0</v>
      </c>
      <c r="E37" s="19"/>
    </row>
    <row r="38" spans="1:5" ht="13.5" thickBot="1">
      <c r="A38" s="52" t="s">
        <v>42</v>
      </c>
      <c r="B38" s="52"/>
      <c r="D38" s="10">
        <v>32157.53688</v>
      </c>
      <c r="E38" s="20">
        <f>$D$37+$D$38</f>
        <v>32157.53688</v>
      </c>
    </row>
    <row r="39" spans="1:5" ht="13.5" thickBot="1">
      <c r="A39" s="52" t="s">
        <v>43</v>
      </c>
      <c r="B39" s="52"/>
      <c r="D39" s="1"/>
      <c r="E39" s="21">
        <f>E35+E36-E38</f>
        <v>170095.95268999998</v>
      </c>
    </row>
    <row r="40" spans="1:5" ht="12.75">
      <c r="A40" s="52"/>
      <c r="B40" s="52"/>
      <c r="D40" s="1"/>
      <c r="E40" s="1"/>
    </row>
    <row r="41" spans="1:5" ht="12.75">
      <c r="A41" s="102" t="s">
        <v>44</v>
      </c>
      <c r="B41" s="52"/>
      <c r="D41" s="1"/>
      <c r="E41" s="1"/>
    </row>
    <row r="42" spans="1:5" ht="12.75">
      <c r="A42" s="52" t="s">
        <v>39</v>
      </c>
      <c r="B42" s="52"/>
      <c r="D42" s="1"/>
      <c r="E42" s="17">
        <v>237287</v>
      </c>
    </row>
    <row r="43" spans="1:5" ht="12.75">
      <c r="A43" s="52" t="s">
        <v>45</v>
      </c>
      <c r="B43" s="52"/>
      <c r="D43" s="9">
        <v>6892.632528</v>
      </c>
      <c r="E43" s="59"/>
    </row>
    <row r="44" spans="1:5" ht="12.75">
      <c r="A44" s="52" t="s">
        <v>46</v>
      </c>
      <c r="B44" s="52"/>
      <c r="D44" s="9">
        <v>2372.74392026</v>
      </c>
      <c r="E44" s="60">
        <f>D44+D43</f>
        <v>9265.37644826</v>
      </c>
    </row>
    <row r="45" spans="1:5" ht="12.75">
      <c r="A45" s="52" t="s">
        <v>47</v>
      </c>
      <c r="B45" s="52"/>
      <c r="D45" s="9">
        <v>1296.2663499999999</v>
      </c>
      <c r="E45" s="59"/>
    </row>
    <row r="46" spans="1:5" ht="13.5" thickBot="1">
      <c r="A46" s="52" t="s">
        <v>48</v>
      </c>
      <c r="B46" s="52"/>
      <c r="D46" s="9">
        <v>0</v>
      </c>
      <c r="E46" s="20">
        <f>D46+D45</f>
        <v>1296.2663499999999</v>
      </c>
    </row>
    <row r="47" spans="1:5" ht="13.5" thickBot="1">
      <c r="A47" s="52" t="s">
        <v>49</v>
      </c>
      <c r="B47" s="52"/>
      <c r="E47" s="21">
        <f>E42+E44-E46</f>
        <v>245256.11009826002</v>
      </c>
    </row>
    <row r="48" spans="1:5" ht="12.75">
      <c r="A48" s="52"/>
      <c r="B48" s="52"/>
      <c r="E48" s="1"/>
    </row>
    <row r="49" spans="1:5" ht="12.75">
      <c r="A49" s="102" t="s">
        <v>50</v>
      </c>
      <c r="B49" s="52"/>
      <c r="E49" s="1"/>
    </row>
    <row r="50" spans="1:5" ht="13.5" thickBot="1">
      <c r="A50" s="104" t="s">
        <v>4</v>
      </c>
      <c r="B50" s="52" t="s">
        <v>82</v>
      </c>
      <c r="E50" s="20">
        <f>E$26</f>
        <v>293566.29884999996</v>
      </c>
    </row>
    <row r="51" spans="1:5" ht="12.75">
      <c r="A51" s="52"/>
      <c r="B51" s="52"/>
      <c r="D51" s="1"/>
      <c r="E51" s="1"/>
    </row>
    <row r="52" spans="1:5" ht="25.5">
      <c r="A52" s="52"/>
      <c r="B52" s="52"/>
      <c r="D52" s="106" t="s">
        <v>99</v>
      </c>
      <c r="E52" s="106" t="s">
        <v>100</v>
      </c>
    </row>
    <row r="53" spans="1:5" ht="12.75">
      <c r="A53" s="104" t="s">
        <v>5</v>
      </c>
      <c r="B53" s="52" t="s">
        <v>83</v>
      </c>
      <c r="D53" s="22">
        <v>9517690</v>
      </c>
      <c r="E53" s="23">
        <v>9874751</v>
      </c>
    </row>
    <row r="54" spans="1:5" ht="12.75">
      <c r="A54" s="104" t="s">
        <v>6</v>
      </c>
      <c r="B54" s="52" t="s">
        <v>84</v>
      </c>
      <c r="D54" s="24">
        <v>9885563.61717</v>
      </c>
      <c r="E54" s="23">
        <v>10165625.2757348</v>
      </c>
    </row>
    <row r="55" spans="1:5" ht="12.75">
      <c r="A55" s="52"/>
      <c r="B55" s="52"/>
      <c r="D55" s="1"/>
      <c r="E55" s="1"/>
    </row>
    <row r="56" spans="1:5" ht="12.75">
      <c r="A56" s="104" t="s">
        <v>7</v>
      </c>
      <c r="B56" s="52" t="s">
        <v>109</v>
      </c>
      <c r="D56" s="1"/>
      <c r="E56" s="25">
        <f>E$50/(($D$53+$D$54)/2)</f>
        <v>0.030259492005013246</v>
      </c>
    </row>
    <row r="57" spans="1:5" ht="12.75">
      <c r="A57" s="104" t="s">
        <v>8</v>
      </c>
      <c r="B57" s="52" t="s">
        <v>102</v>
      </c>
      <c r="D57" s="1"/>
      <c r="E57" s="25">
        <f>(E$50+($E$54-$D$54)-($E$53-$D$53))/((E$53+$E$54)/2)</f>
        <v>0.021613062991938225</v>
      </c>
    </row>
    <row r="58" spans="1:5" ht="12.75">
      <c r="A58" s="52"/>
      <c r="B58" s="104" t="s">
        <v>101</v>
      </c>
      <c r="D58" s="1"/>
      <c r="E58" s="1"/>
    </row>
    <row r="59" spans="4:5" ht="12.75">
      <c r="D59" s="1"/>
      <c r="E59" s="1"/>
    </row>
    <row r="60" spans="1:5" ht="12.75">
      <c r="A60" s="52" t="s">
        <v>9</v>
      </c>
      <c r="B60" s="104" t="s">
        <v>85</v>
      </c>
      <c r="D60" s="1"/>
      <c r="E60" s="1"/>
    </row>
    <row r="61" spans="1:5" ht="12.75">
      <c r="A61" s="104"/>
      <c r="B61" s="52" t="s">
        <v>86</v>
      </c>
      <c r="D61" s="26">
        <v>0.06752037611195737</v>
      </c>
      <c r="E61" s="1"/>
    </row>
    <row r="62" spans="1:5" ht="12.75">
      <c r="A62" s="52"/>
      <c r="B62" s="52" t="s">
        <v>87</v>
      </c>
      <c r="D62" s="26">
        <v>0.5254240875480755</v>
      </c>
      <c r="E62" s="1"/>
    </row>
    <row r="63" spans="1:5" ht="12.75">
      <c r="A63" s="52"/>
      <c r="B63" s="52" t="s">
        <v>88</v>
      </c>
      <c r="D63" s="26">
        <v>0.1821796144250163</v>
      </c>
      <c r="E63" s="1"/>
    </row>
    <row r="64" spans="1:5" ht="12.75">
      <c r="A64" s="52"/>
      <c r="B64" s="52" t="s">
        <v>89</v>
      </c>
      <c r="D64" s="26">
        <v>0.06522062377507357</v>
      </c>
      <c r="E64" s="1"/>
    </row>
    <row r="65" spans="1:5" ht="12.75">
      <c r="A65" s="52"/>
      <c r="B65" s="52" t="s">
        <v>90</v>
      </c>
      <c r="D65" s="26">
        <v>0.02214381979089089</v>
      </c>
      <c r="E65" s="1"/>
    </row>
    <row r="66" spans="1:5" ht="12.75">
      <c r="A66" s="52"/>
      <c r="B66" s="52" t="s">
        <v>91</v>
      </c>
      <c r="D66" s="26">
        <v>0.005196897295847581</v>
      </c>
      <c r="E66" s="1"/>
    </row>
    <row r="67" spans="1:5" ht="12.75">
      <c r="A67" s="52"/>
      <c r="B67" s="52" t="s">
        <v>92</v>
      </c>
      <c r="D67" s="26">
        <v>0.13210685136978184</v>
      </c>
      <c r="E67" s="1"/>
    </row>
    <row r="68" spans="1:5" ht="13.5" thickBot="1">
      <c r="A68" s="52"/>
      <c r="B68" s="52" t="s">
        <v>93</v>
      </c>
      <c r="D68" s="27">
        <v>0.0002077296833569794</v>
      </c>
      <c r="E68" s="28">
        <f>SUM($D$61:$D$68)</f>
        <v>1</v>
      </c>
    </row>
    <row r="69" spans="1:5" ht="12.75">
      <c r="A69" s="52"/>
      <c r="B69" s="52"/>
      <c r="D69" s="1"/>
      <c r="E69" s="1"/>
    </row>
    <row r="70" spans="1:5" ht="12.75">
      <c r="A70" s="52" t="s">
        <v>10</v>
      </c>
      <c r="B70" s="52" t="s">
        <v>94</v>
      </c>
      <c r="E70" s="17">
        <v>9120729.101999998</v>
      </c>
    </row>
    <row r="71" spans="1:5" ht="12.75">
      <c r="A71" s="104" t="s">
        <v>11</v>
      </c>
      <c r="B71" s="52" t="s">
        <v>95</v>
      </c>
      <c r="E71" s="29">
        <v>163254.867</v>
      </c>
    </row>
    <row r="72" spans="1:5" ht="12.75">
      <c r="A72" s="104"/>
      <c r="B72" s="52"/>
      <c r="E72" s="1"/>
    </row>
    <row r="73" spans="1:5" ht="12.75">
      <c r="A73" s="52" t="s">
        <v>12</v>
      </c>
      <c r="B73" s="52" t="s">
        <v>96</v>
      </c>
      <c r="E73" s="1"/>
    </row>
    <row r="74" spans="1:5" ht="12.75">
      <c r="A74" s="104"/>
      <c r="B74" s="52" t="s">
        <v>75</v>
      </c>
      <c r="D74" s="15">
        <f>D26</f>
        <v>38865.35923</v>
      </c>
      <c r="E74" s="1"/>
    </row>
    <row r="75" spans="1:5" ht="12.75">
      <c r="A75" s="104"/>
      <c r="B75" s="52" t="s">
        <v>32</v>
      </c>
      <c r="D75" s="41">
        <f>E22</f>
        <v>83904.34470000005</v>
      </c>
      <c r="E75" s="18">
        <f>D75+D74</f>
        <v>122769.70393000005</v>
      </c>
    </row>
    <row r="76" spans="1:5" ht="12.75">
      <c r="A76" s="104"/>
      <c r="B76" s="52" t="s">
        <v>97</v>
      </c>
      <c r="E76" s="18">
        <f>(1000*E75)/E71</f>
        <v>752.0125199697725</v>
      </c>
    </row>
    <row r="77" spans="1:5" ht="12.75">
      <c r="A77" s="104"/>
      <c r="B77" s="52"/>
      <c r="E77" s="1"/>
    </row>
    <row r="78" ht="12.75">
      <c r="B78" s="52"/>
    </row>
    <row r="79" spans="1:5" ht="12.75">
      <c r="A79" s="107" t="s">
        <v>117</v>
      </c>
      <c r="B79" s="52"/>
      <c r="D79" s="1"/>
      <c r="E79" s="1"/>
    </row>
    <row r="80" spans="1:6" ht="12.75">
      <c r="A80" s="110" t="s">
        <v>51</v>
      </c>
      <c r="B80" s="111"/>
      <c r="C80" s="118" t="s">
        <v>115</v>
      </c>
      <c r="D80" s="118"/>
      <c r="E80" s="118" t="s">
        <v>116</v>
      </c>
      <c r="F80" s="118"/>
    </row>
    <row r="81" spans="1:5" ht="12.75">
      <c r="A81" s="52"/>
      <c r="B81" s="52" t="s">
        <v>103</v>
      </c>
      <c r="C81" s="30">
        <v>247754.0453808681</v>
      </c>
      <c r="E81" s="30">
        <v>45812.25346913183</v>
      </c>
    </row>
    <row r="82" spans="2:5" ht="12.75">
      <c r="B82" s="52" t="s">
        <v>104</v>
      </c>
      <c r="C82" s="30">
        <v>168827.28328804157</v>
      </c>
      <c r="E82" s="30">
        <v>96656.4659029147</v>
      </c>
    </row>
    <row r="83" spans="1:6" ht="12.75">
      <c r="A83" s="52"/>
      <c r="B83" s="52" t="s">
        <v>105</v>
      </c>
      <c r="C83" s="30">
        <v>59905.773633194105</v>
      </c>
      <c r="D83" s="53">
        <f>SUM(C81:C83)</f>
        <v>476487.10230210377</v>
      </c>
      <c r="E83" s="30">
        <v>32756.316974184792</v>
      </c>
      <c r="F83" s="53">
        <f>SUM(E81:E83)</f>
        <v>175225.03634623133</v>
      </c>
    </row>
    <row r="84" spans="1:2" ht="12.75">
      <c r="A84" s="52" t="s">
        <v>52</v>
      </c>
      <c r="B84" s="52"/>
    </row>
    <row r="85" spans="1:5" ht="12.75">
      <c r="A85" s="52"/>
      <c r="B85" s="52" t="s">
        <v>103</v>
      </c>
      <c r="C85" s="30">
        <v>198559.71971719497</v>
      </c>
      <c r="E85" s="30">
        <v>29457.923660276745</v>
      </c>
    </row>
    <row r="86" spans="1:5" ht="12.75">
      <c r="A86" s="52"/>
      <c r="B86" s="52" t="s">
        <v>104</v>
      </c>
      <c r="C86" s="30">
        <v>101451.56921364632</v>
      </c>
      <c r="D86" s="52"/>
      <c r="E86" s="30">
        <v>63842.7741201772</v>
      </c>
    </row>
    <row r="87" spans="1:6" ht="12.75">
      <c r="A87" s="52"/>
      <c r="B87" s="52" t="s">
        <v>105</v>
      </c>
      <c r="C87" s="30">
        <v>52288.69407907116</v>
      </c>
      <c r="D87" s="53">
        <f>SUM(C85:C87)</f>
        <v>352299.9830099124</v>
      </c>
      <c r="E87" s="30">
        <v>23224.672050928883</v>
      </c>
      <c r="F87" s="53">
        <f>SUM(E85:E87)</f>
        <v>116525.36983138284</v>
      </c>
    </row>
    <row r="88" spans="1:6" ht="12.75">
      <c r="A88" s="52" t="s">
        <v>53</v>
      </c>
      <c r="B88" s="52"/>
      <c r="D88" s="54">
        <f>D83-D87</f>
        <v>124187.11929219135</v>
      </c>
      <c r="F88" s="54">
        <f>F83-F87</f>
        <v>58699.66651484849</v>
      </c>
    </row>
    <row r="89" spans="1:6" ht="12.75">
      <c r="A89" s="52" t="s">
        <v>54</v>
      </c>
      <c r="B89" s="52"/>
      <c r="D89" s="30">
        <v>11300</v>
      </c>
      <c r="F89" s="30">
        <v>-600</v>
      </c>
    </row>
    <row r="90" spans="1:6" ht="12.75">
      <c r="A90" s="52" t="s">
        <v>55</v>
      </c>
      <c r="B90" s="52"/>
      <c r="D90" s="30">
        <v>0</v>
      </c>
      <c r="F90" s="55"/>
    </row>
    <row r="91" spans="1:6" ht="13.5" thickBot="1">
      <c r="A91" s="52" t="s">
        <v>56</v>
      </c>
      <c r="B91" s="52"/>
      <c r="D91" s="30">
        <v>75360</v>
      </c>
      <c r="F91" s="30">
        <v>39545.94249355247</v>
      </c>
    </row>
    <row r="92" spans="1:6" ht="13.5" thickBot="1">
      <c r="A92" s="52" t="s">
        <v>57</v>
      </c>
      <c r="B92" s="52"/>
      <c r="D92" s="16">
        <f>D88-D89-D90-D91</f>
        <v>37527.119292191346</v>
      </c>
      <c r="F92" s="16">
        <f>F88-F89-F91</f>
        <v>19753.724021296017</v>
      </c>
    </row>
    <row r="93" spans="1:6" ht="12.75">
      <c r="A93" s="108" t="s">
        <v>58</v>
      </c>
      <c r="B93" s="52"/>
      <c r="D93" s="56"/>
      <c r="F93" s="47"/>
    </row>
    <row r="94" spans="1:6" ht="12.75">
      <c r="A94" s="52" t="s">
        <v>106</v>
      </c>
      <c r="B94" s="52"/>
      <c r="D94" s="57">
        <f>IF(D$83&gt;0,MIN(MAX((D$87+D$89+D$90+D$91)/D$83,0.9),1),0)</f>
        <v>0.9212421089450638</v>
      </c>
      <c r="F94" s="58">
        <f>IF(F$83&gt;0,MIN((F$87+F$89+F$90+F$91)/F$83,1),0)</f>
        <v>0.8872665434506507</v>
      </c>
    </row>
    <row r="95" spans="1:2" ht="12.75">
      <c r="A95" s="52"/>
      <c r="B95" s="52"/>
    </row>
    <row r="96" spans="1:2" ht="12.75">
      <c r="A96" s="52" t="s">
        <v>59</v>
      </c>
      <c r="B96" s="52"/>
    </row>
    <row r="97" spans="1:5" ht="12.75">
      <c r="A97" s="52"/>
      <c r="B97" s="52" t="s">
        <v>107</v>
      </c>
      <c r="D97" s="53">
        <f>D92</f>
        <v>37527.119292191346</v>
      </c>
      <c r="E97" s="58">
        <f>IF($D$83&gt;0,D97/$D$83,0)</f>
        <v>0.07875789105493623</v>
      </c>
    </row>
    <row r="98" spans="1:5" ht="13.5" thickBot="1">
      <c r="A98" s="52"/>
      <c r="B98" s="52" t="s">
        <v>108</v>
      </c>
      <c r="D98" s="53">
        <f>F92</f>
        <v>19753.724021296017</v>
      </c>
      <c r="E98" s="58">
        <f>IF($F$83&gt;0,D98/$F$83,0)</f>
        <v>0.11273345654934927</v>
      </c>
    </row>
    <row r="99" spans="1:4" ht="13.5" thickBot="1">
      <c r="A99" s="52"/>
      <c r="B99" s="52" t="s">
        <v>113</v>
      </c>
      <c r="D99" s="31">
        <f>D98+D97</f>
        <v>57280.84331348736</v>
      </c>
    </row>
    <row r="100" ht="12.75">
      <c r="D100">
        <f>IF(ABS($E$32-$D$99)&lt;2,"","&lt;&gt; Pos. 411e ("&amp;TEXT($F$33,"#'##0")&amp;") ?")</f>
      </c>
    </row>
  </sheetData>
  <sheetProtection/>
  <mergeCells count="2">
    <mergeCell ref="C80:D80"/>
    <mergeCell ref="E80:F80"/>
  </mergeCells>
  <conditionalFormatting sqref="D99">
    <cfRule type="expression" priority="1" dxfId="0" stopIfTrue="1">
      <formula>IF(D$100="",0,1)</formula>
    </cfRule>
  </conditionalFormatting>
  <conditionalFormatting sqref="D94">
    <cfRule type="expression" priority="2" dxfId="2" stopIfTrue="1">
      <formula>IF($B$94=0,0,1)</formula>
    </cfRule>
  </conditionalFormatting>
  <conditionalFormatting sqref="E47">
    <cfRule type="expression" priority="3" dxfId="0" stopIfTrue="1">
      <formula>IF(#REF!="",0,1)</formula>
    </cfRule>
  </conditionalFormatting>
  <printOptions/>
  <pageMargins left="0.5" right="0.43" top="1" bottom="1" header="0.4921259845" footer="0.4921259845"/>
  <pageSetup fitToHeight="1" fitToWidth="1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2">
    <tabColor indexed="12"/>
    <pageSetUpPr fitToPage="1"/>
  </sheetPr>
  <dimension ref="A1:G100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4" width="13.421875" style="0" customWidth="1"/>
    <col min="5" max="6" width="14.00390625" style="0" customWidth="1"/>
  </cols>
  <sheetData>
    <row r="1" spans="1:7" ht="12.75">
      <c r="A1" s="101" t="s">
        <v>70</v>
      </c>
      <c r="B1" s="52"/>
      <c r="G1" s="61"/>
    </row>
    <row r="2" spans="1:7" ht="12.75">
      <c r="A2" s="52" t="s">
        <v>71</v>
      </c>
      <c r="B2" s="52"/>
      <c r="G2" s="61"/>
    </row>
    <row r="3" spans="1:7" ht="12.75">
      <c r="A3" s="102" t="s">
        <v>16</v>
      </c>
      <c r="B3" s="52"/>
      <c r="G3" s="61"/>
    </row>
    <row r="4" spans="1:7" ht="12.75">
      <c r="A4" s="52"/>
      <c r="B4" s="52"/>
      <c r="G4" s="61"/>
    </row>
    <row r="5" spans="1:7" ht="12.75">
      <c r="A5" s="52" t="s">
        <v>69</v>
      </c>
      <c r="B5" s="52"/>
      <c r="G5" s="61"/>
    </row>
    <row r="6" spans="1:7" ht="12.75">
      <c r="A6" s="52"/>
      <c r="B6" s="52"/>
      <c r="G6" s="61"/>
    </row>
    <row r="7" spans="1:7" ht="12.75">
      <c r="A7" s="52" t="s">
        <v>0</v>
      </c>
      <c r="B7" s="52" t="s">
        <v>1</v>
      </c>
      <c r="C7" s="1"/>
      <c r="D7" s="1" t="s">
        <v>3</v>
      </c>
      <c r="E7" s="1" t="s">
        <v>98</v>
      </c>
      <c r="F7" s="1"/>
      <c r="G7" s="61"/>
    </row>
    <row r="8" spans="1:7" ht="12.75">
      <c r="A8" s="52"/>
      <c r="B8" s="52"/>
      <c r="C8" s="2"/>
      <c r="D8" s="2" t="s">
        <v>78</v>
      </c>
      <c r="E8" s="2" t="s">
        <v>79</v>
      </c>
      <c r="F8" s="2"/>
      <c r="G8" s="61"/>
    </row>
    <row r="9" spans="1:7" ht="12.75">
      <c r="A9" s="102" t="s">
        <v>28</v>
      </c>
      <c r="B9" s="52"/>
      <c r="G9" s="61"/>
    </row>
    <row r="10" spans="1:7" ht="12.75">
      <c r="A10" s="52" t="s">
        <v>29</v>
      </c>
      <c r="B10" s="52"/>
      <c r="D10" s="1"/>
      <c r="E10" s="1"/>
      <c r="G10" s="61"/>
    </row>
    <row r="11" spans="1:7" ht="12.75">
      <c r="A11" s="52"/>
      <c r="B11" s="52" t="s">
        <v>60</v>
      </c>
      <c r="D11" s="3">
        <f>$E$13-D$12-D$13</f>
        <v>89367.20000000001</v>
      </c>
      <c r="E11" s="1"/>
      <c r="G11" s="61"/>
    </row>
    <row r="12" spans="1:7" ht="12.75">
      <c r="A12" s="52"/>
      <c r="B12" s="52" t="s">
        <v>61</v>
      </c>
      <c r="D12" s="5">
        <v>266235</v>
      </c>
      <c r="E12" s="1"/>
      <c r="G12" s="61"/>
    </row>
    <row r="13" spans="1:7" ht="13.5" thickBot="1">
      <c r="A13" s="52"/>
      <c r="B13" s="52" t="s">
        <v>62</v>
      </c>
      <c r="D13" s="6">
        <v>16859</v>
      </c>
      <c r="E13" s="7">
        <v>372461.2</v>
      </c>
      <c r="G13" s="61"/>
    </row>
    <row r="14" spans="1:7" ht="12.75">
      <c r="A14" s="52"/>
      <c r="B14" s="103" t="s">
        <v>63</v>
      </c>
      <c r="D14" s="1"/>
      <c r="E14" s="1"/>
      <c r="G14" s="61"/>
    </row>
    <row r="15" spans="1:7" ht="12.75">
      <c r="A15" s="52"/>
      <c r="B15" s="103" t="s">
        <v>64</v>
      </c>
      <c r="D15" s="1"/>
      <c r="E15" s="1"/>
      <c r="G15" s="61"/>
    </row>
    <row r="16" spans="1:5" ht="12.75">
      <c r="A16" s="52" t="s">
        <v>30</v>
      </c>
      <c r="B16" s="52"/>
      <c r="D16" s="1"/>
      <c r="E16" s="1"/>
    </row>
    <row r="17" spans="1:5" ht="12.75">
      <c r="A17" s="52"/>
      <c r="B17" s="52" t="s">
        <v>65</v>
      </c>
      <c r="D17" s="8">
        <v>110597.6</v>
      </c>
      <c r="E17" s="1"/>
    </row>
    <row r="18" spans="1:5" ht="12.75">
      <c r="A18" s="52"/>
      <c r="B18" s="52" t="s">
        <v>66</v>
      </c>
      <c r="D18" s="9">
        <v>0</v>
      </c>
      <c r="E18" s="1"/>
    </row>
    <row r="19" spans="1:5" ht="13.5" thickBot="1">
      <c r="A19" s="52"/>
      <c r="B19" s="52" t="s">
        <v>67</v>
      </c>
      <c r="D19" s="10">
        <v>133800.5</v>
      </c>
      <c r="E19" s="3">
        <f>$D$17+$D$18+$D$19</f>
        <v>244398.1</v>
      </c>
    </row>
    <row r="20" spans="1:4" ht="12.75">
      <c r="A20" s="52" t="s">
        <v>31</v>
      </c>
      <c r="B20" s="52"/>
      <c r="D20" s="11"/>
    </row>
    <row r="21" spans="1:5" ht="12.75">
      <c r="A21" s="52" t="s">
        <v>73</v>
      </c>
      <c r="B21" s="104"/>
      <c r="D21" s="11"/>
      <c r="E21" s="7">
        <v>5498.2</v>
      </c>
    </row>
    <row r="22" spans="1:5" ht="12.75">
      <c r="A22" s="52" t="s">
        <v>32</v>
      </c>
      <c r="B22" s="52"/>
      <c r="D22" s="11"/>
      <c r="E22" s="7">
        <v>30266.3</v>
      </c>
    </row>
    <row r="23" spans="1:5" ht="12.75">
      <c r="A23" s="52" t="s">
        <v>33</v>
      </c>
      <c r="B23" s="52"/>
      <c r="D23" s="11"/>
      <c r="E23" s="1"/>
    </row>
    <row r="24" spans="1:5" ht="12.75">
      <c r="A24" s="52"/>
      <c r="B24" s="52" t="s">
        <v>68</v>
      </c>
      <c r="D24" s="9">
        <v>53350.9</v>
      </c>
      <c r="E24" s="1"/>
    </row>
    <row r="25" spans="1:5" ht="25.5" customHeight="1">
      <c r="A25" s="52"/>
      <c r="B25" s="105" t="s">
        <v>74</v>
      </c>
      <c r="D25" s="9">
        <v>12401</v>
      </c>
      <c r="E25" s="1"/>
    </row>
    <row r="26" spans="1:5" ht="13.5" thickBot="1">
      <c r="A26" s="52"/>
      <c r="B26" s="52" t="s">
        <v>75</v>
      </c>
      <c r="D26" s="10">
        <v>4142.1</v>
      </c>
      <c r="E26" s="3">
        <f>$D$24+$D$25-$D$26</f>
        <v>61609.799999999996</v>
      </c>
    </row>
    <row r="27" spans="1:5" ht="12.75">
      <c r="A27" s="52" t="s">
        <v>34</v>
      </c>
      <c r="B27" s="52"/>
      <c r="D27" s="13"/>
      <c r="E27" s="9">
        <v>0</v>
      </c>
    </row>
    <row r="28" spans="1:5" ht="12.75">
      <c r="A28" s="52" t="s">
        <v>35</v>
      </c>
      <c r="B28" s="52"/>
      <c r="D28" s="1"/>
      <c r="E28" s="9">
        <v>-2686.6</v>
      </c>
    </row>
    <row r="29" spans="1:5" ht="13.5" thickBot="1">
      <c r="A29" s="52" t="s">
        <v>77</v>
      </c>
      <c r="B29" s="52"/>
      <c r="D29" s="1"/>
      <c r="E29" s="14">
        <v>-169.8</v>
      </c>
    </row>
    <row r="30" spans="1:5" ht="12.75">
      <c r="A30" s="52" t="s">
        <v>36</v>
      </c>
      <c r="B30" s="52"/>
      <c r="E30" s="15">
        <f>E$13-E$19-E$21-E$22+E$26-E$27+E$28+E$29</f>
        <v>151052</v>
      </c>
    </row>
    <row r="31" spans="1:5" ht="13.5" thickBot="1">
      <c r="A31" s="52" t="s">
        <v>37</v>
      </c>
      <c r="B31" s="52"/>
      <c r="C31" s="1"/>
      <c r="D31" s="1"/>
      <c r="E31" s="14">
        <v>77937.9</v>
      </c>
    </row>
    <row r="32" spans="1:5" ht="13.5" thickBot="1">
      <c r="A32" s="52" t="s">
        <v>76</v>
      </c>
      <c r="B32" s="52"/>
      <c r="C32" s="1"/>
      <c r="D32" s="1"/>
      <c r="E32" s="16">
        <f>E$30-E$31</f>
        <v>73114.1</v>
      </c>
    </row>
    <row r="33" spans="1:5" ht="12.75">
      <c r="A33" s="52"/>
      <c r="B33" s="52"/>
      <c r="C33" s="1"/>
      <c r="D33" s="1"/>
      <c r="E33" s="1"/>
    </row>
    <row r="34" spans="1:5" ht="12.75">
      <c r="A34" s="102" t="s">
        <v>38</v>
      </c>
      <c r="B34" s="52"/>
      <c r="D34" s="1"/>
      <c r="E34" s="1"/>
    </row>
    <row r="35" spans="1:5" ht="12.75">
      <c r="A35" s="52" t="s">
        <v>39</v>
      </c>
      <c r="B35" s="52"/>
      <c r="D35" s="1"/>
      <c r="E35" s="17">
        <v>112370</v>
      </c>
    </row>
    <row r="36" spans="1:5" ht="12.75">
      <c r="A36" s="52" t="s">
        <v>40</v>
      </c>
      <c r="B36" s="52"/>
      <c r="E36" s="18">
        <f>E$31</f>
        <v>77937.9</v>
      </c>
    </row>
    <row r="37" spans="1:5" ht="12.75">
      <c r="A37" s="52" t="s">
        <v>41</v>
      </c>
      <c r="B37" s="52"/>
      <c r="D37" s="9">
        <v>0</v>
      </c>
      <c r="E37" s="19"/>
    </row>
    <row r="38" spans="1:5" ht="13.5" thickBot="1">
      <c r="A38" s="52" t="s">
        <v>42</v>
      </c>
      <c r="B38" s="52"/>
      <c r="D38" s="10">
        <v>45108</v>
      </c>
      <c r="E38" s="20">
        <f>$D$37+$D$38</f>
        <v>45108</v>
      </c>
    </row>
    <row r="39" spans="1:5" ht="13.5" thickBot="1">
      <c r="A39" s="52" t="s">
        <v>43</v>
      </c>
      <c r="B39" s="52"/>
      <c r="D39" s="1"/>
      <c r="E39" s="21">
        <f>E35+E36-E38</f>
        <v>145199.9</v>
      </c>
    </row>
    <row r="40" spans="1:5" ht="12.75">
      <c r="A40" s="52"/>
      <c r="B40" s="52"/>
      <c r="D40" s="1"/>
      <c r="E40" s="1"/>
    </row>
    <row r="41" spans="1:5" ht="12.75">
      <c r="A41" s="102" t="s">
        <v>44</v>
      </c>
      <c r="B41" s="52"/>
      <c r="D41" s="1"/>
      <c r="E41" s="1"/>
    </row>
    <row r="42" spans="1:5" ht="12.75">
      <c r="A42" s="52" t="s">
        <v>39</v>
      </c>
      <c r="B42" s="52"/>
      <c r="D42" s="1"/>
      <c r="E42" s="17">
        <v>175325</v>
      </c>
    </row>
    <row r="43" spans="1:5" ht="12.75">
      <c r="A43" s="52" t="s">
        <v>45</v>
      </c>
      <c r="B43" s="52"/>
      <c r="D43" s="9">
        <v>3618</v>
      </c>
      <c r="E43" s="59"/>
    </row>
    <row r="44" spans="1:5" ht="12.75">
      <c r="A44" s="52" t="s">
        <v>46</v>
      </c>
      <c r="B44" s="52"/>
      <c r="D44" s="9">
        <v>1753</v>
      </c>
      <c r="E44" s="60">
        <f>D44+D43</f>
        <v>5371</v>
      </c>
    </row>
    <row r="45" spans="1:5" ht="12.75">
      <c r="A45" s="52" t="s">
        <v>47</v>
      </c>
      <c r="B45" s="52"/>
      <c r="D45" s="9">
        <v>788</v>
      </c>
      <c r="E45" s="59"/>
    </row>
    <row r="46" spans="1:5" ht="13.5" thickBot="1">
      <c r="A46" s="52" t="s">
        <v>48</v>
      </c>
      <c r="B46" s="52"/>
      <c r="D46" s="9">
        <v>724</v>
      </c>
      <c r="E46" s="20">
        <f>D46+D45</f>
        <v>1512</v>
      </c>
    </row>
    <row r="47" spans="1:5" ht="13.5" thickBot="1">
      <c r="A47" s="52" t="s">
        <v>49</v>
      </c>
      <c r="B47" s="52"/>
      <c r="E47" s="21">
        <f>E42+E44-E46</f>
        <v>179184</v>
      </c>
    </row>
    <row r="48" spans="1:5" ht="12.75">
      <c r="A48" s="52"/>
      <c r="B48" s="52"/>
      <c r="E48" s="1"/>
    </row>
    <row r="49" spans="1:5" ht="12.75">
      <c r="A49" s="102" t="s">
        <v>50</v>
      </c>
      <c r="B49" s="52"/>
      <c r="E49" s="1"/>
    </row>
    <row r="50" spans="1:5" ht="13.5" thickBot="1">
      <c r="A50" s="104" t="s">
        <v>4</v>
      </c>
      <c r="B50" s="52" t="s">
        <v>82</v>
      </c>
      <c r="E50" s="20">
        <f>E$26</f>
        <v>61609.799999999996</v>
      </c>
    </row>
    <row r="51" spans="1:5" ht="12.75">
      <c r="A51" s="52"/>
      <c r="B51" s="52"/>
      <c r="D51" s="1"/>
      <c r="E51" s="1"/>
    </row>
    <row r="52" spans="1:5" ht="25.5">
      <c r="A52" s="52"/>
      <c r="B52" s="52"/>
      <c r="D52" s="106" t="s">
        <v>99</v>
      </c>
      <c r="E52" s="106" t="s">
        <v>100</v>
      </c>
    </row>
    <row r="53" spans="1:5" ht="12.75">
      <c r="A53" s="104" t="s">
        <v>5</v>
      </c>
      <c r="B53" s="52" t="s">
        <v>83</v>
      </c>
      <c r="D53" s="22">
        <v>1849795</v>
      </c>
      <c r="E53" s="23">
        <v>1943213</v>
      </c>
    </row>
    <row r="54" spans="1:5" ht="12.75">
      <c r="A54" s="104" t="s">
        <v>6</v>
      </c>
      <c r="B54" s="52" t="s">
        <v>84</v>
      </c>
      <c r="D54" s="24">
        <v>1986154.9</v>
      </c>
      <c r="E54" s="23">
        <v>2051317.4</v>
      </c>
    </row>
    <row r="55" spans="1:5" ht="12.75">
      <c r="A55" s="52"/>
      <c r="B55" s="52"/>
      <c r="D55" s="1"/>
      <c r="E55" s="1"/>
    </row>
    <row r="56" spans="1:5" ht="12.75">
      <c r="A56" s="104" t="s">
        <v>7</v>
      </c>
      <c r="B56" s="52" t="s">
        <v>109</v>
      </c>
      <c r="D56" s="1"/>
      <c r="E56" s="25">
        <f>E$50/(($D$53+$D$54)/2)</f>
        <v>0.03212231734309147</v>
      </c>
    </row>
    <row r="57" spans="1:5" ht="12.75">
      <c r="A57" s="104" t="s">
        <v>8</v>
      </c>
      <c r="B57" s="52" t="s">
        <v>102</v>
      </c>
      <c r="D57" s="1"/>
      <c r="E57" s="25">
        <f>(E$50+($E$54-$D$54)-($E$53-$D$53))/((E$53+$E$54)/2)</f>
        <v>0.016699985560255086</v>
      </c>
    </row>
    <row r="58" spans="1:5" ht="12.75">
      <c r="A58" s="52"/>
      <c r="B58" s="104" t="s">
        <v>101</v>
      </c>
      <c r="D58" s="1"/>
      <c r="E58" s="1"/>
    </row>
    <row r="59" spans="4:5" ht="12.75">
      <c r="D59" s="1"/>
      <c r="E59" s="1"/>
    </row>
    <row r="60" spans="1:5" ht="12.75">
      <c r="A60" s="52" t="s">
        <v>9</v>
      </c>
      <c r="B60" s="104" t="s">
        <v>85</v>
      </c>
      <c r="D60" s="1"/>
      <c r="E60" s="1"/>
    </row>
    <row r="61" spans="1:5" ht="12.75">
      <c r="A61" s="104"/>
      <c r="B61" s="52" t="s">
        <v>86</v>
      </c>
      <c r="D61" s="26">
        <v>0.009464065466394387</v>
      </c>
      <c r="E61" s="1"/>
    </row>
    <row r="62" spans="1:5" ht="12.75">
      <c r="A62" s="52"/>
      <c r="B62" s="52" t="s">
        <v>87</v>
      </c>
      <c r="D62" s="26">
        <v>0.7991769926907513</v>
      </c>
      <c r="E62" s="1"/>
    </row>
    <row r="63" spans="1:5" ht="12.75">
      <c r="A63" s="52"/>
      <c r="B63" s="52" t="s">
        <v>88</v>
      </c>
      <c r="D63" s="26">
        <v>0.06638127771403933</v>
      </c>
      <c r="E63" s="1"/>
    </row>
    <row r="64" spans="1:5" ht="12.75">
      <c r="A64" s="52"/>
      <c r="B64" s="52" t="s">
        <v>89</v>
      </c>
      <c r="D64" s="26">
        <v>0.08851676170876703</v>
      </c>
      <c r="E64" s="1"/>
    </row>
    <row r="65" spans="1:5" ht="12.75">
      <c r="A65" s="52"/>
      <c r="B65" s="52" t="s">
        <v>90</v>
      </c>
      <c r="D65" s="26">
        <v>0</v>
      </c>
      <c r="E65" s="1"/>
    </row>
    <row r="66" spans="1:5" ht="12.75">
      <c r="A66" s="52"/>
      <c r="B66" s="52" t="s">
        <v>91</v>
      </c>
      <c r="D66" s="26">
        <v>0</v>
      </c>
      <c r="E66" s="1"/>
    </row>
    <row r="67" spans="1:5" ht="12.75">
      <c r="A67" s="52"/>
      <c r="B67" s="52" t="s">
        <v>92</v>
      </c>
      <c r="D67" s="26">
        <v>0.0364609024200479</v>
      </c>
      <c r="E67" s="1"/>
    </row>
    <row r="68" spans="1:5" ht="13.5" thickBot="1">
      <c r="A68" s="52"/>
      <c r="B68" s="52" t="s">
        <v>93</v>
      </c>
      <c r="D68" s="27">
        <v>0</v>
      </c>
      <c r="E68" s="28">
        <f>SUM($D$61:$D$68)</f>
        <v>0.9999999999999998</v>
      </c>
    </row>
    <row r="69" spans="1:5" ht="12.75">
      <c r="A69" s="52"/>
      <c r="B69" s="52"/>
      <c r="D69" s="1"/>
      <c r="E69" s="1"/>
    </row>
    <row r="70" spans="1:5" ht="12.75">
      <c r="A70" s="52" t="s">
        <v>10</v>
      </c>
      <c r="B70" s="52" t="s">
        <v>94</v>
      </c>
      <c r="E70" s="17">
        <v>1679632.826</v>
      </c>
    </row>
    <row r="71" spans="1:5" ht="12.75">
      <c r="A71" s="104" t="s">
        <v>11</v>
      </c>
      <c r="B71" s="52" t="s">
        <v>95</v>
      </c>
      <c r="E71" s="29">
        <v>124751</v>
      </c>
    </row>
    <row r="72" spans="1:5" ht="12.75">
      <c r="A72" s="104"/>
      <c r="B72" s="52"/>
      <c r="E72" s="1"/>
    </row>
    <row r="73" spans="1:5" ht="12.75">
      <c r="A73" s="52" t="s">
        <v>12</v>
      </c>
      <c r="B73" s="52" t="s">
        <v>96</v>
      </c>
      <c r="E73" s="1"/>
    </row>
    <row r="74" spans="1:5" ht="12.75">
      <c r="A74" s="104"/>
      <c r="B74" s="52" t="s">
        <v>75</v>
      </c>
      <c r="D74" s="15">
        <f>D26</f>
        <v>4142.1</v>
      </c>
      <c r="E74" s="1"/>
    </row>
    <row r="75" spans="1:5" ht="12.75">
      <c r="A75" s="104"/>
      <c r="B75" s="52" t="s">
        <v>32</v>
      </c>
      <c r="D75" s="41">
        <f>E22</f>
        <v>30266.3</v>
      </c>
      <c r="E75" s="18">
        <f>D75+D74</f>
        <v>34408.4</v>
      </c>
    </row>
    <row r="76" spans="1:5" ht="12.75">
      <c r="A76" s="104"/>
      <c r="B76" s="52" t="s">
        <v>97</v>
      </c>
      <c r="E76" s="18">
        <f>(1000*E75)/E71</f>
        <v>275.8166267204271</v>
      </c>
    </row>
    <row r="77" spans="1:5" ht="12.75">
      <c r="A77" s="104"/>
      <c r="B77" s="52"/>
      <c r="E77" s="1"/>
    </row>
    <row r="78" ht="12.75">
      <c r="B78" s="52"/>
    </row>
    <row r="79" spans="1:5" ht="12.75">
      <c r="A79" s="107" t="s">
        <v>117</v>
      </c>
      <c r="B79" s="52"/>
      <c r="D79" s="1"/>
      <c r="E79" s="1"/>
    </row>
    <row r="80" spans="1:6" ht="12.75">
      <c r="A80" s="110" t="s">
        <v>51</v>
      </c>
      <c r="B80" s="111"/>
      <c r="C80" s="118" t="s">
        <v>115</v>
      </c>
      <c r="D80" s="118"/>
      <c r="E80" s="118" t="s">
        <v>116</v>
      </c>
      <c r="F80" s="118"/>
    </row>
    <row r="81" spans="1:5" ht="12.75">
      <c r="A81" s="52"/>
      <c r="B81" s="52" t="s">
        <v>103</v>
      </c>
      <c r="C81" s="30">
        <v>32918</v>
      </c>
      <c r="E81" s="30">
        <v>28691</v>
      </c>
    </row>
    <row r="82" spans="2:5" ht="12.75">
      <c r="B82" s="52" t="s">
        <v>104</v>
      </c>
      <c r="C82" s="30">
        <v>90225</v>
      </c>
      <c r="E82" s="30">
        <v>176010</v>
      </c>
    </row>
    <row r="83" spans="1:6" ht="12.75">
      <c r="A83" s="52"/>
      <c r="B83" s="52" t="s">
        <v>105</v>
      </c>
      <c r="C83" s="30">
        <v>6386</v>
      </c>
      <c r="D83" s="53">
        <f>SUM(C81:C83)</f>
        <v>129529</v>
      </c>
      <c r="E83" s="30">
        <v>10473</v>
      </c>
      <c r="F83" s="53">
        <f>SUM(E81:E83)</f>
        <v>215174</v>
      </c>
    </row>
    <row r="84" spans="1:2" ht="12.75">
      <c r="A84" s="52" t="s">
        <v>52</v>
      </c>
      <c r="B84" s="52"/>
    </row>
    <row r="85" spans="1:5" ht="12.75">
      <c r="A85" s="52"/>
      <c r="B85" s="52" t="s">
        <v>103</v>
      </c>
      <c r="C85" s="30">
        <v>27873</v>
      </c>
      <c r="E85" s="30">
        <v>15828</v>
      </c>
    </row>
    <row r="86" spans="1:5" ht="12.75">
      <c r="A86" s="52"/>
      <c r="B86" s="52" t="s">
        <v>104</v>
      </c>
      <c r="C86" s="30">
        <v>42920</v>
      </c>
      <c r="D86" s="52"/>
      <c r="E86" s="30">
        <v>89620</v>
      </c>
    </row>
    <row r="87" spans="1:6" ht="12.75">
      <c r="A87" s="52"/>
      <c r="B87" s="52" t="s">
        <v>105</v>
      </c>
      <c r="C87" s="30">
        <v>11655</v>
      </c>
      <c r="D87" s="53">
        <f>SUM(C85:C87)</f>
        <v>82448</v>
      </c>
      <c r="E87" s="30">
        <v>19114</v>
      </c>
      <c r="F87" s="53">
        <f>SUM(E85:E87)</f>
        <v>124562</v>
      </c>
    </row>
    <row r="88" spans="1:6" ht="12.75">
      <c r="A88" s="52" t="s">
        <v>53</v>
      </c>
      <c r="B88" s="52"/>
      <c r="D88" s="54">
        <f>D83-D87</f>
        <v>47081</v>
      </c>
      <c r="F88" s="54">
        <f>F83-F87</f>
        <v>90612</v>
      </c>
    </row>
    <row r="89" spans="1:6" ht="12.75">
      <c r="A89" s="52" t="s">
        <v>54</v>
      </c>
      <c r="B89" s="52"/>
      <c r="D89" s="30">
        <v>9453</v>
      </c>
      <c r="F89" s="30">
        <v>-22812</v>
      </c>
    </row>
    <row r="90" spans="1:6" ht="12.75">
      <c r="A90" s="52" t="s">
        <v>55</v>
      </c>
      <c r="B90" s="52"/>
      <c r="D90" s="30">
        <v>0</v>
      </c>
      <c r="F90" s="55"/>
    </row>
    <row r="91" spans="1:6" ht="13.5" thickBot="1">
      <c r="A91" s="52" t="s">
        <v>56</v>
      </c>
      <c r="B91" s="52"/>
      <c r="D91" s="30">
        <v>31000</v>
      </c>
      <c r="F91" s="30">
        <v>46938</v>
      </c>
    </row>
    <row r="92" spans="1:6" ht="13.5" thickBot="1">
      <c r="A92" s="52" t="s">
        <v>57</v>
      </c>
      <c r="B92" s="52"/>
      <c r="D92" s="16">
        <f>D88-D89-D90-D91</f>
        <v>6628</v>
      </c>
      <c r="F92" s="16">
        <f>F88-F89-F91</f>
        <v>66486</v>
      </c>
    </row>
    <row r="93" spans="1:6" ht="12.75">
      <c r="A93" s="108" t="s">
        <v>58</v>
      </c>
      <c r="B93" s="52"/>
      <c r="D93" s="56"/>
      <c r="F93" s="47"/>
    </row>
    <row r="94" spans="1:6" ht="12.75">
      <c r="A94" s="52" t="s">
        <v>106</v>
      </c>
      <c r="B94" s="52"/>
      <c r="D94" s="57">
        <f>IF(D$83&gt;0,MIN(MAX((D$87+D$89+D$90+D$91)/D$83,0.9),1),0)</f>
        <v>0.9488299917393016</v>
      </c>
      <c r="F94" s="58">
        <f>IF(F$83&gt;0,MIN((F$87+F$89+F$90+F$91)/F$83,1),0)</f>
        <v>0.69101285471293</v>
      </c>
    </row>
    <row r="95" spans="1:2" ht="12.75">
      <c r="A95" s="52"/>
      <c r="B95" s="52"/>
    </row>
    <row r="96" spans="1:2" ht="12.75">
      <c r="A96" s="52" t="s">
        <v>59</v>
      </c>
      <c r="B96" s="52"/>
    </row>
    <row r="97" spans="1:5" ht="12.75">
      <c r="A97" s="52"/>
      <c r="B97" s="52" t="s">
        <v>107</v>
      </c>
      <c r="D97" s="53">
        <f>D92</f>
        <v>6628</v>
      </c>
      <c r="E97" s="58">
        <f>IF($D$83&gt;0,D97/$D$83,0)</f>
        <v>0.051170008260698376</v>
      </c>
    </row>
    <row r="98" spans="1:5" ht="13.5" thickBot="1">
      <c r="A98" s="52"/>
      <c r="B98" s="52" t="s">
        <v>108</v>
      </c>
      <c r="D98" s="53">
        <f>F92</f>
        <v>66486</v>
      </c>
      <c r="E98" s="58">
        <f>IF($F$83&gt;0,D98/$F$83,0)</f>
        <v>0.30898714528707</v>
      </c>
    </row>
    <row r="99" spans="1:4" ht="13.5" thickBot="1">
      <c r="A99" s="52"/>
      <c r="B99" s="52" t="s">
        <v>113</v>
      </c>
      <c r="D99" s="31">
        <f>D98+D97</f>
        <v>73114</v>
      </c>
    </row>
    <row r="100" ht="12.75">
      <c r="D100">
        <f>IF(ABS($E$32-$D$99)&lt;2,"","&lt;&gt; Pos. 411e ("&amp;TEXT($F$33,"#'##0")&amp;") ?")</f>
      </c>
    </row>
  </sheetData>
  <sheetProtection/>
  <mergeCells count="2">
    <mergeCell ref="C80:D80"/>
    <mergeCell ref="E80:F80"/>
  </mergeCells>
  <conditionalFormatting sqref="D99">
    <cfRule type="expression" priority="1" dxfId="0" stopIfTrue="1">
      <formula>IF(D$100="",0,1)</formula>
    </cfRule>
  </conditionalFormatting>
  <conditionalFormatting sqref="D94">
    <cfRule type="expression" priority="2" dxfId="2" stopIfTrue="1">
      <formula>IF($B$94=0,0,1)</formula>
    </cfRule>
  </conditionalFormatting>
  <conditionalFormatting sqref="E47">
    <cfRule type="expression" priority="3" dxfId="0" stopIfTrue="1">
      <formula>IF(#REF!="",0,1)</formula>
    </cfRule>
  </conditionalFormatting>
  <printOptions/>
  <pageMargins left="0.5" right="0.36" top="1" bottom="1" header="0.4921259845" footer="0.4921259845"/>
  <pageSetup fitToHeight="1" fitToWidth="1"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1">
    <tabColor indexed="12"/>
    <pageSetUpPr fitToPage="1"/>
  </sheetPr>
  <dimension ref="A1:G100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4" width="13.421875" style="0" customWidth="1"/>
    <col min="5" max="6" width="14.00390625" style="0" customWidth="1"/>
  </cols>
  <sheetData>
    <row r="1" spans="1:7" ht="12.75">
      <c r="A1" s="101" t="s">
        <v>70</v>
      </c>
      <c r="B1" s="52"/>
      <c r="G1" s="61"/>
    </row>
    <row r="2" spans="1:7" ht="12.75">
      <c r="A2" s="52" t="s">
        <v>71</v>
      </c>
      <c r="B2" s="52"/>
      <c r="G2" s="61"/>
    </row>
    <row r="3" spans="1:7" ht="12.75">
      <c r="A3" s="102" t="s">
        <v>27</v>
      </c>
      <c r="B3" s="52"/>
      <c r="G3" s="61"/>
    </row>
    <row r="4" spans="1:7" ht="12.75">
      <c r="A4" s="52"/>
      <c r="B4" s="52"/>
      <c r="G4" s="61"/>
    </row>
    <row r="5" spans="1:7" ht="12.75">
      <c r="A5" s="52" t="s">
        <v>69</v>
      </c>
      <c r="B5" s="52"/>
      <c r="G5" s="61"/>
    </row>
    <row r="6" spans="1:7" ht="12.75">
      <c r="A6" s="52"/>
      <c r="B6" s="52"/>
      <c r="G6" s="61"/>
    </row>
    <row r="7" spans="1:7" ht="12.75">
      <c r="A7" s="52" t="s">
        <v>0</v>
      </c>
      <c r="B7" s="52" t="s">
        <v>1</v>
      </c>
      <c r="C7" s="1"/>
      <c r="D7" s="1" t="s">
        <v>3</v>
      </c>
      <c r="E7" s="1" t="s">
        <v>98</v>
      </c>
      <c r="F7" s="1"/>
      <c r="G7" s="61"/>
    </row>
    <row r="8" spans="1:7" ht="12.75">
      <c r="A8" s="52"/>
      <c r="B8" s="52"/>
      <c r="C8" s="2"/>
      <c r="D8" s="2" t="s">
        <v>78</v>
      </c>
      <c r="E8" s="2" t="s">
        <v>79</v>
      </c>
      <c r="F8" s="2"/>
      <c r="G8" s="61"/>
    </row>
    <row r="9" spans="1:7" ht="12.75">
      <c r="A9" s="102" t="s">
        <v>28</v>
      </c>
      <c r="B9" s="52"/>
      <c r="G9" s="61"/>
    </row>
    <row r="10" spans="1:7" ht="12.75">
      <c r="A10" s="52" t="s">
        <v>29</v>
      </c>
      <c r="B10" s="52"/>
      <c r="D10" s="1"/>
      <c r="E10" s="1"/>
      <c r="G10" s="61"/>
    </row>
    <row r="11" spans="1:7" ht="12.75">
      <c r="A11" s="52"/>
      <c r="B11" s="52" t="s">
        <v>60</v>
      </c>
      <c r="D11" s="3">
        <f>$E$13-D$12-D$13</f>
        <v>184116</v>
      </c>
      <c r="E11" s="1"/>
      <c r="G11" s="61"/>
    </row>
    <row r="12" spans="1:7" ht="12.75">
      <c r="A12" s="52"/>
      <c r="B12" s="52" t="s">
        <v>61</v>
      </c>
      <c r="D12" s="5">
        <v>30303</v>
      </c>
      <c r="E12" s="1"/>
      <c r="G12" s="61"/>
    </row>
    <row r="13" spans="1:7" ht="13.5" thickBot="1">
      <c r="A13" s="52"/>
      <c r="B13" s="52" t="s">
        <v>62</v>
      </c>
      <c r="D13" s="6">
        <v>10120</v>
      </c>
      <c r="E13" s="7">
        <v>224539</v>
      </c>
      <c r="G13" s="61"/>
    </row>
    <row r="14" spans="1:7" ht="12.75">
      <c r="A14" s="52"/>
      <c r="B14" s="103" t="s">
        <v>63</v>
      </c>
      <c r="D14" s="1"/>
      <c r="E14" s="1"/>
      <c r="G14" s="61"/>
    </row>
    <row r="15" spans="1:7" ht="12.75">
      <c r="A15" s="52"/>
      <c r="B15" s="103" t="s">
        <v>64</v>
      </c>
      <c r="D15" s="1"/>
      <c r="E15" s="1"/>
      <c r="G15" s="61"/>
    </row>
    <row r="16" spans="1:5" ht="12.75">
      <c r="A16" s="52" t="s">
        <v>30</v>
      </c>
      <c r="B16" s="52"/>
      <c r="D16" s="1"/>
      <c r="E16" s="1"/>
    </row>
    <row r="17" spans="1:5" ht="12.75">
      <c r="A17" s="52"/>
      <c r="B17" s="52" t="s">
        <v>65</v>
      </c>
      <c r="D17" s="8">
        <v>54406</v>
      </c>
      <c r="E17" s="1"/>
    </row>
    <row r="18" spans="1:5" ht="12.75">
      <c r="A18" s="52"/>
      <c r="B18" s="52" t="s">
        <v>66</v>
      </c>
      <c r="D18" s="9">
        <v>109650</v>
      </c>
      <c r="E18" s="1"/>
    </row>
    <row r="19" spans="1:5" ht="13.5" thickBot="1">
      <c r="A19" s="52"/>
      <c r="B19" s="52" t="s">
        <v>67</v>
      </c>
      <c r="D19" s="10">
        <v>71756</v>
      </c>
      <c r="E19" s="3">
        <f>$D$17+$D$18+$D$19</f>
        <v>235812</v>
      </c>
    </row>
    <row r="20" spans="1:4" ht="12.75">
      <c r="A20" s="52" t="s">
        <v>31</v>
      </c>
      <c r="B20" s="52"/>
      <c r="D20" s="11"/>
    </row>
    <row r="21" spans="1:5" ht="12.75">
      <c r="A21" s="52" t="s">
        <v>73</v>
      </c>
      <c r="B21" s="104"/>
      <c r="D21" s="11"/>
      <c r="E21" s="7">
        <v>11991</v>
      </c>
    </row>
    <row r="22" spans="1:5" ht="12.75">
      <c r="A22" s="52" t="s">
        <v>32</v>
      </c>
      <c r="B22" s="52"/>
      <c r="D22" s="11"/>
      <c r="E22" s="7">
        <v>12617</v>
      </c>
    </row>
    <row r="23" spans="1:5" ht="12.75">
      <c r="A23" s="52" t="s">
        <v>33</v>
      </c>
      <c r="B23" s="52"/>
      <c r="D23" s="11"/>
      <c r="E23" s="1"/>
    </row>
    <row r="24" spans="1:5" ht="12.75">
      <c r="A24" s="52"/>
      <c r="B24" s="52" t="s">
        <v>68</v>
      </c>
      <c r="D24" s="9">
        <v>45104</v>
      </c>
      <c r="E24" s="1"/>
    </row>
    <row r="25" spans="1:5" ht="25.5" customHeight="1">
      <c r="A25" s="52"/>
      <c r="B25" s="105" t="s">
        <v>74</v>
      </c>
      <c r="D25" s="9">
        <v>7138</v>
      </c>
      <c r="E25" s="1"/>
    </row>
    <row r="26" spans="1:5" ht="13.5" thickBot="1">
      <c r="A26" s="52"/>
      <c r="B26" s="52" t="s">
        <v>75</v>
      </c>
      <c r="D26" s="10">
        <v>7835</v>
      </c>
      <c r="E26" s="3">
        <f>$D$24+$D$25-$D$26</f>
        <v>44407</v>
      </c>
    </row>
    <row r="27" spans="1:5" ht="12.75">
      <c r="A27" s="52" t="s">
        <v>34</v>
      </c>
      <c r="B27" s="52"/>
      <c r="D27" s="13"/>
      <c r="E27" s="9">
        <v>0</v>
      </c>
    </row>
    <row r="28" spans="1:5" ht="12.75">
      <c r="A28" s="52" t="s">
        <v>35</v>
      </c>
      <c r="B28" s="52"/>
      <c r="D28" s="1"/>
      <c r="E28" s="9">
        <v>-1762</v>
      </c>
    </row>
    <row r="29" spans="1:5" ht="13.5" thickBot="1">
      <c r="A29" s="52" t="s">
        <v>77</v>
      </c>
      <c r="B29" s="52"/>
      <c r="D29" s="1"/>
      <c r="E29" s="14">
        <v>-329</v>
      </c>
    </row>
    <row r="30" spans="1:5" ht="12.75">
      <c r="A30" s="52" t="s">
        <v>36</v>
      </c>
      <c r="B30" s="52"/>
      <c r="E30" s="15">
        <f>E$13-E$19-E$21-E$22+E$26-E$27+E$28+E$29</f>
        <v>6435</v>
      </c>
    </row>
    <row r="31" spans="1:5" ht="13.5" thickBot="1">
      <c r="A31" s="52" t="s">
        <v>37</v>
      </c>
      <c r="B31" s="52"/>
      <c r="C31" s="1"/>
      <c r="D31" s="1"/>
      <c r="E31" s="14">
        <v>4242</v>
      </c>
    </row>
    <row r="32" spans="1:5" ht="13.5" thickBot="1">
      <c r="A32" s="52" t="s">
        <v>76</v>
      </c>
      <c r="B32" s="52"/>
      <c r="C32" s="1"/>
      <c r="D32" s="1"/>
      <c r="E32" s="16">
        <f>E$30-E$31</f>
        <v>2193</v>
      </c>
    </row>
    <row r="33" spans="1:5" ht="12.75">
      <c r="A33" s="52"/>
      <c r="B33" s="52"/>
      <c r="C33" s="1"/>
      <c r="D33" s="1"/>
      <c r="E33" s="1"/>
    </row>
    <row r="34" spans="1:5" ht="12.75">
      <c r="A34" s="102" t="s">
        <v>38</v>
      </c>
      <c r="B34" s="52"/>
      <c r="D34" s="1"/>
      <c r="E34" s="1"/>
    </row>
    <row r="35" spans="1:5" ht="12.75">
      <c r="A35" s="52" t="s">
        <v>39</v>
      </c>
      <c r="B35" s="52"/>
      <c r="D35" s="1"/>
      <c r="E35" s="17">
        <v>3700</v>
      </c>
    </row>
    <row r="36" spans="1:5" ht="12.75">
      <c r="A36" s="52" t="s">
        <v>40</v>
      </c>
      <c r="B36" s="52"/>
      <c r="E36" s="18">
        <f>E$31</f>
        <v>4242</v>
      </c>
    </row>
    <row r="37" spans="1:5" ht="12.75">
      <c r="A37" s="52" t="s">
        <v>41</v>
      </c>
      <c r="B37" s="52"/>
      <c r="D37" s="9">
        <v>0</v>
      </c>
      <c r="E37" s="19"/>
    </row>
    <row r="38" spans="1:5" ht="13.5" thickBot="1">
      <c r="A38" s="52" t="s">
        <v>42</v>
      </c>
      <c r="B38" s="52"/>
      <c r="D38" s="10">
        <v>2542</v>
      </c>
      <c r="E38" s="20">
        <f>$D$37+$D$38</f>
        <v>2542</v>
      </c>
    </row>
    <row r="39" spans="1:5" ht="13.5" thickBot="1">
      <c r="A39" s="52" t="s">
        <v>43</v>
      </c>
      <c r="B39" s="52"/>
      <c r="D39" s="1"/>
      <c r="E39" s="21">
        <f>E35+E36-E38</f>
        <v>5400</v>
      </c>
    </row>
    <row r="40" spans="1:5" ht="12.75">
      <c r="A40" s="52"/>
      <c r="B40" s="52"/>
      <c r="D40" s="1"/>
      <c r="E40" s="1"/>
    </row>
    <row r="41" spans="1:5" ht="12.75">
      <c r="A41" s="102" t="s">
        <v>44</v>
      </c>
      <c r="B41" s="52"/>
      <c r="D41" s="1"/>
      <c r="E41" s="1"/>
    </row>
    <row r="42" spans="1:5" ht="12.75">
      <c r="A42" s="52" t="s">
        <v>39</v>
      </c>
      <c r="B42" s="52"/>
      <c r="D42" s="1"/>
      <c r="E42" s="17">
        <v>47152</v>
      </c>
    </row>
    <row r="43" spans="1:5" ht="12.75">
      <c r="A43" s="52" t="s">
        <v>45</v>
      </c>
      <c r="B43" s="52"/>
      <c r="D43" s="9">
        <v>788</v>
      </c>
      <c r="E43" s="59"/>
    </row>
    <row r="44" spans="1:5" ht="12.75">
      <c r="A44" s="52" t="s">
        <v>46</v>
      </c>
      <c r="B44" s="52"/>
      <c r="D44" s="9">
        <v>471</v>
      </c>
      <c r="E44" s="60">
        <f>D44+D43</f>
        <v>1259</v>
      </c>
    </row>
    <row r="45" spans="1:5" ht="12.75">
      <c r="A45" s="52" t="s">
        <v>47</v>
      </c>
      <c r="B45" s="52"/>
      <c r="D45" s="9">
        <v>150</v>
      </c>
      <c r="E45" s="59"/>
    </row>
    <row r="46" spans="1:5" ht="13.5" thickBot="1">
      <c r="A46" s="52" t="s">
        <v>48</v>
      </c>
      <c r="B46" s="52"/>
      <c r="D46" s="9">
        <v>0</v>
      </c>
      <c r="E46" s="20">
        <f>D46+D45</f>
        <v>150</v>
      </c>
    </row>
    <row r="47" spans="1:5" ht="13.5" thickBot="1">
      <c r="A47" s="52" t="s">
        <v>49</v>
      </c>
      <c r="B47" s="52"/>
      <c r="E47" s="21">
        <f>E42+E44-E46</f>
        <v>48261</v>
      </c>
    </row>
    <row r="48" spans="1:5" ht="12.75">
      <c r="A48" s="52"/>
      <c r="B48" s="52"/>
      <c r="E48" s="1"/>
    </row>
    <row r="49" spans="1:5" ht="12.75">
      <c r="A49" s="102" t="s">
        <v>50</v>
      </c>
      <c r="B49" s="52"/>
      <c r="E49" s="1"/>
    </row>
    <row r="50" spans="1:5" ht="13.5" thickBot="1">
      <c r="A50" s="104" t="s">
        <v>4</v>
      </c>
      <c r="B50" s="52" t="s">
        <v>82</v>
      </c>
      <c r="E50" s="20">
        <f>E$26</f>
        <v>44407</v>
      </c>
    </row>
    <row r="51" spans="1:5" ht="12.75">
      <c r="A51" s="52"/>
      <c r="B51" s="52"/>
      <c r="D51" s="1"/>
      <c r="E51" s="1"/>
    </row>
    <row r="52" spans="1:5" ht="25.5">
      <c r="A52" s="52"/>
      <c r="B52" s="52"/>
      <c r="D52" s="106" t="s">
        <v>99</v>
      </c>
      <c r="E52" s="106" t="s">
        <v>100</v>
      </c>
    </row>
    <row r="53" spans="1:5" ht="12.75">
      <c r="A53" s="104" t="s">
        <v>5</v>
      </c>
      <c r="B53" s="52" t="s">
        <v>83</v>
      </c>
      <c r="D53" s="22">
        <v>1486951</v>
      </c>
      <c r="E53" s="23">
        <v>1523046</v>
      </c>
    </row>
    <row r="54" spans="1:5" ht="12.75">
      <c r="A54" s="104" t="s">
        <v>6</v>
      </c>
      <c r="B54" s="52" t="s">
        <v>84</v>
      </c>
      <c r="D54" s="24">
        <v>1437696</v>
      </c>
      <c r="E54" s="23">
        <v>1448591</v>
      </c>
    </row>
    <row r="55" spans="1:5" ht="12.75">
      <c r="A55" s="52"/>
      <c r="B55" s="52"/>
      <c r="D55" s="1"/>
      <c r="E55" s="1"/>
    </row>
    <row r="56" spans="1:5" ht="12.75">
      <c r="A56" s="104" t="s">
        <v>7</v>
      </c>
      <c r="B56" s="52" t="s">
        <v>109</v>
      </c>
      <c r="D56" s="1"/>
      <c r="E56" s="25">
        <f>E$50/(($D$53+$D$54)/2)</f>
        <v>0.030367425538877</v>
      </c>
    </row>
    <row r="57" spans="1:5" ht="12.75">
      <c r="A57" s="104" t="s">
        <v>8</v>
      </c>
      <c r="B57" s="52" t="s">
        <v>102</v>
      </c>
      <c r="D57" s="1"/>
      <c r="E57" s="25">
        <f>(E$50+($E$54-$D$54)-($E$53-$D$53))/((E$53+$E$54)/2)</f>
        <v>0.012926881715364293</v>
      </c>
    </row>
    <row r="58" spans="1:5" ht="12.75">
      <c r="A58" s="52"/>
      <c r="B58" s="104" t="s">
        <v>101</v>
      </c>
      <c r="D58" s="1"/>
      <c r="E58" s="1"/>
    </row>
    <row r="59" spans="4:5" ht="12.75">
      <c r="D59" s="1"/>
      <c r="E59" s="1"/>
    </row>
    <row r="60" spans="1:5" ht="12.75">
      <c r="A60" s="52" t="s">
        <v>9</v>
      </c>
      <c r="B60" s="104" t="s">
        <v>85</v>
      </c>
      <c r="D60" s="1"/>
      <c r="E60" s="1"/>
    </row>
    <row r="61" spans="1:5" ht="12.75">
      <c r="A61" s="104"/>
      <c r="B61" s="52" t="s">
        <v>86</v>
      </c>
      <c r="D61" s="26">
        <v>0.01876891915954416</v>
      </c>
      <c r="E61" s="1"/>
    </row>
    <row r="62" spans="1:5" ht="12.75">
      <c r="A62" s="52"/>
      <c r="B62" s="52" t="s">
        <v>87</v>
      </c>
      <c r="D62" s="26">
        <v>0.6620119969729344</v>
      </c>
      <c r="E62" s="1"/>
    </row>
    <row r="63" spans="1:5" ht="12.75">
      <c r="A63" s="52"/>
      <c r="B63" s="52" t="s">
        <v>88</v>
      </c>
      <c r="D63" s="26">
        <v>0.11783645499465811</v>
      </c>
      <c r="E63" s="1"/>
    </row>
    <row r="64" spans="1:5" ht="12.75">
      <c r="A64" s="52"/>
      <c r="B64" s="52" t="s">
        <v>89</v>
      </c>
      <c r="D64" s="26">
        <v>0.02545252960292023</v>
      </c>
      <c r="E64" s="1"/>
    </row>
    <row r="65" spans="1:5" ht="12.75">
      <c r="A65" s="52"/>
      <c r="B65" s="52" t="s">
        <v>90</v>
      </c>
      <c r="D65" s="26">
        <v>0.05054684717770655</v>
      </c>
      <c r="E65" s="1"/>
    </row>
    <row r="66" spans="1:5" ht="12.75">
      <c r="A66" s="52"/>
      <c r="B66" s="52" t="s">
        <v>91</v>
      </c>
      <c r="D66" s="26">
        <v>0</v>
      </c>
      <c r="E66" s="1"/>
    </row>
    <row r="67" spans="1:5" ht="12.75">
      <c r="A67" s="52"/>
      <c r="B67" s="52" t="s">
        <v>92</v>
      </c>
      <c r="D67" s="26">
        <v>0.12538325209223647</v>
      </c>
      <c r="E67" s="1"/>
    </row>
    <row r="68" spans="1:5" ht="13.5" thickBot="1">
      <c r="A68" s="52"/>
      <c r="B68" s="52" t="s">
        <v>93</v>
      </c>
      <c r="D68" s="27">
        <v>0</v>
      </c>
      <c r="E68" s="28">
        <f>SUM($D$61:$D$68)</f>
        <v>0.9999999999999999</v>
      </c>
    </row>
    <row r="69" spans="1:5" ht="12.75">
      <c r="A69" s="52"/>
      <c r="B69" s="52"/>
      <c r="D69" s="1"/>
      <c r="E69" s="1"/>
    </row>
    <row r="70" spans="1:5" ht="12.75">
      <c r="A70" s="52" t="s">
        <v>10</v>
      </c>
      <c r="B70" s="52" t="s">
        <v>94</v>
      </c>
      <c r="E70" s="17">
        <v>1458650</v>
      </c>
    </row>
    <row r="71" spans="1:5" ht="12.75">
      <c r="A71" s="104" t="s">
        <v>11</v>
      </c>
      <c r="B71" s="52" t="s">
        <v>95</v>
      </c>
      <c r="E71" s="29">
        <v>23491</v>
      </c>
    </row>
    <row r="72" spans="1:5" ht="12.75">
      <c r="A72" s="104"/>
      <c r="B72" s="52"/>
      <c r="E72" s="1"/>
    </row>
    <row r="73" spans="1:5" ht="12.75">
      <c r="A73" s="52" t="s">
        <v>12</v>
      </c>
      <c r="B73" s="52" t="s">
        <v>96</v>
      </c>
      <c r="E73" s="1"/>
    </row>
    <row r="74" spans="1:5" ht="12.75">
      <c r="A74" s="104"/>
      <c r="B74" s="52" t="s">
        <v>75</v>
      </c>
      <c r="D74" s="15">
        <f>D26</f>
        <v>7835</v>
      </c>
      <c r="E74" s="1"/>
    </row>
    <row r="75" spans="1:5" ht="12.75">
      <c r="A75" s="104"/>
      <c r="B75" s="52" t="s">
        <v>32</v>
      </c>
      <c r="D75" s="41">
        <f>E22</f>
        <v>12617</v>
      </c>
      <c r="E75" s="18">
        <f>D75+D74</f>
        <v>20452</v>
      </c>
    </row>
    <row r="76" spans="1:5" ht="12.75">
      <c r="A76" s="104"/>
      <c r="B76" s="52" t="s">
        <v>97</v>
      </c>
      <c r="E76" s="18">
        <f>(1000*E75)/E71</f>
        <v>870.6313056064024</v>
      </c>
    </row>
    <row r="77" spans="1:5" ht="12.75">
      <c r="A77" s="104"/>
      <c r="B77" s="52"/>
      <c r="E77" s="1"/>
    </row>
    <row r="78" ht="12.75">
      <c r="B78" s="52"/>
    </row>
    <row r="79" spans="1:5" ht="12.75">
      <c r="A79" s="107" t="s">
        <v>117</v>
      </c>
      <c r="B79" s="52"/>
      <c r="D79" s="1"/>
      <c r="E79" s="1"/>
    </row>
    <row r="80" spans="1:6" ht="12.75">
      <c r="A80" s="110" t="s">
        <v>51</v>
      </c>
      <c r="B80" s="111"/>
      <c r="C80" s="118" t="s">
        <v>115</v>
      </c>
      <c r="D80" s="118"/>
      <c r="E80" s="118" t="s">
        <v>116</v>
      </c>
      <c r="F80" s="118"/>
    </row>
    <row r="81" spans="1:5" ht="12.75">
      <c r="A81" s="52"/>
      <c r="B81" s="52" t="s">
        <v>103</v>
      </c>
      <c r="C81" s="30">
        <v>38869</v>
      </c>
      <c r="E81" s="30">
        <v>5536</v>
      </c>
    </row>
    <row r="82" spans="2:5" ht="12.75">
      <c r="B82" s="52" t="s">
        <v>104</v>
      </c>
      <c r="C82" s="30">
        <v>26677</v>
      </c>
      <c r="E82" s="30">
        <v>3626</v>
      </c>
    </row>
    <row r="83" spans="1:6" ht="12.75">
      <c r="A83" s="52"/>
      <c r="B83" s="52" t="s">
        <v>105</v>
      </c>
      <c r="C83" s="30">
        <v>10120</v>
      </c>
      <c r="D83" s="53">
        <f>SUM(C81:C83)</f>
        <v>75666</v>
      </c>
      <c r="E83" s="30">
        <v>0</v>
      </c>
      <c r="F83" s="53">
        <f>SUM(E81:E83)</f>
        <v>9162</v>
      </c>
    </row>
    <row r="84" spans="1:2" ht="12.75">
      <c r="A84" s="52" t="s">
        <v>52</v>
      </c>
      <c r="B84" s="52"/>
    </row>
    <row r="85" spans="1:5" ht="12.75">
      <c r="A85" s="52"/>
      <c r="B85" s="52" t="s">
        <v>103</v>
      </c>
      <c r="C85" s="30">
        <v>32852</v>
      </c>
      <c r="E85" s="30">
        <v>4804</v>
      </c>
    </row>
    <row r="86" spans="1:5" ht="12.75">
      <c r="A86" s="52"/>
      <c r="B86" s="52" t="s">
        <v>104</v>
      </c>
      <c r="C86" s="30">
        <v>20530</v>
      </c>
      <c r="D86" s="52"/>
      <c r="E86" s="30">
        <v>6560</v>
      </c>
    </row>
    <row r="87" spans="1:6" ht="12.75">
      <c r="A87" s="52"/>
      <c r="B87" s="52" t="s">
        <v>105</v>
      </c>
      <c r="C87" s="30">
        <v>11546</v>
      </c>
      <c r="D87" s="53">
        <f>SUM(C85:C87)</f>
        <v>64928</v>
      </c>
      <c r="E87" s="30">
        <v>0</v>
      </c>
      <c r="F87" s="53">
        <f>SUM(E85:E87)</f>
        <v>11364</v>
      </c>
    </row>
    <row r="88" spans="1:6" ht="12.75">
      <c r="A88" s="52" t="s">
        <v>53</v>
      </c>
      <c r="B88" s="52"/>
      <c r="D88" s="54">
        <f>D83-D87</f>
        <v>10738</v>
      </c>
      <c r="F88" s="54">
        <f>F83-F87</f>
        <v>-2202</v>
      </c>
    </row>
    <row r="89" spans="1:6" ht="12.75">
      <c r="A89" s="52" t="s">
        <v>54</v>
      </c>
      <c r="B89" s="52"/>
      <c r="D89" s="30">
        <v>2101</v>
      </c>
      <c r="F89" s="30">
        <v>0</v>
      </c>
    </row>
    <row r="90" spans="1:6" ht="12.75">
      <c r="A90" s="52" t="s">
        <v>55</v>
      </c>
      <c r="B90" s="52"/>
      <c r="D90" s="30">
        <v>0</v>
      </c>
      <c r="F90" s="55"/>
    </row>
    <row r="91" spans="1:6" ht="13.5" thickBot="1">
      <c r="A91" s="52" t="s">
        <v>56</v>
      </c>
      <c r="B91" s="52"/>
      <c r="D91" s="30">
        <v>2584</v>
      </c>
      <c r="F91" s="30">
        <v>1658</v>
      </c>
    </row>
    <row r="92" spans="1:6" ht="13.5" thickBot="1">
      <c r="A92" s="52" t="s">
        <v>57</v>
      </c>
      <c r="B92" s="52"/>
      <c r="D92" s="16">
        <f>D88-D89-D90-D91</f>
        <v>6053</v>
      </c>
      <c r="F92" s="16">
        <f>F88-F89-F91</f>
        <v>-3860</v>
      </c>
    </row>
    <row r="93" spans="1:6" ht="12.75">
      <c r="A93" s="108" t="s">
        <v>58</v>
      </c>
      <c r="B93" s="52"/>
      <c r="D93" s="56"/>
      <c r="F93" s="47"/>
    </row>
    <row r="94" spans="1:6" ht="12.75">
      <c r="A94" s="52" t="s">
        <v>106</v>
      </c>
      <c r="B94" s="52"/>
      <c r="D94" s="57">
        <f>IF(D$83&gt;0,MIN(MAX((D$87+D$89+D$90+D$91)/D$83,0.9),1),0)</f>
        <v>0.920003700473132</v>
      </c>
      <c r="F94" s="58">
        <f>IF(F$83&gt;0,MIN((F$87+F$89+F$90+F$91)/F$83,1),0)</f>
        <v>1</v>
      </c>
    </row>
    <row r="95" spans="1:2" ht="12.75">
      <c r="A95" s="52"/>
      <c r="B95" s="52"/>
    </row>
    <row r="96" spans="1:2" ht="12.75">
      <c r="A96" s="52" t="s">
        <v>59</v>
      </c>
      <c r="B96" s="52"/>
    </row>
    <row r="97" spans="1:5" ht="12.75">
      <c r="A97" s="52"/>
      <c r="B97" s="52" t="s">
        <v>107</v>
      </c>
      <c r="D97" s="53">
        <f>D92</f>
        <v>6053</v>
      </c>
      <c r="E97" s="58">
        <f>IF($D$83&gt;0,D97/$D$83,0)</f>
        <v>0.07999629952686808</v>
      </c>
    </row>
    <row r="98" spans="1:5" ht="13.5" thickBot="1">
      <c r="A98" s="52"/>
      <c r="B98" s="52" t="s">
        <v>108</v>
      </c>
      <c r="D98" s="53">
        <f>F92</f>
        <v>-3860</v>
      </c>
      <c r="E98" s="58">
        <f>IF($F$83&gt;0,D98/$F$83,0)</f>
        <v>-0.4213053918358437</v>
      </c>
    </row>
    <row r="99" spans="1:4" ht="13.5" thickBot="1">
      <c r="A99" s="52"/>
      <c r="B99" s="52" t="s">
        <v>113</v>
      </c>
      <c r="D99" s="31">
        <f>D98+D97</f>
        <v>2193</v>
      </c>
    </row>
    <row r="100" ht="12.75">
      <c r="D100">
        <f>IF(ABS($E$32-$D$99)&lt;2,"","&lt;&gt; Pos. 411e ("&amp;TEXT($F$33,"#'##0")&amp;") ?")</f>
      </c>
    </row>
  </sheetData>
  <sheetProtection/>
  <mergeCells count="2">
    <mergeCell ref="C80:D80"/>
    <mergeCell ref="E80:F80"/>
  </mergeCells>
  <conditionalFormatting sqref="D99">
    <cfRule type="expression" priority="1" dxfId="0" stopIfTrue="1">
      <formula>IF(D$100="",0,1)</formula>
    </cfRule>
  </conditionalFormatting>
  <conditionalFormatting sqref="D94">
    <cfRule type="expression" priority="2" dxfId="2" stopIfTrue="1">
      <formula>IF($B$94=0,0,1)</formula>
    </cfRule>
  </conditionalFormatting>
  <conditionalFormatting sqref="E47">
    <cfRule type="expression" priority="3" dxfId="0" stopIfTrue="1">
      <formula>IF(#REF!="",0,1)</formula>
    </cfRule>
  </conditionalFormatting>
  <printOptions/>
  <pageMargins left="0.47" right="0.33" top="1" bottom="1" header="0.4921259845" footer="0.492125984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Familie Bader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Heinz Bader</dc:creator>
  <cp:keywords/>
  <dc:description/>
  <cp:lastModifiedBy>Eggenberger Stefan BPV</cp:lastModifiedBy>
  <cp:lastPrinted>2007-11-02T14:28:30Z</cp:lastPrinted>
  <dcterms:created xsi:type="dcterms:W3CDTF">2006-11-26T18:59:38Z</dcterms:created>
  <dcterms:modified xsi:type="dcterms:W3CDTF">2007-11-02T15:19:47Z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-1263425632</vt:i4>
  </property>
  <property fmtid="{D5CDD505-2E9C-101B-9397-08002B2CF9AE}" pid="3" name="_EmailSubject">
    <vt:lpwstr/>
  </property>
  <property fmtid="{D5CDD505-2E9C-101B-9397-08002B2CF9AE}" pid="4" name="_AuthorEmail">
    <vt:lpwstr>stefan.eggenberger@bpv.admin.ch</vt:lpwstr>
  </property>
  <property fmtid="{D5CDD505-2E9C-101B-9397-08002B2CF9AE}" pid="5" name="_AuthorEmailDisplayName">
    <vt:lpwstr>Eggenberger Stefan BPV</vt:lpwstr>
  </property>
  <property fmtid="{D5CDD505-2E9C-101B-9397-08002B2CF9AE}" pid="6" name="_PreviousAdHocReviewCycleID">
    <vt:i4>-1806036854</vt:i4>
  </property>
  <property fmtid="{D5CDD505-2E9C-101B-9397-08002B2CF9AE}" pid="7" name="_ReviewingToolsShownOnce">
    <vt:lpwstr/>
  </property>
</Properties>
</file>