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DieseArbeitsmappe" hidePivotFieldList="1"/>
  <mc:AlternateContent xmlns:mc="http://schemas.openxmlformats.org/markup-compatibility/2006">
    <mc:Choice Requires="x15">
      <x15ac:absPath xmlns:x15ac="http://schemas.microsoft.com/office/spreadsheetml/2010/11/ac" url="https://dok.finma.ch/sites/6005-T/Dossiers/Aktuariat/Betriebsrechnung BV/BRBV_BJ_2023/"/>
    </mc:Choice>
  </mc:AlternateContent>
  <xr:revisionPtr revIDLastSave="0" documentId="13_ncr:1_{9F52C709-F746-4FAA-80C8-4E7B3CDF2CF2}" xr6:coauthVersionLast="47" xr6:coauthVersionMax="47" xr10:uidLastSave="{00000000-0000-0000-0000-000000000000}"/>
  <workbookProtection workbookAlgorithmName="SHA-512" workbookHashValue="YE11ympCm97F62ZMyRJ37Q4hyhWUTysWvgXBXqck9t4ICAtJyZuSQqLWhKwrLczPkfSOIC7MHbjPDNhh9dL09g==" workbookSaltValue="CakpiPGtBDNh91fuGIeccQ==" workbookSpinCount="100000" lockStructure="1"/>
  <bookViews>
    <workbookView xWindow="-120" yWindow="-120" windowWidth="29040" windowHeight="15840" xr2:uid="{00000000-000D-0000-FFFF-FFFF00000000}"/>
  </bookViews>
  <sheets>
    <sheet name="UEBERSICHT" sheetId="343" r:id="rId1"/>
    <sheet name="ER" sheetId="333" r:id="rId2"/>
    <sheet name="BILANZ" sheetId="334" r:id="rId3"/>
    <sheet name="TECHN ZERLEGUNG" sheetId="335" r:id="rId4"/>
    <sheet name="BESTANDESSTATISTIK" sheetId="357" r:id="rId5"/>
    <sheet name="BILANZIERUNGSGRUNDSAETZE" sheetId="337" r:id="rId6"/>
    <sheet name="BEWERTUNGSRESERVEN" sheetId="338" r:id="rId7"/>
    <sheet name="OFFENLEGUNGSSCHEMA" sheetId="353" r:id="rId8"/>
    <sheet name="TEXT" sheetId="349" state="veryHidden" r:id="rId9"/>
    <sheet name="BVG-MINDESTZINSSATZ" sheetId="344" state="veryHidden" r:id="rId10"/>
  </sheets>
  <definedNames>
    <definedName name="_xlnm._FilterDatabase" localSheetId="8" hidden="1">TEXT!#REF!</definedName>
    <definedName name="Bjliste">UEBERSICHT!$J$8:$J$19</definedName>
    <definedName name="BVGMindestzinssatz">'BVG-MINDESTZINSSATZ'!$A$3:$B$42</definedName>
    <definedName name="BVGUWS">'BVG-MINDESTZINSSATZ'!$E$3:$F$42</definedName>
    <definedName name="_xlnm.Print_Area" localSheetId="2">BILANZ!$A$1:$M$96</definedName>
    <definedName name="_xlnm.Print_Area" localSheetId="5">BILANZIERUNGSGRUNDSAETZE!$A$1:$F$27</definedName>
    <definedName name="_xlnm.Print_Area" localSheetId="1">ER!$A$1:$M$94</definedName>
    <definedName name="_xlnm.Print_Area" localSheetId="7">OFFENLEGUNGSSCHEMA!$A$1:$S$245</definedName>
    <definedName name="_xlnm.Print_Area" localSheetId="0">UEBERSICHT!$A$1:$J$31</definedName>
    <definedName name="Email">UEBERSICHT!$E$5</definedName>
    <definedName name="jahr">UEBERSICHT!$E$8</definedName>
    <definedName name="Name">UEBERSICHT!$E$3</definedName>
    <definedName name="Regi">UEBERSICHT!$E$6</definedName>
    <definedName name="SPRCODE">UEBERSICHT!$G$13</definedName>
    <definedName name="TEXTDF">TEXT!$A$1:$C$1654</definedName>
    <definedName name="Vr">UEBERSICHT!$E$4</definedName>
  </definedNames>
  <calcPr calcId="191029"/>
  <customWorkbookViews>
    <customWorkbookView name="Peter Heinz Bader - Persönliche Ansicht" guid="{ECF4189F-4624-4725-BD5A-98214EF42022}" mergeInterval="0" personalView="1" maximized="1" windowWidth="1570" windowHeight="1028" tabRatio="601" activeSheetId="33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7" i="357" l="1"/>
  <c r="J81" i="333"/>
  <c r="J75" i="333"/>
  <c r="J64" i="333"/>
  <c r="J70" i="333" s="1"/>
  <c r="J82" i="333" s="1"/>
  <c r="J56" i="333"/>
  <c r="J52" i="333"/>
  <c r="J49" i="333"/>
  <c r="J43" i="333"/>
  <c r="J16" i="333"/>
  <c r="J21" i="333" s="1"/>
  <c r="J7" i="333"/>
  <c r="J10" i="333" s="1"/>
  <c r="G81" i="333"/>
  <c r="G75" i="333"/>
  <c r="G52" i="333"/>
  <c r="G43" i="333"/>
  <c r="G16" i="333"/>
  <c r="G7" i="333"/>
  <c r="G10" i="333" s="1"/>
  <c r="D22" i="337"/>
  <c r="D21" i="337"/>
  <c r="D20" i="337"/>
  <c r="D19" i="337"/>
  <c r="D18" i="337"/>
  <c r="D17" i="337"/>
  <c r="D16" i="337"/>
  <c r="D15" i="337"/>
  <c r="D14" i="337"/>
  <c r="D13" i="337"/>
  <c r="D12" i="337"/>
  <c r="D11" i="337"/>
  <c r="D10" i="337"/>
  <c r="D9" i="337"/>
  <c r="D8" i="337"/>
  <c r="J57" i="333" l="1"/>
  <c r="J86" i="333" s="1"/>
  <c r="D7" i="337"/>
  <c r="D6" i="337"/>
  <c r="D5" i="337"/>
  <c r="G13" i="343"/>
  <c r="B2" i="353" l="1"/>
  <c r="B1" i="338"/>
  <c r="B1" i="337"/>
  <c r="D1" i="357"/>
  <c r="B1" i="334"/>
  <c r="B1" i="333"/>
  <c r="F168" i="357"/>
  <c r="F181" i="357" s="1"/>
  <c r="B180" i="335"/>
  <c r="F196" i="357"/>
  <c r="A3" i="343" l="1"/>
  <c r="A30" i="343"/>
  <c r="A28" i="343"/>
  <c r="A27" i="343"/>
  <c r="A21" i="343"/>
  <c r="A16" i="343"/>
  <c r="A13" i="343"/>
  <c r="A11" i="343"/>
  <c r="A10" i="343"/>
  <c r="A8" i="343"/>
  <c r="A6" i="343"/>
  <c r="A5" i="343"/>
  <c r="A4" i="343"/>
  <c r="A1" i="343"/>
  <c r="B4" i="338" l="1"/>
  <c r="B19" i="338"/>
  <c r="B34" i="338"/>
  <c r="B49" i="338"/>
  <c r="D35" i="338"/>
  <c r="H35" i="338" s="1"/>
  <c r="D20" i="338"/>
  <c r="H20" i="338" s="1"/>
  <c r="D5" i="338"/>
  <c r="H5" i="338" s="1"/>
  <c r="L5" i="338" s="1"/>
  <c r="G5" i="338"/>
  <c r="K5" i="338" s="1"/>
  <c r="O5" i="338" s="1"/>
  <c r="F1" i="338"/>
  <c r="J1" i="357"/>
  <c r="G20" i="338" l="1"/>
  <c r="G35" i="338" s="1"/>
  <c r="K20" i="338"/>
  <c r="K35" i="338" s="1"/>
  <c r="I3" i="357" l="1"/>
  <c r="J3" i="357" l="1"/>
  <c r="K3" i="357" s="1"/>
  <c r="K217" i="357" s="1"/>
  <c r="I225" i="357"/>
  <c r="F190" i="353" s="1"/>
  <c r="F185" i="353"/>
  <c r="B126" i="335"/>
  <c r="B127" i="335"/>
  <c r="B128" i="335"/>
  <c r="B123" i="335"/>
  <c r="J217" i="357" l="1"/>
  <c r="G185" i="353" s="1"/>
  <c r="I185" i="353" s="1"/>
  <c r="J225" i="357"/>
  <c r="G190" i="353" s="1"/>
  <c r="I190" i="353" s="1"/>
  <c r="K225" i="357"/>
  <c r="B63" i="334"/>
  <c r="B61" i="334"/>
  <c r="B59" i="334"/>
  <c r="B57" i="334"/>
  <c r="B55" i="334"/>
  <c r="B53" i="334"/>
  <c r="B51" i="334"/>
  <c r="B49" i="334"/>
  <c r="B54" i="333"/>
  <c r="B25" i="333"/>
  <c r="B23" i="333"/>
  <c r="B17" i="333"/>
  <c r="B13" i="333"/>
  <c r="B8" i="333"/>
  <c r="H190" i="353" l="1"/>
  <c r="H185" i="353"/>
  <c r="C3" i="333"/>
  <c r="C3" i="334" s="1"/>
  <c r="C44" i="334" s="1"/>
  <c r="E4" i="333"/>
  <c r="H4" i="333" l="1"/>
  <c r="K4" i="333" s="1"/>
  <c r="E4" i="334"/>
  <c r="H4" i="334" l="1"/>
  <c r="E45" i="334"/>
  <c r="K4" i="334" l="1"/>
  <c r="K45" i="334" s="1"/>
  <c r="H45" i="334"/>
  <c r="E71" i="357"/>
  <c r="E70" i="357"/>
  <c r="E225" i="357" l="1"/>
  <c r="E222" i="357"/>
  <c r="F221" i="357"/>
  <c r="F224" i="357" s="1"/>
  <c r="F220" i="357"/>
  <c r="F223" i="357" s="1"/>
  <c r="E219" i="357"/>
  <c r="E218" i="357"/>
  <c r="E217" i="357"/>
  <c r="E216" i="357"/>
  <c r="E215" i="357"/>
  <c r="E214" i="357"/>
  <c r="E213" i="357"/>
  <c r="D212" i="357"/>
  <c r="E211" i="357"/>
  <c r="E210" i="357"/>
  <c r="E209" i="357"/>
  <c r="E208" i="357"/>
  <c r="E207" i="357"/>
  <c r="E206" i="357"/>
  <c r="D205" i="357"/>
  <c r="D204" i="357"/>
  <c r="F201" i="357"/>
  <c r="F200" i="357"/>
  <c r="F197" i="357"/>
  <c r="F195" i="357"/>
  <c r="F192" i="357"/>
  <c r="F191" i="357"/>
  <c r="F188" i="357"/>
  <c r="F187" i="357"/>
  <c r="F186" i="357"/>
  <c r="D184" i="357"/>
  <c r="F167" i="357"/>
  <c r="D156" i="357"/>
  <c r="F142" i="357"/>
  <c r="G141" i="357"/>
  <c r="G140" i="357"/>
  <c r="F139" i="357"/>
  <c r="F138" i="357"/>
  <c r="F137" i="357"/>
  <c r="F136" i="357"/>
  <c r="F135" i="357"/>
  <c r="F134" i="357"/>
  <c r="F133" i="357"/>
  <c r="D131" i="357"/>
  <c r="D130" i="357"/>
  <c r="E115" i="357"/>
  <c r="F112" i="357"/>
  <c r="F109" i="357"/>
  <c r="E108" i="357"/>
  <c r="D107" i="357"/>
  <c r="F105" i="357"/>
  <c r="F101" i="357"/>
  <c r="G100" i="357"/>
  <c r="G99" i="357"/>
  <c r="G98" i="357"/>
  <c r="F97" i="357"/>
  <c r="G96" i="357"/>
  <c r="F93" i="357"/>
  <c r="E92" i="357"/>
  <c r="F89" i="357"/>
  <c r="G88" i="357"/>
  <c r="G87" i="357"/>
  <c r="F86" i="357"/>
  <c r="E85" i="357"/>
  <c r="D83" i="357"/>
  <c r="D73" i="357"/>
  <c r="E58" i="357"/>
  <c r="E47" i="357"/>
  <c r="D46" i="357"/>
  <c r="E44" i="357"/>
  <c r="E43" i="357"/>
  <c r="E42" i="357"/>
  <c r="E41" i="357"/>
  <c r="E40" i="357"/>
  <c r="E39" i="357"/>
  <c r="D23" i="357" s="1"/>
  <c r="F38" i="357"/>
  <c r="F37" i="357"/>
  <c r="E35" i="357"/>
  <c r="E34" i="357"/>
  <c r="F48" i="357" s="1"/>
  <c r="D33" i="357"/>
  <c r="D32" i="357"/>
  <c r="D14" i="357"/>
  <c r="E12" i="357"/>
  <c r="G11" i="357"/>
  <c r="G10" i="357"/>
  <c r="G9" i="357"/>
  <c r="F8" i="357"/>
  <c r="F7" i="357"/>
  <c r="E6" i="357"/>
  <c r="D5" i="357"/>
  <c r="D4" i="357"/>
  <c r="D227" i="357"/>
  <c r="E242" i="357"/>
  <c r="E241" i="357"/>
  <c r="F240" i="357"/>
  <c r="F239" i="357"/>
  <c r="G238" i="357"/>
  <c r="G237" i="357"/>
  <c r="F236" i="357"/>
  <c r="E235" i="357"/>
  <c r="E231" i="357"/>
  <c r="E230" i="357"/>
  <c r="E229" i="357"/>
  <c r="F180" i="357" l="1"/>
  <c r="G166" i="357"/>
  <c r="G179" i="357" s="1"/>
  <c r="G165" i="357"/>
  <c r="G178" i="357" s="1"/>
  <c r="F164" i="357"/>
  <c r="F177" i="357" s="1"/>
  <c r="F163" i="357"/>
  <c r="F176" i="357" s="1"/>
  <c r="F162" i="357"/>
  <c r="F175" i="357" s="1"/>
  <c r="F161" i="357"/>
  <c r="F174" i="357" s="1"/>
  <c r="F160" i="357"/>
  <c r="F173" i="357" s="1"/>
  <c r="F159" i="357"/>
  <c r="F172" i="357" s="1"/>
  <c r="F158" i="357"/>
  <c r="F171" i="357" s="1"/>
  <c r="F154" i="357"/>
  <c r="F169" i="357" s="1"/>
  <c r="F182" i="357" s="1"/>
  <c r="F189" i="357" s="1"/>
  <c r="G153" i="357"/>
  <c r="G152" i="357"/>
  <c r="F151" i="357"/>
  <c r="F150" i="357"/>
  <c r="F149" i="357"/>
  <c r="F148" i="357"/>
  <c r="F147" i="357"/>
  <c r="F146" i="357"/>
  <c r="F145" i="357"/>
  <c r="F128" i="357"/>
  <c r="E199" i="357" s="1"/>
  <c r="F124" i="357"/>
  <c r="E194" i="357" s="1"/>
  <c r="G123" i="357"/>
  <c r="G122" i="357"/>
  <c r="G121" i="357"/>
  <c r="F120" i="357"/>
  <c r="E190" i="357" s="1"/>
  <c r="G119" i="357"/>
  <c r="F116" i="357"/>
  <c r="E185" i="357" s="1"/>
  <c r="G104" i="357"/>
  <c r="G127" i="357" s="1"/>
  <c r="G91" i="357"/>
  <c r="G95" i="357" s="1"/>
  <c r="G118" i="357" s="1"/>
  <c r="G90" i="357"/>
  <c r="G94" i="357" s="1"/>
  <c r="F57" i="357"/>
  <c r="F56" i="357"/>
  <c r="F55" i="357"/>
  <c r="F54" i="357"/>
  <c r="F53" i="357"/>
  <c r="G52" i="357"/>
  <c r="G51" i="357"/>
  <c r="F49" i="357"/>
  <c r="F59" i="357"/>
  <c r="E74" i="357" s="1"/>
  <c r="E36" i="357"/>
  <c r="F50" i="357" s="1"/>
  <c r="F64" i="357" l="1"/>
  <c r="E78" i="357" s="1"/>
  <c r="G62" i="357"/>
  <c r="F60" i="357"/>
  <c r="E75" i="357" s="1"/>
  <c r="F65" i="357"/>
  <c r="E79" i="357" s="1"/>
  <c r="G63" i="357"/>
  <c r="F77" i="357" s="1"/>
  <c r="F67" i="357"/>
  <c r="F193" i="357"/>
  <c r="G103" i="357"/>
  <c r="G117" i="357"/>
  <c r="G102" i="357"/>
  <c r="F61" i="357"/>
  <c r="E76" i="357" s="1"/>
  <c r="D84" i="357" s="1"/>
  <c r="F68" i="357"/>
  <c r="E81" i="357" s="1"/>
  <c r="F66" i="357"/>
  <c r="E80" i="357" s="1"/>
  <c r="E30" i="357"/>
  <c r="G29" i="357"/>
  <c r="G28" i="357"/>
  <c r="G27" i="357"/>
  <c r="F26" i="357"/>
  <c r="F25" i="357"/>
  <c r="E24" i="357"/>
  <c r="E21" i="357"/>
  <c r="G20" i="357"/>
  <c r="G19" i="357"/>
  <c r="G18" i="357"/>
  <c r="F17" i="357"/>
  <c r="F16" i="357"/>
  <c r="E15" i="357"/>
  <c r="C1011" i="349"/>
  <c r="B1011" i="349"/>
  <c r="C740" i="349"/>
  <c r="B740" i="349"/>
  <c r="C716" i="349"/>
  <c r="B716" i="349"/>
  <c r="C242" i="349"/>
  <c r="B242" i="349"/>
  <c r="F198" i="357" l="1"/>
  <c r="G111" i="357"/>
  <c r="G114" i="357" s="1"/>
  <c r="G126" i="357"/>
  <c r="E144" i="357" s="1"/>
  <c r="E170" i="357" s="1"/>
  <c r="G125" i="357"/>
  <c r="E132" i="357" s="1"/>
  <c r="E157" i="357" s="1"/>
  <c r="G110" i="357"/>
  <c r="G113" i="357" s="1"/>
  <c r="D228" i="357"/>
  <c r="F202" i="357" l="1"/>
  <c r="D234" i="357" l="1"/>
  <c r="D232" i="357"/>
  <c r="D243" i="357" s="1"/>
  <c r="B190" i="353"/>
  <c r="B188" i="353"/>
  <c r="B186" i="353"/>
  <c r="B185" i="353"/>
  <c r="B183" i="353"/>
  <c r="D32" i="353" l="1"/>
  <c r="D31" i="353"/>
  <c r="D30" i="353"/>
  <c r="D29" i="353"/>
  <c r="E28" i="353"/>
  <c r="E27" i="353"/>
  <c r="E26" i="353"/>
  <c r="E25" i="353"/>
  <c r="E24" i="353"/>
  <c r="D23" i="353"/>
  <c r="F3" i="333" l="1"/>
  <c r="F3" i="334" s="1"/>
  <c r="F44" i="334" s="1"/>
  <c r="I3" i="333"/>
  <c r="I3" i="334" s="1"/>
  <c r="I44" i="334" s="1"/>
  <c r="C1330" i="349" l="1"/>
  <c r="B1330" i="349"/>
  <c r="S151" i="353" l="1"/>
  <c r="R151" i="353"/>
  <c r="C650" i="349" l="1"/>
  <c r="B650" i="349"/>
  <c r="K5" i="335"/>
  <c r="L5" i="335" s="1"/>
  <c r="M5" i="335" s="1"/>
  <c r="H5" i="335"/>
  <c r="E5" i="335"/>
  <c r="F5" i="335" s="1"/>
  <c r="G5" i="335" s="1"/>
  <c r="I45" i="334"/>
  <c r="J45" i="334" s="1"/>
  <c r="F45" i="334"/>
  <c r="G45" i="334" s="1"/>
  <c r="C45" i="334"/>
  <c r="D45" i="334" s="1"/>
  <c r="I4" i="334"/>
  <c r="J4" i="334" s="1"/>
  <c r="F4" i="334"/>
  <c r="G4" i="334" s="1"/>
  <c r="C4" i="334"/>
  <c r="D4" i="334" s="1"/>
  <c r="C241" i="349"/>
  <c r="B241" i="349"/>
  <c r="I5" i="335" l="1"/>
  <c r="J5" i="335" l="1"/>
  <c r="C217" i="353" l="1"/>
  <c r="D223" i="353"/>
  <c r="D222" i="353"/>
  <c r="D218" i="353"/>
  <c r="E221" i="353"/>
  <c r="E220" i="353"/>
  <c r="E219" i="353"/>
  <c r="C80" i="353" l="1"/>
  <c r="B82" i="353"/>
  <c r="C243" i="353" l="1"/>
  <c r="C242" i="353"/>
  <c r="D241" i="353"/>
  <c r="D240" i="353"/>
  <c r="E239" i="353"/>
  <c r="E238" i="353"/>
  <c r="D237" i="353"/>
  <c r="C236" i="353"/>
  <c r="B235" i="353"/>
  <c r="C232" i="353"/>
  <c r="C231" i="353"/>
  <c r="C230" i="353"/>
  <c r="B229" i="353"/>
  <c r="K227" i="353"/>
  <c r="L227" i="353" s="1"/>
  <c r="C225" i="353"/>
  <c r="C224" i="353"/>
  <c r="B216" i="353"/>
  <c r="B215" i="353"/>
  <c r="C213" i="353"/>
  <c r="C212" i="353"/>
  <c r="C211" i="353"/>
  <c r="C210" i="353"/>
  <c r="B209" i="353"/>
  <c r="B208" i="353"/>
  <c r="K200" i="353"/>
  <c r="C205" i="353"/>
  <c r="C204" i="353"/>
  <c r="C203" i="353"/>
  <c r="B202" i="353"/>
  <c r="B201" i="353"/>
  <c r="C198" i="353"/>
  <c r="C197" i="353"/>
  <c r="D196" i="353"/>
  <c r="D195" i="353"/>
  <c r="C194" i="353"/>
  <c r="B193" i="353"/>
  <c r="B189" i="353"/>
  <c r="B187" i="353"/>
  <c r="B184" i="353"/>
  <c r="B182" i="353"/>
  <c r="B181" i="353"/>
  <c r="B179" i="353"/>
  <c r="B178" i="353"/>
  <c r="B177" i="353"/>
  <c r="B176" i="353"/>
  <c r="B175" i="353"/>
  <c r="B173" i="353"/>
  <c r="B172" i="353"/>
  <c r="B171" i="353"/>
  <c r="B170" i="353"/>
  <c r="C168" i="353"/>
  <c r="C167" i="353"/>
  <c r="B166" i="353"/>
  <c r="C163" i="353"/>
  <c r="C162" i="353"/>
  <c r="B161" i="353"/>
  <c r="B158" i="353"/>
  <c r="B156" i="353"/>
  <c r="B155" i="353"/>
  <c r="B153" i="353"/>
  <c r="B152" i="353"/>
  <c r="B151" i="353"/>
  <c r="C150" i="353"/>
  <c r="D149" i="353"/>
  <c r="D148" i="353"/>
  <c r="D147" i="353"/>
  <c r="D146" i="353"/>
  <c r="D145" i="353"/>
  <c r="D144" i="353"/>
  <c r="C143" i="353"/>
  <c r="D142" i="353"/>
  <c r="D141" i="353"/>
  <c r="D140" i="353"/>
  <c r="D139" i="353"/>
  <c r="D138" i="353"/>
  <c r="C137" i="353"/>
  <c r="B136" i="353"/>
  <c r="B135" i="353"/>
  <c r="C134" i="353"/>
  <c r="C133" i="353"/>
  <c r="C132" i="353"/>
  <c r="B131" i="353"/>
  <c r="C130" i="353"/>
  <c r="C129" i="353"/>
  <c r="C128" i="353"/>
  <c r="B127" i="353"/>
  <c r="P125" i="353"/>
  <c r="Q125" i="353" s="1"/>
  <c r="R125" i="353" s="1"/>
  <c r="S125" i="353" s="1"/>
  <c r="S159" i="353" s="1"/>
  <c r="K125" i="353"/>
  <c r="L125" i="353" s="1"/>
  <c r="M125" i="353" s="1"/>
  <c r="N125" i="353" s="1"/>
  <c r="N159" i="353" s="1"/>
  <c r="B125" i="353"/>
  <c r="B123" i="353"/>
  <c r="B122" i="353"/>
  <c r="B121" i="353"/>
  <c r="C120" i="353"/>
  <c r="C119" i="353"/>
  <c r="C118" i="353"/>
  <c r="C117" i="353"/>
  <c r="C116" i="353"/>
  <c r="B115" i="353"/>
  <c r="D114" i="353"/>
  <c r="D113" i="353"/>
  <c r="D112" i="353"/>
  <c r="D111" i="353"/>
  <c r="D110" i="353"/>
  <c r="D109" i="353"/>
  <c r="D108" i="353"/>
  <c r="C107" i="353"/>
  <c r="C106" i="353"/>
  <c r="C105" i="353"/>
  <c r="C104" i="353"/>
  <c r="C103" i="353"/>
  <c r="C102" i="353"/>
  <c r="C101" i="353"/>
  <c r="D100" i="353"/>
  <c r="D99" i="353"/>
  <c r="C98" i="353"/>
  <c r="D97" i="353"/>
  <c r="D96" i="353"/>
  <c r="C95" i="353"/>
  <c r="D94" i="353"/>
  <c r="D93" i="353"/>
  <c r="C92" i="353"/>
  <c r="D91" i="353"/>
  <c r="D90" i="353"/>
  <c r="C89" i="353"/>
  <c r="B88" i="353"/>
  <c r="B87" i="353"/>
  <c r="B84" i="353"/>
  <c r="B83" i="353"/>
  <c r="C81" i="353"/>
  <c r="C79" i="353"/>
  <c r="C78" i="353"/>
  <c r="C77" i="353"/>
  <c r="C76" i="353"/>
  <c r="C75" i="353"/>
  <c r="D74" i="353"/>
  <c r="D73" i="353"/>
  <c r="C72" i="353"/>
  <c r="C71" i="353"/>
  <c r="B70" i="353"/>
  <c r="B67" i="353"/>
  <c r="B65" i="353"/>
  <c r="B64" i="353"/>
  <c r="B63" i="353"/>
  <c r="B62" i="353"/>
  <c r="B61" i="353"/>
  <c r="K40" i="353"/>
  <c r="L40" i="353" s="1"/>
  <c r="C60" i="353"/>
  <c r="C59" i="353"/>
  <c r="C58" i="353"/>
  <c r="C57" i="353"/>
  <c r="C56" i="353"/>
  <c r="C55" i="353"/>
  <c r="C54" i="353"/>
  <c r="C53" i="353"/>
  <c r="C52" i="353"/>
  <c r="C51" i="353"/>
  <c r="C50" i="353"/>
  <c r="B49" i="353"/>
  <c r="C48" i="353"/>
  <c r="C47" i="353"/>
  <c r="C46" i="353"/>
  <c r="D45" i="353"/>
  <c r="D44" i="353"/>
  <c r="C43" i="353"/>
  <c r="D42" i="353"/>
  <c r="D41" i="353"/>
  <c r="C40" i="353"/>
  <c r="B39" i="353"/>
  <c r="B38" i="353"/>
  <c r="B35" i="353"/>
  <c r="B34" i="353"/>
  <c r="C33" i="353"/>
  <c r="C22" i="353"/>
  <c r="B21" i="353"/>
  <c r="C20" i="353"/>
  <c r="C19" i="353"/>
  <c r="D18" i="353"/>
  <c r="D17" i="353"/>
  <c r="D16" i="353"/>
  <c r="D15" i="353"/>
  <c r="D14" i="353"/>
  <c r="D13" i="353"/>
  <c r="C12" i="353"/>
  <c r="B11" i="353"/>
  <c r="B10" i="353"/>
  <c r="F8" i="353"/>
  <c r="G8" i="353" s="1"/>
  <c r="H8" i="353" s="1"/>
  <c r="I8" i="353" s="1"/>
  <c r="I67" i="353" s="1"/>
  <c r="B8" i="353"/>
  <c r="B6" i="353"/>
  <c r="B5" i="353"/>
  <c r="B4" i="353"/>
  <c r="B3" i="353"/>
  <c r="L200" i="353" l="1"/>
  <c r="L207" i="353" s="1"/>
  <c r="K207" i="353"/>
  <c r="L159" i="353"/>
  <c r="Q159" i="353"/>
  <c r="M159" i="353"/>
  <c r="R159" i="353"/>
  <c r="K159" i="353"/>
  <c r="P159" i="353"/>
  <c r="F125" i="353"/>
  <c r="F158" i="353" s="1"/>
  <c r="G125" i="353"/>
  <c r="G158" i="353" s="1"/>
  <c r="H125" i="353"/>
  <c r="H158" i="353" s="1"/>
  <c r="I125" i="353"/>
  <c r="I158" i="353" s="1"/>
  <c r="F67" i="353"/>
  <c r="G67" i="353"/>
  <c r="H67" i="353"/>
  <c r="G120" i="353" l="1"/>
  <c r="B7" i="335"/>
  <c r="B8" i="335"/>
  <c r="B162" i="335"/>
  <c r="B161" i="335"/>
  <c r="B160" i="335"/>
  <c r="B159" i="335"/>
  <c r="B98" i="335"/>
  <c r="B97" i="335"/>
  <c r="B96" i="335"/>
  <c r="B95" i="335"/>
  <c r="B36" i="333"/>
  <c r="B24" i="333"/>
  <c r="B79" i="333"/>
  <c r="B78" i="333"/>
  <c r="B61" i="333" l="1"/>
  <c r="B87" i="335" l="1"/>
  <c r="C177" i="335"/>
  <c r="C176" i="335"/>
  <c r="B54" i="338"/>
  <c r="B53" i="338"/>
  <c r="B52" i="338"/>
  <c r="B51" i="338"/>
  <c r="B18" i="338"/>
  <c r="B26" i="337"/>
  <c r="B25" i="337"/>
  <c r="B24" i="337"/>
  <c r="B66" i="335"/>
  <c r="B75" i="333"/>
  <c r="F81" i="337"/>
  <c r="C186" i="335"/>
  <c r="B185" i="335"/>
  <c r="B181" i="335"/>
  <c r="B179" i="335"/>
  <c r="C182" i="335"/>
  <c r="C178" i="335"/>
  <c r="B178" i="335"/>
  <c r="B177" i="335"/>
  <c r="B176" i="335"/>
  <c r="B187" i="335"/>
  <c r="B186" i="335"/>
  <c r="B184" i="335"/>
  <c r="B183" i="335"/>
  <c r="B182" i="335"/>
  <c r="B175" i="335"/>
  <c r="B174" i="335"/>
  <c r="B158" i="335"/>
  <c r="B156" i="335"/>
  <c r="C94" i="335"/>
  <c r="C93" i="335"/>
  <c r="B27" i="333"/>
  <c r="B26" i="333"/>
  <c r="B22" i="333"/>
  <c r="B169" i="335"/>
  <c r="B168" i="335"/>
  <c r="B170" i="335"/>
  <c r="B40" i="333"/>
  <c r="B74" i="333"/>
  <c r="B80" i="333"/>
  <c r="B77" i="333"/>
  <c r="B62" i="333"/>
  <c r="B63" i="333"/>
  <c r="B60" i="333"/>
  <c r="B59" i="333"/>
  <c r="B58" i="333"/>
  <c r="B24" i="335"/>
  <c r="C44" i="335"/>
  <c r="B171" i="335"/>
  <c r="B35" i="333"/>
  <c r="B50" i="334"/>
  <c r="B56" i="335"/>
  <c r="C54" i="335"/>
  <c r="B54" i="335"/>
  <c r="B55" i="335"/>
  <c r="B40" i="335"/>
  <c r="C67" i="335"/>
  <c r="B68" i="335"/>
  <c r="B173" i="335"/>
  <c r="B172" i="335"/>
  <c r="B167" i="335"/>
  <c r="B166" i="335"/>
  <c r="B165" i="335"/>
  <c r="B164" i="335"/>
  <c r="C35" i="335"/>
  <c r="B91" i="335"/>
  <c r="B90" i="335"/>
  <c r="B58" i="338"/>
  <c r="B57" i="338"/>
  <c r="B56" i="338"/>
  <c r="B55" i="338"/>
  <c r="B33" i="338"/>
  <c r="B48" i="338" s="1"/>
  <c r="B32" i="338"/>
  <c r="B47" i="338" s="1"/>
  <c r="B31" i="338"/>
  <c r="B46" i="338" s="1"/>
  <c r="B30" i="338"/>
  <c r="B45" i="338" s="1"/>
  <c r="B29" i="338"/>
  <c r="B44" i="338" s="1"/>
  <c r="B28" i="338"/>
  <c r="B43" i="338" s="1"/>
  <c r="B27" i="338"/>
  <c r="B42" i="338" s="1"/>
  <c r="B26" i="338"/>
  <c r="B41" i="338" s="1"/>
  <c r="B25" i="338"/>
  <c r="B40" i="338" s="1"/>
  <c r="B24" i="338"/>
  <c r="B39" i="338" s="1"/>
  <c r="B23" i="338"/>
  <c r="B38" i="338" s="1"/>
  <c r="B22" i="338"/>
  <c r="B37" i="338" s="1"/>
  <c r="B17" i="338"/>
  <c r="B16" i="338"/>
  <c r="B15" i="338"/>
  <c r="B14" i="338"/>
  <c r="B13" i="338"/>
  <c r="B12" i="338"/>
  <c r="B11" i="338"/>
  <c r="B10" i="338"/>
  <c r="B9" i="338"/>
  <c r="B8" i="338"/>
  <c r="B7" i="338"/>
  <c r="G6" i="338"/>
  <c r="F6" i="338"/>
  <c r="E6" i="338"/>
  <c r="D6" i="338"/>
  <c r="N1" i="338"/>
  <c r="C115" i="337"/>
  <c r="C114" i="337"/>
  <c r="C113" i="337"/>
  <c r="C111" i="337"/>
  <c r="C110" i="337"/>
  <c r="C108" i="337"/>
  <c r="C107" i="337"/>
  <c r="C106" i="337"/>
  <c r="C105" i="337"/>
  <c r="C103" i="337"/>
  <c r="C102" i="337"/>
  <c r="C101" i="337"/>
  <c r="C100" i="337"/>
  <c r="C98" i="337"/>
  <c r="C97" i="337"/>
  <c r="C95" i="337"/>
  <c r="C94" i="337"/>
  <c r="C92" i="337"/>
  <c r="C91" i="337"/>
  <c r="C90" i="337"/>
  <c r="C89" i="337"/>
  <c r="C87" i="337"/>
  <c r="C86" i="337"/>
  <c r="C85" i="337"/>
  <c r="C84" i="337"/>
  <c r="C82" i="337"/>
  <c r="C81" i="337"/>
  <c r="C80" i="337"/>
  <c r="C79" i="337"/>
  <c r="C77" i="337"/>
  <c r="C76" i="337"/>
  <c r="C75" i="337"/>
  <c r="C74" i="337"/>
  <c r="C73" i="337"/>
  <c r="C71" i="337"/>
  <c r="C70" i="337"/>
  <c r="C69" i="337"/>
  <c r="C68" i="337"/>
  <c r="C66" i="337"/>
  <c r="C65" i="337"/>
  <c r="C64" i="337"/>
  <c r="C63" i="337"/>
  <c r="C61" i="337"/>
  <c r="C60" i="337"/>
  <c r="C58" i="337"/>
  <c r="C57" i="337"/>
  <c r="C55" i="337"/>
  <c r="C54" i="337"/>
  <c r="C53" i="337"/>
  <c r="C51" i="337"/>
  <c r="C50" i="337"/>
  <c r="C48" i="337"/>
  <c r="C47" i="337"/>
  <c r="C46" i="337"/>
  <c r="C45" i="337"/>
  <c r="C43" i="337"/>
  <c r="C42" i="337"/>
  <c r="C41" i="337"/>
  <c r="C40" i="337"/>
  <c r="C38" i="337"/>
  <c r="C37" i="337"/>
  <c r="C36" i="337"/>
  <c r="C34" i="337"/>
  <c r="C33" i="337"/>
  <c r="C32" i="337"/>
  <c r="C31" i="337"/>
  <c r="C30" i="337"/>
  <c r="B28" i="337"/>
  <c r="B9" i="337"/>
  <c r="B50" i="337" s="1"/>
  <c r="B8" i="337"/>
  <c r="B45" i="337" s="1"/>
  <c r="B7" i="337"/>
  <c r="B40" i="337" s="1"/>
  <c r="B6" i="337"/>
  <c r="B36" i="337" s="1"/>
  <c r="B5" i="337"/>
  <c r="B30" i="337" s="1"/>
  <c r="B22" i="337"/>
  <c r="B113" i="337" s="1"/>
  <c r="B21" i="337"/>
  <c r="B110" i="337" s="1"/>
  <c r="B20" i="337"/>
  <c r="B105" i="337" s="1"/>
  <c r="B19" i="337"/>
  <c r="B100" i="337" s="1"/>
  <c r="B18" i="337"/>
  <c r="B94" i="337" s="1"/>
  <c r="B17" i="337"/>
  <c r="B89" i="337" s="1"/>
  <c r="B16" i="337"/>
  <c r="B84" i="337" s="1"/>
  <c r="B15" i="337"/>
  <c r="B79" i="337" s="1"/>
  <c r="B14" i="337"/>
  <c r="B73" i="337" s="1"/>
  <c r="B13" i="337"/>
  <c r="B63" i="337" s="1"/>
  <c r="B12" i="337"/>
  <c r="B60" i="337" s="1"/>
  <c r="B11" i="337"/>
  <c r="B57" i="337" s="1"/>
  <c r="B58" i="337" s="1"/>
  <c r="B10" i="337"/>
  <c r="B53" i="337" s="1"/>
  <c r="E3" i="337"/>
  <c r="D3" i="337"/>
  <c r="C3" i="337"/>
  <c r="B3" i="337"/>
  <c r="E2" i="337"/>
  <c r="B5" i="335"/>
  <c r="C142" i="335"/>
  <c r="C140" i="335"/>
  <c r="B163" i="335"/>
  <c r="B157" i="335"/>
  <c r="B154" i="335"/>
  <c r="B153" i="335"/>
  <c r="B152" i="335"/>
  <c r="B151" i="335"/>
  <c r="B150" i="335"/>
  <c r="B149" i="335"/>
  <c r="B148" i="335"/>
  <c r="B147" i="335"/>
  <c r="B146" i="335"/>
  <c r="B142" i="335"/>
  <c r="B141" i="335"/>
  <c r="B140" i="335"/>
  <c r="B139" i="335"/>
  <c r="B138" i="335"/>
  <c r="B155" i="335" s="1"/>
  <c r="B137" i="335"/>
  <c r="B136" i="335"/>
  <c r="C132" i="335"/>
  <c r="B135" i="335"/>
  <c r="B134" i="335"/>
  <c r="B133" i="335"/>
  <c r="B132" i="335"/>
  <c r="B131" i="335"/>
  <c r="B130" i="335"/>
  <c r="B129" i="335"/>
  <c r="C124" i="335"/>
  <c r="B124" i="335"/>
  <c r="C122" i="335"/>
  <c r="B122" i="335"/>
  <c r="B121" i="335"/>
  <c r="B120" i="335"/>
  <c r="B119" i="335"/>
  <c r="B118" i="335"/>
  <c r="B117" i="335"/>
  <c r="B116" i="335"/>
  <c r="B115" i="335"/>
  <c r="B114" i="335"/>
  <c r="B113" i="335"/>
  <c r="B112" i="335"/>
  <c r="B111" i="335"/>
  <c r="B110" i="335"/>
  <c r="B109" i="335"/>
  <c r="B108" i="335"/>
  <c r="B107" i="335"/>
  <c r="B106" i="335"/>
  <c r="B105" i="335"/>
  <c r="B104" i="335"/>
  <c r="B103" i="335"/>
  <c r="B102" i="335"/>
  <c r="B101" i="335"/>
  <c r="B100" i="335"/>
  <c r="B99" i="335"/>
  <c r="B94" i="335"/>
  <c r="B93" i="335"/>
  <c r="B92" i="335"/>
  <c r="B89" i="335"/>
  <c r="B88" i="335"/>
  <c r="B86" i="335"/>
  <c r="B85" i="335"/>
  <c r="B84" i="335"/>
  <c r="B83" i="335"/>
  <c r="B82" i="335"/>
  <c r="B81" i="335"/>
  <c r="B80" i="335"/>
  <c r="B79" i="335"/>
  <c r="B78" i="335"/>
  <c r="B77" i="335"/>
  <c r="B76" i="335"/>
  <c r="B75" i="335"/>
  <c r="B74" i="335"/>
  <c r="B73" i="335"/>
  <c r="B72" i="335"/>
  <c r="B70" i="335"/>
  <c r="B69" i="335"/>
  <c r="C60" i="335"/>
  <c r="C58" i="335"/>
  <c r="C57" i="335"/>
  <c r="C43" i="335"/>
  <c r="B52" i="335"/>
  <c r="B62" i="335"/>
  <c r="D193" i="335"/>
  <c r="B193" i="335"/>
  <c r="B65" i="335"/>
  <c r="B64" i="335"/>
  <c r="B63" i="335"/>
  <c r="B61" i="335"/>
  <c r="B60" i="335"/>
  <c r="B59" i="335"/>
  <c r="B58" i="335"/>
  <c r="B57" i="335"/>
  <c r="B192" i="335"/>
  <c r="B51" i="335"/>
  <c r="B50" i="335"/>
  <c r="B49" i="335"/>
  <c r="B48" i="335"/>
  <c r="B47" i="335"/>
  <c r="B46" i="335"/>
  <c r="B191" i="335"/>
  <c r="B45" i="335"/>
  <c r="B44" i="335"/>
  <c r="B43" i="335"/>
  <c r="B42" i="335"/>
  <c r="B41" i="335"/>
  <c r="B39" i="335"/>
  <c r="B38" i="335"/>
  <c r="B37" i="335"/>
  <c r="B36" i="335"/>
  <c r="B35" i="335"/>
  <c r="B34" i="335"/>
  <c r="C26" i="335"/>
  <c r="K20" i="335"/>
  <c r="C15" i="335"/>
  <c r="C14" i="335"/>
  <c r="C13" i="335"/>
  <c r="C12" i="335"/>
  <c r="C11" i="335"/>
  <c r="C10" i="335"/>
  <c r="B188" i="335"/>
  <c r="B16" i="335"/>
  <c r="B15" i="335"/>
  <c r="B14" i="335"/>
  <c r="B13" i="335"/>
  <c r="B12" i="335"/>
  <c r="B11" i="335"/>
  <c r="B10" i="335"/>
  <c r="B9" i="335"/>
  <c r="B6" i="335"/>
  <c r="B190" i="335"/>
  <c r="B33" i="335"/>
  <c r="B32" i="335"/>
  <c r="B31" i="335"/>
  <c r="B30" i="335"/>
  <c r="B29" i="335"/>
  <c r="B28" i="335"/>
  <c r="B189" i="335"/>
  <c r="B27" i="335"/>
  <c r="B26" i="335"/>
  <c r="B25" i="335"/>
  <c r="B23" i="335"/>
  <c r="B22" i="335"/>
  <c r="B21" i="335"/>
  <c r="B20" i="335"/>
  <c r="B19" i="335"/>
  <c r="B18" i="335"/>
  <c r="B4" i="334"/>
  <c r="C4" i="335"/>
  <c r="C3" i="335"/>
  <c r="K4" i="335"/>
  <c r="K3" i="335"/>
  <c r="H4" i="335"/>
  <c r="H3" i="335"/>
  <c r="E4" i="335"/>
  <c r="E3" i="335"/>
  <c r="L1" i="335"/>
  <c r="F1" i="335"/>
  <c r="B1" i="335"/>
  <c r="B93" i="334"/>
  <c r="B98" i="334"/>
  <c r="B92" i="334"/>
  <c r="B91" i="334"/>
  <c r="B90" i="334"/>
  <c r="B89" i="334"/>
  <c r="B88" i="334"/>
  <c r="B87" i="334"/>
  <c r="B86" i="334"/>
  <c r="B85" i="334"/>
  <c r="B84" i="334"/>
  <c r="B83" i="334"/>
  <c r="B82" i="334"/>
  <c r="B81" i="334"/>
  <c r="B80" i="334"/>
  <c r="B79" i="334"/>
  <c r="B78" i="334"/>
  <c r="B77" i="334"/>
  <c r="B72" i="334"/>
  <c r="B97" i="334"/>
  <c r="B96" i="334"/>
  <c r="B95" i="334"/>
  <c r="B74" i="334"/>
  <c r="B40" i="334"/>
  <c r="B76" i="334"/>
  <c r="B73" i="334"/>
  <c r="B71" i="334"/>
  <c r="B70" i="334"/>
  <c r="B69" i="334"/>
  <c r="B39" i="334"/>
  <c r="B75" i="334"/>
  <c r="B68" i="334"/>
  <c r="B67" i="334"/>
  <c r="B66" i="334"/>
  <c r="B65" i="334"/>
  <c r="B64" i="334"/>
  <c r="B62" i="334"/>
  <c r="B60" i="334"/>
  <c r="B58" i="334"/>
  <c r="B56" i="334"/>
  <c r="B54" i="334"/>
  <c r="B52" i="334"/>
  <c r="B48" i="334"/>
  <c r="B47" i="334"/>
  <c r="B46" i="334"/>
  <c r="B43" i="334"/>
  <c r="B41" i="334"/>
  <c r="B38" i="334"/>
  <c r="B37" i="334"/>
  <c r="B36" i="334"/>
  <c r="B35" i="334"/>
  <c r="B34" i="334"/>
  <c r="B33" i="334"/>
  <c r="B32" i="334"/>
  <c r="B31" i="334"/>
  <c r="B30" i="334"/>
  <c r="B29" i="334"/>
  <c r="B28" i="334"/>
  <c r="B27" i="334"/>
  <c r="B26" i="334"/>
  <c r="B25" i="334"/>
  <c r="B24" i="334"/>
  <c r="B23" i="334"/>
  <c r="B22" i="334"/>
  <c r="B21" i="334"/>
  <c r="B20" i="334"/>
  <c r="B19" i="334"/>
  <c r="B18" i="334"/>
  <c r="B17" i="334"/>
  <c r="B16" i="334"/>
  <c r="B15" i="334"/>
  <c r="B14" i="334"/>
  <c r="B13" i="334"/>
  <c r="B12" i="334"/>
  <c r="B11" i="334"/>
  <c r="B10" i="334"/>
  <c r="B9" i="334"/>
  <c r="B8" i="334"/>
  <c r="B7" i="334"/>
  <c r="B6" i="334"/>
  <c r="B5" i="334"/>
  <c r="J1" i="334"/>
  <c r="C1" i="334"/>
  <c r="J1" i="333"/>
  <c r="B4" i="333"/>
  <c r="C1" i="333"/>
  <c r="B94" i="333"/>
  <c r="B93" i="333"/>
  <c r="B92" i="333"/>
  <c r="B91" i="333"/>
  <c r="B90" i="333"/>
  <c r="B89" i="333"/>
  <c r="B88" i="333"/>
  <c r="B87" i="333"/>
  <c r="B86" i="333"/>
  <c r="B85" i="333"/>
  <c r="B84" i="333"/>
  <c r="B83" i="333"/>
  <c r="B82" i="333"/>
  <c r="B81" i="333"/>
  <c r="B76" i="333"/>
  <c r="B73" i="333"/>
  <c r="B72" i="333"/>
  <c r="B71" i="333"/>
  <c r="B70" i="333"/>
  <c r="B69" i="333"/>
  <c r="B68" i="333"/>
  <c r="B67" i="333"/>
  <c r="B66" i="333"/>
  <c r="B65" i="333"/>
  <c r="B64" i="333"/>
  <c r="B57" i="333"/>
  <c r="B56" i="333"/>
  <c r="B55" i="333"/>
  <c r="B53" i="333"/>
  <c r="B52" i="333"/>
  <c r="B51" i="333"/>
  <c r="B50" i="333"/>
  <c r="B49" i="333"/>
  <c r="B48" i="333"/>
  <c r="B47" i="333"/>
  <c r="B46" i="333"/>
  <c r="B45" i="333"/>
  <c r="B44" i="333"/>
  <c r="B43" i="333"/>
  <c r="B42" i="333"/>
  <c r="B41" i="333"/>
  <c r="B39" i="333"/>
  <c r="B38" i="333"/>
  <c r="B37" i="333"/>
  <c r="B34" i="333"/>
  <c r="B33" i="333"/>
  <c r="B32" i="333"/>
  <c r="B31" i="333"/>
  <c r="B30" i="333"/>
  <c r="B29" i="333"/>
  <c r="B28" i="333"/>
  <c r="B21" i="333"/>
  <c r="B20" i="333"/>
  <c r="B19" i="333"/>
  <c r="B18" i="333"/>
  <c r="B16" i="333"/>
  <c r="B15" i="333"/>
  <c r="B12" i="333"/>
  <c r="B14" i="333"/>
  <c r="B11" i="333"/>
  <c r="B10" i="333"/>
  <c r="B9" i="333"/>
  <c r="B7" i="333"/>
  <c r="B6" i="333"/>
  <c r="B5" i="333"/>
  <c r="B3" i="338"/>
  <c r="B2" i="337"/>
  <c r="B3" i="335"/>
  <c r="B3" i="334"/>
  <c r="B3" i="333"/>
  <c r="F193" i="335"/>
  <c r="G193" i="335"/>
  <c r="C193" i="335"/>
  <c r="E193" i="335"/>
  <c r="H193" i="335"/>
  <c r="K6" i="338" l="1"/>
  <c r="G21" i="338"/>
  <c r="G36" i="338" s="1"/>
  <c r="H6" i="338"/>
  <c r="D21" i="338"/>
  <c r="D36" i="338" s="1"/>
  <c r="I6" i="338"/>
  <c r="E21" i="338"/>
  <c r="E36" i="338" s="1"/>
  <c r="J6" i="338"/>
  <c r="F21" i="338"/>
  <c r="F36" i="338" s="1"/>
  <c r="B143" i="335"/>
  <c r="N6" i="338" l="1"/>
  <c r="J21" i="338"/>
  <c r="J36" i="338" s="1"/>
  <c r="L6" i="338"/>
  <c r="H21" i="338"/>
  <c r="H36" i="338" s="1"/>
  <c r="M6" i="338"/>
  <c r="I21" i="338"/>
  <c r="I36" i="338" s="1"/>
  <c r="O6" i="338"/>
  <c r="K21" i="338"/>
  <c r="K36" i="338" s="1"/>
  <c r="K1" i="334" l="1"/>
  <c r="F215" i="353"/>
  <c r="G215" i="353" s="1"/>
  <c r="F201" i="353"/>
  <c r="G201" i="353" s="1"/>
  <c r="F165" i="353"/>
  <c r="G165" i="353" s="1"/>
  <c r="F228" i="353"/>
  <c r="G228" i="353" s="1"/>
  <c r="F208" i="353"/>
  <c r="G208" i="353" s="1"/>
  <c r="O1" i="338"/>
  <c r="K1" i="333"/>
  <c r="M1" i="335"/>
  <c r="I4" i="333"/>
  <c r="J4" i="333" s="1"/>
  <c r="B57" i="349"/>
  <c r="F170" i="353"/>
  <c r="G170" i="353" s="1"/>
  <c r="U170" i="353" s="1"/>
  <c r="P126" i="353"/>
  <c r="Q126" i="353" s="1"/>
  <c r="K126" i="353"/>
  <c r="L126" i="353" s="1"/>
  <c r="K160" i="353"/>
  <c r="L160" i="353" s="1"/>
  <c r="F160" i="353"/>
  <c r="G160" i="353" s="1"/>
  <c r="F181" i="353"/>
  <c r="G181" i="353" s="1"/>
  <c r="F234" i="353"/>
  <c r="G234" i="353" s="1"/>
  <c r="F192" i="353"/>
  <c r="G192" i="353" s="1"/>
  <c r="F175" i="353"/>
  <c r="G175" i="353" s="1"/>
  <c r="K228" i="353"/>
  <c r="L228" i="353" s="1"/>
  <c r="F4" i="333"/>
  <c r="G4" i="333" s="1"/>
  <c r="C4" i="333"/>
  <c r="D4" i="333" s="1"/>
  <c r="F126" i="353"/>
  <c r="G126" i="353" s="1"/>
  <c r="K208" i="353"/>
  <c r="L208" i="353" s="1"/>
  <c r="F9" i="353"/>
  <c r="G9" i="353" s="1"/>
  <c r="P160" i="353"/>
  <c r="Q160" i="353" s="1"/>
  <c r="K201" i="353"/>
  <c r="L201" i="353" s="1"/>
  <c r="C57" i="349"/>
  <c r="B750" i="349"/>
  <c r="B715" i="349"/>
  <c r="C620" i="349"/>
  <c r="B620" i="349"/>
  <c r="B1102" i="349"/>
  <c r="B908" i="349"/>
  <c r="E1" i="337" s="1"/>
  <c r="C908" i="349"/>
  <c r="C855" i="349"/>
  <c r="B751" i="349"/>
  <c r="C749" i="349"/>
  <c r="B711" i="349"/>
  <c r="C748" i="349"/>
  <c r="B710" i="349"/>
  <c r="B752" i="349"/>
  <c r="B747" i="349"/>
  <c r="C750" i="349"/>
  <c r="B753" i="349"/>
  <c r="B707" i="349"/>
  <c r="F37" i="353"/>
  <c r="K37" i="353" s="1"/>
  <c r="F68" i="353"/>
  <c r="K68" i="353" s="1"/>
  <c r="K86" i="353" s="1"/>
  <c r="C747" i="349"/>
  <c r="C707" i="349"/>
  <c r="C751" i="349"/>
  <c r="B749" i="349"/>
  <c r="B855" i="349"/>
  <c r="F86" i="353"/>
  <c r="G86" i="353" s="1"/>
  <c r="C715" i="349"/>
  <c r="B700" i="349"/>
  <c r="C700" i="349"/>
  <c r="B748" i="349"/>
  <c r="C752" i="349"/>
  <c r="C710" i="349"/>
  <c r="C711" i="349"/>
  <c r="C1102" i="349"/>
  <c r="C753" i="349"/>
  <c r="I19" i="335"/>
  <c r="H19" i="335"/>
  <c r="J19" i="335"/>
  <c r="B145" i="335" l="1"/>
  <c r="G68" i="353"/>
  <c r="L68" i="353" s="1"/>
  <c r="L86" i="353" s="1"/>
  <c r="G37" i="353"/>
  <c r="L37" i="353" s="1"/>
  <c r="M182" i="335" l="1"/>
  <c r="H17" i="334"/>
  <c r="D13" i="338"/>
  <c r="F13" i="338" s="1"/>
  <c r="G13" i="338" s="1"/>
  <c r="C17" i="334"/>
  <c r="F73" i="353"/>
  <c r="E51" i="335"/>
  <c r="F203" i="353" s="1"/>
  <c r="C47" i="334"/>
  <c r="H47" i="334"/>
  <c r="C72" i="334"/>
  <c r="H72" i="334"/>
  <c r="I182" i="335"/>
  <c r="F179" i="335"/>
  <c r="J174" i="357" s="1"/>
  <c r="C80" i="334"/>
  <c r="K80" i="334"/>
  <c r="I92" i="334"/>
  <c r="K75" i="334"/>
  <c r="D56" i="334"/>
  <c r="M61" i="335"/>
  <c r="M82" i="335" s="1"/>
  <c r="H135" i="335"/>
  <c r="D25" i="338"/>
  <c r="F25" i="338" s="1"/>
  <c r="G25" i="338" s="1"/>
  <c r="K10" i="334"/>
  <c r="F22" i="335"/>
  <c r="C39" i="334"/>
  <c r="H39" i="334"/>
  <c r="F84" i="353"/>
  <c r="E159" i="335"/>
  <c r="H61" i="335"/>
  <c r="E54" i="335"/>
  <c r="F219" i="353" s="1"/>
  <c r="G134" i="335"/>
  <c r="E32" i="335"/>
  <c r="Q141" i="353"/>
  <c r="F77" i="353"/>
  <c r="D8" i="338"/>
  <c r="C7" i="334"/>
  <c r="H7" i="334"/>
  <c r="D71" i="333"/>
  <c r="F185" i="335"/>
  <c r="E58" i="335"/>
  <c r="H47" i="333"/>
  <c r="C47" i="333"/>
  <c r="K186" i="335"/>
  <c r="G88" i="335"/>
  <c r="M16" i="335"/>
  <c r="I74" i="334"/>
  <c r="K48" i="334"/>
  <c r="H19" i="334"/>
  <c r="C19" i="334"/>
  <c r="F74" i="353"/>
  <c r="D91" i="334"/>
  <c r="C23" i="334"/>
  <c r="F78" i="353"/>
  <c r="D14" i="338"/>
  <c r="H23" i="334"/>
  <c r="D68" i="334"/>
  <c r="G87" i="335"/>
  <c r="H73" i="333"/>
  <c r="F75" i="333"/>
  <c r="C73" i="333"/>
  <c r="G81" i="353"/>
  <c r="D9" i="334"/>
  <c r="D77" i="334"/>
  <c r="G162" i="353"/>
  <c r="F143" i="335"/>
  <c r="K37" i="333"/>
  <c r="K145" i="353"/>
  <c r="E91" i="335"/>
  <c r="D26" i="333"/>
  <c r="G44" i="353"/>
  <c r="F176" i="335"/>
  <c r="H83" i="334"/>
  <c r="C83" i="334"/>
  <c r="D72" i="333"/>
  <c r="K58" i="334"/>
  <c r="H47" i="338"/>
  <c r="E39" i="338"/>
  <c r="G186" i="353"/>
  <c r="E165" i="335"/>
  <c r="D79" i="333"/>
  <c r="D55" i="333"/>
  <c r="F142" i="335"/>
  <c r="G119" i="353" s="1"/>
  <c r="K140" i="353"/>
  <c r="E94" i="335"/>
  <c r="E93" i="335" s="1"/>
  <c r="D93" i="335" s="1"/>
  <c r="O93" i="335" s="1"/>
  <c r="F51" i="335"/>
  <c r="G203" i="353" s="1"/>
  <c r="K27" i="333"/>
  <c r="G94" i="335"/>
  <c r="H37" i="334"/>
  <c r="C37" i="334"/>
  <c r="E46" i="338"/>
  <c r="G197" i="353"/>
  <c r="K6" i="333"/>
  <c r="Q140" i="353"/>
  <c r="E37" i="335"/>
  <c r="M151" i="335"/>
  <c r="M152" i="335" s="1"/>
  <c r="K70" i="334"/>
  <c r="K22" i="334"/>
  <c r="G137" i="335"/>
  <c r="F230" i="353"/>
  <c r="K124" i="357"/>
  <c r="G187" i="353"/>
  <c r="L139" i="353"/>
  <c r="F88" i="335"/>
  <c r="E43" i="338"/>
  <c r="G56" i="335"/>
  <c r="D32" i="333"/>
  <c r="I88" i="357"/>
  <c r="I36" i="357"/>
  <c r="F195" i="353"/>
  <c r="H50" i="334"/>
  <c r="M35" i="333"/>
  <c r="I210" i="357"/>
  <c r="C50" i="334"/>
  <c r="C34" i="333"/>
  <c r="F56" i="353"/>
  <c r="H34" i="333"/>
  <c r="C75" i="334"/>
  <c r="H75" i="334"/>
  <c r="F121" i="353"/>
  <c r="F92" i="334"/>
  <c r="K40" i="334"/>
  <c r="K15" i="333"/>
  <c r="L45" i="335"/>
  <c r="L78" i="335" s="1"/>
  <c r="Q133" i="353" s="1"/>
  <c r="E40" i="338"/>
  <c r="D18" i="334"/>
  <c r="C71" i="334"/>
  <c r="F105" i="353"/>
  <c r="H71" i="334"/>
  <c r="K11" i="334"/>
  <c r="C18" i="334"/>
  <c r="H18" i="334"/>
  <c r="D25" i="333"/>
  <c r="H51" i="334"/>
  <c r="F94" i="353"/>
  <c r="C51" i="334"/>
  <c r="G60" i="353"/>
  <c r="D41" i="333"/>
  <c r="D83" i="333"/>
  <c r="G99" i="335"/>
  <c r="G155" i="335"/>
  <c r="G41" i="353"/>
  <c r="D12" i="333"/>
  <c r="F178" i="335"/>
  <c r="I206" i="357"/>
  <c r="C54" i="334"/>
  <c r="F103" i="353"/>
  <c r="H54" i="334"/>
  <c r="F163" i="335"/>
  <c r="D69" i="334"/>
  <c r="K85" i="334"/>
  <c r="K85" i="333"/>
  <c r="H73" i="334"/>
  <c r="C73" i="334"/>
  <c r="G43" i="335"/>
  <c r="G93" i="335"/>
  <c r="K93" i="357"/>
  <c r="D19" i="333"/>
  <c r="G48" i="353"/>
  <c r="G224" i="353" s="1"/>
  <c r="J101" i="357"/>
  <c r="I44" i="338"/>
  <c r="K91" i="334"/>
  <c r="K68" i="335"/>
  <c r="E96" i="335"/>
  <c r="K148" i="353"/>
  <c r="F197" i="353"/>
  <c r="F39" i="335"/>
  <c r="G28" i="334"/>
  <c r="H7" i="338"/>
  <c r="J7" i="338" s="1"/>
  <c r="K7" i="338" s="1"/>
  <c r="D6" i="334"/>
  <c r="G75" i="353"/>
  <c r="P152" i="353"/>
  <c r="K139" i="335"/>
  <c r="F150" i="335"/>
  <c r="K29" i="333"/>
  <c r="J163" i="335"/>
  <c r="G162" i="335"/>
  <c r="C45" i="333"/>
  <c r="K45" i="333"/>
  <c r="D73" i="333"/>
  <c r="I120" i="357"/>
  <c r="K88" i="334"/>
  <c r="E169" i="335"/>
  <c r="K37" i="334"/>
  <c r="H11" i="338"/>
  <c r="J11" i="338" s="1"/>
  <c r="K11" i="338" s="1"/>
  <c r="D13" i="334"/>
  <c r="K47" i="334"/>
  <c r="Q144" i="353"/>
  <c r="F196" i="353"/>
  <c r="G25" i="335"/>
  <c r="K42" i="333"/>
  <c r="I43" i="333"/>
  <c r="H59" i="334"/>
  <c r="C59" i="334"/>
  <c r="D62" i="334"/>
  <c r="I164" i="357"/>
  <c r="I169" i="357" s="1"/>
  <c r="M169" i="357" s="1"/>
  <c r="G92" i="335"/>
  <c r="C77" i="334"/>
  <c r="F162" i="353"/>
  <c r="H77" i="334"/>
  <c r="E143" i="335"/>
  <c r="E48" i="338"/>
  <c r="E35" i="335"/>
  <c r="I202" i="357"/>
  <c r="M202" i="357" s="1"/>
  <c r="F198" i="353"/>
  <c r="E86" i="335"/>
  <c r="K138" i="353"/>
  <c r="H100" i="335"/>
  <c r="K60" i="334"/>
  <c r="K144" i="353"/>
  <c r="E89" i="335"/>
  <c r="K19" i="333"/>
  <c r="H38" i="333"/>
  <c r="F55" i="353"/>
  <c r="C38" i="333"/>
  <c r="G26" i="335"/>
  <c r="G180" i="335"/>
  <c r="H44" i="333"/>
  <c r="F63" i="353"/>
  <c r="F49" i="333"/>
  <c r="C44" i="333"/>
  <c r="E40" i="335"/>
  <c r="H17" i="333"/>
  <c r="C17" i="333"/>
  <c r="H69" i="333"/>
  <c r="F31" i="353"/>
  <c r="C69" i="333"/>
  <c r="E13" i="335"/>
  <c r="D13" i="335" s="1"/>
  <c r="O13" i="335" s="1"/>
  <c r="J177" i="357"/>
  <c r="H26" i="334"/>
  <c r="C26" i="334"/>
  <c r="F71" i="353"/>
  <c r="D8" i="334"/>
  <c r="H9" i="338"/>
  <c r="K9" i="334"/>
  <c r="K116" i="357"/>
  <c r="D15" i="334"/>
  <c r="G79" i="353"/>
  <c r="C8" i="334"/>
  <c r="H8" i="334"/>
  <c r="D9" i="338"/>
  <c r="K67" i="334"/>
  <c r="K82" i="334"/>
  <c r="G39" i="335"/>
  <c r="F12" i="335"/>
  <c r="G30" i="353"/>
  <c r="D67" i="333"/>
  <c r="E41" i="335"/>
  <c r="E26" i="335"/>
  <c r="G121" i="353"/>
  <c r="G92" i="334"/>
  <c r="D75" i="334"/>
  <c r="C28" i="333"/>
  <c r="F50" i="353"/>
  <c r="H28" i="333"/>
  <c r="D24" i="338"/>
  <c r="F24" i="338" s="1"/>
  <c r="G24" i="338" s="1"/>
  <c r="K8" i="334"/>
  <c r="E31" i="335"/>
  <c r="K26" i="334"/>
  <c r="F123" i="353"/>
  <c r="C46" i="334"/>
  <c r="H46" i="334"/>
  <c r="Q149" i="353"/>
  <c r="G231" i="353"/>
  <c r="G184" i="353"/>
  <c r="E185" i="335"/>
  <c r="I86" i="357"/>
  <c r="G58" i="335"/>
  <c r="H33" i="335"/>
  <c r="E30" i="335"/>
  <c r="E180" i="335"/>
  <c r="D21" i="334"/>
  <c r="G76" i="353"/>
  <c r="K79" i="333"/>
  <c r="K5" i="334"/>
  <c r="K52" i="334"/>
  <c r="G181" i="335"/>
  <c r="H23" i="333"/>
  <c r="C23" i="333"/>
  <c r="I68" i="335"/>
  <c r="F64" i="335"/>
  <c r="G210" i="353" s="1"/>
  <c r="C18" i="333"/>
  <c r="H18" i="333"/>
  <c r="D47" i="334"/>
  <c r="G91" i="335"/>
  <c r="L61" i="335"/>
  <c r="L82" i="335" s="1"/>
  <c r="Q134" i="353" s="1"/>
  <c r="H53" i="334"/>
  <c r="C53" i="334"/>
  <c r="F97" i="353"/>
  <c r="F29" i="353"/>
  <c r="C65" i="333"/>
  <c r="H65" i="333"/>
  <c r="E11" i="335"/>
  <c r="D11" i="335" s="1"/>
  <c r="O11" i="335" s="1"/>
  <c r="H58" i="334"/>
  <c r="C58" i="334"/>
  <c r="G36" i="335"/>
  <c r="F180" i="335"/>
  <c r="G157" i="335"/>
  <c r="G14" i="335"/>
  <c r="F184" i="335"/>
  <c r="D36" i="334"/>
  <c r="H8" i="333"/>
  <c r="C8" i="333"/>
  <c r="G198" i="353"/>
  <c r="K36" i="334"/>
  <c r="C36" i="334"/>
  <c r="D10" i="338"/>
  <c r="D40" i="338" s="1"/>
  <c r="C10" i="334"/>
  <c r="H10" i="334"/>
  <c r="K19" i="334"/>
  <c r="I76" i="357"/>
  <c r="K40" i="333"/>
  <c r="F189" i="353"/>
  <c r="M100" i="335"/>
  <c r="H12" i="338"/>
  <c r="J12" i="338" s="1"/>
  <c r="K12" i="338" s="1"/>
  <c r="D16" i="334"/>
  <c r="G71" i="353"/>
  <c r="D26" i="334"/>
  <c r="G35" i="335"/>
  <c r="H16" i="334"/>
  <c r="C16" i="334"/>
  <c r="D12" i="338"/>
  <c r="F12" i="338" s="1"/>
  <c r="G12" i="338" s="1"/>
  <c r="K50" i="334"/>
  <c r="G51" i="335"/>
  <c r="C82" i="334"/>
  <c r="H82" i="334"/>
  <c r="H6" i="334"/>
  <c r="C6" i="334"/>
  <c r="F28" i="334"/>
  <c r="F75" i="353"/>
  <c r="D7" i="338"/>
  <c r="K32" i="334"/>
  <c r="E170" i="335"/>
  <c r="F16" i="353" s="1"/>
  <c r="F41" i="335"/>
  <c r="D80" i="333"/>
  <c r="C46" i="333"/>
  <c r="E57" i="335"/>
  <c r="H46" i="333"/>
  <c r="C21" i="334"/>
  <c r="H21" i="334"/>
  <c r="F76" i="353"/>
  <c r="F97" i="335"/>
  <c r="L150" i="353"/>
  <c r="D65" i="334"/>
  <c r="G11" i="335"/>
  <c r="H26" i="338"/>
  <c r="J26" i="338" s="1"/>
  <c r="K26" i="338" s="1"/>
  <c r="G67" i="335"/>
  <c r="J210" i="357"/>
  <c r="D50" i="334"/>
  <c r="G230" i="353"/>
  <c r="H48" i="334"/>
  <c r="E134" i="335"/>
  <c r="F74" i="334"/>
  <c r="F93" i="334" s="1"/>
  <c r="C48" i="334"/>
  <c r="C87" i="333"/>
  <c r="K87" i="333"/>
  <c r="I16" i="335"/>
  <c r="H51" i="333"/>
  <c r="F61" i="353"/>
  <c r="E122" i="335"/>
  <c r="C51" i="333"/>
  <c r="F56" i="333"/>
  <c r="J93" i="357"/>
  <c r="K65" i="333"/>
  <c r="E37" i="338"/>
  <c r="E19" i="338"/>
  <c r="G15" i="335"/>
  <c r="M178" i="335"/>
  <c r="E176" i="335"/>
  <c r="D176" i="335" s="1"/>
  <c r="O176" i="335" s="1"/>
  <c r="C26" i="333"/>
  <c r="H26" i="333"/>
  <c r="F44" i="353"/>
  <c r="K32" i="333"/>
  <c r="G142" i="335"/>
  <c r="E47" i="338"/>
  <c r="F17" i="338"/>
  <c r="G17" i="338" s="1"/>
  <c r="K90" i="334"/>
  <c r="K71" i="333"/>
  <c r="J100" i="335"/>
  <c r="G86" i="335"/>
  <c r="F80" i="353"/>
  <c r="C25" i="334"/>
  <c r="H25" i="334"/>
  <c r="D16" i="338"/>
  <c r="F159" i="335"/>
  <c r="L148" i="353"/>
  <c r="F96" i="335"/>
  <c r="K66" i="334"/>
  <c r="K84" i="334"/>
  <c r="D51" i="334"/>
  <c r="G94" i="353"/>
  <c r="I34" i="338"/>
  <c r="H84" i="333"/>
  <c r="C84" i="333"/>
  <c r="L149" i="353"/>
  <c r="F98" i="335"/>
  <c r="G177" i="335"/>
  <c r="F55" i="335"/>
  <c r="G220" i="353" s="1"/>
  <c r="K36" i="357"/>
  <c r="K88" i="357"/>
  <c r="K86" i="357" s="1"/>
  <c r="I39" i="338"/>
  <c r="J9" i="338"/>
  <c r="K9" i="338" s="1"/>
  <c r="G104" i="353"/>
  <c r="D67" i="334"/>
  <c r="E156" i="335"/>
  <c r="F109" i="353" s="1"/>
  <c r="D45" i="333"/>
  <c r="H71" i="333"/>
  <c r="C71" i="333"/>
  <c r="C55" i="333"/>
  <c r="H55" i="333"/>
  <c r="M55" i="333"/>
  <c r="E142" i="335"/>
  <c r="D63" i="334"/>
  <c r="E99" i="335"/>
  <c r="K147" i="353"/>
  <c r="D71" i="334"/>
  <c r="G105" i="353"/>
  <c r="F90" i="335"/>
  <c r="H16" i="338"/>
  <c r="J16" i="338" s="1"/>
  <c r="K16" i="338" s="1"/>
  <c r="G80" i="353"/>
  <c r="D25" i="334"/>
  <c r="F95" i="335"/>
  <c r="L141" i="353"/>
  <c r="C9" i="334"/>
  <c r="H9" i="334"/>
  <c r="F81" i="353"/>
  <c r="F54" i="353"/>
  <c r="C37" i="333"/>
  <c r="H37" i="333"/>
  <c r="K69" i="333"/>
  <c r="G123" i="353"/>
  <c r="D46" i="334"/>
  <c r="H91" i="334"/>
  <c r="C91" i="334"/>
  <c r="K5" i="333"/>
  <c r="I7" i="333"/>
  <c r="H19" i="333"/>
  <c r="F48" i="353"/>
  <c r="C19" i="333"/>
  <c r="F242" i="353"/>
  <c r="D20" i="333"/>
  <c r="G225" i="353"/>
  <c r="K109" i="357"/>
  <c r="F66" i="335"/>
  <c r="G212" i="353" s="1"/>
  <c r="C88" i="334"/>
  <c r="H88" i="334"/>
  <c r="F165" i="335"/>
  <c r="D57" i="334"/>
  <c r="K34" i="334"/>
  <c r="G82" i="353"/>
  <c r="D89" i="334"/>
  <c r="F91" i="335"/>
  <c r="L145" i="353"/>
  <c r="P138" i="353"/>
  <c r="K100" i="335"/>
  <c r="G90" i="335"/>
  <c r="K16" i="335"/>
  <c r="F241" i="353"/>
  <c r="H15" i="338"/>
  <c r="J15" i="338" s="1"/>
  <c r="K15" i="338" s="1"/>
  <c r="D24" i="334"/>
  <c r="H79" i="334"/>
  <c r="C79" i="334"/>
  <c r="F56" i="335"/>
  <c r="G221" i="353" s="1"/>
  <c r="H67" i="334"/>
  <c r="C67" i="334"/>
  <c r="F104" i="353"/>
  <c r="L182" i="335"/>
  <c r="F155" i="335"/>
  <c r="G195" i="353"/>
  <c r="J36" i="357"/>
  <c r="J88" i="357"/>
  <c r="E67" i="335"/>
  <c r="F87" i="335"/>
  <c r="F162" i="335"/>
  <c r="G114" i="353" s="1"/>
  <c r="D31" i="333"/>
  <c r="G52" i="353"/>
  <c r="H66" i="334"/>
  <c r="F102" i="353"/>
  <c r="C66" i="334"/>
  <c r="L49" i="335"/>
  <c r="G183" i="335"/>
  <c r="G55" i="353"/>
  <c r="D38" i="333"/>
  <c r="J33" i="335"/>
  <c r="G30" i="335"/>
  <c r="D27" i="338"/>
  <c r="F27" i="338" s="1"/>
  <c r="G27" i="338" s="1"/>
  <c r="K16" i="334"/>
  <c r="P148" i="353"/>
  <c r="F243" i="353"/>
  <c r="I242" i="357"/>
  <c r="H59" i="333"/>
  <c r="C59" i="333"/>
  <c r="F52" i="335"/>
  <c r="G204" i="353" s="1"/>
  <c r="E161" i="335"/>
  <c r="F113" i="353" s="1"/>
  <c r="H61" i="333"/>
  <c r="F27" i="353"/>
  <c r="C61" i="333"/>
  <c r="P149" i="353"/>
  <c r="L142" i="353"/>
  <c r="F183" i="353"/>
  <c r="F145" i="335"/>
  <c r="L144" i="353"/>
  <c r="F89" i="335"/>
  <c r="H27" i="334"/>
  <c r="C27" i="334"/>
  <c r="D42" i="333"/>
  <c r="E172" i="335"/>
  <c r="F18" i="353" s="1"/>
  <c r="K44" i="333"/>
  <c r="I49" i="333"/>
  <c r="I97" i="357"/>
  <c r="H25" i="338"/>
  <c r="J25" i="338" s="1"/>
  <c r="K25" i="338" s="1"/>
  <c r="H68" i="334"/>
  <c r="C68" i="334"/>
  <c r="E68" i="334" s="1"/>
  <c r="K34" i="333"/>
  <c r="D24" i="333"/>
  <c r="G42" i="353"/>
  <c r="H22" i="338"/>
  <c r="J22" i="338" s="1"/>
  <c r="K22" i="338" s="1"/>
  <c r="J28" i="334"/>
  <c r="J30" i="334" s="1"/>
  <c r="K53" i="333"/>
  <c r="I52" i="333"/>
  <c r="C76" i="334"/>
  <c r="F122" i="353"/>
  <c r="H76" i="334"/>
  <c r="C11" i="334"/>
  <c r="H11" i="334"/>
  <c r="F59" i="335"/>
  <c r="D61" i="333"/>
  <c r="G27" i="353"/>
  <c r="G145" i="335"/>
  <c r="K35" i="334"/>
  <c r="M135" i="335"/>
  <c r="G73" i="353"/>
  <c r="D17" i="334"/>
  <c r="H13" i="338"/>
  <c r="Q139" i="353"/>
  <c r="H182" i="335"/>
  <c r="E179" i="335"/>
  <c r="I174" i="357" s="1"/>
  <c r="H54" i="333"/>
  <c r="C54" i="333"/>
  <c r="I38" i="338"/>
  <c r="G42" i="335"/>
  <c r="K35" i="333"/>
  <c r="D18" i="333"/>
  <c r="D47" i="338"/>
  <c r="J32" i="338"/>
  <c r="K32" i="338" s="1"/>
  <c r="I151" i="335"/>
  <c r="G58" i="353"/>
  <c r="D40" i="333"/>
  <c r="K54" i="334"/>
  <c r="K65" i="334"/>
  <c r="C65" i="334"/>
  <c r="L135" i="335"/>
  <c r="G95" i="335"/>
  <c r="M49" i="335"/>
  <c r="H79" i="333"/>
  <c r="C79" i="333"/>
  <c r="G91" i="353"/>
  <c r="D49" i="334"/>
  <c r="K50" i="357"/>
  <c r="E41" i="338"/>
  <c r="H28" i="338"/>
  <c r="J28" i="338" s="1"/>
  <c r="K28" i="338" s="1"/>
  <c r="E25" i="335"/>
  <c r="F36" i="335"/>
  <c r="G138" i="335"/>
  <c r="G59" i="335"/>
  <c r="H78" i="333"/>
  <c r="C78" i="333"/>
  <c r="G242" i="353"/>
  <c r="K24" i="334"/>
  <c r="D30" i="338"/>
  <c r="F30" i="338" s="1"/>
  <c r="G30" i="338" s="1"/>
  <c r="L151" i="335"/>
  <c r="L152" i="335" s="1"/>
  <c r="D60" i="334"/>
  <c r="E56" i="335"/>
  <c r="F221" i="353" s="1"/>
  <c r="K33" i="334"/>
  <c r="H29" i="338"/>
  <c r="J29" i="338" s="1"/>
  <c r="K29" i="338" s="1"/>
  <c r="G140" i="335"/>
  <c r="J151" i="335"/>
  <c r="G122" i="353"/>
  <c r="D76" i="334"/>
  <c r="C76" i="333"/>
  <c r="F81" i="333"/>
  <c r="H76" i="333"/>
  <c r="K62" i="333"/>
  <c r="K74" i="333"/>
  <c r="D31" i="338"/>
  <c r="F31" i="338" s="1"/>
  <c r="G31" i="338" s="1"/>
  <c r="K25" i="334"/>
  <c r="J97" i="357"/>
  <c r="D74" i="333"/>
  <c r="G40" i="335"/>
  <c r="E64" i="335"/>
  <c r="F210" i="353" s="1"/>
  <c r="H68" i="335"/>
  <c r="E68" i="335" s="1"/>
  <c r="F171" i="335"/>
  <c r="G17" i="353" s="1"/>
  <c r="K12" i="334"/>
  <c r="F232" i="353"/>
  <c r="G106" i="353"/>
  <c r="D70" i="334"/>
  <c r="F43" i="335"/>
  <c r="J38" i="334"/>
  <c r="K142" i="353"/>
  <c r="G158" i="335"/>
  <c r="J164" i="357"/>
  <c r="J169" i="357" s="1"/>
  <c r="K81" i="334"/>
  <c r="E141" i="335"/>
  <c r="F120" i="353" s="1"/>
  <c r="C52" i="334"/>
  <c r="F96" i="353"/>
  <c r="H52" i="334"/>
  <c r="M27" i="335"/>
  <c r="M74" i="335" s="1"/>
  <c r="J76" i="357"/>
  <c r="D39" i="334"/>
  <c r="G84" i="353"/>
  <c r="N8" i="338"/>
  <c r="O8" i="338" s="1"/>
  <c r="C20" i="333"/>
  <c r="H20" i="333"/>
  <c r="F225" i="353"/>
  <c r="D85" i="334"/>
  <c r="L33" i="335"/>
  <c r="K150" i="353"/>
  <c r="E97" i="335"/>
  <c r="K68" i="334"/>
  <c r="C84" i="334"/>
  <c r="H84" i="334"/>
  <c r="K39" i="333"/>
  <c r="K49" i="335"/>
  <c r="K46" i="333"/>
  <c r="C50" i="333"/>
  <c r="H50" i="333"/>
  <c r="F64" i="353"/>
  <c r="D68" i="333"/>
  <c r="D37" i="333"/>
  <c r="G54" i="353"/>
  <c r="D61" i="334"/>
  <c r="G100" i="353"/>
  <c r="G99" i="353" s="1"/>
  <c r="F238" i="353"/>
  <c r="I236" i="357"/>
  <c r="I235" i="357" s="1"/>
  <c r="E186" i="335"/>
  <c r="F47" i="353"/>
  <c r="H15" i="333"/>
  <c r="C15" i="333"/>
  <c r="F187" i="353"/>
  <c r="C81" i="334"/>
  <c r="H81" i="334"/>
  <c r="E181" i="335"/>
  <c r="D60" i="333"/>
  <c r="G25" i="353"/>
  <c r="C83" i="333"/>
  <c r="H83" i="333"/>
  <c r="F24" i="335"/>
  <c r="M36" i="333"/>
  <c r="C69" i="334"/>
  <c r="E163" i="335"/>
  <c r="H69" i="334"/>
  <c r="F35" i="335"/>
  <c r="J17" i="357"/>
  <c r="J15" i="357" s="1"/>
  <c r="J14" i="357" s="1"/>
  <c r="D22" i="334"/>
  <c r="L100" i="335"/>
  <c r="Q138" i="353"/>
  <c r="P146" i="353"/>
  <c r="H186" i="335"/>
  <c r="E183" i="335"/>
  <c r="I172" i="357" s="1"/>
  <c r="J112" i="357"/>
  <c r="I50" i="357"/>
  <c r="I17" i="357"/>
  <c r="I15" i="357" s="1"/>
  <c r="H29" i="333"/>
  <c r="C29" i="333"/>
  <c r="K9" i="333"/>
  <c r="K14" i="333"/>
  <c r="F65" i="335"/>
  <c r="G211" i="353" s="1"/>
  <c r="H53" i="333"/>
  <c r="C53" i="333"/>
  <c r="F52" i="333"/>
  <c r="E140" i="335"/>
  <c r="M45" i="335"/>
  <c r="M78" i="335" s="1"/>
  <c r="K46" i="334"/>
  <c r="I93" i="334"/>
  <c r="K26" i="333"/>
  <c r="C63" i="334"/>
  <c r="H63" i="334"/>
  <c r="F32" i="338"/>
  <c r="G32" i="338" s="1"/>
  <c r="I46" i="338"/>
  <c r="E87" i="335"/>
  <c r="E24" i="335"/>
  <c r="G184" i="335"/>
  <c r="H178" i="335"/>
  <c r="H187" i="335" s="1"/>
  <c r="E175" i="335"/>
  <c r="H30" i="338"/>
  <c r="J30" i="338" s="1"/>
  <c r="K30" i="338" s="1"/>
  <c r="D86" i="334"/>
  <c r="I45" i="338"/>
  <c r="K73" i="334"/>
  <c r="M33" i="335"/>
  <c r="K31" i="333"/>
  <c r="I16" i="333"/>
  <c r="K12" i="333"/>
  <c r="G239" i="353"/>
  <c r="D34" i="333"/>
  <c r="G56" i="353"/>
  <c r="N9" i="338"/>
  <c r="O9" i="338" s="1"/>
  <c r="G22" i="335"/>
  <c r="K47" i="333"/>
  <c r="G10" i="335"/>
  <c r="J16" i="335"/>
  <c r="G156" i="335"/>
  <c r="I47" i="338"/>
  <c r="J17" i="338"/>
  <c r="K17" i="338" s="1"/>
  <c r="C89" i="334"/>
  <c r="F82" i="353"/>
  <c r="H89" i="334"/>
  <c r="C12" i="334"/>
  <c r="H12" i="334"/>
  <c r="F57" i="335"/>
  <c r="G222" i="353" s="1"/>
  <c r="D46" i="333"/>
  <c r="C60" i="334"/>
  <c r="H60" i="334"/>
  <c r="G32" i="335"/>
  <c r="H57" i="334"/>
  <c r="C57" i="334"/>
  <c r="I93" i="357"/>
  <c r="F43" i="333"/>
  <c r="C42" i="333"/>
  <c r="H42" i="333"/>
  <c r="D26" i="338"/>
  <c r="F26" i="338" s="1"/>
  <c r="G26" i="338" s="1"/>
  <c r="K13" i="334"/>
  <c r="I109" i="357"/>
  <c r="J236" i="357"/>
  <c r="J235" i="357" s="1"/>
  <c r="G238" i="353"/>
  <c r="F188" i="353"/>
  <c r="H62" i="334"/>
  <c r="C62" i="334"/>
  <c r="D40" i="334"/>
  <c r="I26" i="357"/>
  <c r="I24" i="357" s="1"/>
  <c r="G66" i="335"/>
  <c r="G185" i="335"/>
  <c r="D32" i="334"/>
  <c r="D28" i="333"/>
  <c r="G50" i="353"/>
  <c r="F157" i="335"/>
  <c r="G111" i="353" s="1"/>
  <c r="L139" i="335"/>
  <c r="Q152" i="353"/>
  <c r="E158" i="335"/>
  <c r="F110" i="353" s="1"/>
  <c r="C22" i="334"/>
  <c r="H22" i="334"/>
  <c r="H85" i="333"/>
  <c r="C85" i="333"/>
  <c r="J109" i="357"/>
  <c r="K20" i="333"/>
  <c r="C67" i="333"/>
  <c r="H67" i="333"/>
  <c r="F30" i="353"/>
  <c r="E12" i="335"/>
  <c r="D12" i="335" s="1"/>
  <c r="O12" i="335" s="1"/>
  <c r="K24" i="333"/>
  <c r="G21" i="335"/>
  <c r="J27" i="335"/>
  <c r="D5" i="334"/>
  <c r="E129" i="335"/>
  <c r="C55" i="334"/>
  <c r="H55" i="334"/>
  <c r="I43" i="338"/>
  <c r="D55" i="334"/>
  <c r="G34" i="335"/>
  <c r="J45" i="335"/>
  <c r="D6" i="333"/>
  <c r="G62" i="353"/>
  <c r="M163" i="335"/>
  <c r="G102" i="353"/>
  <c r="D66" i="334"/>
  <c r="G24" i="335"/>
  <c r="I178" i="335"/>
  <c r="F175" i="335"/>
  <c r="F30" i="335"/>
  <c r="I33" i="335"/>
  <c r="G37" i="335"/>
  <c r="F32" i="335"/>
  <c r="J116" i="357"/>
  <c r="F186" i="335"/>
  <c r="G47" i="353"/>
  <c r="D15" i="333"/>
  <c r="D78" i="333"/>
  <c r="D31" i="334"/>
  <c r="G38" i="334"/>
  <c r="I40" i="338"/>
  <c r="G150" i="335"/>
  <c r="F40" i="335"/>
  <c r="J178" i="335"/>
  <c r="G175" i="335"/>
  <c r="J124" i="357"/>
  <c r="G183" i="353"/>
  <c r="G154" i="335"/>
  <c r="C25" i="333"/>
  <c r="E25" i="333" s="1"/>
  <c r="H25" i="333"/>
  <c r="F186" i="353"/>
  <c r="G89" i="335"/>
  <c r="C35" i="333"/>
  <c r="H35" i="333"/>
  <c r="F51" i="353"/>
  <c r="G55" i="335"/>
  <c r="H13" i="333"/>
  <c r="C13" i="333"/>
  <c r="K45" i="335"/>
  <c r="K78" i="335" s="1"/>
  <c r="P133" i="353" s="1"/>
  <c r="K83" i="334"/>
  <c r="K78" i="334"/>
  <c r="H80" i="333"/>
  <c r="C80" i="333"/>
  <c r="F86" i="335"/>
  <c r="I100" i="335"/>
  <c r="L138" i="353"/>
  <c r="F11" i="335"/>
  <c r="G29" i="353"/>
  <c r="D65" i="333"/>
  <c r="F58" i="335"/>
  <c r="G223" i="353" s="1"/>
  <c r="D47" i="333"/>
  <c r="K84" i="333"/>
  <c r="D90" i="334"/>
  <c r="H14" i="334"/>
  <c r="C14" i="334"/>
  <c r="H86" i="334"/>
  <c r="C86" i="334"/>
  <c r="D59" i="334"/>
  <c r="G38" i="335"/>
  <c r="G54" i="335"/>
  <c r="J61" i="335"/>
  <c r="G182" i="353"/>
  <c r="L178" i="335"/>
  <c r="C63" i="333"/>
  <c r="F28" i="353"/>
  <c r="H63" i="333"/>
  <c r="P147" i="353"/>
  <c r="H66" i="333"/>
  <c r="C66" i="333"/>
  <c r="K151" i="335"/>
  <c r="K152" i="335" s="1"/>
  <c r="F58" i="353"/>
  <c r="C40" i="333"/>
  <c r="H40" i="333"/>
  <c r="F161" i="335"/>
  <c r="G113" i="353" s="1"/>
  <c r="E168" i="335"/>
  <c r="F14" i="353" s="1"/>
  <c r="D62" i="333"/>
  <c r="G24" i="353"/>
  <c r="F240" i="353"/>
  <c r="J92" i="334"/>
  <c r="H11" i="333"/>
  <c r="C11" i="333"/>
  <c r="F34" i="353"/>
  <c r="D33" i="334"/>
  <c r="I139" i="357"/>
  <c r="I142" i="357" s="1"/>
  <c r="M142" i="357" s="1"/>
  <c r="E52" i="335"/>
  <c r="F204" i="353" s="1"/>
  <c r="J151" i="357"/>
  <c r="F239" i="353"/>
  <c r="K20" i="334"/>
  <c r="E38" i="338"/>
  <c r="F8" i="338"/>
  <c r="G8" i="338" s="1"/>
  <c r="K141" i="353"/>
  <c r="E95" i="335"/>
  <c r="F23" i="335"/>
  <c r="Q150" i="353"/>
  <c r="G48" i="335"/>
  <c r="J49" i="335"/>
  <c r="N13" i="338"/>
  <c r="O13" i="338" s="1"/>
  <c r="G168" i="335"/>
  <c r="D8" i="333"/>
  <c r="D78" i="334"/>
  <c r="G163" i="353"/>
  <c r="E42" i="338"/>
  <c r="C77" i="333"/>
  <c r="H77" i="333"/>
  <c r="D58" i="334"/>
  <c r="I151" i="357"/>
  <c r="K41" i="333"/>
  <c r="D54" i="333"/>
  <c r="H62" i="333"/>
  <c r="F24" i="353"/>
  <c r="C62" i="333"/>
  <c r="E171" i="335"/>
  <c r="F17" i="353" s="1"/>
  <c r="K72" i="333"/>
  <c r="C72" i="333"/>
  <c r="H27" i="338"/>
  <c r="J27" i="338" s="1"/>
  <c r="K27" i="338" s="1"/>
  <c r="P144" i="353"/>
  <c r="I8" i="357"/>
  <c r="I6" i="357" s="1"/>
  <c r="I5" i="357" s="1"/>
  <c r="D69" i="333"/>
  <c r="G31" i="353"/>
  <c r="F13" i="335"/>
  <c r="K80" i="333"/>
  <c r="D85" i="333"/>
  <c r="E90" i="335"/>
  <c r="K67" i="333"/>
  <c r="E44" i="338"/>
  <c r="F14" i="338"/>
  <c r="G14" i="338" s="1"/>
  <c r="C30" i="333"/>
  <c r="H30" i="333"/>
  <c r="P140" i="353"/>
  <c r="E36" i="335"/>
  <c r="G13" i="335"/>
  <c r="G98" i="335"/>
  <c r="C29" i="334"/>
  <c r="K29" i="334"/>
  <c r="D33" i="338"/>
  <c r="D48" i="338" s="1"/>
  <c r="G12" i="335"/>
  <c r="F26" i="353"/>
  <c r="H58" i="333"/>
  <c r="C58" i="333"/>
  <c r="F64" i="333"/>
  <c r="C90" i="334"/>
  <c r="H90" i="334"/>
  <c r="N14" i="338"/>
  <c r="O14" i="338" s="1"/>
  <c r="E65" i="335"/>
  <c r="F211" i="353" s="1"/>
  <c r="D76" i="333"/>
  <c r="D7" i="334"/>
  <c r="G77" i="353"/>
  <c r="H8" i="338"/>
  <c r="E42" i="335"/>
  <c r="K18" i="333"/>
  <c r="P142" i="353"/>
  <c r="H40" i="334"/>
  <c r="C40" i="334"/>
  <c r="D63" i="333"/>
  <c r="G28" i="353"/>
  <c r="K76" i="333"/>
  <c r="I81" i="333"/>
  <c r="K81" i="333" s="1"/>
  <c r="I42" i="338"/>
  <c r="D28" i="338"/>
  <c r="F28" i="338" s="1"/>
  <c r="G28" i="338" s="1"/>
  <c r="K17" i="334"/>
  <c r="E55" i="335"/>
  <c r="F220" i="353" s="1"/>
  <c r="K48" i="333"/>
  <c r="K72" i="334"/>
  <c r="E184" i="335"/>
  <c r="H151" i="335"/>
  <c r="E151" i="335" s="1"/>
  <c r="F26" i="335"/>
  <c r="E160" i="335"/>
  <c r="F129" i="335"/>
  <c r="D82" i="334"/>
  <c r="K11" i="333"/>
  <c r="G241" i="353"/>
  <c r="G159" i="335"/>
  <c r="K28" i="333"/>
  <c r="D81" i="334"/>
  <c r="G53" i="353"/>
  <c r="D33" i="333"/>
  <c r="E43" i="335"/>
  <c r="D26" i="335" s="1"/>
  <c r="O26" i="335" s="1"/>
  <c r="D34" i="334"/>
  <c r="F31" i="335"/>
  <c r="D14" i="334"/>
  <c r="F79" i="353"/>
  <c r="C15" i="334"/>
  <c r="H15" i="334"/>
  <c r="I61" i="335"/>
  <c r="F54" i="335"/>
  <c r="G219" i="353" s="1"/>
  <c r="G218" i="353" s="1"/>
  <c r="F42" i="353"/>
  <c r="H24" i="333"/>
  <c r="C24" i="333"/>
  <c r="K149" i="353"/>
  <c r="E98" i="335"/>
  <c r="F160" i="335"/>
  <c r="D66" i="333"/>
  <c r="H33" i="334"/>
  <c r="C33" i="334"/>
  <c r="D52" i="334"/>
  <c r="F172" i="335"/>
  <c r="G18" i="353" s="1"/>
  <c r="E155" i="335"/>
  <c r="D155" i="335" s="1"/>
  <c r="O155" i="335" s="1"/>
  <c r="F46" i="353"/>
  <c r="H14" i="333"/>
  <c r="E182" i="335"/>
  <c r="C14" i="333"/>
  <c r="E23" i="335"/>
  <c r="H14" i="338"/>
  <c r="D23" i="334"/>
  <c r="G78" i="353"/>
  <c r="K61" i="357"/>
  <c r="H12" i="333"/>
  <c r="F41" i="353"/>
  <c r="F16" i="333"/>
  <c r="C12" i="333"/>
  <c r="E178" i="335"/>
  <c r="I61" i="357"/>
  <c r="L146" i="353"/>
  <c r="F92" i="335"/>
  <c r="H49" i="335"/>
  <c r="E48" i="335"/>
  <c r="F169" i="335"/>
  <c r="D11" i="333"/>
  <c r="G34" i="353"/>
  <c r="K86" i="334"/>
  <c r="G52" i="335"/>
  <c r="I101" i="357"/>
  <c r="D5" i="333"/>
  <c r="F173" i="335"/>
  <c r="K71" i="334"/>
  <c r="J50" i="357"/>
  <c r="K76" i="357"/>
  <c r="K61" i="333"/>
  <c r="K21" i="334"/>
  <c r="L68" i="335"/>
  <c r="Q147" i="353"/>
  <c r="J74" i="334"/>
  <c r="H85" i="334"/>
  <c r="C85" i="334"/>
  <c r="D79" i="334"/>
  <c r="L147" i="353"/>
  <c r="F99" i="335"/>
  <c r="N15" i="338"/>
  <c r="O15" i="338" s="1"/>
  <c r="F25" i="335"/>
  <c r="K178" i="335"/>
  <c r="F156" i="335"/>
  <c r="G109" i="353" s="1"/>
  <c r="C20" i="334"/>
  <c r="H20" i="334"/>
  <c r="C61" i="334"/>
  <c r="E61" i="334" s="1"/>
  <c r="F100" i="353"/>
  <c r="F99" i="353" s="1"/>
  <c r="H61" i="334"/>
  <c r="H36" i="333"/>
  <c r="C36" i="333"/>
  <c r="F59" i="353"/>
  <c r="F140" i="335"/>
  <c r="G117" i="353" s="1"/>
  <c r="D53" i="333"/>
  <c r="N16" i="338"/>
  <c r="O16" i="338" s="1"/>
  <c r="G7" i="335"/>
  <c r="Q142" i="353"/>
  <c r="I124" i="357"/>
  <c r="K17" i="357"/>
  <c r="K15" i="357" s="1"/>
  <c r="K14" i="357" s="1"/>
  <c r="H45" i="335"/>
  <c r="E34" i="335"/>
  <c r="F183" i="335"/>
  <c r="J172" i="357" s="1"/>
  <c r="D29" i="338"/>
  <c r="F29" i="338" s="1"/>
  <c r="G29" i="338" s="1"/>
  <c r="K23" i="334"/>
  <c r="E157" i="335"/>
  <c r="F111" i="353" s="1"/>
  <c r="D80" i="334"/>
  <c r="G60" i="335"/>
  <c r="D72" i="334"/>
  <c r="C87" i="334"/>
  <c r="H87" i="334"/>
  <c r="G161" i="335"/>
  <c r="K27" i="334"/>
  <c r="F21" i="335"/>
  <c r="I27" i="335"/>
  <c r="F42" i="335"/>
  <c r="K38" i="333"/>
  <c r="G243" i="353"/>
  <c r="D59" i="333"/>
  <c r="J242" i="357"/>
  <c r="E92" i="335"/>
  <c r="K146" i="353"/>
  <c r="K15" i="334"/>
  <c r="K87" i="334"/>
  <c r="D77" i="333"/>
  <c r="G44" i="335"/>
  <c r="I45" i="335"/>
  <c r="F34" i="335"/>
  <c r="Q146" i="353"/>
  <c r="E38" i="335"/>
  <c r="K97" i="357"/>
  <c r="L16" i="335"/>
  <c r="D54" i="334"/>
  <c r="J206" i="357"/>
  <c r="G103" i="353"/>
  <c r="J8" i="357"/>
  <c r="J6" i="357" s="1"/>
  <c r="J5" i="357" s="1"/>
  <c r="G64" i="335"/>
  <c r="J68" i="335"/>
  <c r="I177" i="357"/>
  <c r="G165" i="335"/>
  <c r="F37" i="335"/>
  <c r="K77" i="334"/>
  <c r="D27" i="334"/>
  <c r="F138" i="335"/>
  <c r="D20" i="334"/>
  <c r="D37" i="334"/>
  <c r="C48" i="333"/>
  <c r="H48" i="333"/>
  <c r="E60" i="335"/>
  <c r="D60" i="335" s="1"/>
  <c r="O60" i="335" s="1"/>
  <c r="G26" i="353"/>
  <c r="D58" i="333"/>
  <c r="G64" i="333"/>
  <c r="G96" i="335"/>
  <c r="D29" i="333"/>
  <c r="Q148" i="353"/>
  <c r="F35" i="353"/>
  <c r="H9" i="333"/>
  <c r="E44" i="335"/>
  <c r="D44" i="335" s="1"/>
  <c r="O44" i="335" s="1"/>
  <c r="C9" i="333"/>
  <c r="H32" i="334"/>
  <c r="C32" i="334"/>
  <c r="H74" i="333"/>
  <c r="C74" i="333"/>
  <c r="D64" i="334"/>
  <c r="G101" i="353"/>
  <c r="E162" i="335"/>
  <c r="F114" i="353" s="1"/>
  <c r="G232" i="353"/>
  <c r="H35" i="334"/>
  <c r="C35" i="334"/>
  <c r="H23" i="338"/>
  <c r="J23" i="338" s="1"/>
  <c r="K23" i="338" s="1"/>
  <c r="D11" i="334"/>
  <c r="J139" i="357"/>
  <c r="G41" i="335"/>
  <c r="F134" i="335"/>
  <c r="G74" i="334"/>
  <c r="D48" i="334"/>
  <c r="G189" i="353"/>
  <c r="N11" i="338"/>
  <c r="O11" i="338" s="1"/>
  <c r="J61" i="357"/>
  <c r="C32" i="333"/>
  <c r="H32" i="333"/>
  <c r="D30" i="333"/>
  <c r="E59" i="335"/>
  <c r="F38" i="335"/>
  <c r="F181" i="335"/>
  <c r="C39" i="333"/>
  <c r="H39" i="333"/>
  <c r="F57" i="353"/>
  <c r="H33" i="338"/>
  <c r="H48" i="338" s="1"/>
  <c r="D29" i="334"/>
  <c r="D83" i="334"/>
  <c r="D35" i="334"/>
  <c r="G97" i="335"/>
  <c r="D22" i="333"/>
  <c r="G45" i="353"/>
  <c r="E150" i="335"/>
  <c r="K78" i="333"/>
  <c r="I56" i="333"/>
  <c r="K56" i="333" s="1"/>
  <c r="K51" i="333"/>
  <c r="L19" i="338"/>
  <c r="U171" i="353" s="1"/>
  <c r="C64" i="334"/>
  <c r="F101" i="353"/>
  <c r="H64" i="334"/>
  <c r="J26" i="357"/>
  <c r="J24" i="357" s="1"/>
  <c r="J23" i="357" s="1"/>
  <c r="G176" i="335"/>
  <c r="K182" i="335"/>
  <c r="C78" i="334"/>
  <c r="F163" i="353"/>
  <c r="H78" i="334"/>
  <c r="D35" i="333"/>
  <c r="G51" i="353"/>
  <c r="I28" i="334"/>
  <c r="D22" i="338"/>
  <c r="F22" i="338" s="1"/>
  <c r="G22" i="338" s="1"/>
  <c r="K6" i="334"/>
  <c r="I37" i="338"/>
  <c r="I19" i="338"/>
  <c r="F182" i="353"/>
  <c r="D50" i="333"/>
  <c r="G64" i="353"/>
  <c r="I41" i="338"/>
  <c r="H41" i="333"/>
  <c r="C41" i="333"/>
  <c r="F60" i="353"/>
  <c r="K63" i="333"/>
  <c r="G188" i="353"/>
  <c r="M139" i="335"/>
  <c r="M143" i="335" s="1"/>
  <c r="L137" i="335" s="1"/>
  <c r="E88" i="335"/>
  <c r="K139" i="353"/>
  <c r="D48" i="333"/>
  <c r="F60" i="335"/>
  <c r="I116" i="357"/>
  <c r="K77" i="333"/>
  <c r="D17" i="333"/>
  <c r="D87" i="333"/>
  <c r="G129" i="335"/>
  <c r="I112" i="357"/>
  <c r="H24" i="338"/>
  <c r="J24" i="338" s="1"/>
  <c r="K24" i="338" s="1"/>
  <c r="J202" i="357"/>
  <c r="K33" i="335"/>
  <c r="K68" i="333"/>
  <c r="G65" i="335"/>
  <c r="E39" i="335"/>
  <c r="N12" i="338"/>
  <c r="O12" i="338" s="1"/>
  <c r="G172" i="335"/>
  <c r="G160" i="335"/>
  <c r="L140" i="353"/>
  <c r="G140" i="353" s="1"/>
  <c r="F94" i="335"/>
  <c r="F93" i="335" s="1"/>
  <c r="K50" i="333"/>
  <c r="K56" i="334"/>
  <c r="D12" i="334"/>
  <c r="K30" i="333"/>
  <c r="D23" i="333"/>
  <c r="H31" i="333"/>
  <c r="F52" i="353"/>
  <c r="C31" i="333"/>
  <c r="J182" i="335"/>
  <c r="G182" i="335" s="1"/>
  <c r="G179" i="335"/>
  <c r="D88" i="334"/>
  <c r="H31" i="338"/>
  <c r="J31" i="338" s="1"/>
  <c r="K31" i="338" s="1"/>
  <c r="G57" i="335"/>
  <c r="F168" i="335"/>
  <c r="G14" i="353" s="1"/>
  <c r="F231" i="353"/>
  <c r="K39" i="334"/>
  <c r="F158" i="335"/>
  <c r="G110" i="353" s="1"/>
  <c r="N17" i="338"/>
  <c r="O17" i="338" s="1"/>
  <c r="C31" i="334"/>
  <c r="F38" i="334"/>
  <c r="F83" i="353" s="1"/>
  <c r="H31" i="334"/>
  <c r="E22" i="335"/>
  <c r="K83" i="333"/>
  <c r="D87" i="334"/>
  <c r="K112" i="357"/>
  <c r="K26" i="357"/>
  <c r="K24" i="357" s="1"/>
  <c r="K23" i="357" s="1"/>
  <c r="K18" i="334"/>
  <c r="F170" i="335"/>
  <c r="G16" i="353" s="1"/>
  <c r="C27" i="333"/>
  <c r="E177" i="335"/>
  <c r="D177" i="335" s="1"/>
  <c r="O177" i="335" s="1"/>
  <c r="H27" i="333"/>
  <c r="K33" i="333"/>
  <c r="M68" i="335"/>
  <c r="E34" i="338"/>
  <c r="Q145" i="353"/>
  <c r="L27" i="335"/>
  <c r="L74" i="335" s="1"/>
  <c r="K135" i="335"/>
  <c r="M19" i="338"/>
  <c r="N7" i="338"/>
  <c r="O7" i="338" s="1"/>
  <c r="K76" i="334"/>
  <c r="I75" i="333"/>
  <c r="K73" i="333"/>
  <c r="C5" i="333"/>
  <c r="H5" i="333"/>
  <c r="E173" i="335"/>
  <c r="F7" i="333"/>
  <c r="E21" i="335"/>
  <c r="H27" i="335"/>
  <c r="D19" i="334"/>
  <c r="G74" i="353"/>
  <c r="K62" i="334"/>
  <c r="F45" i="353"/>
  <c r="C22" i="333"/>
  <c r="H22" i="333"/>
  <c r="D39" i="333"/>
  <c r="G57" i="353"/>
  <c r="F48" i="335"/>
  <c r="I49" i="335"/>
  <c r="H34" i="334"/>
  <c r="C34" i="334"/>
  <c r="K14" i="334"/>
  <c r="K27" i="335"/>
  <c r="K74" i="335" s="1"/>
  <c r="G97" i="353"/>
  <c r="D53" i="334"/>
  <c r="K120" i="357"/>
  <c r="F177" i="335"/>
  <c r="D27" i="333"/>
  <c r="F44" i="335"/>
  <c r="D9" i="333"/>
  <c r="G35" i="353"/>
  <c r="D73" i="334"/>
  <c r="F62" i="353"/>
  <c r="C6" i="333"/>
  <c r="H6" i="333"/>
  <c r="G61" i="353"/>
  <c r="F122" i="335"/>
  <c r="D51" i="333"/>
  <c r="G56" i="333"/>
  <c r="D56" i="333" s="1"/>
  <c r="K22" i="333"/>
  <c r="D11" i="338"/>
  <c r="H13" i="334"/>
  <c r="C13" i="334"/>
  <c r="E13" i="334" s="1"/>
  <c r="H5" i="334"/>
  <c r="C5" i="334"/>
  <c r="H16" i="335"/>
  <c r="K101" i="357"/>
  <c r="K8" i="357"/>
  <c r="K6" i="357" s="1"/>
  <c r="K5" i="357" s="1"/>
  <c r="G171" i="335"/>
  <c r="E66" i="335"/>
  <c r="F212" i="353" s="1"/>
  <c r="N10" i="338"/>
  <c r="O10" i="338" s="1"/>
  <c r="D14" i="333"/>
  <c r="F182" i="335"/>
  <c r="G46" i="353"/>
  <c r="H49" i="334"/>
  <c r="C49" i="334"/>
  <c r="E49" i="334" s="1"/>
  <c r="F91" i="353"/>
  <c r="G23" i="335"/>
  <c r="F184" i="353"/>
  <c r="I38" i="334"/>
  <c r="K31" i="334"/>
  <c r="P145" i="353"/>
  <c r="D13" i="333"/>
  <c r="P141" i="353"/>
  <c r="K60" i="333"/>
  <c r="D84" i="334"/>
  <c r="K7" i="334"/>
  <c r="D23" i="338"/>
  <c r="F23" i="338" s="1"/>
  <c r="G23" i="338" s="1"/>
  <c r="I48" i="338"/>
  <c r="E138" i="335"/>
  <c r="D138" i="335" s="1"/>
  <c r="O138" i="335" s="1"/>
  <c r="P139" i="353"/>
  <c r="I64" i="333"/>
  <c r="K58" i="333"/>
  <c r="K66" i="333"/>
  <c r="G169" i="335"/>
  <c r="F67" i="335"/>
  <c r="G213" i="353" s="1"/>
  <c r="H24" i="334"/>
  <c r="D15" i="338"/>
  <c r="C24" i="334"/>
  <c r="H33" i="333"/>
  <c r="C33" i="333"/>
  <c r="F53" i="353"/>
  <c r="G31" i="335"/>
  <c r="K59" i="333"/>
  <c r="G240" i="353"/>
  <c r="G170" i="335"/>
  <c r="C70" i="334"/>
  <c r="F106" i="353"/>
  <c r="H70" i="334"/>
  <c r="P150" i="353"/>
  <c r="G59" i="353"/>
  <c r="D36" i="333"/>
  <c r="J120" i="357"/>
  <c r="F25" i="353"/>
  <c r="C60" i="333"/>
  <c r="H60" i="333"/>
  <c r="C56" i="334"/>
  <c r="H56" i="334"/>
  <c r="E145" i="335"/>
  <c r="E45" i="338"/>
  <c r="D84" i="333"/>
  <c r="H10" i="338"/>
  <c r="D10" i="334"/>
  <c r="K61" i="335"/>
  <c r="K82" i="335" s="1"/>
  <c r="P134" i="353" s="1"/>
  <c r="K89" i="334"/>
  <c r="H68" i="333"/>
  <c r="C68" i="333"/>
  <c r="D44" i="333"/>
  <c r="G49" i="333"/>
  <c r="G63" i="353"/>
  <c r="G196" i="353"/>
  <c r="I70" i="335"/>
  <c r="H70" i="335"/>
  <c r="J70" i="335"/>
  <c r="E72" i="333" l="1"/>
  <c r="E80" i="333"/>
  <c r="E67" i="333"/>
  <c r="E71" i="333"/>
  <c r="D45" i="338"/>
  <c r="F45" i="338" s="1"/>
  <c r="G45" i="338" s="1"/>
  <c r="D41" i="338"/>
  <c r="F41" i="338" s="1"/>
  <c r="G41" i="338" s="1"/>
  <c r="L187" i="335"/>
  <c r="E77" i="334"/>
  <c r="E57" i="334"/>
  <c r="E62" i="334"/>
  <c r="E24" i="334"/>
  <c r="E32" i="333"/>
  <c r="E68" i="333"/>
  <c r="E79" i="333"/>
  <c r="E74" i="333"/>
  <c r="E33" i="333"/>
  <c r="E41" i="333"/>
  <c r="E32" i="334"/>
  <c r="E26" i="333"/>
  <c r="L204" i="353"/>
  <c r="J47" i="338"/>
  <c r="K47" i="338" s="1"/>
  <c r="E21" i="334"/>
  <c r="E83" i="333"/>
  <c r="E60" i="333"/>
  <c r="E90" i="334"/>
  <c r="E20" i="333"/>
  <c r="E31" i="333"/>
  <c r="G149" i="353"/>
  <c r="E40" i="333"/>
  <c r="E91" i="334"/>
  <c r="E34" i="334"/>
  <c r="E85" i="334"/>
  <c r="L211" i="353"/>
  <c r="E24" i="333"/>
  <c r="E42" i="333"/>
  <c r="F135" i="335"/>
  <c r="E5" i="334"/>
  <c r="E55" i="333"/>
  <c r="L143" i="335"/>
  <c r="K137" i="335" s="1"/>
  <c r="K143" i="335" s="1"/>
  <c r="P161" i="353" s="1"/>
  <c r="E6" i="333"/>
  <c r="G217" i="353"/>
  <c r="G216" i="353" s="1"/>
  <c r="G141" i="353"/>
  <c r="J93" i="334"/>
  <c r="G93" i="334"/>
  <c r="E78" i="334"/>
  <c r="E63" i="334"/>
  <c r="E15" i="334"/>
  <c r="E9" i="334"/>
  <c r="E62" i="333"/>
  <c r="E22" i="333"/>
  <c r="E19" i="333"/>
  <c r="E12" i="333"/>
  <c r="E5" i="333"/>
  <c r="K108" i="357"/>
  <c r="K115" i="357"/>
  <c r="I108" i="357"/>
  <c r="J41" i="334"/>
  <c r="J33" i="338"/>
  <c r="K33" i="338" s="1"/>
  <c r="K75" i="333"/>
  <c r="K49" i="333"/>
  <c r="D49" i="333"/>
  <c r="K38" i="334"/>
  <c r="G237" i="353"/>
  <c r="G236" i="353" s="1"/>
  <c r="G235" i="353" s="1"/>
  <c r="J195" i="357"/>
  <c r="J198" i="357" s="1"/>
  <c r="J142" i="357"/>
  <c r="J115" i="357"/>
  <c r="I115" i="357"/>
  <c r="J108" i="357"/>
  <c r="K92" i="357"/>
  <c r="K91" i="357" s="1"/>
  <c r="K89" i="357" s="1"/>
  <c r="K85" i="357" s="1"/>
  <c r="K84" i="357" s="1"/>
  <c r="G194" i="353"/>
  <c r="G193" i="353" s="1"/>
  <c r="F40" i="338"/>
  <c r="G40" i="338" s="1"/>
  <c r="F100" i="335"/>
  <c r="E31" i="334"/>
  <c r="E8" i="334"/>
  <c r="H40" i="338"/>
  <c r="J40" i="338" s="1"/>
  <c r="K40" i="338" s="1"/>
  <c r="E89" i="334"/>
  <c r="H44" i="338"/>
  <c r="D38" i="334"/>
  <c r="E69" i="334"/>
  <c r="E6" i="334"/>
  <c r="G100" i="335"/>
  <c r="E18" i="334"/>
  <c r="E86" i="334"/>
  <c r="H152" i="335"/>
  <c r="E152" i="335" s="1"/>
  <c r="E40" i="334"/>
  <c r="D35" i="335"/>
  <c r="D89" i="335" s="1"/>
  <c r="O89" i="335" s="1"/>
  <c r="E20" i="334"/>
  <c r="D39" i="338"/>
  <c r="F39" i="338" s="1"/>
  <c r="G39" i="338" s="1"/>
  <c r="J48" i="338"/>
  <c r="K48" i="338" s="1"/>
  <c r="E85" i="333"/>
  <c r="K187" i="335"/>
  <c r="H38" i="338"/>
  <c r="J38" i="338" s="1"/>
  <c r="K38" i="338" s="1"/>
  <c r="E75" i="334"/>
  <c r="E66" i="333"/>
  <c r="D182" i="335"/>
  <c r="O182" i="335" s="1"/>
  <c r="E58" i="333"/>
  <c r="I193" i="357"/>
  <c r="M193" i="357" s="1"/>
  <c r="H99" i="353"/>
  <c r="I99" i="353"/>
  <c r="F98" i="353"/>
  <c r="S150" i="353"/>
  <c r="R150" i="353"/>
  <c r="S134" i="353"/>
  <c r="R134" i="353"/>
  <c r="F15" i="338"/>
  <c r="G15" i="338" s="1"/>
  <c r="E56" i="334"/>
  <c r="M32" i="333"/>
  <c r="S145" i="353"/>
  <c r="R145" i="353"/>
  <c r="H212" i="353"/>
  <c r="I212" i="353"/>
  <c r="K212" i="353"/>
  <c r="H62" i="353"/>
  <c r="I62" i="353"/>
  <c r="I45" i="353"/>
  <c r="H45" i="353"/>
  <c r="E27" i="335"/>
  <c r="H74" i="335"/>
  <c r="Q132" i="353"/>
  <c r="Q131" i="353" s="1"/>
  <c r="L115" i="335"/>
  <c r="E27" i="333"/>
  <c r="G172" i="353"/>
  <c r="I49" i="338"/>
  <c r="J228" i="357"/>
  <c r="J232" i="357" s="1"/>
  <c r="K28" i="334"/>
  <c r="I30" i="334"/>
  <c r="I163" i="353"/>
  <c r="H163" i="353"/>
  <c r="E39" i="333"/>
  <c r="E9" i="333"/>
  <c r="E48" i="333"/>
  <c r="G15" i="353"/>
  <c r="J171" i="357"/>
  <c r="G146" i="353"/>
  <c r="H16" i="333"/>
  <c r="F21" i="333"/>
  <c r="C16" i="333"/>
  <c r="E187" i="335"/>
  <c r="E14" i="333"/>
  <c r="E33" i="334"/>
  <c r="H42" i="353"/>
  <c r="I42" i="353"/>
  <c r="F14" i="335"/>
  <c r="J234" i="357"/>
  <c r="J243" i="357" s="1"/>
  <c r="D81" i="333"/>
  <c r="G33" i="353"/>
  <c r="G168" i="353" s="1"/>
  <c r="H24" i="353"/>
  <c r="I24" i="353"/>
  <c r="F23" i="353"/>
  <c r="N141" i="353"/>
  <c r="M141" i="353"/>
  <c r="F141" i="353"/>
  <c r="I195" i="357"/>
  <c r="I198" i="357" s="1"/>
  <c r="M198" i="357" s="1"/>
  <c r="E63" i="333"/>
  <c r="E35" i="333"/>
  <c r="J10" i="338"/>
  <c r="K10" i="338" s="1"/>
  <c r="J74" i="335"/>
  <c r="G27" i="335"/>
  <c r="H30" i="353"/>
  <c r="I30" i="353"/>
  <c r="E22" i="334"/>
  <c r="I189" i="357"/>
  <c r="M189" i="357" s="1"/>
  <c r="I92" i="357"/>
  <c r="I91" i="357" s="1"/>
  <c r="I89" i="357" s="1"/>
  <c r="I85" i="357" s="1"/>
  <c r="I84" i="357" s="1"/>
  <c r="K16" i="333"/>
  <c r="I21" i="333"/>
  <c r="K21" i="333" s="1"/>
  <c r="E53" i="333"/>
  <c r="S146" i="353"/>
  <c r="R146" i="353"/>
  <c r="B1218" i="349"/>
  <c r="C1218" i="349"/>
  <c r="E15" i="333"/>
  <c r="M115" i="335"/>
  <c r="E52" i="334"/>
  <c r="M31" i="333"/>
  <c r="C81" i="333"/>
  <c r="I234" i="357"/>
  <c r="I243" i="357" s="1"/>
  <c r="M243" i="357" s="1"/>
  <c r="H81" i="333"/>
  <c r="E14" i="335"/>
  <c r="D14" i="335" s="1"/>
  <c r="O14" i="335" s="1"/>
  <c r="F33" i="353"/>
  <c r="J152" i="335"/>
  <c r="G152" i="335" s="1"/>
  <c r="G151" i="335"/>
  <c r="I221" i="353"/>
  <c r="H221" i="353"/>
  <c r="M38" i="333"/>
  <c r="E65" i="334"/>
  <c r="E76" i="334"/>
  <c r="H34" i="338"/>
  <c r="J34" i="338" s="1"/>
  <c r="K34" i="338" s="1"/>
  <c r="D43" i="333"/>
  <c r="G144" i="353"/>
  <c r="L143" i="353"/>
  <c r="E59" i="333"/>
  <c r="R148" i="353"/>
  <c r="S148" i="353"/>
  <c r="J46" i="335"/>
  <c r="J130" i="335"/>
  <c r="J76" i="335"/>
  <c r="G33" i="335"/>
  <c r="J166" i="335"/>
  <c r="G186" i="335"/>
  <c r="J86" i="357"/>
  <c r="H45" i="338"/>
  <c r="J45" i="338" s="1"/>
  <c r="K45" i="338" s="1"/>
  <c r="L212" i="353"/>
  <c r="I242" i="353"/>
  <c r="H242" i="353"/>
  <c r="H81" i="353"/>
  <c r="I81" i="353"/>
  <c r="D46" i="338"/>
  <c r="F46" i="338" s="1"/>
  <c r="G46" i="338" s="1"/>
  <c r="F43" i="353"/>
  <c r="H44" i="353"/>
  <c r="I44" i="353"/>
  <c r="M187" i="335"/>
  <c r="H74" i="334"/>
  <c r="E7" i="335"/>
  <c r="D7" i="335" s="1"/>
  <c r="C74" i="334"/>
  <c r="H76" i="353"/>
  <c r="I76" i="353"/>
  <c r="F222" i="353"/>
  <c r="D57" i="335"/>
  <c r="O57" i="335" s="1"/>
  <c r="I16" i="353"/>
  <c r="H16" i="353"/>
  <c r="F30" i="334"/>
  <c r="C28" i="334"/>
  <c r="H28" i="334"/>
  <c r="E82" i="334"/>
  <c r="E16" i="334"/>
  <c r="H189" i="353"/>
  <c r="I189" i="353"/>
  <c r="I97" i="353"/>
  <c r="H97" i="353"/>
  <c r="G209" i="353"/>
  <c r="H123" i="353"/>
  <c r="I123" i="353"/>
  <c r="H71" i="353"/>
  <c r="I71" i="353"/>
  <c r="D54" i="335"/>
  <c r="O54" i="335" s="1"/>
  <c r="H55" i="353"/>
  <c r="I55" i="353"/>
  <c r="N144" i="353"/>
  <c r="K143" i="353"/>
  <c r="M144" i="353"/>
  <c r="F144" i="353"/>
  <c r="F138" i="353"/>
  <c r="M138" i="353"/>
  <c r="N138" i="353"/>
  <c r="K137" i="353"/>
  <c r="K43" i="333"/>
  <c r="Q143" i="353"/>
  <c r="I197" i="353"/>
  <c r="H197" i="353"/>
  <c r="I103" i="353"/>
  <c r="H103" i="353"/>
  <c r="E51" i="334"/>
  <c r="I105" i="353"/>
  <c r="H105" i="353"/>
  <c r="C92" i="334"/>
  <c r="H92" i="334"/>
  <c r="E50" i="334"/>
  <c r="H195" i="353"/>
  <c r="I195" i="353"/>
  <c r="F194" i="353"/>
  <c r="K210" i="353" s="1"/>
  <c r="H230" i="353"/>
  <c r="F229" i="353"/>
  <c r="K230" i="353" s="1"/>
  <c r="I230" i="353"/>
  <c r="F16" i="338"/>
  <c r="G16" i="338" s="1"/>
  <c r="M140" i="353"/>
  <c r="F140" i="353"/>
  <c r="N140" i="353"/>
  <c r="F9" i="338"/>
  <c r="G9" i="338" s="1"/>
  <c r="E83" i="334"/>
  <c r="H78" i="353"/>
  <c r="I78" i="353"/>
  <c r="E19" i="334"/>
  <c r="M28" i="335"/>
  <c r="M72" i="335"/>
  <c r="I219" i="353"/>
  <c r="F218" i="353"/>
  <c r="H219" i="353"/>
  <c r="E17" i="334"/>
  <c r="I106" i="353"/>
  <c r="H106" i="353"/>
  <c r="I91" i="353"/>
  <c r="H91" i="353"/>
  <c r="C38" i="334"/>
  <c r="H38" i="334"/>
  <c r="E35" i="334"/>
  <c r="H114" i="353"/>
  <c r="I114" i="353"/>
  <c r="L72" i="335"/>
  <c r="L28" i="335"/>
  <c r="E45" i="335"/>
  <c r="H78" i="335"/>
  <c r="F132" i="335"/>
  <c r="D7" i="333"/>
  <c r="F40" i="353"/>
  <c r="K42" i="353" s="1"/>
  <c r="I41" i="353"/>
  <c r="H41" i="353"/>
  <c r="N149" i="353"/>
  <c r="F149" i="353"/>
  <c r="M149" i="353"/>
  <c r="H79" i="353"/>
  <c r="I79" i="353"/>
  <c r="H26" i="353"/>
  <c r="I26" i="353"/>
  <c r="E29" i="334"/>
  <c r="R140" i="353"/>
  <c r="S140" i="353"/>
  <c r="I239" i="353"/>
  <c r="H239" i="353"/>
  <c r="H14" i="353"/>
  <c r="I14" i="353"/>
  <c r="H58" i="353"/>
  <c r="I58" i="353"/>
  <c r="R147" i="353"/>
  <c r="S147" i="353"/>
  <c r="G178" i="335"/>
  <c r="J187" i="335"/>
  <c r="G45" i="335"/>
  <c r="J78" i="335"/>
  <c r="G78" i="335" s="1"/>
  <c r="I110" i="353"/>
  <c r="H110" i="353"/>
  <c r="E29" i="333"/>
  <c r="Q137" i="353"/>
  <c r="I238" i="353"/>
  <c r="F237" i="353"/>
  <c r="H238" i="353"/>
  <c r="E50" i="333"/>
  <c r="H225" i="353"/>
  <c r="I225" i="353"/>
  <c r="I120" i="353"/>
  <c r="H120" i="353"/>
  <c r="N142" i="353"/>
  <c r="F142" i="353"/>
  <c r="M142" i="353"/>
  <c r="E76" i="333"/>
  <c r="G98" i="353"/>
  <c r="M53" i="335"/>
  <c r="M80" i="335"/>
  <c r="M83" i="335" s="1"/>
  <c r="M131" i="335"/>
  <c r="M62" i="335"/>
  <c r="M167" i="335"/>
  <c r="F151" i="335"/>
  <c r="G72" i="353"/>
  <c r="E11" i="334"/>
  <c r="K52" i="333"/>
  <c r="E27" i="334"/>
  <c r="R149" i="353"/>
  <c r="S149" i="353"/>
  <c r="H113" i="353"/>
  <c r="I113" i="353"/>
  <c r="L53" i="335"/>
  <c r="L131" i="335"/>
  <c r="L80" i="335"/>
  <c r="L167" i="335"/>
  <c r="L62" i="335"/>
  <c r="H104" i="353"/>
  <c r="I104" i="353"/>
  <c r="E79" i="334"/>
  <c r="H241" i="353"/>
  <c r="I241" i="353"/>
  <c r="P137" i="353"/>
  <c r="S138" i="353"/>
  <c r="R138" i="353"/>
  <c r="G13" i="353"/>
  <c r="G12" i="353" s="1"/>
  <c r="J180" i="357"/>
  <c r="D43" i="335"/>
  <c r="O43" i="335" s="1"/>
  <c r="I10" i="333"/>
  <c r="K7" i="333"/>
  <c r="E84" i="333"/>
  <c r="G93" i="353"/>
  <c r="F47" i="338"/>
  <c r="G47" i="338" s="1"/>
  <c r="J189" i="357"/>
  <c r="J92" i="357"/>
  <c r="I61" i="353"/>
  <c r="H61" i="353"/>
  <c r="E87" i="333"/>
  <c r="E135" i="335"/>
  <c r="D134" i="335"/>
  <c r="O134" i="335" s="1"/>
  <c r="E46" i="333"/>
  <c r="E10" i="334"/>
  <c r="E53" i="334"/>
  <c r="F68" i="335"/>
  <c r="E33" i="335"/>
  <c r="F19" i="353" s="1"/>
  <c r="H76" i="335"/>
  <c r="H46" i="335"/>
  <c r="H130" i="335"/>
  <c r="H166" i="335"/>
  <c r="C93" i="334"/>
  <c r="H93" i="334"/>
  <c r="D92" i="334"/>
  <c r="E26" i="334"/>
  <c r="E17" i="333"/>
  <c r="E44" i="333"/>
  <c r="F33" i="338"/>
  <c r="G33" i="338" s="1"/>
  <c r="H162" i="353"/>
  <c r="I162" i="353"/>
  <c r="F161" i="353"/>
  <c r="F15" i="353"/>
  <c r="I171" i="357"/>
  <c r="G32" i="353"/>
  <c r="D75" i="333"/>
  <c r="F15" i="335"/>
  <c r="I154" i="335"/>
  <c r="J8" i="335"/>
  <c r="G163" i="335"/>
  <c r="H19" i="338"/>
  <c r="J19" i="338" s="1"/>
  <c r="K19" i="338" s="1"/>
  <c r="H37" i="338"/>
  <c r="J37" i="338" s="1"/>
  <c r="K37" i="338" s="1"/>
  <c r="M148" i="353"/>
  <c r="F148" i="353"/>
  <c r="N148" i="353"/>
  <c r="J14" i="338"/>
  <c r="K14" i="338" s="1"/>
  <c r="E73" i="334"/>
  <c r="M34" i="333"/>
  <c r="E54" i="334"/>
  <c r="G40" i="353"/>
  <c r="L42" i="353" s="1"/>
  <c r="I94" i="353"/>
  <c r="H94" i="353"/>
  <c r="E71" i="334"/>
  <c r="H121" i="353"/>
  <c r="I121" i="353"/>
  <c r="I56" i="353"/>
  <c r="H56" i="353"/>
  <c r="G139" i="353"/>
  <c r="I180" i="357"/>
  <c r="F13" i="353"/>
  <c r="G161" i="353"/>
  <c r="E73" i="333"/>
  <c r="E23" i="334"/>
  <c r="D58" i="335"/>
  <c r="O58" i="335" s="1"/>
  <c r="F223" i="353"/>
  <c r="E7" i="334"/>
  <c r="E61" i="335"/>
  <c r="D67" i="335" s="1"/>
  <c r="O67" i="335" s="1"/>
  <c r="H82" i="335"/>
  <c r="E39" i="334"/>
  <c r="K92" i="334"/>
  <c r="E47" i="334"/>
  <c r="D43" i="338"/>
  <c r="F43" i="338" s="1"/>
  <c r="G43" i="338" s="1"/>
  <c r="K64" i="333"/>
  <c r="I70" i="333"/>
  <c r="H72" i="335"/>
  <c r="E16" i="335"/>
  <c r="H28" i="335"/>
  <c r="M41" i="333"/>
  <c r="E70" i="334"/>
  <c r="S139" i="353"/>
  <c r="R139" i="353"/>
  <c r="R141" i="353"/>
  <c r="S141" i="353"/>
  <c r="K115" i="335"/>
  <c r="P132" i="353"/>
  <c r="I80" i="335"/>
  <c r="I131" i="335"/>
  <c r="I53" i="335"/>
  <c r="F49" i="335"/>
  <c r="G20" i="353" s="1"/>
  <c r="I62" i="335"/>
  <c r="I167" i="335"/>
  <c r="H7" i="333"/>
  <c r="F10" i="333"/>
  <c r="E132" i="335"/>
  <c r="C7" i="333"/>
  <c r="N19" i="338"/>
  <c r="O19" i="338" s="1"/>
  <c r="U172" i="353"/>
  <c r="U173" i="353" s="1"/>
  <c r="I231" i="353"/>
  <c r="H231" i="353"/>
  <c r="I52" i="353"/>
  <c r="H52" i="353"/>
  <c r="K166" i="335"/>
  <c r="K76" i="335"/>
  <c r="K46" i="335"/>
  <c r="K130" i="335"/>
  <c r="N139" i="353"/>
  <c r="F139" i="353"/>
  <c r="M139" i="353"/>
  <c r="I182" i="353"/>
  <c r="H182" i="353"/>
  <c r="I101" i="353"/>
  <c r="H101" i="353"/>
  <c r="I57" i="353"/>
  <c r="H57" i="353"/>
  <c r="I78" i="335"/>
  <c r="F45" i="335"/>
  <c r="F27" i="335"/>
  <c r="I74" i="335"/>
  <c r="H59" i="353"/>
  <c r="I59" i="353"/>
  <c r="H100" i="353"/>
  <c r="I100" i="353"/>
  <c r="H131" i="335"/>
  <c r="H80" i="335"/>
  <c r="H62" i="335"/>
  <c r="H167" i="335"/>
  <c r="E49" i="335"/>
  <c r="F20" i="353" s="1"/>
  <c r="H53" i="335"/>
  <c r="D178" i="335"/>
  <c r="O178" i="335" s="1"/>
  <c r="G96" i="353"/>
  <c r="H96" i="353" s="1"/>
  <c r="I82" i="335"/>
  <c r="F61" i="335"/>
  <c r="S142" i="353"/>
  <c r="R142" i="353"/>
  <c r="H211" i="353"/>
  <c r="K211" i="353"/>
  <c r="I211" i="353"/>
  <c r="F70" i="333"/>
  <c r="C64" i="333"/>
  <c r="H64" i="333"/>
  <c r="E10" i="335"/>
  <c r="D10" i="335" s="1"/>
  <c r="O10" i="335" s="1"/>
  <c r="S144" i="353"/>
  <c r="R144" i="353"/>
  <c r="P143" i="353"/>
  <c r="I17" i="353"/>
  <c r="H17" i="353"/>
  <c r="I34" i="353"/>
  <c r="H34" i="353"/>
  <c r="I240" i="353"/>
  <c r="H240" i="353"/>
  <c r="E14" i="334"/>
  <c r="S133" i="353"/>
  <c r="R133" i="353"/>
  <c r="I51" i="353"/>
  <c r="H51" i="353"/>
  <c r="H186" i="353"/>
  <c r="I186" i="353"/>
  <c r="I187" i="335"/>
  <c r="M8" i="335"/>
  <c r="M9" i="335" s="1"/>
  <c r="L154" i="335"/>
  <c r="L163" i="335" s="1"/>
  <c r="E55" i="334"/>
  <c r="G83" i="353"/>
  <c r="I83" i="353" s="1"/>
  <c r="G49" i="353"/>
  <c r="M33" i="333"/>
  <c r="E60" i="334"/>
  <c r="H82" i="353"/>
  <c r="I82" i="353"/>
  <c r="M76" i="335"/>
  <c r="M79" i="335" s="1"/>
  <c r="M130" i="335"/>
  <c r="M166" i="335"/>
  <c r="M46" i="335"/>
  <c r="D140" i="335"/>
  <c r="O140" i="335" s="1"/>
  <c r="F117" i="353"/>
  <c r="E81" i="334"/>
  <c r="H47" i="353"/>
  <c r="I47" i="353"/>
  <c r="M150" i="353"/>
  <c r="N150" i="353"/>
  <c r="F150" i="353"/>
  <c r="J193" i="357"/>
  <c r="F11" i="338"/>
  <c r="G11" i="338" s="1"/>
  <c r="G90" i="353"/>
  <c r="E54" i="333"/>
  <c r="H18" i="353"/>
  <c r="I18" i="353"/>
  <c r="H183" i="353"/>
  <c r="I183" i="353"/>
  <c r="E61" i="333"/>
  <c r="E66" i="334"/>
  <c r="M39" i="333"/>
  <c r="E67" i="334"/>
  <c r="K28" i="335"/>
  <c r="K72" i="335"/>
  <c r="G145" i="353"/>
  <c r="E37" i="333"/>
  <c r="F119" i="353"/>
  <c r="D142" i="335"/>
  <c r="O142" i="335" s="1"/>
  <c r="H109" i="353"/>
  <c r="I109" i="353"/>
  <c r="G148" i="353"/>
  <c r="E25" i="334"/>
  <c r="E49" i="338"/>
  <c r="F172" i="353"/>
  <c r="I228" i="357"/>
  <c r="I232" i="357" s="1"/>
  <c r="M232" i="357" s="1"/>
  <c r="H56" i="333"/>
  <c r="C56" i="333"/>
  <c r="E56" i="333" s="1"/>
  <c r="F90" i="353"/>
  <c r="G150" i="353"/>
  <c r="F7" i="338"/>
  <c r="G7" i="338" s="1"/>
  <c r="D37" i="338"/>
  <c r="F37" i="338" s="1"/>
  <c r="G37" i="338" s="1"/>
  <c r="D19" i="338"/>
  <c r="F19" i="338" s="1"/>
  <c r="G19" i="338" s="1"/>
  <c r="H42" i="338"/>
  <c r="J42" i="338" s="1"/>
  <c r="K42" i="338" s="1"/>
  <c r="E8" i="333"/>
  <c r="E58" i="334"/>
  <c r="E65" i="333"/>
  <c r="E23" i="333"/>
  <c r="F49" i="353"/>
  <c r="H50" i="353"/>
  <c r="I50" i="353"/>
  <c r="H39" i="338"/>
  <c r="J39" i="338" s="1"/>
  <c r="K39" i="338" s="1"/>
  <c r="E69" i="333"/>
  <c r="C49" i="333"/>
  <c r="H49" i="333"/>
  <c r="H198" i="353"/>
  <c r="I198" i="353"/>
  <c r="F48" i="338"/>
  <c r="G48" i="338" s="1"/>
  <c r="E59" i="334"/>
  <c r="S152" i="353"/>
  <c r="R152" i="353"/>
  <c r="D28" i="334"/>
  <c r="G30" i="334"/>
  <c r="J44" i="338"/>
  <c r="K44" i="338" s="1"/>
  <c r="D16" i="333"/>
  <c r="F187" i="335"/>
  <c r="G21" i="333"/>
  <c r="D21" i="333" s="1"/>
  <c r="E34" i="333"/>
  <c r="E37" i="334"/>
  <c r="F145" i="353"/>
  <c r="M145" i="353"/>
  <c r="N145" i="353"/>
  <c r="E15" i="335"/>
  <c r="D15" i="335" s="1"/>
  <c r="O15" i="335" s="1"/>
  <c r="H75" i="333"/>
  <c r="F32" i="353"/>
  <c r="C75" i="333"/>
  <c r="E75" i="333" s="1"/>
  <c r="D38" i="338"/>
  <c r="F38" i="338" s="1"/>
  <c r="G38" i="338" s="1"/>
  <c r="F112" i="353"/>
  <c r="H203" i="353"/>
  <c r="I203" i="353"/>
  <c r="I25" i="353"/>
  <c r="H25" i="353"/>
  <c r="I53" i="353"/>
  <c r="H53" i="353"/>
  <c r="H184" i="353"/>
  <c r="I184" i="353"/>
  <c r="I60" i="353"/>
  <c r="H60" i="353"/>
  <c r="D34" i="338"/>
  <c r="F34" i="338" s="1"/>
  <c r="G34" i="338" s="1"/>
  <c r="M37" i="333"/>
  <c r="E64" i="334"/>
  <c r="D74" i="334"/>
  <c r="F7" i="335"/>
  <c r="H35" i="353"/>
  <c r="I35" i="353"/>
  <c r="F10" i="335"/>
  <c r="D64" i="333"/>
  <c r="G70" i="333"/>
  <c r="G82" i="333" s="1"/>
  <c r="G68" i="335"/>
  <c r="N146" i="353"/>
  <c r="M146" i="353"/>
  <c r="F146" i="353"/>
  <c r="E87" i="334"/>
  <c r="H111" i="353"/>
  <c r="I111" i="353"/>
  <c r="D52" i="333"/>
  <c r="E36" i="333"/>
  <c r="G147" i="353"/>
  <c r="H46" i="353"/>
  <c r="I46" i="353"/>
  <c r="H220" i="353"/>
  <c r="I220" i="353"/>
  <c r="E30" i="333"/>
  <c r="E77" i="333"/>
  <c r="J167" i="335"/>
  <c r="J53" i="335"/>
  <c r="J62" i="335"/>
  <c r="J131" i="335"/>
  <c r="J80" i="335"/>
  <c r="G49" i="335"/>
  <c r="K204" i="353"/>
  <c r="H204" i="353"/>
  <c r="I204" i="353"/>
  <c r="E11" i="333"/>
  <c r="G23" i="353"/>
  <c r="H28" i="353"/>
  <c r="I28" i="353"/>
  <c r="G61" i="335"/>
  <c r="J82" i="335"/>
  <c r="G82" i="335" s="1"/>
  <c r="L137" i="353"/>
  <c r="G138" i="353"/>
  <c r="E13" i="333"/>
  <c r="F33" i="335"/>
  <c r="G19" i="353" s="1"/>
  <c r="I166" i="335"/>
  <c r="I130" i="335"/>
  <c r="I76" i="335"/>
  <c r="I46" i="335"/>
  <c r="I23" i="357"/>
  <c r="M23" i="357"/>
  <c r="I188" i="353"/>
  <c r="H188" i="353"/>
  <c r="H43" i="333"/>
  <c r="C43" i="333"/>
  <c r="E12" i="334"/>
  <c r="G16" i="335"/>
  <c r="J28" i="335"/>
  <c r="J72" i="335"/>
  <c r="C52" i="333"/>
  <c r="H52" i="333"/>
  <c r="M14" i="357"/>
  <c r="I14" i="357"/>
  <c r="H187" i="353"/>
  <c r="I187" i="353"/>
  <c r="D186" i="335"/>
  <c r="O186" i="335" s="1"/>
  <c r="H64" i="353"/>
  <c r="I64" i="353"/>
  <c r="K62" i="335"/>
  <c r="K167" i="335"/>
  <c r="K131" i="335"/>
  <c r="K80" i="335"/>
  <c r="K53" i="335"/>
  <c r="E84" i="334"/>
  <c r="L46" i="335"/>
  <c r="L130" i="335"/>
  <c r="L166" i="335"/>
  <c r="L76" i="335"/>
  <c r="F95" i="353"/>
  <c r="I232" i="353"/>
  <c r="H232" i="353"/>
  <c r="K232" i="353"/>
  <c r="I210" i="353"/>
  <c r="H210" i="353"/>
  <c r="E78" i="333"/>
  <c r="J8" i="338"/>
  <c r="K8" i="338" s="1"/>
  <c r="J13" i="338"/>
  <c r="K13" i="338" s="1"/>
  <c r="H43" i="338"/>
  <c r="J43" i="338" s="1"/>
  <c r="K43" i="338" s="1"/>
  <c r="I122" i="353"/>
  <c r="H122" i="353"/>
  <c r="C1095" i="349"/>
  <c r="B1095" i="349"/>
  <c r="G142" i="353"/>
  <c r="H27" i="353"/>
  <c r="I27" i="353"/>
  <c r="H243" i="353"/>
  <c r="I243" i="353"/>
  <c r="H102" i="353"/>
  <c r="I102" i="353"/>
  <c r="B67" i="335"/>
  <c r="F213" i="353"/>
  <c r="F209" i="353" s="1"/>
  <c r="E88" i="334"/>
  <c r="I48" i="353"/>
  <c r="H48" i="353"/>
  <c r="F224" i="353"/>
  <c r="H54" i="353"/>
  <c r="I54" i="353"/>
  <c r="H46" i="338"/>
  <c r="J46" i="338" s="1"/>
  <c r="K46" i="338" s="1"/>
  <c r="M147" i="353"/>
  <c r="N147" i="353"/>
  <c r="F147" i="353"/>
  <c r="G112" i="353"/>
  <c r="I80" i="353"/>
  <c r="H80" i="353"/>
  <c r="E51" i="333"/>
  <c r="F16" i="335"/>
  <c r="I72" i="335"/>
  <c r="I28" i="335"/>
  <c r="F28" i="335" s="1"/>
  <c r="E48" i="334"/>
  <c r="M28" i="333"/>
  <c r="G229" i="353"/>
  <c r="L229" i="353" s="1"/>
  <c r="H75" i="353"/>
  <c r="I75" i="353"/>
  <c r="D42" i="338"/>
  <c r="F42" i="338" s="1"/>
  <c r="G42" i="338" s="1"/>
  <c r="E36" i="334"/>
  <c r="M45" i="333"/>
  <c r="H29" i="353"/>
  <c r="I29" i="353"/>
  <c r="E18" i="333"/>
  <c r="E46" i="334"/>
  <c r="E28" i="333"/>
  <c r="H31" i="353"/>
  <c r="I31" i="353"/>
  <c r="I63" i="353"/>
  <c r="H63" i="353"/>
  <c r="E38" i="333"/>
  <c r="E100" i="335"/>
  <c r="C1209" i="349"/>
  <c r="B1209" i="349"/>
  <c r="H196" i="353"/>
  <c r="I196" i="353"/>
  <c r="H41" i="338"/>
  <c r="J41" i="338" s="1"/>
  <c r="K41" i="338" s="1"/>
  <c r="E45" i="333"/>
  <c r="I152" i="335"/>
  <c r="F152" i="335" s="1"/>
  <c r="F10" i="338"/>
  <c r="G10" i="338" s="1"/>
  <c r="F93" i="353"/>
  <c r="G43" i="353"/>
  <c r="D44" i="338"/>
  <c r="F44" i="338" s="1"/>
  <c r="G44" i="338" s="1"/>
  <c r="H74" i="353"/>
  <c r="I74" i="353"/>
  <c r="K74" i="334"/>
  <c r="E47" i="333"/>
  <c r="H77" i="353"/>
  <c r="I77" i="353"/>
  <c r="I84" i="353"/>
  <c r="H84" i="353"/>
  <c r="E80" i="334"/>
  <c r="E72" i="334"/>
  <c r="I73" i="353"/>
  <c r="F72" i="353"/>
  <c r="F70" i="353" s="1"/>
  <c r="H73" i="353"/>
  <c r="E43" i="333" l="1"/>
  <c r="I182" i="357"/>
  <c r="M182" i="357" s="1"/>
  <c r="G80" i="335"/>
  <c r="D36" i="335"/>
  <c r="O36" i="335" s="1"/>
  <c r="D39" i="335"/>
  <c r="O39" i="335" s="1"/>
  <c r="D93" i="334"/>
  <c r="E93" i="334" s="1"/>
  <c r="J88" i="333"/>
  <c r="K93" i="334"/>
  <c r="G167" i="335"/>
  <c r="M173" i="335"/>
  <c r="E7" i="333"/>
  <c r="Q161" i="353"/>
  <c r="R161" i="353" s="1"/>
  <c r="L173" i="335"/>
  <c r="G131" i="335"/>
  <c r="L203" i="353"/>
  <c r="L210" i="353"/>
  <c r="N210" i="353" s="1"/>
  <c r="L209" i="353"/>
  <c r="G28" i="335"/>
  <c r="E38" i="334"/>
  <c r="Q35" i="338"/>
  <c r="D91" i="335"/>
  <c r="O91" i="335" s="1"/>
  <c r="D24" i="335"/>
  <c r="O24" i="335" s="1"/>
  <c r="D38" i="335"/>
  <c r="O38" i="335" s="1"/>
  <c r="O35" i="335"/>
  <c r="G53" i="335"/>
  <c r="J182" i="357"/>
  <c r="L132" i="335"/>
  <c r="L133" i="335" s="1"/>
  <c r="E49" i="333"/>
  <c r="K231" i="353"/>
  <c r="L230" i="353"/>
  <c r="N230" i="353" s="1"/>
  <c r="F53" i="335"/>
  <c r="G205" i="353" s="1"/>
  <c r="G202" i="353" s="1"/>
  <c r="L202" i="353" s="1"/>
  <c r="M132" i="335"/>
  <c r="F131" i="335"/>
  <c r="L41" i="353"/>
  <c r="H83" i="353"/>
  <c r="F62" i="335"/>
  <c r="E46" i="335"/>
  <c r="Q136" i="353"/>
  <c r="H112" i="353"/>
  <c r="K72" i="353"/>
  <c r="F69" i="353"/>
  <c r="K70" i="353"/>
  <c r="K78" i="353"/>
  <c r="K77" i="353"/>
  <c r="K73" i="353"/>
  <c r="K79" i="353"/>
  <c r="K74" i="353"/>
  <c r="K75" i="353"/>
  <c r="K81" i="353"/>
  <c r="K71" i="353"/>
  <c r="K76" i="353"/>
  <c r="K80" i="353"/>
  <c r="I147" i="353"/>
  <c r="H147" i="353"/>
  <c r="F130" i="335"/>
  <c r="I132" i="335"/>
  <c r="H172" i="353"/>
  <c r="I172" i="353"/>
  <c r="G89" i="353"/>
  <c r="I150" i="353"/>
  <c r="H150" i="353"/>
  <c r="K154" i="335"/>
  <c r="K163" i="335" s="1"/>
  <c r="K8" i="335" s="1"/>
  <c r="K9" i="335" s="1"/>
  <c r="L8" i="335"/>
  <c r="L9" i="335" s="1"/>
  <c r="G95" i="353"/>
  <c r="I95" i="353" s="1"/>
  <c r="E167" i="335"/>
  <c r="F78" i="335"/>
  <c r="L133" i="353"/>
  <c r="G133" i="353" s="1"/>
  <c r="H139" i="353"/>
  <c r="I139" i="353"/>
  <c r="K79" i="335"/>
  <c r="P129" i="353"/>
  <c r="S132" i="353"/>
  <c r="R132" i="353"/>
  <c r="P131" i="353"/>
  <c r="I82" i="333"/>
  <c r="K82" i="333" s="1"/>
  <c r="K70" i="333"/>
  <c r="H148" i="353"/>
  <c r="I148" i="353"/>
  <c r="I161" i="353"/>
  <c r="H161" i="353"/>
  <c r="E130" i="335"/>
  <c r="H132" i="335"/>
  <c r="H133" i="335" s="1"/>
  <c r="R137" i="353"/>
  <c r="S137" i="353"/>
  <c r="P136" i="353"/>
  <c r="I142" i="353"/>
  <c r="H142" i="353"/>
  <c r="I237" i="353"/>
  <c r="H237" i="353"/>
  <c r="F236" i="353"/>
  <c r="G57" i="333"/>
  <c r="D10" i="333"/>
  <c r="M75" i="335"/>
  <c r="M84" i="335" s="1"/>
  <c r="M114" i="335"/>
  <c r="M143" i="353"/>
  <c r="F143" i="353"/>
  <c r="N143" i="353"/>
  <c r="O7" i="335"/>
  <c r="C21" i="333"/>
  <c r="E21" i="333" s="1"/>
  <c r="H21" i="333"/>
  <c r="I146" i="353"/>
  <c r="H146" i="353"/>
  <c r="D82" i="333"/>
  <c r="D70" i="333"/>
  <c r="H49" i="353"/>
  <c r="I49" i="353"/>
  <c r="R143" i="353"/>
  <c r="S143" i="353"/>
  <c r="N211" i="353"/>
  <c r="M211" i="353"/>
  <c r="E62" i="335"/>
  <c r="I115" i="335"/>
  <c r="L132" i="353"/>
  <c r="F74" i="335"/>
  <c r="K173" i="335"/>
  <c r="E28" i="335"/>
  <c r="H223" i="353"/>
  <c r="I223" i="353"/>
  <c r="J9" i="335"/>
  <c r="G8" i="335"/>
  <c r="G11" i="353"/>
  <c r="L83" i="335"/>
  <c r="Q130" i="353"/>
  <c r="G70" i="353"/>
  <c r="H70" i="353" s="1"/>
  <c r="L114" i="335"/>
  <c r="Q128" i="353"/>
  <c r="L75" i="335"/>
  <c r="K203" i="353"/>
  <c r="M203" i="353" s="1"/>
  <c r="I194" i="353"/>
  <c r="H194" i="353"/>
  <c r="F193" i="353"/>
  <c r="K209" i="353" s="1"/>
  <c r="I138" i="353"/>
  <c r="H138" i="353"/>
  <c r="G76" i="335"/>
  <c r="J115" i="335"/>
  <c r="G74" i="335"/>
  <c r="I23" i="353"/>
  <c r="F22" i="353"/>
  <c r="H23" i="353"/>
  <c r="E74" i="335"/>
  <c r="H115" i="335"/>
  <c r="K132" i="353"/>
  <c r="H98" i="353"/>
  <c r="I98" i="353"/>
  <c r="H209" i="353"/>
  <c r="I209" i="353"/>
  <c r="F166" i="335"/>
  <c r="I173" i="335"/>
  <c r="L231" i="353"/>
  <c r="N231" i="353" s="1"/>
  <c r="I224" i="353"/>
  <c r="H224" i="353"/>
  <c r="I213" i="353"/>
  <c r="H213" i="353"/>
  <c r="I96" i="353"/>
  <c r="K83" i="335"/>
  <c r="P130" i="353"/>
  <c r="E52" i="333"/>
  <c r="F46" i="335"/>
  <c r="G22" i="353"/>
  <c r="G21" i="353" s="1"/>
  <c r="G166" i="353" s="1"/>
  <c r="N204" i="353"/>
  <c r="M204" i="353"/>
  <c r="G62" i="335"/>
  <c r="L232" i="353"/>
  <c r="N232" i="353" s="1"/>
  <c r="I32" i="353"/>
  <c r="H32" i="353"/>
  <c r="C1048" i="349"/>
  <c r="B1048" i="349"/>
  <c r="Q20" i="338" s="1"/>
  <c r="D30" i="334"/>
  <c r="G41" i="334"/>
  <c r="D41" i="334" s="1"/>
  <c r="E64" i="333"/>
  <c r="E53" i="335"/>
  <c r="E80" i="335"/>
  <c r="K130" i="353"/>
  <c r="K132" i="335"/>
  <c r="K133" i="335" s="1"/>
  <c r="E133" i="335"/>
  <c r="F167" i="335"/>
  <c r="E82" i="335"/>
  <c r="K134" i="353"/>
  <c r="I13" i="353"/>
  <c r="F12" i="353"/>
  <c r="H13" i="353"/>
  <c r="G39" i="353"/>
  <c r="F154" i="335"/>
  <c r="G108" i="353" s="1"/>
  <c r="G107" i="353" s="1"/>
  <c r="I163" i="335"/>
  <c r="E76" i="335"/>
  <c r="K129" i="353"/>
  <c r="J91" i="357"/>
  <c r="G92" i="353"/>
  <c r="I57" i="333"/>
  <c r="K10" i="333"/>
  <c r="G187" i="335"/>
  <c r="H149" i="353"/>
  <c r="I149" i="353"/>
  <c r="K41" i="353"/>
  <c r="I40" i="353"/>
  <c r="H40" i="353"/>
  <c r="F39" i="353"/>
  <c r="K133" i="353"/>
  <c r="E78" i="335"/>
  <c r="F217" i="353"/>
  <c r="H218" i="353"/>
  <c r="I218" i="353"/>
  <c r="H140" i="353"/>
  <c r="I140" i="353"/>
  <c r="E92" i="334"/>
  <c r="F137" i="353"/>
  <c r="N137" i="353"/>
  <c r="M137" i="353"/>
  <c r="K136" i="353"/>
  <c r="I144" i="353"/>
  <c r="H144" i="353"/>
  <c r="E28" i="334"/>
  <c r="I43" i="353"/>
  <c r="H43" i="353"/>
  <c r="G130" i="335"/>
  <c r="J132" i="335"/>
  <c r="H33" i="353"/>
  <c r="F168" i="353"/>
  <c r="I33" i="353"/>
  <c r="E81" i="333"/>
  <c r="I141" i="353"/>
  <c r="H141" i="353"/>
  <c r="K30" i="334"/>
  <c r="C1094" i="349"/>
  <c r="Q34" i="338"/>
  <c r="B1094" i="349"/>
  <c r="I41" i="334"/>
  <c r="L79" i="335"/>
  <c r="Q129" i="353"/>
  <c r="J114" i="335"/>
  <c r="G72" i="335"/>
  <c r="I114" i="335"/>
  <c r="L128" i="353"/>
  <c r="F72" i="335"/>
  <c r="G137" i="353"/>
  <c r="L136" i="353"/>
  <c r="G136" i="353" s="1"/>
  <c r="I72" i="353"/>
  <c r="H72" i="353"/>
  <c r="F92" i="353"/>
  <c r="H93" i="353"/>
  <c r="I93" i="353"/>
  <c r="F76" i="335"/>
  <c r="L129" i="353"/>
  <c r="I112" i="353"/>
  <c r="H145" i="353"/>
  <c r="I145" i="353"/>
  <c r="D49" i="338"/>
  <c r="F49" i="338" s="1"/>
  <c r="G49" i="338" s="1"/>
  <c r="F171" i="353"/>
  <c r="I90" i="353"/>
  <c r="F89" i="353"/>
  <c r="H90" i="353"/>
  <c r="H119" i="353"/>
  <c r="I119" i="353"/>
  <c r="K75" i="335"/>
  <c r="K84" i="335" s="1"/>
  <c r="P128" i="353"/>
  <c r="K114" i="335"/>
  <c r="I117" i="353"/>
  <c r="H117" i="353"/>
  <c r="F82" i="333"/>
  <c r="C70" i="333"/>
  <c r="H70" i="333"/>
  <c r="L134" i="353"/>
  <c r="G134" i="353" s="1"/>
  <c r="F82" i="335"/>
  <c r="I20" i="353"/>
  <c r="H20" i="353"/>
  <c r="E131" i="335"/>
  <c r="C10" i="333"/>
  <c r="F57" i="333"/>
  <c r="H10" i="333"/>
  <c r="F80" i="335"/>
  <c r="L130" i="353"/>
  <c r="H114" i="335"/>
  <c r="K128" i="353"/>
  <c r="E72" i="335"/>
  <c r="H49" i="338"/>
  <c r="J49" i="338" s="1"/>
  <c r="K49" i="338" s="1"/>
  <c r="G171" i="353"/>
  <c r="G173" i="353" s="1"/>
  <c r="H15" i="353"/>
  <c r="I15" i="353"/>
  <c r="E166" i="335"/>
  <c r="H173" i="335"/>
  <c r="D173" i="335" s="1"/>
  <c r="O173" i="335" s="1"/>
  <c r="I19" i="353"/>
  <c r="H19" i="353"/>
  <c r="H229" i="353"/>
  <c r="I229" i="353"/>
  <c r="K229" i="353"/>
  <c r="Q19" i="338"/>
  <c r="H30" i="334"/>
  <c r="C1047" i="349"/>
  <c r="C30" i="334"/>
  <c r="B1047" i="349"/>
  <c r="F41" i="334"/>
  <c r="I222" i="353"/>
  <c r="H222" i="353"/>
  <c r="E74" i="334"/>
  <c r="G166" i="335"/>
  <c r="J173" i="335"/>
  <c r="G46" i="335"/>
  <c r="G143" i="353"/>
  <c r="E16" i="333"/>
  <c r="M212" i="353"/>
  <c r="N212" i="353"/>
  <c r="G173" i="335" l="1"/>
  <c r="S161" i="353"/>
  <c r="M230" i="353"/>
  <c r="M210" i="353"/>
  <c r="G130" i="353"/>
  <c r="E30" i="334"/>
  <c r="E70" i="333"/>
  <c r="E10" i="333"/>
  <c r="L72" i="353"/>
  <c r="D132" i="335"/>
  <c r="O132" i="335" s="1"/>
  <c r="M232" i="353"/>
  <c r="H127" i="335"/>
  <c r="H116" i="335"/>
  <c r="E114" i="335"/>
  <c r="C57" i="333"/>
  <c r="F86" i="333"/>
  <c r="H57" i="333"/>
  <c r="K127" i="335"/>
  <c r="K128" i="335" s="1"/>
  <c r="K116" i="335"/>
  <c r="G114" i="335"/>
  <c r="J127" i="335"/>
  <c r="J116" i="335"/>
  <c r="I168" i="353"/>
  <c r="H168" i="353"/>
  <c r="H137" i="353"/>
  <c r="I137" i="353"/>
  <c r="F133" i="353"/>
  <c r="N133" i="353"/>
  <c r="M133" i="353"/>
  <c r="J89" i="357"/>
  <c r="J85" i="357" s="1"/>
  <c r="J84" i="357" s="1"/>
  <c r="I154" i="357"/>
  <c r="M154" i="357" s="1"/>
  <c r="J154" i="357"/>
  <c r="D57" i="333"/>
  <c r="G86" i="333"/>
  <c r="M231" i="353"/>
  <c r="G88" i="353"/>
  <c r="L89" i="353" s="1"/>
  <c r="N203" i="353"/>
  <c r="H82" i="333"/>
  <c r="C82" i="333"/>
  <c r="E82" i="333" s="1"/>
  <c r="R128" i="353"/>
  <c r="S128" i="353"/>
  <c r="P127" i="353"/>
  <c r="H171" i="353"/>
  <c r="I171" i="353"/>
  <c r="G128" i="353"/>
  <c r="L127" i="353"/>
  <c r="N136" i="353"/>
  <c r="M136" i="353"/>
  <c r="F136" i="353"/>
  <c r="H39" i="353"/>
  <c r="I39" i="353"/>
  <c r="K57" i="333"/>
  <c r="I86" i="333"/>
  <c r="N129" i="353"/>
  <c r="M129" i="353"/>
  <c r="F129" i="353"/>
  <c r="F134" i="353"/>
  <c r="M134" i="353"/>
  <c r="N134" i="353"/>
  <c r="F205" i="353"/>
  <c r="B53" i="335"/>
  <c r="R130" i="353"/>
  <c r="S130" i="353"/>
  <c r="F132" i="353"/>
  <c r="K131" i="353"/>
  <c r="N132" i="353"/>
  <c r="M132" i="353"/>
  <c r="L84" i="335"/>
  <c r="G10" i="353"/>
  <c r="M116" i="335"/>
  <c r="M127" i="335"/>
  <c r="I236" i="353"/>
  <c r="F235" i="353"/>
  <c r="H236" i="353"/>
  <c r="R131" i="353"/>
  <c r="S131" i="353"/>
  <c r="F173" i="353"/>
  <c r="K112" i="335"/>
  <c r="G129" i="353"/>
  <c r="I127" i="335"/>
  <c r="F114" i="335"/>
  <c r="I116" i="335"/>
  <c r="G132" i="335"/>
  <c r="H217" i="353"/>
  <c r="I217" i="353"/>
  <c r="F216" i="353"/>
  <c r="G176" i="353"/>
  <c r="G167" i="353"/>
  <c r="G177" i="353"/>
  <c r="E115" i="335"/>
  <c r="G115" i="335"/>
  <c r="Q127" i="353"/>
  <c r="G69" i="353"/>
  <c r="I69" i="353" s="1"/>
  <c r="L70" i="353"/>
  <c r="L77" i="353"/>
  <c r="L75" i="353"/>
  <c r="L71" i="353"/>
  <c r="L81" i="353"/>
  <c r="L79" i="353"/>
  <c r="L78" i="353"/>
  <c r="L74" i="353"/>
  <c r="L73" i="353"/>
  <c r="L76" i="353"/>
  <c r="L80" i="353"/>
  <c r="G132" i="353"/>
  <c r="L131" i="353"/>
  <c r="M112" i="335"/>
  <c r="R136" i="353"/>
  <c r="S136" i="353"/>
  <c r="R129" i="353"/>
  <c r="S129" i="353"/>
  <c r="H95" i="353"/>
  <c r="H41" i="334"/>
  <c r="C41" i="334"/>
  <c r="E41" i="334" s="1"/>
  <c r="F94" i="334"/>
  <c r="M229" i="353"/>
  <c r="N229" i="353"/>
  <c r="F128" i="353"/>
  <c r="M128" i="353"/>
  <c r="N128" i="353"/>
  <c r="K127" i="353"/>
  <c r="I89" i="353"/>
  <c r="H89" i="353"/>
  <c r="H92" i="353"/>
  <c r="I92" i="353"/>
  <c r="I94" i="334"/>
  <c r="K41" i="334"/>
  <c r="H154" i="335"/>
  <c r="I8" i="335"/>
  <c r="F11" i="353"/>
  <c r="I12" i="353"/>
  <c r="H12" i="353"/>
  <c r="N130" i="353"/>
  <c r="F130" i="353"/>
  <c r="M130" i="353"/>
  <c r="N209" i="353"/>
  <c r="M209" i="353"/>
  <c r="F21" i="353"/>
  <c r="H22" i="353"/>
  <c r="I22" i="353"/>
  <c r="I193" i="353"/>
  <c r="H193" i="353"/>
  <c r="L116" i="335"/>
  <c r="L127" i="335"/>
  <c r="J20" i="335"/>
  <c r="G9" i="335"/>
  <c r="F115" i="335"/>
  <c r="I143" i="353"/>
  <c r="H143" i="353"/>
  <c r="I70" i="353"/>
  <c r="L95" i="353" l="1"/>
  <c r="F10" i="353"/>
  <c r="I11" i="353"/>
  <c r="H11" i="353"/>
  <c r="F127" i="335"/>
  <c r="H235" i="353"/>
  <c r="I235" i="353"/>
  <c r="J73" i="335"/>
  <c r="J75" i="335" s="1"/>
  <c r="J81" i="335"/>
  <c r="J83" i="335" s="1"/>
  <c r="G83" i="335" s="1"/>
  <c r="J77" i="335"/>
  <c r="J79" i="335" s="1"/>
  <c r="G79" i="335" s="1"/>
  <c r="I9" i="335"/>
  <c r="F8" i="335"/>
  <c r="H69" i="353"/>
  <c r="Q135" i="353"/>
  <c r="Q153" i="353" s="1"/>
  <c r="Q155" i="353"/>
  <c r="H216" i="353"/>
  <c r="I216" i="353"/>
  <c r="L112" i="335"/>
  <c r="I132" i="353"/>
  <c r="H132" i="353"/>
  <c r="I205" i="353"/>
  <c r="H205" i="353"/>
  <c r="F202" i="353"/>
  <c r="H129" i="353"/>
  <c r="I129" i="353"/>
  <c r="I136" i="353"/>
  <c r="H136" i="353"/>
  <c r="D86" i="333"/>
  <c r="G88" i="333"/>
  <c r="I133" i="353"/>
  <c r="H133" i="353"/>
  <c r="E57" i="333"/>
  <c r="H130" i="353"/>
  <c r="I130" i="353"/>
  <c r="H173" i="353"/>
  <c r="I173" i="353"/>
  <c r="M131" i="353"/>
  <c r="N131" i="353"/>
  <c r="F131" i="353"/>
  <c r="K86" i="333"/>
  <c r="I88" i="333"/>
  <c r="K88" i="333" s="1"/>
  <c r="E154" i="335"/>
  <c r="F108" i="353" s="1"/>
  <c r="H163" i="335"/>
  <c r="M94" i="334"/>
  <c r="M109" i="335"/>
  <c r="M111" i="335" s="1"/>
  <c r="M102" i="335"/>
  <c r="M106" i="335" s="1"/>
  <c r="F116" i="335"/>
  <c r="G116" i="335"/>
  <c r="G131" i="353"/>
  <c r="G178" i="353"/>
  <c r="G179" i="353"/>
  <c r="K102" i="335"/>
  <c r="K106" i="335" s="1"/>
  <c r="K109" i="335"/>
  <c r="K111" i="335" s="1"/>
  <c r="L92" i="353"/>
  <c r="L88" i="353"/>
  <c r="L100" i="353"/>
  <c r="L106" i="353"/>
  <c r="L91" i="353"/>
  <c r="L101" i="353"/>
  <c r="L94" i="353"/>
  <c r="L103" i="353"/>
  <c r="L104" i="353"/>
  <c r="L102" i="353"/>
  <c r="L99" i="353"/>
  <c r="L105" i="353"/>
  <c r="L97" i="353"/>
  <c r="L90" i="353"/>
  <c r="L93" i="353"/>
  <c r="L96" i="353"/>
  <c r="L98" i="353"/>
  <c r="L107" i="353"/>
  <c r="G127" i="335"/>
  <c r="E116" i="335"/>
  <c r="I128" i="353"/>
  <c r="H128" i="353"/>
  <c r="H21" i="353"/>
  <c r="I21" i="353"/>
  <c r="F166" i="353"/>
  <c r="M127" i="353"/>
  <c r="K135" i="353"/>
  <c r="F127" i="353"/>
  <c r="N127" i="353"/>
  <c r="H134" i="353"/>
  <c r="I134" i="353"/>
  <c r="G127" i="353"/>
  <c r="L135" i="353"/>
  <c r="P155" i="353"/>
  <c r="P135" i="353"/>
  <c r="S127" i="353"/>
  <c r="R127" i="353"/>
  <c r="F88" i="333"/>
  <c r="H86" i="333"/>
  <c r="C86" i="333"/>
  <c r="E127" i="335"/>
  <c r="E128" i="335" s="1"/>
  <c r="H128" i="335"/>
  <c r="G135" i="353" l="1"/>
  <c r="E86" i="333"/>
  <c r="H88" i="333"/>
  <c r="C88" i="333"/>
  <c r="B1325" i="349"/>
  <c r="F65" i="353"/>
  <c r="E124" i="335"/>
  <c r="C1325" i="349"/>
  <c r="F177" i="353"/>
  <c r="H166" i="353"/>
  <c r="F176" i="353"/>
  <c r="F167" i="353"/>
  <c r="I166" i="353"/>
  <c r="M120" i="335"/>
  <c r="H202" i="353"/>
  <c r="K202" i="353"/>
  <c r="I202" i="353"/>
  <c r="J84" i="335"/>
  <c r="G75" i="335"/>
  <c r="P153" i="353"/>
  <c r="S135" i="353"/>
  <c r="R135" i="353"/>
  <c r="H127" i="353"/>
  <c r="I127" i="353"/>
  <c r="K120" i="335"/>
  <c r="F9" i="335"/>
  <c r="I18" i="335"/>
  <c r="I20" i="335" s="1"/>
  <c r="K117" i="335"/>
  <c r="K107" i="335"/>
  <c r="H8" i="335"/>
  <c r="D163" i="335"/>
  <c r="O163" i="335" s="1"/>
  <c r="D88" i="333"/>
  <c r="F124" i="335"/>
  <c r="G65" i="353"/>
  <c r="G38" i="353" s="1"/>
  <c r="L109" i="335"/>
  <c r="L111" i="335" s="1"/>
  <c r="L102" i="335"/>
  <c r="L106" i="335" s="1"/>
  <c r="M135" i="353"/>
  <c r="F135" i="353"/>
  <c r="N135" i="353"/>
  <c r="M117" i="335"/>
  <c r="M107" i="335"/>
  <c r="H108" i="353"/>
  <c r="F107" i="353"/>
  <c r="I108" i="353"/>
  <c r="I131" i="353"/>
  <c r="H131" i="353"/>
  <c r="I10" i="353"/>
  <c r="H10" i="353"/>
  <c r="M126" i="335" l="1"/>
  <c r="M119" i="335"/>
  <c r="M121" i="335" s="1"/>
  <c r="M124" i="335" s="1"/>
  <c r="H177" i="353"/>
  <c r="I177" i="353"/>
  <c r="I107" i="353"/>
  <c r="H107" i="353"/>
  <c r="F88" i="353"/>
  <c r="K126" i="335"/>
  <c r="K119" i="335"/>
  <c r="K121" i="335" s="1"/>
  <c r="K124" i="335" s="1"/>
  <c r="S153" i="353"/>
  <c r="R153" i="353"/>
  <c r="I77" i="335"/>
  <c r="I79" i="335" s="1"/>
  <c r="F79" i="335" s="1"/>
  <c r="I73" i="335"/>
  <c r="I75" i="335" s="1"/>
  <c r="I81" i="335"/>
  <c r="I83" i="335" s="1"/>
  <c r="F83" i="335" s="1"/>
  <c r="I176" i="353"/>
  <c r="H176" i="353"/>
  <c r="G84" i="335"/>
  <c r="J112" i="335"/>
  <c r="I65" i="353"/>
  <c r="H65" i="353"/>
  <c r="F38" i="353"/>
  <c r="L117" i="335"/>
  <c r="L107" i="335"/>
  <c r="E88" i="333"/>
  <c r="L120" i="335"/>
  <c r="N202" i="353"/>
  <c r="M202" i="353"/>
  <c r="F178" i="353"/>
  <c r="F179" i="353"/>
  <c r="H167" i="353"/>
  <c r="I167" i="353"/>
  <c r="H135" i="353"/>
  <c r="I135" i="353"/>
  <c r="E8" i="335"/>
  <c r="H9" i="335"/>
  <c r="M133" i="335" l="1"/>
  <c r="M128" i="335"/>
  <c r="I84" i="335"/>
  <c r="F75" i="335"/>
  <c r="H18" i="335"/>
  <c r="H20" i="335" s="1"/>
  <c r="E9" i="335"/>
  <c r="O16" i="335" s="1"/>
  <c r="L126" i="335"/>
  <c r="L128" i="335" s="1"/>
  <c r="L119" i="335"/>
  <c r="L121" i="335" s="1"/>
  <c r="L124" i="335" s="1"/>
  <c r="I88" i="353"/>
  <c r="K88" i="353"/>
  <c r="H88" i="353"/>
  <c r="K103" i="353"/>
  <c r="K105" i="353"/>
  <c r="K96" i="353"/>
  <c r="K91" i="353"/>
  <c r="K94" i="353"/>
  <c r="K101" i="353"/>
  <c r="K97" i="353"/>
  <c r="K106" i="353"/>
  <c r="K99" i="353"/>
  <c r="K104" i="353"/>
  <c r="K100" i="353"/>
  <c r="K102" i="353"/>
  <c r="K95" i="353"/>
  <c r="K98" i="353"/>
  <c r="K90" i="353"/>
  <c r="K93" i="353"/>
  <c r="K92" i="353"/>
  <c r="K89" i="353"/>
  <c r="H179" i="353"/>
  <c r="I179" i="353"/>
  <c r="H38" i="353"/>
  <c r="I38" i="353"/>
  <c r="J109" i="335"/>
  <c r="J111" i="335" s="1"/>
  <c r="J102" i="335"/>
  <c r="K107" i="353"/>
  <c r="H178" i="353"/>
  <c r="I178" i="353"/>
  <c r="H73" i="335" l="1"/>
  <c r="H75" i="335" s="1"/>
  <c r="H77" i="335"/>
  <c r="H79" i="335" s="1"/>
  <c r="E79" i="335" s="1"/>
  <c r="H81" i="335"/>
  <c r="H83" i="335" s="1"/>
  <c r="E83" i="335" s="1"/>
  <c r="J106" i="335"/>
  <c r="J120" i="335" s="1"/>
  <c r="G120" i="335" s="1"/>
  <c r="J118" i="335"/>
  <c r="G118" i="335" s="1"/>
  <c r="I112" i="335"/>
  <c r="F84" i="335"/>
  <c r="J117" i="335" l="1"/>
  <c r="J107" i="335"/>
  <c r="J122" i="335" s="1"/>
  <c r="J135" i="335" s="1"/>
  <c r="I109" i="335"/>
  <c r="I111" i="335" s="1"/>
  <c r="I102" i="335"/>
  <c r="H84" i="335"/>
  <c r="E75" i="335"/>
  <c r="E84" i="335" l="1"/>
  <c r="H112" i="335"/>
  <c r="I106" i="335"/>
  <c r="I118" i="335"/>
  <c r="G122" i="335"/>
  <c r="G135" i="335" s="1"/>
  <c r="J139" i="335"/>
  <c r="G117" i="335"/>
  <c r="J126" i="335"/>
  <c r="J133" i="335" s="1"/>
  <c r="J119" i="335"/>
  <c r="G126" i="335" l="1"/>
  <c r="J128" i="335"/>
  <c r="L151" i="353"/>
  <c r="F118" i="335"/>
  <c r="G139" i="335"/>
  <c r="J143" i="335"/>
  <c r="J147" i="335"/>
  <c r="J148" i="335" s="1"/>
  <c r="I117" i="335"/>
  <c r="I107" i="335"/>
  <c r="I122" i="335" s="1"/>
  <c r="I135" i="335" s="1"/>
  <c r="J121" i="335"/>
  <c r="G119" i="335"/>
  <c r="I120" i="335"/>
  <c r="F120" i="335" s="1"/>
  <c r="H109" i="335"/>
  <c r="H111" i="335" s="1"/>
  <c r="H102" i="335"/>
  <c r="G128" i="335" l="1"/>
  <c r="G133" i="335"/>
  <c r="G151" i="353"/>
  <c r="L153" i="353"/>
  <c r="G153" i="353" s="1"/>
  <c r="H118" i="335"/>
  <c r="H106" i="335"/>
  <c r="G121" i="335"/>
  <c r="J124" i="335"/>
  <c r="G124" i="335" s="1"/>
  <c r="I137" i="335"/>
  <c r="G143" i="335"/>
  <c r="L152" i="353"/>
  <c r="G152" i="353" s="1"/>
  <c r="I139" i="335"/>
  <c r="F139" i="335" s="1"/>
  <c r="G118" i="353" s="1"/>
  <c r="F117" i="335"/>
  <c r="I126" i="335"/>
  <c r="I133" i="335" s="1"/>
  <c r="I119" i="335"/>
  <c r="F126" i="335" l="1"/>
  <c r="I128" i="335"/>
  <c r="G155" i="353"/>
  <c r="H120" i="335"/>
  <c r="E120" i="335" s="1"/>
  <c r="H117" i="335"/>
  <c r="H107" i="335"/>
  <c r="H122" i="335" s="1"/>
  <c r="I143" i="335"/>
  <c r="I147" i="335"/>
  <c r="I148" i="335" s="1"/>
  <c r="F137" i="335"/>
  <c r="G116" i="353" s="1"/>
  <c r="G115" i="353" s="1"/>
  <c r="G87" i="353" s="1"/>
  <c r="E118" i="335"/>
  <c r="K151" i="353"/>
  <c r="F119" i="335"/>
  <c r="I121" i="335"/>
  <c r="L155" i="353"/>
  <c r="F133" i="335" l="1"/>
  <c r="F128" i="335"/>
  <c r="N151" i="353"/>
  <c r="F151" i="353"/>
  <c r="M151" i="353"/>
  <c r="L161" i="353"/>
  <c r="H137" i="335"/>
  <c r="H139" i="335"/>
  <c r="E139" i="335" s="1"/>
  <c r="F118" i="353" s="1"/>
  <c r="K152" i="353"/>
  <c r="D122" i="335"/>
  <c r="I124" i="335"/>
  <c r="F121" i="335"/>
  <c r="E117" i="335"/>
  <c r="H126" i="335"/>
  <c r="E126" i="335" s="1"/>
  <c r="H119" i="335"/>
  <c r="O122" i="335" l="1"/>
  <c r="K153" i="353"/>
  <c r="F152" i="353"/>
  <c r="F155" i="353" s="1"/>
  <c r="N152" i="353"/>
  <c r="M152" i="353"/>
  <c r="K155" i="353"/>
  <c r="I118" i="353"/>
  <c r="H118" i="353"/>
  <c r="H121" i="335"/>
  <c r="E119" i="335"/>
  <c r="E137" i="335"/>
  <c r="F116" i="353" s="1"/>
  <c r="H147" i="335"/>
  <c r="H148" i="335" s="1"/>
  <c r="H143" i="335"/>
  <c r="I151" i="353"/>
  <c r="H151" i="353"/>
  <c r="F115" i="353" l="1"/>
  <c r="I116" i="353"/>
  <c r="H116" i="353"/>
  <c r="H152" i="353"/>
  <c r="I152" i="353"/>
  <c r="M153" i="353"/>
  <c r="N153" i="353"/>
  <c r="F153" i="353"/>
  <c r="K161" i="353"/>
  <c r="D143" i="335"/>
  <c r="O143" i="335" s="1"/>
  <c r="E121" i="335"/>
  <c r="H124" i="335"/>
  <c r="D124" i="335" s="1"/>
  <c r="O124" i="335" l="1"/>
  <c r="D3" i="335"/>
  <c r="H153" i="353"/>
  <c r="I153" i="353"/>
  <c r="M161" i="353"/>
  <c r="N161" i="353"/>
  <c r="I115" i="353"/>
  <c r="H115" i="353"/>
  <c r="F87" i="353"/>
  <c r="H87" i="353" l="1"/>
  <c r="I87" i="353"/>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16">
    <s v="ThisWorkbookDataModel"/>
    <s v="[v50_Daten_BRBV].[Spalte].[e]"/>
    <s v="[v50_Daten_BRBV].[Spalte].[f]"/>
    <s v="[v50_Daten_BRBV].[Spalte].[h]"/>
    <s v="[v50_Daten_BRBV].[Spalte].[i]"/>
    <s v="{[Referenz].[74],[Referenz].[71]} "/>
    <s v="[v50_Daten_BRBV].[Spalte].[j]"/>
    <s v="[v50_Daten_BRBV].[Spalte].[k]"/>
    <s v="[v50_Daten_BRBV].[Spalte].[g]"/>
    <s v="[v50_Daten_BRBV].[Spalte].[d]"/>
    <s v="[v50_Daten_BRBV].[Spalte].[c]"/>
    <s v="[v50_Daten_BRBV].[Spalte].[b]"/>
    <s v="[v50_Daten_BRBV].[Spalte].[l]"/>
    <s v="[v50_Daten_BRBV].[Spalte].[m]"/>
    <s v="[v50_Daten_BRBV].[Spalte].[n]"/>
    <s v="{[Referenz].[103],[Referenz].[105],[Referenz].[110],[Referenz].[110a]  }"/>
  </metadataStrings>
  <mdxMetadata count="15">
    <mdx n="0" f="s">
      <ms ns="1" c="0"/>
    </mdx>
    <mdx n="0" f="s">
      <ms ns="2" c="0"/>
    </mdx>
    <mdx n="0" f="s">
      <ms ns="3" c="0"/>
    </mdx>
    <mdx n="0" f="s">
      <ms ns="4" c="0"/>
    </mdx>
    <mdx n="0" f="s">
      <ms ns="5" c="0"/>
    </mdx>
    <mdx n="0" f="s">
      <ms ns="6" c="0"/>
    </mdx>
    <mdx n="0" f="s">
      <ms ns="7" c="0"/>
    </mdx>
    <mdx n="0" f="s">
      <ms ns="8" c="0"/>
    </mdx>
    <mdx n="0" f="s">
      <ms ns="9" c="0"/>
    </mdx>
    <mdx n="0" f="s">
      <ms ns="10" c="0"/>
    </mdx>
    <mdx n="0" f="s">
      <ms ns="11" c="0"/>
    </mdx>
    <mdx n="0" f="s">
      <ms ns="12" c="0"/>
    </mdx>
    <mdx n="0" f="s">
      <ms ns="13" c="0"/>
    </mdx>
    <mdx n="0" f="s">
      <ms ns="14" c="0"/>
    </mdx>
    <mdx n="0" f="s">
      <ms ns="15" c="0"/>
    </mdx>
  </mdxMetadata>
  <valueMetadata count="15">
    <bk>
      <rc t="1" v="0"/>
    </bk>
    <bk>
      <rc t="1" v="1"/>
    </bk>
    <bk>
      <rc t="1" v="2"/>
    </bk>
    <bk>
      <rc t="1" v="3"/>
    </bk>
    <bk>
      <rc t="1" v="4"/>
    </bk>
    <bk>
      <rc t="1" v="5"/>
    </bk>
    <bk>
      <rc t="1" v="6"/>
    </bk>
    <bk>
      <rc t="1" v="7"/>
    </bk>
    <bk>
      <rc t="1" v="8"/>
    </bk>
    <bk>
      <rc t="1" v="9"/>
    </bk>
    <bk>
      <rc t="1" v="10"/>
    </bk>
    <bk>
      <rc t="1" v="11"/>
    </bk>
    <bk>
      <rc t="1" v="12"/>
    </bk>
    <bk>
      <rc t="1" v="13"/>
    </bk>
    <bk>
      <rc t="1" v="14"/>
    </bk>
  </valueMetadata>
</metadata>
</file>

<file path=xl/sharedStrings.xml><?xml version="1.0" encoding="utf-8"?>
<sst xmlns="http://schemas.openxmlformats.org/spreadsheetml/2006/main" count="5451" uniqueCount="4230">
  <si>
    <t>Schuldscheindarlehen und Schuldbuchforderungen</t>
  </si>
  <si>
    <t>Hypothekenforderungen</t>
  </si>
  <si>
    <t xml:space="preserve">Policendarlehen </t>
  </si>
  <si>
    <t>Sonstige Aufwendungen (-)</t>
  </si>
  <si>
    <t>Festgelder und ähnliche Kapitalanlagen</t>
  </si>
  <si>
    <t>Hedge Funds</t>
  </si>
  <si>
    <t>Private Equity</t>
  </si>
  <si>
    <t>Flüssige Mittel</t>
  </si>
  <si>
    <t>Sonstige Kapitalanlagen</t>
  </si>
  <si>
    <t>Andere Forderungen</t>
  </si>
  <si>
    <t>Sachanlagen</t>
  </si>
  <si>
    <t>Sonstige Vermögensgegenstände</t>
  </si>
  <si>
    <t>Aktivierte Abschlusskosten</t>
  </si>
  <si>
    <t>Nachrangige Verbindlichkeiten und hybrides Kapital</t>
  </si>
  <si>
    <t>Aktive</t>
  </si>
  <si>
    <t xml:space="preserve">        Männer, Anzahl </t>
  </si>
  <si>
    <t xml:space="preserve">        Männer, total Altersguthaben in 1000 CHF</t>
  </si>
  <si>
    <t xml:space="preserve">        Frauen, Anzahl</t>
  </si>
  <si>
    <t xml:space="preserve">        Frauen, total Altersguthaben in 1000 CHF</t>
  </si>
  <si>
    <t>Neuzugang</t>
  </si>
  <si>
    <t xml:space="preserve">        Anzahl Versicherte</t>
  </si>
  <si>
    <t xml:space="preserve">        Prämien in 1000 CHF</t>
  </si>
  <si>
    <t>Austritte und Vertragsauflösungen</t>
  </si>
  <si>
    <t xml:space="preserve">        Männer, Anzahl</t>
  </si>
  <si>
    <t xml:space="preserve">        Freizügigkeitsleistungen an M in 1000 CHF</t>
  </si>
  <si>
    <t xml:space="preserve">        Freizügigkeitsleistungen an F in 1000 CHF</t>
  </si>
  <si>
    <t>Pensionierung</t>
  </si>
  <si>
    <t xml:space="preserve">        Kapitalleistungen an M in 1000 CHF</t>
  </si>
  <si>
    <t xml:space="preserve">        Rentensumme im Obligatorium bei M in 1000 CHF</t>
  </si>
  <si>
    <t xml:space="preserve">        Rentensumme im Überobligatorium bei M in 1000 CHF</t>
  </si>
  <si>
    <t xml:space="preserve">        Kapitalleistungen an F in 1000 CHF</t>
  </si>
  <si>
    <t xml:space="preserve">        Rentensumme im Überobligatorium bei F in 1000 CHF</t>
  </si>
  <si>
    <t>Angaben zur Bestandesstruktur in der beruflichen Vorsorge, Teil 3</t>
  </si>
  <si>
    <t>Weitere bestandesstatistische Angaben, Forts.</t>
  </si>
  <si>
    <t>Tod</t>
  </si>
  <si>
    <t>47a</t>
  </si>
  <si>
    <t>Summe der Ertragskomponenten</t>
  </si>
  <si>
    <t>Summe der Aufwendungen</t>
  </si>
  <si>
    <t>Jahresergebnis  = 49 - 50</t>
  </si>
  <si>
    <t>Den Kapitalanlagen zugeordneter Zinsaufwand</t>
  </si>
  <si>
    <t>Total Kapitalanlagen für eigene Rechnung 
 = Summe von 53 bis 75</t>
  </si>
  <si>
    <t>Total Kapitalanlagen für eigene und fremde Rechnung 
 = 76 + 78</t>
  </si>
  <si>
    <t>Total übrige Aktiven  = Summe von 80 bis 86</t>
  </si>
  <si>
    <t xml:space="preserve">  Anteil der Rückversicherer am Subtotal 1, Zeile 102</t>
  </si>
  <si>
    <t>Gesetzlich vorgeschriebene Schwankungsrückstellungen (brutto)</t>
  </si>
  <si>
    <t>Übertrag  = 89 + 90 + 116</t>
  </si>
  <si>
    <t>Freie Schwankungsrückstellungen (brutto)</t>
  </si>
  <si>
    <t>108a</t>
  </si>
  <si>
    <t>157+172=ER, 11</t>
  </si>
  <si>
    <t>Bilanz  -  Passiven  -  Teil 2</t>
  </si>
  <si>
    <t>Steuerrückstellungen</t>
  </si>
  <si>
    <t>Übrige Rückstellungen</t>
  </si>
  <si>
    <t>Verbindlichkeiten gegenüber Versicherungsnehmern</t>
  </si>
  <si>
    <t>Prämiendepots und vorausbezahle Prämien</t>
  </si>
  <si>
    <t>f</t>
  </si>
  <si>
    <t>Lebensversicherungsunternehmen:</t>
  </si>
  <si>
    <t>Freizügigkeitspolicen (FZP)</t>
  </si>
  <si>
    <t>d</t>
  </si>
  <si>
    <t>e</t>
  </si>
  <si>
    <t>Nominalwert</t>
  </si>
  <si>
    <t>Niederstw. Anschaffungsw. /Net asset value</t>
  </si>
  <si>
    <t>Net asset value</t>
  </si>
  <si>
    <t>Steuer-/Handelsrechtliche Abschreibungen</t>
  </si>
  <si>
    <t>Abschreibungen nach internat. Standard</t>
  </si>
  <si>
    <t>Invalidierung</t>
  </si>
  <si>
    <t>Total</t>
  </si>
  <si>
    <t>a</t>
  </si>
  <si>
    <t>Risikoprämien</t>
  </si>
  <si>
    <t>Kostenprämien</t>
  </si>
  <si>
    <t>Betriebsrechnung der beruflichen Vorsorge des Schweizergeschäfts</t>
  </si>
  <si>
    <t>Berichtsjahr (BJ):</t>
  </si>
  <si>
    <t>Erfolgsrechnung, Teil 1</t>
  </si>
  <si>
    <t>Erfolgsrechnung, Teil 2</t>
  </si>
  <si>
    <t>Bilanz, Aktiven</t>
  </si>
  <si>
    <t>Bilanz, Passiven, Teil 1</t>
  </si>
  <si>
    <t>Bilanz, Passiven, Teil 2</t>
  </si>
  <si>
    <t>Technische Zerlegung des Ergebnisses, Teil 1</t>
  </si>
  <si>
    <t>Technische Zerlegung des Ergebnisses, Teil 2</t>
  </si>
  <si>
    <t>Technische Zerlegung des Ergebnisses, Teil 3</t>
  </si>
  <si>
    <t>Technische Zerlegung des Ergebnisses, Teil 4</t>
  </si>
  <si>
    <t>Technische Zerlegung des Ergebnisses, Teil 5</t>
  </si>
  <si>
    <t>Bilanzierungsgrundsätze</t>
  </si>
  <si>
    <t>Bewertungsreserven berufliche Vorsorge</t>
  </si>
  <si>
    <t>Bewertungsreserven übriges Geschäft</t>
  </si>
  <si>
    <t>Offenlegungsschema in 1000 CHF</t>
  </si>
  <si>
    <t>Bruttoprämien gebucht</t>
  </si>
  <si>
    <t>Kosten für zusätzlich aufgenommenes Risikokapital</t>
  </si>
  <si>
    <t>Anteil am Gesamtertrag in %</t>
  </si>
  <si>
    <t>Ausgewiesenes Eigenkapital (Differenzposten gemäss Richtlinie)</t>
  </si>
  <si>
    <t>Rückversicherungsergebnis (Gewinn positiv dargestellt)</t>
  </si>
  <si>
    <t>Sparprozess (Kapitalanlageertrag)</t>
  </si>
  <si>
    <t>Risikoprozess (Risikoprämien)</t>
  </si>
  <si>
    <t>Kostenprozess (Kostenprämien)</t>
  </si>
  <si>
    <t>Sparprozess (hauptsächlich techn. Verzinsung)</t>
  </si>
  <si>
    <t>Kostenprozess (hauptsächlich Verwaltungskosten)</t>
  </si>
  <si>
    <t>Ausschüttungsquote</t>
  </si>
  <si>
    <t>VI.  Nachweis zur Einhaltung der Mindestquote (MQ)</t>
  </si>
  <si>
    <t>Sonstige versicherungstechnische Erträge</t>
  </si>
  <si>
    <t>Leistungen infolge Alter, Tod und Invalidität</t>
  </si>
  <si>
    <t>Freizügigkeitsleistungen</t>
  </si>
  <si>
    <t>Rückkaufswerte zufolge Vertragsauflösungen</t>
  </si>
  <si>
    <t>Leistungsbearbeitungsaufwendungen</t>
  </si>
  <si>
    <t>Abschlussaufwendungen</t>
  </si>
  <si>
    <t>Den Versicherungsnehmern zugeteilte Überschussanteile</t>
  </si>
  <si>
    <t>Kapitalanlageerträge</t>
  </si>
  <si>
    <t>der Sektion an, der sie angehören. Die Schrift ist fett und blau.</t>
  </si>
  <si>
    <t>Gewinn aus Veräusserungen</t>
  </si>
  <si>
    <t>Verlust aus Veräusserungen</t>
  </si>
  <si>
    <t>Zuschreibungen</t>
  </si>
  <si>
    <t>Auflösung von technischen Rückstellungen 
nach Geschäftsplan  = 209 (falls negativ) + 212</t>
  </si>
  <si>
    <t>Auflösung nicht mehr benötigter Rückstellungen (Pos. 207)</t>
  </si>
  <si>
    <t>Auflösung (+) von techn. Rückstellungen nach Geschäftsplan</t>
  </si>
  <si>
    <t>Abschreibungen</t>
  </si>
  <si>
    <t>Aufwendungen für Liegenschaften</t>
  </si>
  <si>
    <t>Übertrag  = 117</t>
  </si>
  <si>
    <t>ER, 25</t>
  </si>
  <si>
    <t>Aufwand für garantierte nicht ausfinanzierte Rentenanteile</t>
  </si>
  <si>
    <t>Ertrag im Risikoprozess (Risikokomponente)
= 160 + 161 + 162</t>
  </si>
  <si>
    <t>Anzahl Freizügigkeitspolicen</t>
  </si>
  <si>
    <t>Anzahl Versicherte insgesamt</t>
  </si>
  <si>
    <t>Anzahl Rentenbezüger</t>
  </si>
  <si>
    <t>in %:</t>
  </si>
  <si>
    <t>Tarifzins / Zwischentotal</t>
  </si>
  <si>
    <t>Kapitalanlageertrag brutto / Kapitalanlageertrag netto</t>
  </si>
  <si>
    <t>III.  Überschussfonds</t>
  </si>
  <si>
    <t>V.  Weitere Kennzahlen</t>
  </si>
  <si>
    <t>IV.  Teuerungsfonds</t>
  </si>
  <si>
    <t>Zuweisung an den Überschussfonds</t>
  </si>
  <si>
    <t>Rekapitulation des Betriebsergebnisses</t>
  </si>
  <si>
    <t>Anteil des der Mindestquote unterstellten Geschäfts</t>
  </si>
  <si>
    <t>Anteil des der Mindestquote nicht unterstellten Geschäfts</t>
  </si>
  <si>
    <t>Ertrag im Kostenprozess (Kostenkomponente)
= 176</t>
  </si>
  <si>
    <t>Saldo aus den übrigen Erfolgsposten (Verlustsaldo = +)</t>
  </si>
  <si>
    <t>Ergebnis aus Kostenprozess  = 177 - 182</t>
  </si>
  <si>
    <t>Saldo aus dem Sparprozess</t>
  </si>
  <si>
    <t>Sparkomponente = 142</t>
  </si>
  <si>
    <t>Ausschüttungsquote x Sparkomponente  = 184 x 185</t>
  </si>
  <si>
    <t xml:space="preserve">        - davon Anteil des Überobligatoriums in 1000 CHF</t>
  </si>
  <si>
    <t xml:space="preserve">        - davon Abgang infolge Vertragsauflösung</t>
  </si>
  <si>
    <t xml:space="preserve">        - davon Anteil infolge Vertragsauflösung in 1000 CHF</t>
  </si>
  <si>
    <t xml:space="preserve">        - davon haben Kapitaloption ausgeübt</t>
  </si>
  <si>
    <t xml:space="preserve">        M, Kapitalleistungen an Hinterbliebene in 1000 CHF</t>
  </si>
  <si>
    <t xml:space="preserve">        M, verrentete Hinterbliebene, Summe der Neurenten in 1000 CHF</t>
  </si>
  <si>
    <t xml:space="preserve">        F, Kapitalleistungen an Hinterbliebene in 1000 CHF</t>
  </si>
  <si>
    <t xml:space="preserve">        F, verrentete Hinterbliebene, Summe der Neurenten in 1000 CHF</t>
  </si>
  <si>
    <t xml:space="preserve">        M, Kapitalleistungen in 1000 CHF</t>
  </si>
  <si>
    <t xml:space="preserve">        F, Kapitalleistungen in 1000 CHF</t>
  </si>
  <si>
    <t>Darl. an Unternehmen mit denen ein Beteiligungsverhältnis besteht</t>
  </si>
  <si>
    <t>Kostenamortisations-Methode linear*</t>
  </si>
  <si>
    <t>Kostenamortisations-Methode wissenschaftlich*</t>
  </si>
  <si>
    <t>Saldo Sparprozess  = ( 186 resp. 185 ) - 187</t>
  </si>
  <si>
    <t>Saldo aus dem  Risikoprozess</t>
  </si>
  <si>
    <t>Risikokomponente = 163</t>
  </si>
  <si>
    <t>Ausschüttungsquote x Risikokomponente  = 184 x 189</t>
  </si>
  <si>
    <t>Saldo Risikoprozess  = ( 190 resp. 189 ) - 191</t>
  </si>
  <si>
    <t>Saldo aus dem Kostenprozess</t>
  </si>
  <si>
    <t>Kostenkomponente = 177</t>
  </si>
  <si>
    <t>181a</t>
  </si>
  <si>
    <t>ER 22a</t>
  </si>
  <si>
    <t>Sparprozess (Art. 143 AVO)</t>
  </si>
  <si>
    <t>Risikoprozess (Art. 144 AVO)</t>
  </si>
  <si>
    <t>Fortsetzung Risikoprozess (Art. 144 AVO)</t>
  </si>
  <si>
    <t>Kostenprozess (Art. 145 AVO)</t>
  </si>
  <si>
    <t>Ausschüttungsquote und ihre Verwendung, aufgegliedert nach Komponenten (Art. 147 und 148 AVO)</t>
  </si>
  <si>
    <t>Verfahren bei positivem Gesamtsaldo (Art. 149 AVO)</t>
  </si>
  <si>
    <t>Kosten für zusätzlich aufgenommenes Risikokapital (Art. 149 Abs. 1 Buchst. b und Abs. 3 AVO)</t>
  </si>
  <si>
    <t>Verfahren bei negativem Gesamtsaldo (Art. 150 AVO)</t>
  </si>
  <si>
    <t>Zuweisung an Überschussfonds zug. Versicherungs-
nehmer (Art. 149 Abs. 1 Buchst. c AVO)</t>
  </si>
  <si>
    <t>D.  Sonderfälle Art. 146 AVO:   Zuweisung oder Entnahme aus Überschussfonds gemäss vertraglicher Regelung und Geschäftsplan</t>
  </si>
  <si>
    <t>Ein allfälliges Defizit darf max. im Umfang des vorhandenen Überschussfonds auf neue Rechnung vorgetragen werden (Art. 150 Buchst. c AVO).</t>
  </si>
  <si>
    <t>Ist das Defizit höher, muss der überschiessende Teil aus freien Eigenmitteln gedeckt werden (Art. 150 Buchst. d AVO). In diesem Falle ist das BPV zu konsultieren.</t>
  </si>
  <si>
    <t>Fortschreibung des Überschussfonds (Art. 151 AVO)</t>
  </si>
  <si>
    <t>Einhaltung der Zweidrittelsregelung (Art. 153 Abs. 1 AVO)</t>
  </si>
  <si>
    <t>Aufgliederung der Verträge (Art. 146 AVO)</t>
  </si>
  <si>
    <t>Ergebnis der Umsetzung der Drehtürprinzip-Regelung 
nach Art. 16a BVV2</t>
  </si>
  <si>
    <t>Ausschüttungsquote x Kostenkomponente  = 184 x 193</t>
  </si>
  <si>
    <t>Saldo Kostenprozess  = ( 194 resp. 193 ) - 195</t>
  </si>
  <si>
    <t>Summe der Saldi aus Spar-, Risiko- und Kostenprozess  
= 188 + 192 + 196  (= Gesamtsaldo)</t>
  </si>
  <si>
    <t>Positiver Gesamtsaldo?</t>
  </si>
  <si>
    <t>Das Langlebigkeitsrisiko bei Altersrenten (Ziff. 1)</t>
  </si>
  <si>
    <t>Deckungslücken bei Rentenumwandlung (Ziff. 2)</t>
  </si>
  <si>
    <t>Schadenschwankungen (Ziff. 5)</t>
  </si>
  <si>
    <t>Wertschwankungen der Kapitalanlagen (Ziff. 6)</t>
  </si>
  <si>
    <t>Zinsgarantien (Ziff. 7)</t>
  </si>
  <si>
    <t>Tarifumstellungen und -sanierungen (Ziff. 8)</t>
  </si>
  <si>
    <t>Negativer Saldo?</t>
  </si>
  <si>
    <t xml:space="preserve">   Ja:     Ergebnisbasierte Mindestquote
   Nein:  Ertragsbasierte Mindestquote</t>
  </si>
  <si>
    <t>Ertrag</t>
  </si>
  <si>
    <t>Übriger Ertrag (zusammengefasst)</t>
  </si>
  <si>
    <t>Übriger Aufwand (zusammengefasst)</t>
  </si>
  <si>
    <t>Aufwand</t>
  </si>
  <si>
    <t>Gesamtertrag</t>
  </si>
  <si>
    <t>Gesamtaufwand</t>
  </si>
  <si>
    <t>Rekapitulation und Aufteilung des Rechnungsergebnisses</t>
  </si>
  <si>
    <t>Summe der Ertragskomponenten  = 185 + 189 + 193</t>
  </si>
  <si>
    <t>Bruttoergebnis  = 217 - 218</t>
  </si>
  <si>
    <t>ER, 26</t>
  </si>
  <si>
    <t>Legende der Zuweisungsregeln:</t>
  </si>
  <si>
    <t>Der Mindestquote unterstellt</t>
  </si>
  <si>
    <t>Kapitalanlagen für fremde Rechnung</t>
  </si>
  <si>
    <t>BIL, 78</t>
  </si>
  <si>
    <t>A.  Ertragsbasierte Mindestquote:   Verbleibender Gesamtsaldo (210)</t>
  </si>
  <si>
    <t>B.  Ergebnisbasierte Sonderregelung nach Zeile 149:   Ausschüttungsquote (184, mindestens 90%) x Zwischenergebnis (221)</t>
  </si>
  <si>
    <t>C.  Negativer Gesamtsaldo (197):   Keine Zuweisung</t>
  </si>
  <si>
    <t>ER, 51</t>
  </si>
  <si>
    <t>Regeln:</t>
  </si>
  <si>
    <t>Gesamtleistung an die Versicherten
= 218 + 220 - 223 + 225</t>
  </si>
  <si>
    <t>Gesamtertrag  = 217</t>
  </si>
  <si>
    <t>Gesamtleistung an die Versicherten 
in % des Gesamtertrags  = 228 in % von 229</t>
  </si>
  <si>
    <t>Total Risikoprämien  = 163</t>
  </si>
  <si>
    <t>Total Kostenprämien  = 177</t>
  </si>
  <si>
    <t>Prämientotal brutto verdient  = 231 + 232 + 233</t>
  </si>
  <si>
    <t>ER, 3</t>
  </si>
  <si>
    <t>Gesamtleistung an die Versicherten 
in % des Gesamtprämientotals  = 228 in % von 234</t>
  </si>
  <si>
    <t>Altersguthaben, DK der Rentenbezüger und DK der Freizügigkeits-
policen total</t>
  </si>
  <si>
    <t>Zuweisung an den Überschussfonds 
in % des DK total  = 225 in % von 236</t>
  </si>
  <si>
    <t>Stand Ende Vorjahr</t>
  </si>
  <si>
    <t>Zuweisung aus der Betriebsrechnung  = 225</t>
  </si>
  <si>
    <t>ER, 28</t>
  </si>
  <si>
    <t>ER, 29</t>
  </si>
  <si>
    <t>BIL, 112 + 113</t>
  </si>
  <si>
    <t>Zwei Drittel von Stand Jahresbeginn (Pos. 238 + 239) + Zuweisung (Pos. 240)</t>
  </si>
  <si>
    <t>Zweidrittelsregelung eingehalten? Wenn nein, bitte begründen.
(Entnahme Pos. 241 kleiner oder gleich Pos. 245)</t>
  </si>
  <si>
    <t>Verteilung der Überschussausschüttung (Pos. 241)</t>
  </si>
  <si>
    <t>Direkte Zuteilung an Versicherte mittels Erhöhung des Deckungskapitals oder Gutschrift zur verzinslichen Ansammlung</t>
  </si>
  <si>
    <t>Zuteilung an Vorsorgeeinrichtung oder Vorsorgewerk 
gemäss Beschluss des paritätischen Organs</t>
  </si>
  <si>
    <t>Tarifzins  = 153</t>
  </si>
  <si>
    <t>Formel links</t>
  </si>
  <si>
    <t>Formel rechts</t>
  </si>
  <si>
    <t>BIL, 106</t>
  </si>
  <si>
    <t>Angaben zur Bestandesstruktur in der beruflichen Vorsorge, Teil 1</t>
  </si>
  <si>
    <t>Anzahl Verträge und Versicherte</t>
  </si>
  <si>
    <t>Davon:   Frauen</t>
  </si>
  <si>
    <t>in 1000 CHF</t>
  </si>
  <si>
    <t>in % von Pos. 264</t>
  </si>
  <si>
    <t>Angaben zur Bestandesstruktur in der beruflichen Vorsorge, Teil 2</t>
  </si>
  <si>
    <t>Weitere bestandesstatistische Angaben</t>
  </si>
  <si>
    <t>Berichtsjahr:</t>
  </si>
  <si>
    <t>g</t>
  </si>
  <si>
    <t>h</t>
  </si>
  <si>
    <t>i</t>
  </si>
  <si>
    <t>j</t>
  </si>
  <si>
    <t>Schweizergeschäft</t>
  </si>
  <si>
    <t>+/- in %</t>
  </si>
  <si>
    <t>Übriges Geschäft</t>
  </si>
  <si>
    <t>Zusatzangaben im BJ</t>
  </si>
  <si>
    <t>BJ</t>
  </si>
  <si>
    <t>BJ-1</t>
  </si>
  <si>
    <t>Bruttoprämien verdient  = 1 - 2</t>
  </si>
  <si>
    <t>Verdiente Prämien für eigene Rechnung  = 3 - 4</t>
  </si>
  <si>
    <t>Versicherungsleistungen total  = 7 + 8 + 9</t>
  </si>
  <si>
    <t>143a</t>
  </si>
  <si>
    <t xml:space="preserve">    Die Überrendite kann, sofern vertraglich vereinbart, sowohl dem individuell berechneten Deckungskapital der Versicherten (Thesaurierung) als auch dem Versicherungsnehmer zur reglementarischen Weiterverwendung zugeteilt werden.</t>
  </si>
  <si>
    <t xml:space="preserve">     Berufliche Vorsorge:   Überschüsse dürfen nur über den Überschussfonds abgewickelt werden (neue AVO Art. 152), sofern es sich nicht um die vertragliche Verpflichtung zur Ausrichtung der Überrendite handelt.</t>
  </si>
  <si>
    <t>Übertrag  = 31</t>
  </si>
  <si>
    <t>I.  Erfolgsrechnung</t>
  </si>
  <si>
    <t>Betriebsergebnis</t>
  </si>
  <si>
    <t>Betriebsrechnung berufliche Vorsorge</t>
  </si>
  <si>
    <t>Kapitalanlagen</t>
  </si>
  <si>
    <t>Aktiven</t>
  </si>
  <si>
    <t>Passiven</t>
  </si>
  <si>
    <t>Altersguthaben</t>
  </si>
  <si>
    <t>Währungsergebnis auf Kapitalanlagen (+ = Gewinn)</t>
  </si>
  <si>
    <t>Erfolg aus Kapitalanlagen für eigene Rechnung  
= 33 + 34 - 35 + 36 - 37 + 38</t>
  </si>
  <si>
    <t>Davon Erfolg aus als "Separate Account" verwalteten Kapanlagen</t>
  </si>
  <si>
    <t>Grundstücke, Bauten (inkl. selbstgenutzte Liegenschaften)</t>
  </si>
  <si>
    <t>Festverzinsliche Wertpapiere inländischer Schuldner</t>
  </si>
  <si>
    <t>Festverzinsliche Wertpapiere ausländischer Schuldner in CHF</t>
  </si>
  <si>
    <t>Festverzinsliche Wertpapiere in Fremdwährungen</t>
  </si>
  <si>
    <t>Davon als "Separate Account" verwaltete Kapitalanlagen</t>
  </si>
  <si>
    <t>Depotforderungen aus dem in Rückdeckung 
  übernommenen Versicherungsgeschäft</t>
  </si>
  <si>
    <t>Forderungen gegenüber verb. Unternehmen und Beteiligungen</t>
  </si>
  <si>
    <t>Sachanlagen (ausser Grundstücken und Bauten)</t>
  </si>
  <si>
    <t>Excel-Tabelle</t>
  </si>
  <si>
    <t>ER</t>
  </si>
  <si>
    <t>BILANZ</t>
  </si>
  <si>
    <t>TECHN ZERLEGUNG</t>
  </si>
  <si>
    <t>BESTANDESSTATISTIK</t>
  </si>
  <si>
    <t>BILANZIERUNGSGRUNDSAETZE</t>
  </si>
  <si>
    <t>BEWERTUNGSRESERVEN</t>
  </si>
  <si>
    <t>BIL, 91 + 92 + 
94 + 96 + 98 
+ 99</t>
  </si>
  <si>
    <t>Sonstige Rechnungsabgrenzungsposten (inkl.
vorausbezahlte Versicherungsleistungen)</t>
  </si>
  <si>
    <t>Prämienüberträge (brutto)</t>
  </si>
  <si>
    <t>DK (brutto) - Sonstige Verstärkungen</t>
  </si>
  <si>
    <t>Sonstige versicherungstechnische Rückstellungen (brutto)</t>
  </si>
  <si>
    <t>Gutgeschriebene Überschussanteile der Versicherten (brutto)</t>
  </si>
  <si>
    <t>Überschussfonds (brutto): fest zugeteilt</t>
  </si>
  <si>
    <t>Überschussfonds (brutto): freier Teil</t>
  </si>
  <si>
    <t>OFFENLEGUNGSSCHEMA</t>
  </si>
  <si>
    <t xml:space="preserve">Lebensversicherungsunternehmen:  </t>
  </si>
  <si>
    <t>Depotverbindlichkeiten aus dem in Rückdeckung 
gegebenen Versicherungsgeschäft</t>
  </si>
  <si>
    <t>Darlehen von verbundenen Unternehmen und Beteiligungen</t>
  </si>
  <si>
    <t>Verbindlichkeiten gegenüber verbundenen Unternehmen
und Beteiligungen</t>
  </si>
  <si>
    <t>k</t>
  </si>
  <si>
    <t>Abstimmen</t>
  </si>
  <si>
    <t>mit Position</t>
  </si>
  <si>
    <t>Der Mindestquote unsterstellt</t>
  </si>
  <si>
    <t>Der Mindestquote nicht unterstellt</t>
  </si>
  <si>
    <t>BJ-2</t>
  </si>
  <si>
    <t>ER, 33</t>
  </si>
  <si>
    <t>ER, 34 - 35</t>
  </si>
  <si>
    <t>ER, 36 - 37</t>
  </si>
  <si>
    <t>ER, 38</t>
  </si>
  <si>
    <t>ER, 41</t>
  </si>
  <si>
    <t>Konvertible Anleihensverbindlichkeiten</t>
  </si>
  <si>
    <t>Nicht konvertible Anleihensverbindlichkeiten</t>
  </si>
  <si>
    <t xml:space="preserve">Andere Verbindlichkeiten </t>
  </si>
  <si>
    <t>Rechnungsabgrenzungsposten</t>
  </si>
  <si>
    <t xml:space="preserve">  &lt;&lt; Bitte bei Pos. 226 einstellen !</t>
  </si>
  <si>
    <t>BVG-Mindestzinssatz</t>
  </si>
  <si>
    <t>Risikoprämien Todesfall</t>
  </si>
  <si>
    <t>Risikoprämien Invalidität</t>
  </si>
  <si>
    <t>Versicherungsleistungen Todesfall</t>
  </si>
  <si>
    <t>Techn. Zerlegung des Ergebnisses, Teil 2</t>
  </si>
  <si>
    <t>Versicherungsleistungen Invalidität</t>
  </si>
  <si>
    <t>Techn. Zerlegung des Ergebnisses, Teil 3</t>
  </si>
  <si>
    <t>Techn. Zerlegung des Ergebnisses, Teil 4</t>
  </si>
  <si>
    <t>Total Sparprämien</t>
  </si>
  <si>
    <t>Techn. Zerlegung des Ergebnisses, Teil 5</t>
  </si>
  <si>
    <t>Umteilungen grüne Zone &lt;--&gt; gelbe Zone zu Jahresbeginn</t>
  </si>
  <si>
    <t xml:space="preserve">        Verrentete Männer, Summe der Neurenten in 1000 CHF</t>
  </si>
  <si>
    <t xml:space="preserve">        Verrentete Frauen, Summe der Neurenten in 1000 CHF</t>
  </si>
  <si>
    <t>Rentenbezüger</t>
  </si>
  <si>
    <t xml:space="preserve">        Altersrenten Männer, Anzahl</t>
  </si>
  <si>
    <t xml:space="preserve">        Altersrenten Männer, Jahresrentensumme in 1000 CHF</t>
  </si>
  <si>
    <t xml:space="preserve">        Altersrenten Frauen, Anzahl</t>
  </si>
  <si>
    <t xml:space="preserve">        Altersrenten Frauen, Jahresrentensumme in 1000 CHF</t>
  </si>
  <si>
    <t xml:space="preserve">        Witwenrenten, Anzahl</t>
  </si>
  <si>
    <t xml:space="preserve">        Witwenrenten, Jahresrentensumme in 1000 CHF</t>
  </si>
  <si>
    <t xml:space="preserve">        Witwerrenten, Anzahl</t>
  </si>
  <si>
    <t xml:space="preserve">        Witwerrenten, Jahresrentensumme in 1000 CHF</t>
  </si>
  <si>
    <t xml:space="preserve">        Waisenrenten, Anzahl</t>
  </si>
  <si>
    <t xml:space="preserve">        Waisenrenten, Jahresrentensumme in 1000 CHF</t>
  </si>
  <si>
    <t xml:space="preserve">        Invalidenrenten Männer, Anzahl</t>
  </si>
  <si>
    <t>Langlebigkeitsrisiko</t>
  </si>
  <si>
    <t>Deckungslücken bei Rentenumwandlung</t>
  </si>
  <si>
    <t>Schadenschwankungen</t>
  </si>
  <si>
    <t>Zinsgarantien</t>
  </si>
  <si>
    <t>Wertschwankungen Kapitalanlagen</t>
  </si>
  <si>
    <t>Tarifumstellungen und Tarifsanierungen</t>
  </si>
  <si>
    <t xml:space="preserve">        Invalidenrenten Männer, Jahresrentensumme in 1000 CHF</t>
  </si>
  <si>
    <t xml:space="preserve">        Invalidenrenten Frauen, Anzahl</t>
  </si>
  <si>
    <t xml:space="preserve">        Invalidenrenten Frauen, Jahresrentensumme in 1000 CHF</t>
  </si>
  <si>
    <t xml:space="preserve">        Invalidenkinderrenten, Anzahl</t>
  </si>
  <si>
    <t xml:space="preserve">        Invalidenkinderrenten, Jahresrentensumme in 1000 CHF</t>
  </si>
  <si>
    <t xml:space="preserve">        Übrige Renten, Anzahl</t>
  </si>
  <si>
    <t xml:space="preserve">        Übrige Renten, Jahresrentensumme in 1000 CHF</t>
  </si>
  <si>
    <t>Angaben zur Bestandesstruktur in der beruflichen Vorsorge, Teil 4</t>
  </si>
  <si>
    <t xml:space="preserve">Spezielle Angaben </t>
  </si>
  <si>
    <t>zu den Alters-, Hinterbliebenen- und Invalidenrenten</t>
  </si>
  <si>
    <t>Spezielle Angaben zu den laufenden Renten</t>
  </si>
  <si>
    <t xml:space="preserve">        Garantierte laufende Tarif-Altersrenten</t>
  </si>
  <si>
    <t xml:space="preserve">        - hiervon über Deckungskapitalführung finanziert</t>
  </si>
  <si>
    <t xml:space="preserve">        Garantierte laufende BVG-Überschuss-Altersrenten</t>
  </si>
  <si>
    <t xml:space="preserve">        - hiervon über laufende Erfolgsrechnung finanziert</t>
  </si>
  <si>
    <t xml:space="preserve">        Übrige laufende Überschuss-Altersrenten</t>
  </si>
  <si>
    <t xml:space="preserve">        Laufende Hinterbliebenenrenten</t>
  </si>
  <si>
    <t xml:space="preserve">        Laufende Invalidenrenten</t>
  </si>
  <si>
    <t>Rentenumwandlung bei Pensionierung</t>
  </si>
  <si>
    <t xml:space="preserve">        Ermittelter Verlust aus Rentenumwandlung</t>
  </si>
  <si>
    <t xml:space="preserve">        Geschätzter Verlust aus Rentenumwandlung</t>
  </si>
  <si>
    <t xml:space="preserve">        Geschätzter Nachreservierungsbedarf</t>
  </si>
  <si>
    <t>Bilanzierungsgrundsätze zu den immateriellen Aktiven, den Kapitalanlagen und den Sachanlagen</t>
  </si>
  <si>
    <t>Schweiz: Geschäft der beruflichen Vorsorge</t>
  </si>
  <si>
    <t>Darlehen an Unternehmen mit denen ein Beteiligungsverhältnis besteht</t>
  </si>
  <si>
    <t>Aktien und Anteile an Anlagefonds</t>
  </si>
  <si>
    <t>Festverzinsliche Wertpapiere</t>
  </si>
  <si>
    <t>Policendarlehen</t>
  </si>
  <si>
    <t>* individuelle Wertberichtigungen</t>
  </si>
  <si>
    <t>** strenges Niederstwertprinzip (ohne Aufwertungen)</t>
  </si>
  <si>
    <t>*** Niederstwertprinzip</t>
  </si>
  <si>
    <t>(Zahlen in 1000 CHF)</t>
  </si>
  <si>
    <t>Berichtsjahr</t>
  </si>
  <si>
    <t>Vorjahr</t>
  </si>
  <si>
    <t>Bewertungs-</t>
  </si>
  <si>
    <t>Buchwert übertragen aus den</t>
  </si>
  <si>
    <t>Spalten e (BJ) resp. f (BJ-1) von…</t>
  </si>
  <si>
    <t>Buchwert</t>
  </si>
  <si>
    <t>Marktwert</t>
  </si>
  <si>
    <t>reserven</t>
  </si>
  <si>
    <t>BIL, 53</t>
  </si>
  <si>
    <t>BIL, 54</t>
  </si>
  <si>
    <t>51a</t>
  </si>
  <si>
    <t>- rot, wenn nicht (solche Zellen sind abzustimmen)</t>
  </si>
  <si>
    <t>BIL, 55</t>
  </si>
  <si>
    <t>BIL, 57</t>
  </si>
  <si>
    <t>BIL, 60 + 61 + 62</t>
  </si>
  <si>
    <t>BIL, 64</t>
  </si>
  <si>
    <t>BIL, 65 + 66 + 67</t>
  </si>
  <si>
    <t>BIL, 72</t>
  </si>
  <si>
    <t>BIL, 73</t>
  </si>
  <si>
    <t>Offenlegungsschema gegenüber den versicherten Vorsorgeeinrichtungen</t>
  </si>
  <si>
    <t>Vorkolonne</t>
  </si>
  <si>
    <t>Hauptkolonne</t>
  </si>
  <si>
    <t>Dem Überschussfonds zugewiesene Überschussbeteiligung</t>
  </si>
  <si>
    <t>Stand am Ende des Berichtsjahrs  
= 238 + 239 + 240 - 241 + 241a - 242</t>
  </si>
  <si>
    <t>Ergebnis der Betriebsrechnung</t>
  </si>
  <si>
    <t>Dem Überschussfonds aus der Betriebsrechnung zugewiesen</t>
  </si>
  <si>
    <t>Stand am Ende des Rechnungsjahrs</t>
  </si>
  <si>
    <t>Kapitalanlagebestand zu Beginn des Rechnungsjahrs</t>
  </si>
  <si>
    <t>Hypotheken und andere Nominalwertforderungen</t>
  </si>
  <si>
    <t>Private Equity und Hedge Funds</t>
  </si>
  <si>
    <t>Anlagen in Beteiligungen und verbundenen Unternehmen</t>
  </si>
  <si>
    <t>Immobilien</t>
  </si>
  <si>
    <t>Anzahl Versicherte Ende Rechnungsjahr</t>
  </si>
  <si>
    <t>Keine immateriellen Aktiven aktiviert</t>
  </si>
  <si>
    <t>Planmässige Abschreibung 3 - 5 Jahre</t>
  </si>
  <si>
    <t>Planmässige Abschreibung 6 - 8 Jahre</t>
  </si>
  <si>
    <t>Planmässige Abschreibung über 8 Jahre</t>
  </si>
  <si>
    <t>Andere Bewertungsmethode (Kommentar)</t>
  </si>
  <si>
    <t>Steuerlich erlaubte Abschreibungen*</t>
  </si>
  <si>
    <t>Anschaffungskosten ohne Abschreibungen*</t>
  </si>
  <si>
    <t>Anschaffungswert ohne Abschreibungen*</t>
  </si>
  <si>
    <t>Net Asset Value</t>
  </si>
  <si>
    <t>Anschaffungswert planmässige Abschreibungen*</t>
  </si>
  <si>
    <t>Net Asset Value, falls tiefer als Anschaffungswert</t>
  </si>
  <si>
    <t>Nominalwert*</t>
  </si>
  <si>
    <t>Anschaffungswert abz. betriebsn. Abschreib.</t>
  </si>
  <si>
    <t>Net Asset Value falls tiefer als Anschaffungswert</t>
  </si>
  <si>
    <t>Nied.-wert ind.Anschaffungs-/Buch-/Marktwert**</t>
  </si>
  <si>
    <t>Nied.-wert ind.Anschaffungs-/Marktwert***</t>
  </si>
  <si>
    <t>Anschaffungswert</t>
  </si>
  <si>
    <t>Kein Buchwert als Folge Direktabschreibung</t>
  </si>
  <si>
    <t>Niederstwert Anschaffungs-/Marktwert</t>
  </si>
  <si>
    <t>Niederstwert Anschaffungs-/Buch-/Marktwert</t>
  </si>
  <si>
    <t>Mathematische Bewertung*</t>
  </si>
  <si>
    <t>Veränderung techn. Rückstellungen Todesfall (+ = Zunahme)</t>
  </si>
  <si>
    <t>Veränderung techn. Rückstellungen Invalidität (+ = Zunahme)</t>
  </si>
  <si>
    <t>Veränderung der Bewertungsreserven</t>
  </si>
  <si>
    <t>Bewertungsreserven</t>
  </si>
  <si>
    <t>Kapitalanlagebestand</t>
  </si>
  <si>
    <t>Bewertungsreserven zu Beginn des Rechnungsjahrs</t>
  </si>
  <si>
    <t>Bewertungsreserven am Ende des Rechnungsjahrs</t>
  </si>
  <si>
    <t>Abschlussaufwendungen (brutto)</t>
  </si>
  <si>
    <t>ER, 22</t>
  </si>
  <si>
    <t>Verbleibender Gesamtsaldo (positiv oder null)
= 197 - 208 - 209</t>
  </si>
  <si>
    <t>Nettoergebnis  = 221 + 223</t>
  </si>
  <si>
    <t>380a</t>
  </si>
  <si>
    <t>393a</t>
  </si>
  <si>
    <t>Legende zur Färbung der Zellen</t>
  </si>
  <si>
    <t>Berufliche Vorsorge (BV)</t>
  </si>
  <si>
    <t>241a</t>
  </si>
  <si>
    <t>Valorisationskorrektur</t>
  </si>
  <si>
    <t>Verbleibender Gesamtsaldo (negativ oder null)
= 197 + 212</t>
  </si>
  <si>
    <t>- oliv hinterlegt, falls sie gesperrt sind</t>
  </si>
  <si>
    <t>Berechnete Zellinhalte hinterlegt eine Erfassungstabelle jeweils</t>
  </si>
  <si>
    <t>Zellen sind hellgrün hinterlegt, wenn sie offenzulegen sind.</t>
  </si>
  <si>
    <t>Unterscheidung für die Pensionskassenstatistik</t>
  </si>
  <si>
    <t>Vollversicherungsverträge</t>
  </si>
  <si>
    <t>Reine Rentenbestände</t>
  </si>
  <si>
    <t xml:space="preserve">  &lt;&lt;&lt; Ausschüttungsquote einstellen</t>
  </si>
  <si>
    <t>Kurzname:</t>
  </si>
  <si>
    <t>Zellen zum Eintragen sind</t>
  </si>
  <si>
    <t>- hellblau hinterlegt für das Berichtsjahr</t>
  </si>
  <si>
    <t>- hellbraun hinterlegt für Vorjahresdaten</t>
  </si>
  <si>
    <t xml:space="preserve">Nach Dateneintrag nehmen die Zellen die Hintergrundfarbe </t>
  </si>
  <si>
    <t>Berechnete Zellen haben schwarze Schriftfarbe.</t>
  </si>
  <si>
    <t>- hellviolett, wenn sie mit einer anderen Tabelle abgestimmt sind</t>
  </si>
  <si>
    <t>Versicherungstechnische Rückstellungen brutto</t>
  </si>
  <si>
    <t>Registraturnummer:</t>
  </si>
  <si>
    <t>Verantwortliche Person (mit E-Mail):</t>
  </si>
  <si>
    <t xml:space="preserve">Legende der Bewertungsgrundsätze </t>
  </si>
  <si>
    <t>Verträge mit Einnahmen- und Ausgabenrechnung</t>
  </si>
  <si>
    <t>Verträge mit Separate Account</t>
  </si>
  <si>
    <t>Anzahl Verträge</t>
  </si>
  <si>
    <t>Überschussbet.</t>
  </si>
  <si>
    <t>Anz. Versicherte</t>
  </si>
  <si>
    <t>Zur Verfügung stehende Auswahl</t>
  </si>
  <si>
    <t>Gewählter Bewertungsgrundsatz</t>
  </si>
  <si>
    <t>b</t>
  </si>
  <si>
    <t>c</t>
  </si>
  <si>
    <t>Berufliche Vorsorge</t>
  </si>
  <si>
    <t>22a</t>
  </si>
  <si>
    <t>Ertrags- und Kapitalsteuern</t>
  </si>
  <si>
    <t>Bilanz  -  Aktiven</t>
  </si>
  <si>
    <t>Immaterielle Aktiven</t>
  </si>
  <si>
    <t>Grundstücke und Bauten</t>
  </si>
  <si>
    <t>Anteile an Immobiliengesellschaften</t>
  </si>
  <si>
    <t>Anteile an verbundenen Unternehmen</t>
  </si>
  <si>
    <t>Darlehen an verbundene Unternehmen</t>
  </si>
  <si>
    <t>Beteiligungen</t>
  </si>
  <si>
    <t>Darlehen an Muttergesellschaft und Aktionäre</t>
  </si>
  <si>
    <t>Zinsaufwand</t>
  </si>
  <si>
    <t>Schweizerische Aktien</t>
  </si>
  <si>
    <t>Ausländische Aktien</t>
  </si>
  <si>
    <t>Anteile an Anlagefonds</t>
  </si>
  <si>
    <t>Andere nicht festverzinsliche Wertpapiere</t>
  </si>
  <si>
    <t>Eigene Aktien</t>
  </si>
  <si>
    <t>Deckungskapital für laufende Alters- und Hinterbliebenenrenten</t>
  </si>
  <si>
    <t>Deckungskapital für laufende Invalidenrenten</t>
  </si>
  <si>
    <t>Rückstellung für eingetretene, noch nicht erledigte Versicherungsfälle</t>
  </si>
  <si>
    <t>Teuerungsfonds</t>
  </si>
  <si>
    <t>Gutgeschriebene Überschussanteile</t>
  </si>
  <si>
    <t>Risikoprozess (hauptsächlich Todesfall- und Inv.leistungen)</t>
  </si>
  <si>
    <t>Verzinsung der Altersguthaben</t>
  </si>
  <si>
    <t>348a</t>
  </si>
  <si>
    <t>348b</t>
  </si>
  <si>
    <t>Verwendete Parameter im Überobligatorium</t>
  </si>
  <si>
    <t>Zinssatz für die Verzinsung der Altersguthaben</t>
  </si>
  <si>
    <t>Direkte Kapitalanlageerträge</t>
  </si>
  <si>
    <t>Ergebnis aus Veräusserungen</t>
  </si>
  <si>
    <t>Währungsergebnis</t>
  </si>
  <si>
    <t>Saldo aus Zu- und Abschreibungen</t>
  </si>
  <si>
    <t>Bei pos. Gesamtsaldo und mit Zustimmung der FINMA:  
Kosten für Risikokapital</t>
  </si>
  <si>
    <t>Übrige techn. Rückstellungen / Zwischentotal</t>
  </si>
  <si>
    <t>Übrige versicherungstechnische Rückstellungen / Total</t>
  </si>
  <si>
    <t xml:space="preserve">        Im Überobl. bei M im Schlussalter 65 verwendeter Umwandlungssatz in Prozent</t>
  </si>
  <si>
    <t xml:space="preserve">        Im Überobl. bei F im Schlussalter 64 verwendeter Umwandlungssatz in Prozent</t>
  </si>
  <si>
    <t>271a</t>
  </si>
  <si>
    <t>Stop Loss-Verträge</t>
  </si>
  <si>
    <t>Verträge mit speziellen Gewinnformelabrechnungen</t>
  </si>
  <si>
    <t>Verträge mit liechtensteinischen Stiftungen</t>
  </si>
  <si>
    <t>21a</t>
  </si>
  <si>
    <t>Aufwendungen für Marketing und Werbung (brutto)</t>
  </si>
  <si>
    <t>Übrige Aufwendungen für die allg. Verwaltung (brutto)</t>
  </si>
  <si>
    <t>178a</t>
  </si>
  <si>
    <t>ER, 21a</t>
  </si>
  <si>
    <t>Aufwendungen für Marketing und Werbung</t>
  </si>
  <si>
    <t>Leistungsbearbeitungsaufwendungen / Leistungstotal</t>
  </si>
  <si>
    <t>Aufwendungen für den Versicherungsbetrieb  
= 20 - 21 + 21a + 22 - 22a</t>
  </si>
  <si>
    <t>Abschluss- und Verwaltungskosten brutto</t>
  </si>
  <si>
    <t>Kostenaufwand für aktive Versicherte</t>
  </si>
  <si>
    <t>Kostenaufwand für Freizügigkeitspolicen</t>
  </si>
  <si>
    <t>182a</t>
  </si>
  <si>
    <t>182b</t>
  </si>
  <si>
    <t>182c</t>
  </si>
  <si>
    <t>73a</t>
  </si>
  <si>
    <t>Guthaben aus derivaten Finanzinstrumenten</t>
  </si>
  <si>
    <t>130a</t>
  </si>
  <si>
    <t>Verpflichtungen aus derivaten Finanzinstrumenten</t>
  </si>
  <si>
    <t>101a</t>
  </si>
  <si>
    <t>101b</t>
  </si>
  <si>
    <t>167a</t>
  </si>
  <si>
    <t>167b</t>
  </si>
  <si>
    <t>169a</t>
  </si>
  <si>
    <t>169b</t>
  </si>
  <si>
    <t>Veränd. Rückst. für gemeldete noch nicht erl. Todesfälle (+ = Zunahme)</t>
  </si>
  <si>
    <t>Veränd. Rückst. für eingetr. noch nicht gem. Todesfälle (+ = Zunahme)</t>
  </si>
  <si>
    <t>Veränd. Rückst. für gem. noch nicht erl. Invaliditätsfälle (+ = Zunahme)</t>
  </si>
  <si>
    <t>Veränd. Rückst. für eingetret. noch nicht gem. Invaliditätsfälle (+ = Zun.)</t>
  </si>
  <si>
    <t>Subtotal techn. Rückstellungen 1
= Summe von 91 bis 101b</t>
  </si>
  <si>
    <t>171a</t>
  </si>
  <si>
    <t>171b</t>
  </si>
  <si>
    <t>14a</t>
  </si>
  <si>
    <t>14b</t>
  </si>
  <si>
    <t>14c</t>
  </si>
  <si>
    <t>14d</t>
  </si>
  <si>
    <t>14e</t>
  </si>
  <si>
    <t>14f</t>
  </si>
  <si>
    <t>Veränd. Altersguthaben brutto durch Zu- und Abgang von Verträgen</t>
  </si>
  <si>
    <t>Veränd. Altersguthaben brutto, ord. Beiträge und übr. Mutationen</t>
  </si>
  <si>
    <t>15a</t>
  </si>
  <si>
    <t>Veränd. Verstärkungen Rentendeckungskapital brutto (Zunahme = +)</t>
  </si>
  <si>
    <t>Veränderung DK laufende Invaliditäts-Renten brutto (Zunahme = +)</t>
  </si>
  <si>
    <t>Veränderung DK lauf. Hinterbliebenen-Renten brutto (Zunahme = +)</t>
  </si>
  <si>
    <t>Veränderung DK laufende Alters-Renten brutto (Zunahme = +)</t>
  </si>
  <si>
    <t>Veränderung DK Freizügigkeitspolicen brutto (Zunahme = +)</t>
  </si>
  <si>
    <t>Veränderung der Rückstellung für eingetretene, noch
nicht erledigte Versicherungsfälle brutto (Zunahme = +)</t>
  </si>
  <si>
    <t>Veränd. sonstige verstechn. Rückstellungen brutto (Zunahme = +)</t>
  </si>
  <si>
    <t>201a</t>
  </si>
  <si>
    <t>Verstärkungen: Äufnung (= +; Art. 149 Abs. 1 Buchst. a AVO) oder 
Auflösung (= -; Art. 149 Abs. 2 resp. 150 Buchst. a AVO) 
von geschäftsplanmässig vorgesehenen technischen Rückstellungen für:</t>
  </si>
  <si>
    <t>Veränderung DK übrige Deckungen brutto (Zunahme = +)</t>
  </si>
  <si>
    <t>Schweizerische und ausländische Aktien</t>
  </si>
  <si>
    <t>378a</t>
  </si>
  <si>
    <t>BIL, 73a - 130a</t>
  </si>
  <si>
    <t>391a</t>
  </si>
  <si>
    <t>BIL, 79 - 130a</t>
  </si>
  <si>
    <t>177a</t>
  </si>
  <si>
    <t>177b</t>
  </si>
  <si>
    <t>Kostenprämien für aktive Versicherte</t>
  </si>
  <si>
    <t>Kostenprämien für Freizügigkeitspolicen</t>
  </si>
  <si>
    <t>Kostenprämien aktive Versicherte absolut / pro Kopf in CHF</t>
  </si>
  <si>
    <t>Übrige Kostenprämien / Kostenprämien total</t>
  </si>
  <si>
    <t>Betriebsaufwand aktive Versicherte absolut / pro Kopf in CHF</t>
  </si>
  <si>
    <t>10a</t>
  </si>
  <si>
    <t>11a</t>
  </si>
  <si>
    <t>ER, -4+10a+11a+18</t>
  </si>
  <si>
    <t>182d</t>
  </si>
  <si>
    <t xml:space="preserve"> </t>
  </si>
  <si>
    <t>177c</t>
  </si>
  <si>
    <t>Übrige Aufwendungen für die allgemeine Verwaltung</t>
  </si>
  <si>
    <t>Anteil Rückversicherer am Betriebsaufwand / Total Betriebsaufwand netto</t>
  </si>
  <si>
    <t>Betriebsaufwand Freizügigkeitspolicen absolut / pro Kopf in CHF</t>
  </si>
  <si>
    <t>Betriebsaufwand Rentenbezüger absolut / pro Kopf in CHF</t>
  </si>
  <si>
    <t>Kostenprämien Freizügigkeitspolicen absolut / pro Police in CHF</t>
  </si>
  <si>
    <t>Guthaben aus derivativen Finanzinstrumenten</t>
  </si>
  <si>
    <t>Veränderung versicherungstechnische Rückstellungen brutto</t>
  </si>
  <si>
    <t>Versicherungsleistungen brutto</t>
  </si>
  <si>
    <t>Deckungskapital Freizügigkeitspolicen</t>
  </si>
  <si>
    <t>Obligatorium</t>
  </si>
  <si>
    <t>Überobligatorium</t>
  </si>
  <si>
    <t>Deckungskapitalverstärkung der laufenden Renten</t>
  </si>
  <si>
    <t>Betriebsaufwand für übrige Kostenträger / Total Betriebsaufwand netto</t>
  </si>
  <si>
    <t>Aufgliederung der Kostenprämien nach Kostenträgern</t>
  </si>
  <si>
    <t>Aufgliederung des Betriebsaufwands nach Kostenträgern</t>
  </si>
  <si>
    <t>Aufgliederung des Betriebsaufwands nach Kostenstellen</t>
  </si>
  <si>
    <t>Kosten der Vermögensbewirtschaftung / Total Kapitalanlageerträge netto</t>
  </si>
  <si>
    <t>Anzahl aktive Versicherte</t>
  </si>
  <si>
    <t xml:space="preserve">   Dem Überschussfonds zur Deckung eines Betriebsdefizits entnommen</t>
  </si>
  <si>
    <t xml:space="preserve">   Den Vorsorgeeinrichtungen zugeteilt / Zwischentotal</t>
  </si>
  <si>
    <t xml:space="preserve">   Aufwand für teuerungsbedingte Erhöhungen der Risikorenten</t>
  </si>
  <si>
    <t>Comptabilité de la prévoyance professionnelle, affaires suisses</t>
  </si>
  <si>
    <t>Institution d'assurance-vie:</t>
  </si>
  <si>
    <t>Nom abrégé:</t>
  </si>
  <si>
    <t>Personne responsable (avec email):</t>
  </si>
  <si>
    <t>Numéro de registre:</t>
  </si>
  <si>
    <t>Année d'exercice (AE):</t>
  </si>
  <si>
    <t>Feuille Excel</t>
  </si>
  <si>
    <t>Liste des pages à saisir</t>
  </si>
  <si>
    <t>CR</t>
  </si>
  <si>
    <t>Compte de résultat, Partie 1</t>
  </si>
  <si>
    <t>Compte de résultat, Partie 2</t>
  </si>
  <si>
    <t>BILAN</t>
  </si>
  <si>
    <t>Bilan, actifs</t>
  </si>
  <si>
    <t>Bilan, passifs, partie 1</t>
  </si>
  <si>
    <t>Bilan, passifs, partie 2</t>
  </si>
  <si>
    <t>ANALYSE TECHNIQUE</t>
  </si>
  <si>
    <t>Analyse technique du résultat, partie 1</t>
  </si>
  <si>
    <t>Analyse technique du résultat, partie 2</t>
  </si>
  <si>
    <t>Analyse technique du résultat, partie 3</t>
  </si>
  <si>
    <t>Analyse technique du résultat, partie 4</t>
  </si>
  <si>
    <t>Analyse technique du résultat, partie 5</t>
  </si>
  <si>
    <t>STRUCTURE DU PORTEFEUILLE</t>
  </si>
  <si>
    <t>PRINCIPES D'ETABL DU BILAN</t>
  </si>
  <si>
    <t>Principes d'établissement du bilan</t>
  </si>
  <si>
    <t>Réserves d'évaluation pour la prévoyance professionnelle</t>
  </si>
  <si>
    <t>Réserves d'évaluation pour les autres affaires</t>
  </si>
  <si>
    <t>PUB SCHEMA</t>
  </si>
  <si>
    <t>Légende des couleurs des cellules</t>
  </si>
  <si>
    <t>Les cellules à remplir sont de couleur:</t>
  </si>
  <si>
    <t>- bleu ciel pour l'année d'exercice</t>
  </si>
  <si>
    <t>- marron clair pour les années d'exercice antérieures</t>
  </si>
  <si>
    <t>- olive si elles sont verrouillées</t>
  </si>
  <si>
    <t>Dès l'entrée des données, les cellules prennent la couleur de la</t>
  </si>
  <si>
    <t>section à laquelle elles appartiennent. Le texte devient gras et bleu.</t>
  </si>
  <si>
    <t>Les cellules calculées ont un texte noir</t>
  </si>
  <si>
    <t>Une tabelle de saisie colore le fond d'une cellule calculée en</t>
  </si>
  <si>
    <t>- violet clair si il y a concordance avec une autre tabelle</t>
  </si>
  <si>
    <t>- rouge, si il n'y a pas concordance (à concorder svp)</t>
  </si>
  <si>
    <t>Le contenu des cellules vertes doit être publié.</t>
  </si>
  <si>
    <t>Prévoyance Professionnelle (PP)</t>
  </si>
  <si>
    <t>Affaires Suisses</t>
  </si>
  <si>
    <t>+/- en %</t>
  </si>
  <si>
    <t>Autres affaires</t>
  </si>
  <si>
    <t>AE</t>
  </si>
  <si>
    <t>AE-1</t>
  </si>
  <si>
    <t>Année d'exercice:</t>
  </si>
  <si>
    <t>Indic. suppl. pour l'AE</t>
  </si>
  <si>
    <t>Primes brutes comptabilisées</t>
  </si>
  <si>
    <t>Primes brutes acquises  = 1 - 2</t>
  </si>
  <si>
    <t>Primes brutes acquises pour compte propre  = 3 - 4</t>
  </si>
  <si>
    <t>Autres produits actuariels</t>
  </si>
  <si>
    <t>Prestations en cas de vieillesse, de décès et d'invalidité</t>
  </si>
  <si>
    <t>Prestations de libre passage</t>
  </si>
  <si>
    <t>Valeurs de rachat suite à des résiliations de contrat</t>
  </si>
  <si>
    <t>Prestations d'assurance payées  = 7 + 8 + 9</t>
  </si>
  <si>
    <t>Frais occasionnés par le traitement des prestations</t>
  </si>
  <si>
    <t>Var. des avoirs de vieill. brute, cotisations ord. et autres mutations</t>
  </si>
  <si>
    <t>Var. des avoirs de vieillesse brute par entrées et sorties de contrats</t>
  </si>
  <si>
    <t>Var. de la prov. math. brute des rentes de survivants en cours</t>
  </si>
  <si>
    <t>Var. de la prov. math. brute des rentes de vieillesse en cours</t>
  </si>
  <si>
    <t>Var. de la prov. math. brute des rentes d'invalidité</t>
  </si>
  <si>
    <t>Variation de la provision math. brute des autres couvertures</t>
  </si>
  <si>
    <t>Variation de la provision math. brute des polices de libre passage</t>
  </si>
  <si>
    <t>Variation de la provision pour sinistres survenus mais non encore liquidés (augmentation = +)</t>
  </si>
  <si>
    <t>Frais d'acquisition (bruts)</t>
  </si>
  <si>
    <t>Autres charges pour l'administration générale (brutes)</t>
  </si>
  <si>
    <t>Charges pour l'exploitation de l'assurance  
= 20 - 21 + 21a + 22 - 22a</t>
  </si>
  <si>
    <t>Parts d'excédents distribuées aux preneurs d'ass.</t>
  </si>
  <si>
    <t>Report = 31</t>
  </si>
  <si>
    <t>Bénéfice sur réalisations</t>
  </si>
  <si>
    <t>Perte sur réalisations</t>
  </si>
  <si>
    <t>Plus-values</t>
  </si>
  <si>
    <t>Amortissements</t>
  </si>
  <si>
    <t>Résultat monétaire sur les placements de capitaux (+ = bénéfice)</t>
  </si>
  <si>
    <t>Produits des placements de capitaux pour compte propre  
= 33 + 34 - 35 + 36 - 37 + 38</t>
  </si>
  <si>
    <t>Dont produits de placements gérés comme "Fonds cantonnés"</t>
  </si>
  <si>
    <t>Produits des placements de capitaux pour compte de tiers: Produits des placements pour contrats liés à des participations</t>
  </si>
  <si>
    <t>Charges d'intérêt des placements de capitaux</t>
  </si>
  <si>
    <t>Charges pour immeubles</t>
  </si>
  <si>
    <t>Autres charges (-)</t>
  </si>
  <si>
    <t>Impôts sur le revenu et le capital</t>
  </si>
  <si>
    <t>Résultat annuel  = 49 - 50</t>
  </si>
  <si>
    <t>Résultat de l'exécution du principe de la porte à tambour 
selon art. 16a OPP</t>
  </si>
  <si>
    <t xml:space="preserve">     Prévoyance professionnelle: Les excédents doivent être distribuées par l'intermédiaire du fonds d'excédents à moins qu'il s'agisse de l'obligation contractuelle visant le sur-rendement (art. 152, nouvelle OS).</t>
  </si>
  <si>
    <t xml:space="preserve">     A condition que le contrat le prévoit, le sur-rendement peut être crédité aussi bien à la provision mathématique des assurés, calculé individuellement (thésaurisation), qu'au preneur d'assurance à fin d'utilisation ultérieure réglementaire.</t>
  </si>
  <si>
    <t>Ref</t>
  </si>
  <si>
    <t>Deutsch</t>
  </si>
  <si>
    <t>Französisch</t>
  </si>
  <si>
    <t>Variation de la provision mathématique (augmentation = +)  b)</t>
  </si>
  <si>
    <t>Distribution du sur-rendement selon dispositions indiv. du contrat  c)</t>
  </si>
  <si>
    <t>Attribution au fonds d'excédents  d)</t>
  </si>
  <si>
    <t>Prélèvement sur le fonds d'excédents  e)</t>
  </si>
  <si>
    <t>Utilisation pour couverture du déficit de l'année précédente  f)</t>
  </si>
  <si>
    <t>Erfolg aus Kapitalanlagen für fremde Rechnung:
Erfolg aus Kapitalanlagen für anteilgebundene Verträge</t>
  </si>
  <si>
    <t>b)  Einschliesslich Verzinsung des Altersguthabens zum Mindestzins in der beruflichen Vorsorge</t>
  </si>
  <si>
    <t>c)  Nur berufliche Vorsorge:  Unter Überrendite versteht sich, sofern der Versicherungsnehmer das Anlagerisiko trägt, derjenige Teil des Kapitalanlageertrags, der über die technische Verzinsung hinaus erwirtschaftet wird.</t>
  </si>
  <si>
    <t>d)  Individuelle Vorsorge:  Überschüsse dürfen nur über den Überschussfonds abgewickelt werden (neue AVO Art. 136).</t>
  </si>
  <si>
    <t>e)  Die Entnahme aus dem Überschussfonds muss genau mit der Summe aus Zuteilung an die Versicherungsnehmer und aus Verwendung für die Defizitdeckung übereinstimmen, das heisst 27 = 28 + 29.</t>
  </si>
  <si>
    <t>f)  Das Defizit des Vorjahrs ist aus der Pos. 114f (BJ-1) zu übertragen, jedoch hier mit positivem Vorzeichen.</t>
  </si>
  <si>
    <t>b)  Y comprise la capitalisation de l'avoir de vieillesse au taux minimum LPP</t>
  </si>
  <si>
    <t>c)  Prévoyance professionnelle uniquement: Par sur-rendement il faut entendre, sous condition que le preneur d'assurance assume le risque de placement, la partie des produits des placements générée des rendements supérieurs au taux technique.</t>
  </si>
  <si>
    <t>d)  Prévoyance individuelle: Les excédents ne peuvent être distribuées que par l'intermédiaire du fonds d'excédents (art. 136, nouvelle OS).</t>
  </si>
  <si>
    <t>e)  Le prélèvement sur le fonds d'excédents doit correspondre exactement à la somme des parts d'excédents créditées aux preneurs d'assurance et du montant utilisé pour la couverture du déficit de l'année précedente, autrement dit 27 = 28 + 29.</t>
  </si>
  <si>
    <t>f)  La perte de l'exercice précédent est à reporter à la position 114f (AE-1), mais ici avec signe positif.</t>
  </si>
  <si>
    <t>1.</t>
  </si>
  <si>
    <t>2.</t>
  </si>
  <si>
    <t>Überobligatorium  a)</t>
  </si>
  <si>
    <t>Überobligatorium  e)</t>
  </si>
  <si>
    <t>Ü10a</t>
  </si>
  <si>
    <t>Ü10b</t>
  </si>
  <si>
    <t>Ü01a</t>
  </si>
  <si>
    <t>Schéma de publication en 1000 CHF</t>
  </si>
  <si>
    <t>Ü02a</t>
  </si>
  <si>
    <t>Ü03a</t>
  </si>
  <si>
    <t>Ü04a</t>
  </si>
  <si>
    <t>Ü05a</t>
  </si>
  <si>
    <t>Ü08a</t>
  </si>
  <si>
    <t>Ü11a</t>
  </si>
  <si>
    <t>l</t>
  </si>
  <si>
    <t>Ü01k</t>
  </si>
  <si>
    <t>Ü13a</t>
  </si>
  <si>
    <t>Ü16a</t>
  </si>
  <si>
    <t>Ü21a</t>
  </si>
  <si>
    <t>Ü26a</t>
  </si>
  <si>
    <t>Ü11c</t>
  </si>
  <si>
    <t>Ü12c</t>
  </si>
  <si>
    <t>Ü13c</t>
  </si>
  <si>
    <t>Ü14c</t>
  </si>
  <si>
    <t>Ü15c</t>
  </si>
  <si>
    <t>Ü16c</t>
  </si>
  <si>
    <t>Ü17c</t>
  </si>
  <si>
    <t>Ü18c</t>
  </si>
  <si>
    <t>Ü19c</t>
  </si>
  <si>
    <t>Ü20c</t>
  </si>
  <si>
    <t>Ü21c</t>
  </si>
  <si>
    <t>Ü22c</t>
  </si>
  <si>
    <t>Ü23c</t>
  </si>
  <si>
    <t>Ü24c</t>
  </si>
  <si>
    <t>Ü25c</t>
  </si>
  <si>
    <t>Ü26c</t>
  </si>
  <si>
    <t>Ü27c</t>
  </si>
  <si>
    <t>Ü28c</t>
  </si>
  <si>
    <t>Ü21i</t>
  </si>
  <si>
    <t>Ü22i</t>
  </si>
  <si>
    <t>Ü23i</t>
  </si>
  <si>
    <t>Ü24i</t>
  </si>
  <si>
    <t>Ü25i</t>
  </si>
  <si>
    <t>Ü26i</t>
  </si>
  <si>
    <t>Ü27i</t>
  </si>
  <si>
    <t>Ü28i</t>
  </si>
  <si>
    <t>Ü29i</t>
  </si>
  <si>
    <t>Ü30i</t>
  </si>
  <si>
    <t>Ü31i</t>
  </si>
  <si>
    <t>Ü08j</t>
  </si>
  <si>
    <t>Berichtsjahre</t>
  </si>
  <si>
    <t>1a</t>
  </si>
  <si>
    <t>2a</t>
  </si>
  <si>
    <t>3a</t>
  </si>
  <si>
    <t>4a</t>
  </si>
  <si>
    <t>5a</t>
  </si>
  <si>
    <t>6a</t>
  </si>
  <si>
    <t>7a</t>
  </si>
  <si>
    <t>8a</t>
  </si>
  <si>
    <t>9a</t>
  </si>
  <si>
    <t>10aa</t>
  </si>
  <si>
    <t>11aa</t>
  </si>
  <si>
    <t>13a</t>
  </si>
  <si>
    <t>14aa</t>
  </si>
  <si>
    <t>14ba</t>
  </si>
  <si>
    <t>14ca</t>
  </si>
  <si>
    <t>14da</t>
  </si>
  <si>
    <t>14ea</t>
  </si>
  <si>
    <t>14fa</t>
  </si>
  <si>
    <t>16a</t>
  </si>
  <si>
    <t>17a</t>
  </si>
  <si>
    <t>18a</t>
  </si>
  <si>
    <t>19a</t>
  </si>
  <si>
    <t>20a</t>
  </si>
  <si>
    <t>21aa</t>
  </si>
  <si>
    <t>22aa</t>
  </si>
  <si>
    <t>23a</t>
  </si>
  <si>
    <t>24a</t>
  </si>
  <si>
    <t>25a</t>
  </si>
  <si>
    <t>26a</t>
  </si>
  <si>
    <t>27a</t>
  </si>
  <si>
    <t>28a</t>
  </si>
  <si>
    <t>29a</t>
  </si>
  <si>
    <t>30a</t>
  </si>
  <si>
    <t>31a</t>
  </si>
  <si>
    <t>32a</t>
  </si>
  <si>
    <t>33a</t>
  </si>
  <si>
    <t>34a</t>
  </si>
  <si>
    <t>35a</t>
  </si>
  <si>
    <t>36a</t>
  </si>
  <si>
    <t>37a</t>
  </si>
  <si>
    <t>38a</t>
  </si>
  <si>
    <t>39a</t>
  </si>
  <si>
    <t>40a</t>
  </si>
  <si>
    <t>41a</t>
  </si>
  <si>
    <t>42a</t>
  </si>
  <si>
    <t>43a</t>
  </si>
  <si>
    <t>44a</t>
  </si>
  <si>
    <t>47aa</t>
  </si>
  <si>
    <t>48a</t>
  </si>
  <si>
    <t>49a</t>
  </si>
  <si>
    <t>50a</t>
  </si>
  <si>
    <t>51aa</t>
  </si>
  <si>
    <t>Veränderung Deckungskapital (Zunahme = +)   b)</t>
  </si>
  <si>
    <t>1.a</t>
  </si>
  <si>
    <t>Vertragsindividuell vereinbarte Zuteilung der Überrendite   c)</t>
  </si>
  <si>
    <t>Zuweisung an den Überschussfonds   d)</t>
  </si>
  <si>
    <t>Entnahme aus dem Überschussfonds   e)</t>
  </si>
  <si>
    <t>Verwendung zur Deckung des Defizits des Vorjahrs   f)</t>
  </si>
  <si>
    <t>2.a</t>
  </si>
  <si>
    <t>1.b</t>
  </si>
  <si>
    <t>Années d'exercice</t>
  </si>
  <si>
    <t>1.i</t>
  </si>
  <si>
    <t>0a</t>
  </si>
  <si>
    <t>0b</t>
  </si>
  <si>
    <t>0ab</t>
  </si>
  <si>
    <t>0ae</t>
  </si>
  <si>
    <t>0ah</t>
  </si>
  <si>
    <t>0ak</t>
  </si>
  <si>
    <t>0ad</t>
  </si>
  <si>
    <t>0ag</t>
  </si>
  <si>
    <t>0aj</t>
  </si>
  <si>
    <t>0bb</t>
  </si>
  <si>
    <t>0bc</t>
  </si>
  <si>
    <t>0be</t>
  </si>
  <si>
    <t>0bf</t>
  </si>
  <si>
    <t>0bh</t>
  </si>
  <si>
    <t>0bi</t>
  </si>
  <si>
    <t>0bk</t>
  </si>
  <si>
    <t>Surobligatoire  a)</t>
  </si>
  <si>
    <t>2.b</t>
  </si>
  <si>
    <t>2.i</t>
  </si>
  <si>
    <t>31ab</t>
  </si>
  <si>
    <t>31ae</t>
  </si>
  <si>
    <t>31ah</t>
  </si>
  <si>
    <t>31ak</t>
  </si>
  <si>
    <t>31ad</t>
  </si>
  <si>
    <t>31ag</t>
  </si>
  <si>
    <t>31aj</t>
  </si>
  <si>
    <t>31bb</t>
  </si>
  <si>
    <t>31bc</t>
  </si>
  <si>
    <t>31be</t>
  </si>
  <si>
    <t>31bf</t>
  </si>
  <si>
    <t>31bh</t>
  </si>
  <si>
    <t>31bi</t>
  </si>
  <si>
    <t>31bk</t>
  </si>
  <si>
    <t>51mb</t>
  </si>
  <si>
    <t>51me</t>
  </si>
  <si>
    <t>51mh</t>
  </si>
  <si>
    <t>51md</t>
  </si>
  <si>
    <t>51mg</t>
  </si>
  <si>
    <t>51mj</t>
  </si>
  <si>
    <t>51nb</t>
  </si>
  <si>
    <t>51nc</t>
  </si>
  <si>
    <t>51ne</t>
  </si>
  <si>
    <t>51nf</t>
  </si>
  <si>
    <t>51nh</t>
  </si>
  <si>
    <t>51ni</t>
  </si>
  <si>
    <t>51m</t>
  </si>
  <si>
    <t>51n</t>
  </si>
  <si>
    <t>3.a</t>
  </si>
  <si>
    <t>3.b</t>
  </si>
  <si>
    <t>3.i</t>
  </si>
  <si>
    <t>3.</t>
  </si>
  <si>
    <t>Bilan  -  Actifs</t>
  </si>
  <si>
    <t>Kapitalanlagen für fremde Rechnung:
Kapitalanlagen für anteilgebundene Lebensversicherung</t>
  </si>
  <si>
    <t>Actifs immatériels</t>
  </si>
  <si>
    <t>Terrains et constructions (y compris immeubles pour propre usage)</t>
  </si>
  <si>
    <t>Placements dans des sociétés immobilières</t>
  </si>
  <si>
    <t>Placements dans des entreprises liées</t>
  </si>
  <si>
    <t>Prêts à des entreprises liées</t>
  </si>
  <si>
    <t>Participations</t>
  </si>
  <si>
    <t>Prêts à des entreprises avec lesquelles existe un lien de participation</t>
  </si>
  <si>
    <t>Prêts à la société mère et aux actionnaires</t>
  </si>
  <si>
    <t>Actions suisses</t>
  </si>
  <si>
    <t>Actions étrangères</t>
  </si>
  <si>
    <t>Parts de fonds de placement</t>
  </si>
  <si>
    <t>Autres papiers-valeurs sans taux d'intérêt fixe</t>
  </si>
  <si>
    <t>Actions propres</t>
  </si>
  <si>
    <t>Papiers-valeurs à taux d'intérêt fixe de débiteurs suisses</t>
  </si>
  <si>
    <t>Papiers-valeurs à taux d'intérêt fixe de débiteurs étrangers en CHF</t>
  </si>
  <si>
    <t>Papiers-valeurs à taux d'intérêt fixe en monnaies étrangères</t>
  </si>
  <si>
    <t>Prêts représentés par un titre et 
créances inscrites dans des livres de dette publiques</t>
  </si>
  <si>
    <t>Créances hypothécaires</t>
  </si>
  <si>
    <t>Prêts sur polices</t>
  </si>
  <si>
    <t>Dépôts à terme et placements de capitaux similaires</t>
  </si>
  <si>
    <t>Autres placements de capitaux</t>
  </si>
  <si>
    <t xml:space="preserve">Total placements de capitaux pour propre compte 
 = Somme de 53 à 75 </t>
  </si>
  <si>
    <t xml:space="preserve">Dont placements de capitaux gérés en tant que "Fonds cantonnés" </t>
  </si>
  <si>
    <t>Placements de capitaux pour compte de tiers:
Placements de capitaux pour assurance-vie liée à des participations</t>
  </si>
  <si>
    <t>Total placements de capitaux pour propre compte 
et pour tiers  = 76 + 78</t>
  </si>
  <si>
    <t>Créances sur des entreprises liées et des participations</t>
  </si>
  <si>
    <t>Autres créances</t>
  </si>
  <si>
    <t>Actifs corporels (sauf terrains et constructions)</t>
  </si>
  <si>
    <t>Autres éléments de fortune</t>
  </si>
  <si>
    <t>Frais d'acquisition activés</t>
  </si>
  <si>
    <t>Autres postes de régularisation (y compris prestations 
d'assurance payées d'avance)</t>
  </si>
  <si>
    <t>Total autres actifs  = Somme de 80 à 86</t>
  </si>
  <si>
    <t>Avoirs découlant d’instruments financiers dérivés</t>
  </si>
  <si>
    <t>52a</t>
  </si>
  <si>
    <t>53a</t>
  </si>
  <si>
    <t>54a</t>
  </si>
  <si>
    <t>55a</t>
  </si>
  <si>
    <t>56a</t>
  </si>
  <si>
    <t>57a</t>
  </si>
  <si>
    <t>58a</t>
  </si>
  <si>
    <t>59a</t>
  </si>
  <si>
    <t>60a</t>
  </si>
  <si>
    <t>61a</t>
  </si>
  <si>
    <t>62a</t>
  </si>
  <si>
    <t>63a</t>
  </si>
  <si>
    <t>64a</t>
  </si>
  <si>
    <t>65a</t>
  </si>
  <si>
    <t>66a</t>
  </si>
  <si>
    <t>67a</t>
  </si>
  <si>
    <t>68a</t>
  </si>
  <si>
    <t>69a</t>
  </si>
  <si>
    <t>70a</t>
  </si>
  <si>
    <t>71a</t>
  </si>
  <si>
    <t>72a</t>
  </si>
  <si>
    <t>73aa</t>
  </si>
  <si>
    <t>74a</t>
  </si>
  <si>
    <t>75a</t>
  </si>
  <si>
    <t>76a</t>
  </si>
  <si>
    <t>77a</t>
  </si>
  <si>
    <t>78a</t>
  </si>
  <si>
    <t>79a</t>
  </si>
  <si>
    <t>80a</t>
  </si>
  <si>
    <t>81a</t>
  </si>
  <si>
    <t>82a</t>
  </si>
  <si>
    <t>83a</t>
  </si>
  <si>
    <t>84a</t>
  </si>
  <si>
    <t>85a</t>
  </si>
  <si>
    <t>86a</t>
  </si>
  <si>
    <t>87a</t>
  </si>
  <si>
    <t>88a</t>
  </si>
  <si>
    <t>Dépôts auprès 
des entreprises d'assurance cédantes</t>
  </si>
  <si>
    <t>4.b</t>
  </si>
  <si>
    <t>4.i</t>
  </si>
  <si>
    <t>88m</t>
  </si>
  <si>
    <t>88n</t>
  </si>
  <si>
    <t>88mb</t>
  </si>
  <si>
    <t>88me</t>
  </si>
  <si>
    <t>88mh</t>
  </si>
  <si>
    <t>88mk</t>
  </si>
  <si>
    <t>88md</t>
  </si>
  <si>
    <t>88mg</t>
  </si>
  <si>
    <t>88mj</t>
  </si>
  <si>
    <t>88nb</t>
  </si>
  <si>
    <t>88nc</t>
  </si>
  <si>
    <t>88ne</t>
  </si>
  <si>
    <t>88nf</t>
  </si>
  <si>
    <t>88nh</t>
  </si>
  <si>
    <t>88ni</t>
  </si>
  <si>
    <t>88nk</t>
  </si>
  <si>
    <t>Surobligatoire  e)</t>
  </si>
  <si>
    <t>Versicherungstechnische Rückstellungen für den Sparteil 
anteilgebundener Lebensversicherungen (brutto)  d)</t>
  </si>
  <si>
    <t>*  Davon als "Separate Account" geführt (total)</t>
  </si>
  <si>
    <t>a)  Davon minimale Altersguthaben nach BVG-Schattenrechnung</t>
  </si>
  <si>
    <t>b)  Davon DK für die laufenden gesetzlichen BVG-Altersrenten</t>
  </si>
  <si>
    <t>d)  Individuell berechnete technische Rückstellungen; miteinzuschliessen ist das Deckungskapital für Leistungsprimatpläne.</t>
  </si>
  <si>
    <t>Capital propre comptabilisé (selon directive)</t>
  </si>
  <si>
    <t>Engagements subordonnés et capital hybride</t>
  </si>
  <si>
    <t>Provisions techniques pour la partie épargne 
des assurances-vie liées à des participations  d)</t>
  </si>
  <si>
    <t>Sous-total provisions techniques 1 
= Somme 91 à 101</t>
  </si>
  <si>
    <t xml:space="preserve">   Part des réassureurs au sous-total 1, ligne 102</t>
  </si>
  <si>
    <t>Report de primes (brut)</t>
  </si>
  <si>
    <t>PM (Brut) - Autres renforcements</t>
  </si>
  <si>
    <t>Provisions pour fluctuations légales (brutes)</t>
  </si>
  <si>
    <t>Autres provisions techniques (brutes)</t>
  </si>
  <si>
    <t>Parts d'excédents créditées aux assurés (brutes)</t>
  </si>
  <si>
    <t>Report  = 89 + 90 + 116</t>
  </si>
  <si>
    <t>*  Dont géré en tant que "Fonds cantonnés" (total)</t>
  </si>
  <si>
    <t>d)  Provisions techniques calculées individuellement; sont également à inclure les provisions mathématiques pour les plans à primauté de prestations.</t>
  </si>
  <si>
    <t>89a</t>
  </si>
  <si>
    <t>90a</t>
  </si>
  <si>
    <t>91a</t>
  </si>
  <si>
    <t>92a</t>
  </si>
  <si>
    <t>93a</t>
  </si>
  <si>
    <t>94a</t>
  </si>
  <si>
    <t>95a</t>
  </si>
  <si>
    <t>96a</t>
  </si>
  <si>
    <t>97a</t>
  </si>
  <si>
    <t>98a</t>
  </si>
  <si>
    <t>99a</t>
  </si>
  <si>
    <t>100a</t>
  </si>
  <si>
    <t>101aa</t>
  </si>
  <si>
    <t>101ba</t>
  </si>
  <si>
    <t>102a</t>
  </si>
  <si>
    <t>103a</t>
  </si>
  <si>
    <t>104a</t>
  </si>
  <si>
    <t>105a</t>
  </si>
  <si>
    <t>106a</t>
  </si>
  <si>
    <t>107a</t>
  </si>
  <si>
    <t>109a</t>
  </si>
  <si>
    <t>111a</t>
  </si>
  <si>
    <t>110a</t>
  </si>
  <si>
    <t>116a</t>
  </si>
  <si>
    <t>117a</t>
  </si>
  <si>
    <t>118a</t>
  </si>
  <si>
    <t>120a</t>
  </si>
  <si>
    <t>120b</t>
  </si>
  <si>
    <t>120c</t>
  </si>
  <si>
    <t>120aa</t>
  </si>
  <si>
    <t>120ba</t>
  </si>
  <si>
    <t>120ca</t>
  </si>
  <si>
    <t>119a</t>
  </si>
  <si>
    <t>a)  Dont avoir de vieillesse minimum selon calcul virtuel LPP</t>
  </si>
  <si>
    <t>b)  Dont PM pour les rentes de vieillesse LPP en cours</t>
  </si>
  <si>
    <t>5.a</t>
  </si>
  <si>
    <t>5.b</t>
  </si>
  <si>
    <t>5.i</t>
  </si>
  <si>
    <t>120mb</t>
  </si>
  <si>
    <t>120me</t>
  </si>
  <si>
    <t>120mh</t>
  </si>
  <si>
    <t>120md</t>
  </si>
  <si>
    <t>120mg</t>
  </si>
  <si>
    <t>120mj</t>
  </si>
  <si>
    <t>120nb</t>
  </si>
  <si>
    <t>120nc</t>
  </si>
  <si>
    <t>120ne</t>
  </si>
  <si>
    <t>120nf</t>
  </si>
  <si>
    <t>120nh</t>
  </si>
  <si>
    <t>120ni</t>
  </si>
  <si>
    <t>Bilan  -  Passifs  -  Partie 2</t>
  </si>
  <si>
    <t>f)  Im Sinne von Art. 150 Buchst. c AVO; dieser Verlustvortrag darf den Umfang des freien Teils des Überschussfonds nicht übersteigen und darf im Folgejahr mit dem Überschussfonds verrechnet werden; er ist stets negativ.</t>
  </si>
  <si>
    <t>Report  = 117</t>
  </si>
  <si>
    <t>Provisions pour fluctuations libres (brutes)</t>
  </si>
  <si>
    <t>Fonds d'excédents (brut): distribution ferme</t>
  </si>
  <si>
    <t>Fonds d'excédents (brut): partie libre</t>
  </si>
  <si>
    <t>Provisions pour impôts</t>
  </si>
  <si>
    <t>Autres provisions</t>
  </si>
  <si>
    <t>Engagements découlant de dépôts reçus des réassureurs pour
les affaires cédées en réassurance</t>
  </si>
  <si>
    <t>Engagements envers les preneurs d'assurance</t>
  </si>
  <si>
    <t>Dépôts de primes et primes payées d'avance</t>
  </si>
  <si>
    <t>Emprunts obligataires convertibles</t>
  </si>
  <si>
    <t>Emprunts obligataires non convertibles</t>
  </si>
  <si>
    <t>Prêts d'entreprises liées et de participations</t>
  </si>
  <si>
    <t>Engagements envers des entreprises liées et envers des participations</t>
  </si>
  <si>
    <t>Autres dettes</t>
  </si>
  <si>
    <t xml:space="preserve">Comptes de régularisation </t>
  </si>
  <si>
    <t>f)  Selon l'art. 150 OS lit. c; le report de perte ne doit pas excéder la partie libre du fonds d'excédents et peut être compensé dans l'année suivante avec le fonds d'excédents; il est toujours négatif.</t>
  </si>
  <si>
    <t>Engagements découlant d’instruments financiers dérivés</t>
  </si>
  <si>
    <t>133a</t>
  </si>
  <si>
    <t>121a</t>
  </si>
  <si>
    <t>108aa</t>
  </si>
  <si>
    <t>112a</t>
  </si>
  <si>
    <t>113a</t>
  </si>
  <si>
    <t>114a</t>
  </si>
  <si>
    <t>115a</t>
  </si>
  <si>
    <t>122a</t>
  </si>
  <si>
    <t>123a</t>
  </si>
  <si>
    <t>124a</t>
  </si>
  <si>
    <t>125a</t>
  </si>
  <si>
    <t>126a</t>
  </si>
  <si>
    <t>127a</t>
  </si>
  <si>
    <t>128a</t>
  </si>
  <si>
    <t>129a</t>
  </si>
  <si>
    <t>130aa</t>
  </si>
  <si>
    <t>131a</t>
  </si>
  <si>
    <t>132a</t>
  </si>
  <si>
    <t>133aa</t>
  </si>
  <si>
    <t>134a</t>
  </si>
  <si>
    <t>6.a</t>
  </si>
  <si>
    <t>6.d</t>
  </si>
  <si>
    <t>134m</t>
  </si>
  <si>
    <t>134n</t>
  </si>
  <si>
    <t>6.</t>
  </si>
  <si>
    <t>134o</t>
  </si>
  <si>
    <t>134mc</t>
  </si>
  <si>
    <t>134mf</t>
  </si>
  <si>
    <t>134mi</t>
  </si>
  <si>
    <t>134nb</t>
  </si>
  <si>
    <t>134nc</t>
  </si>
  <si>
    <t>134nf</t>
  </si>
  <si>
    <t>134ni</t>
  </si>
  <si>
    <t>Prévoyance professionnelle</t>
  </si>
  <si>
    <t>Soumise à la quote-part minimum</t>
  </si>
  <si>
    <t>Non soumise à la quote-part minimum</t>
  </si>
  <si>
    <t>134oc</t>
  </si>
  <si>
    <t>134oe</t>
  </si>
  <si>
    <t>134of</t>
  </si>
  <si>
    <t>134oh</t>
  </si>
  <si>
    <t>134oi</t>
  </si>
  <si>
    <t>134od</t>
  </si>
  <si>
    <t>134og</t>
  </si>
  <si>
    <t>134oj</t>
  </si>
  <si>
    <t>134ok</t>
  </si>
  <si>
    <t>AE-2</t>
  </si>
  <si>
    <t>6.j</t>
  </si>
  <si>
    <t>134mb</t>
  </si>
  <si>
    <t>Accorder avec</t>
  </si>
  <si>
    <t>la position</t>
  </si>
  <si>
    <t>134q</t>
  </si>
  <si>
    <t>142a</t>
  </si>
  <si>
    <t>158a</t>
  </si>
  <si>
    <t>158b</t>
  </si>
  <si>
    <t>159a</t>
  </si>
  <si>
    <t>163a</t>
  </si>
  <si>
    <t>Gewinne minus Verluste aus Veräusserungen (+ = Gewinn)   a)</t>
  </si>
  <si>
    <t>Zuschreibungen (+)  minus Abschreibungen (-)   a)</t>
  </si>
  <si>
    <t>Währungsergebnis Kapitalanlagen (+ = Gewinn)   a)</t>
  </si>
  <si>
    <t>Erfolg aus Kapitalanlagen für anteilgebundene Verträge   a)</t>
  </si>
  <si>
    <t>a)  Die Erträge aus den Kapitalanlagen werden nach der Lage der technischen Rückstellungen (Pos. 146) umgelegt.</t>
  </si>
  <si>
    <t>b)  In dieser Position ist der gesamte, dem Vertrag zugeordnete Kapitalanlageertrag auszuweisen. Es geht hier nur um Kollektivversicherungsverträge, bei welchen der Versicherungsnehmer das Anlagerisiko selber trägt.</t>
  </si>
  <si>
    <t>Processus d'épargne (art. 143 OS)</t>
  </si>
  <si>
    <t>Produits des placements de capitaux  a)</t>
  </si>
  <si>
    <t>Bénéfices moins pertes sur réalisations (+ = bénéfice)  a)</t>
  </si>
  <si>
    <t>Plus-values (+) moins amortissements (-)  a)</t>
  </si>
  <si>
    <t>Résultat monétaire sur les placements de capitaux (+ = bénéfice)  a)</t>
  </si>
  <si>
    <t>Produits des placements pour contrats liés à des participations  a)</t>
  </si>
  <si>
    <t>a)  Les produits des placements de capitaux sont automatiquement répartis en proportion des provisions techniques (Pos. 146).</t>
  </si>
  <si>
    <t>Chiffre limite pour l'application de l'art. 147 al. 2 OS</t>
  </si>
  <si>
    <t>Taux d'intérêt minimum LPP</t>
  </si>
  <si>
    <t>La règle particulière selon l'art. 147 de l'OS est-elle active? 
(Condition:  ligne 147  &gt;=  6%  &amp;  ligne 148  &lt;=  2/3 de la ligne 147)</t>
  </si>
  <si>
    <t>Charges pour parts de rentes garanties mais non encore financées</t>
  </si>
  <si>
    <t>Résultat du processus d'épargne  = 142 - 158</t>
  </si>
  <si>
    <t>Processus de risque (art. 144 OS)</t>
  </si>
  <si>
    <t>Primes de risque décès</t>
  </si>
  <si>
    <t>Primes de risque invalidité</t>
  </si>
  <si>
    <t>Produit du processus de risque (composante risque)
= 160 + 161 + 162</t>
  </si>
  <si>
    <t>Kapitalanlageerträge  a)</t>
  </si>
  <si>
    <t>Entscheidungsgrösse für ertrags- / ergebnisbasierte MQ (Art. 147 Abs. 2 AVO)</t>
  </si>
  <si>
    <t>Wird Sonderregelung von Art. 147 Abs. 2 AVO aktiv? 
(Bedingung:  Zeile 147  &gt;=  6%  &amp;  Zeile 148  &lt;=  2/3 von Zeile 147)</t>
  </si>
  <si>
    <t>Aufwand für vertragsindividuell zugeordneten 
Kapitalanlageertrag  b)</t>
  </si>
  <si>
    <t>134qa</t>
  </si>
  <si>
    <t>143aa</t>
  </si>
  <si>
    <t>146a</t>
  </si>
  <si>
    <t>135a</t>
  </si>
  <si>
    <t>136a</t>
  </si>
  <si>
    <t>137a</t>
  </si>
  <si>
    <t>138a</t>
  </si>
  <si>
    <t>139a</t>
  </si>
  <si>
    <t>140a</t>
  </si>
  <si>
    <t>141a</t>
  </si>
  <si>
    <t>142aa</t>
  </si>
  <si>
    <t>147a</t>
  </si>
  <si>
    <t>148a</t>
  </si>
  <si>
    <t>149a</t>
  </si>
  <si>
    <t>150a</t>
  </si>
  <si>
    <t>151a</t>
  </si>
  <si>
    <t>153a</t>
  </si>
  <si>
    <t>154a</t>
  </si>
  <si>
    <t>155a</t>
  </si>
  <si>
    <t>156a</t>
  </si>
  <si>
    <t>157a</t>
  </si>
  <si>
    <t>158aa</t>
  </si>
  <si>
    <t>158ba</t>
  </si>
  <si>
    <t>159aa</t>
  </si>
  <si>
    <t>160a</t>
  </si>
  <si>
    <t>161a</t>
  </si>
  <si>
    <t>162a</t>
  </si>
  <si>
    <t>163aa</t>
  </si>
  <si>
    <t>CR, 33</t>
  </si>
  <si>
    <t>CR, 34 - 35</t>
  </si>
  <si>
    <t>CR, 36 - 37</t>
  </si>
  <si>
    <t>CR, 38</t>
  </si>
  <si>
    <t>CR, 41</t>
  </si>
  <si>
    <t>135b</t>
  </si>
  <si>
    <t>136b</t>
  </si>
  <si>
    <t>137b</t>
  </si>
  <si>
    <t>138b</t>
  </si>
  <si>
    <t>139b</t>
  </si>
  <si>
    <t>140b</t>
  </si>
  <si>
    <t>141b</t>
  </si>
  <si>
    <t>149i</t>
  </si>
  <si>
    <t xml:space="preserve">   Oui: Quote-part minimum basée sur résultat
   Non: Quote-part minimum basée sur produit</t>
  </si>
  <si>
    <t>151b</t>
  </si>
  <si>
    <t>CR, 25</t>
  </si>
  <si>
    <t>157b</t>
  </si>
  <si>
    <t>157+172=CR, 11</t>
  </si>
  <si>
    <t>7.a</t>
  </si>
  <si>
    <t>7.d</t>
  </si>
  <si>
    <t>7.j</t>
  </si>
  <si>
    <t>Analyse technique du résultat, Partie 2</t>
  </si>
  <si>
    <t>163mb</t>
  </si>
  <si>
    <t>163mc</t>
  </si>
  <si>
    <t>163mf</t>
  </si>
  <si>
    <t>163mi</t>
  </si>
  <si>
    <t>163nb</t>
  </si>
  <si>
    <t>163nc</t>
  </si>
  <si>
    <t>163nf</t>
  </si>
  <si>
    <t>163ni</t>
  </si>
  <si>
    <t>163oc</t>
  </si>
  <si>
    <t>163od</t>
  </si>
  <si>
    <t>163oe</t>
  </si>
  <si>
    <t>163of</t>
  </si>
  <si>
    <t>163og</t>
  </si>
  <si>
    <t>163oh</t>
  </si>
  <si>
    <t>163oi</t>
  </si>
  <si>
    <t>163oj</t>
  </si>
  <si>
    <t>163ok</t>
  </si>
  <si>
    <t>174a</t>
  </si>
  <si>
    <t>175a</t>
  </si>
  <si>
    <t>177d</t>
  </si>
  <si>
    <t>182aa</t>
  </si>
  <si>
    <t>182e</t>
  </si>
  <si>
    <t>177aa</t>
  </si>
  <si>
    <t>Suite processus de risque (art. 144 OS)</t>
  </si>
  <si>
    <t>Variation des provisions techniques décès (augmentation = +)</t>
  </si>
  <si>
    <t>Prestations d'assurance invalidité</t>
  </si>
  <si>
    <t>Variation des provisions techniques invalidité (augmentation = +)</t>
  </si>
  <si>
    <t>Résultat du processus de risque  = 163 - 174</t>
  </si>
  <si>
    <t>Processus de frais (art. 145 OS)</t>
  </si>
  <si>
    <t>Primes de frais</t>
  </si>
  <si>
    <t>Produit du processus de frais (composante frais)
= 176</t>
  </si>
  <si>
    <t>Frais d'acquisition</t>
  </si>
  <si>
    <t>Solde des autres postes du compte de résultat (Solde perdant = +)</t>
  </si>
  <si>
    <t>Résultat du processus de frais  = 177 - 182</t>
  </si>
  <si>
    <t>Quote-part de distribution et son utilisation, ventilée par composante (art. 147 et 148 nouvelle OS)</t>
  </si>
  <si>
    <t>Solde du processus d'épargne</t>
  </si>
  <si>
    <t>Composante épargne  = 142</t>
  </si>
  <si>
    <t>Quote-part de distribution x composante épargne  = 184 x 185</t>
  </si>
  <si>
    <t>Solde du processus d'épargne  = (186 resp. 185) - 187</t>
  </si>
  <si>
    <t>Solde du processus de risque</t>
  </si>
  <si>
    <t>Composante risque  = 163</t>
  </si>
  <si>
    <t>Quote-part de distribution x composante risque  = 184 x 189</t>
  </si>
  <si>
    <t>Solde du processus de risque  = (190 resp. 189) - 191</t>
  </si>
  <si>
    <t>Solde du processus de frais</t>
  </si>
  <si>
    <t>Composante frais  = 177</t>
  </si>
  <si>
    <t>Quote-part de distribution x composante frais  = 184 x 193</t>
  </si>
  <si>
    <t>Prestations d'assurances décès</t>
  </si>
  <si>
    <t>Primes de frais à la charge des assurés actifs</t>
  </si>
  <si>
    <t>Primes de frais à la charge des polices de libre passage</t>
  </si>
  <si>
    <t>Charges de frais imputées aux assurés actifs</t>
  </si>
  <si>
    <t>163qa</t>
  </si>
  <si>
    <t>164a</t>
  </si>
  <si>
    <t>167aa</t>
  </si>
  <si>
    <t>167ba</t>
  </si>
  <si>
    <t>168a</t>
  </si>
  <si>
    <t>169aa</t>
  </si>
  <si>
    <t>169ba</t>
  </si>
  <si>
    <t>171aa</t>
  </si>
  <si>
    <t>171ba</t>
  </si>
  <si>
    <t>172a</t>
  </si>
  <si>
    <t>173a</t>
  </si>
  <si>
    <t>174aa</t>
  </si>
  <si>
    <t>174ba</t>
  </si>
  <si>
    <t>175aa</t>
  </si>
  <si>
    <t>176a</t>
  </si>
  <si>
    <t>177aaa</t>
  </si>
  <si>
    <t>177ba</t>
  </si>
  <si>
    <t>177da</t>
  </si>
  <si>
    <t>178aa</t>
  </si>
  <si>
    <t>179a</t>
  </si>
  <si>
    <t>181aa</t>
  </si>
  <si>
    <t>182aaa</t>
  </si>
  <si>
    <t>182ba</t>
  </si>
  <si>
    <t>182ca</t>
  </si>
  <si>
    <t>182ea</t>
  </si>
  <si>
    <t>183a</t>
  </si>
  <si>
    <t>Charges de frais imputées aux polices de libre passage</t>
  </si>
  <si>
    <t>172b</t>
  </si>
  <si>
    <t>173b</t>
  </si>
  <si>
    <t>CR, -4+10a+11a+18</t>
  </si>
  <si>
    <t>178b</t>
  </si>
  <si>
    <t>179b</t>
  </si>
  <si>
    <t>181ab</t>
  </si>
  <si>
    <t>CR, 21a</t>
  </si>
  <si>
    <t>CR, 22</t>
  </si>
  <si>
    <t>CR 22a</t>
  </si>
  <si>
    <t>178ab</t>
  </si>
  <si>
    <t>8.a</t>
  </si>
  <si>
    <t>8.d</t>
  </si>
  <si>
    <t>8.j</t>
  </si>
  <si>
    <t>183q</t>
  </si>
  <si>
    <t>183mb</t>
  </si>
  <si>
    <t>183mc</t>
  </si>
  <si>
    <t>183mf</t>
  </si>
  <si>
    <t>183mi</t>
  </si>
  <si>
    <t>183nb</t>
  </si>
  <si>
    <t>183nc</t>
  </si>
  <si>
    <t>183nf</t>
  </si>
  <si>
    <t>183ni</t>
  </si>
  <si>
    <t>183oc</t>
  </si>
  <si>
    <t>183od</t>
  </si>
  <si>
    <t>183oe</t>
  </si>
  <si>
    <t>183of</t>
  </si>
  <si>
    <t>183og</t>
  </si>
  <si>
    <t>183oh</t>
  </si>
  <si>
    <t>183oi</t>
  </si>
  <si>
    <t>183oj</t>
  </si>
  <si>
    <t>183ok</t>
  </si>
  <si>
    <t>183qa</t>
  </si>
  <si>
    <t>Analyse technique du résultat, Partie 3</t>
  </si>
  <si>
    <t>184a</t>
  </si>
  <si>
    <t>188a</t>
  </si>
  <si>
    <t>192a</t>
  </si>
  <si>
    <t>197a</t>
  </si>
  <si>
    <t>207a</t>
  </si>
  <si>
    <t>198a</t>
  </si>
  <si>
    <t>208a</t>
  </si>
  <si>
    <t>209a</t>
  </si>
  <si>
    <t>211a</t>
  </si>
  <si>
    <t>212z</t>
  </si>
  <si>
    <t>211z</t>
  </si>
  <si>
    <t>209z</t>
  </si>
  <si>
    <t>208z</t>
  </si>
  <si>
    <t>198z</t>
  </si>
  <si>
    <t>199z</t>
  </si>
  <si>
    <t>216a</t>
  </si>
  <si>
    <t>Plausiformel</t>
  </si>
  <si>
    <t>Quote-part de distribution (au moins 90% = Quote-part minimum)</t>
  </si>
  <si>
    <t>Solde du processus de frais  = (194 resp. 193) - 195</t>
  </si>
  <si>
    <t>Le risque de longévité pour les rentes de vieillesse (ch. 1)</t>
  </si>
  <si>
    <t>Lacunes de couverture en cas de conversion en rentes (ch. 2)</t>
  </si>
  <si>
    <t>Sinistres survenus mais non encore annoncés (IBNR, ch. 4)</t>
  </si>
  <si>
    <t>Fluctuations de sinistres (ch. 5)</t>
  </si>
  <si>
    <t>Fluctuations de la valeur des placements de capitaux (ch. 6)</t>
  </si>
  <si>
    <t>Garanties d'intérêt (ch. 7)</t>
  </si>
  <si>
    <t>Adaptations et assainissements des tarifs (ch. 8)</t>
  </si>
  <si>
    <t>Procédure en cas de solde total positif (art. 149 OS)</t>
  </si>
  <si>
    <t>Solde total positif?</t>
  </si>
  <si>
    <t>Frais pour capital risque supplémentaire (art. 149 al. 1 lit. b et al. 3 OS)</t>
  </si>
  <si>
    <t>An cas de solde total positif et avec l'accord de la FINMA: 
frais pour capital risque</t>
  </si>
  <si>
    <t>Solde total restant (positif ou nul)
= 197 - 208 - 209</t>
  </si>
  <si>
    <t>Procédure en cas de solde total négatif (art. 150 OS)</t>
  </si>
  <si>
    <t>Solde total négatif?</t>
  </si>
  <si>
    <t>Dissolution de provisions devenues superflues (pos. 207)</t>
  </si>
  <si>
    <t>Dissolution (+) de provisions techniques prévue par le plan d'exploitation</t>
  </si>
  <si>
    <t>Solde total restant (négatif ou nul)
= 197 + 212</t>
  </si>
  <si>
    <t>Eingetretene noch nicht gemeldete Versicherungsfälle (IBNR, Ziff. 4)</t>
  </si>
  <si>
    <t>Formule plausi</t>
  </si>
  <si>
    <t>184aa</t>
  </si>
  <si>
    <t>185a</t>
  </si>
  <si>
    <t>186a</t>
  </si>
  <si>
    <t>187a</t>
  </si>
  <si>
    <t>188aa</t>
  </si>
  <si>
    <t>189a</t>
  </si>
  <si>
    <t>190a</t>
  </si>
  <si>
    <t>191a</t>
  </si>
  <si>
    <t>192aa</t>
  </si>
  <si>
    <t>193a</t>
  </si>
  <si>
    <t>194a</t>
  </si>
  <si>
    <t>195a</t>
  </si>
  <si>
    <t>196a</t>
  </si>
  <si>
    <t>199za</t>
  </si>
  <si>
    <t>199a</t>
  </si>
  <si>
    <t>200a</t>
  </si>
  <si>
    <t>201aa</t>
  </si>
  <si>
    <t>202a</t>
  </si>
  <si>
    <t>203a</t>
  </si>
  <si>
    <t>204a</t>
  </si>
  <si>
    <t>205a</t>
  </si>
  <si>
    <t>206a</t>
  </si>
  <si>
    <t>207aa</t>
  </si>
  <si>
    <t>198za</t>
  </si>
  <si>
    <t>208za</t>
  </si>
  <si>
    <t>209za</t>
  </si>
  <si>
    <t>210a</t>
  </si>
  <si>
    <t>211za</t>
  </si>
  <si>
    <t>212za</t>
  </si>
  <si>
    <t>212a</t>
  </si>
  <si>
    <t>216aa</t>
  </si>
  <si>
    <t>184i</t>
  </si>
  <si>
    <t xml:space="preserve">  &lt;&lt; Régler sous pos. 226 svp !</t>
  </si>
  <si>
    <t>Somme des soldes des proc. d'épargne, de risque et de frais  
= 188 + 192 + 196  (= Solde total)</t>
  </si>
  <si>
    <t>Renforcements: alimentation (= +; selon art. 149 al. 1 lit. a OS) ou 
dissolution (= -; selon art. 149 al. 2 resp. 150 lit. a OS) 
des provisions techniques prévues par le plan d'exploitation pour:</t>
  </si>
  <si>
    <t>Äufnung ungenügender oder Auflösung nicht mehr benötigter Rückstellungen (Pos. 207)</t>
  </si>
  <si>
    <t>Alimentation de provisions insuffisantes ou dissolution de provisions devenues superflues (pos. 207)</t>
  </si>
  <si>
    <t>Alimentation (+) ou dissolution (-) des provisions techniques prévu par le plan d'exploitation
(Sous cette pos.: alimentation limitée au solde total restant non négatif)</t>
  </si>
  <si>
    <t>Äufnung (+) oder Auflösung (-) von techn. Rückstellungen nach Geschäftsplan
(Unter dieser Pos.: Äufnung max. bis der verbleibende Gesamtsaldo verschwindet)</t>
  </si>
  <si>
    <t>198d</t>
  </si>
  <si>
    <t>198e</t>
  </si>
  <si>
    <t>Ja</t>
  </si>
  <si>
    <t>Nein</t>
  </si>
  <si>
    <t>Oui</t>
  </si>
  <si>
    <t>Non</t>
  </si>
  <si>
    <t>211d</t>
  </si>
  <si>
    <t>211e</t>
  </si>
  <si>
    <t>9.a</t>
  </si>
  <si>
    <t>9.d</t>
  </si>
  <si>
    <t>9.j</t>
  </si>
  <si>
    <t>Analyse technique du résultat, Partie 4</t>
  </si>
  <si>
    <t>216q</t>
  </si>
  <si>
    <t>226a</t>
  </si>
  <si>
    <t>226e</t>
  </si>
  <si>
    <t>227a</t>
  </si>
  <si>
    <t>227b</t>
  </si>
  <si>
    <t>237a</t>
  </si>
  <si>
    <t>216mb</t>
  </si>
  <si>
    <t>216mc</t>
  </si>
  <si>
    <t>216mf</t>
  </si>
  <si>
    <t>216mi</t>
  </si>
  <si>
    <t>216nb</t>
  </si>
  <si>
    <t>216nc</t>
  </si>
  <si>
    <t>216nf</t>
  </si>
  <si>
    <t>216ni</t>
  </si>
  <si>
    <t>216oc</t>
  </si>
  <si>
    <t>216od</t>
  </si>
  <si>
    <t>216oe</t>
  </si>
  <si>
    <t>216of</t>
  </si>
  <si>
    <t>216og</t>
  </si>
  <si>
    <t>216oh</t>
  </si>
  <si>
    <t>216oi</t>
  </si>
  <si>
    <t>216oj</t>
  </si>
  <si>
    <t>216ok</t>
  </si>
  <si>
    <t>Récapitulation et répartition du résultat d'exploitation</t>
  </si>
  <si>
    <t>Somme des composantes de produit  = 185 +189 + 193</t>
  </si>
  <si>
    <t>Somme des charges  = 187 + 191 + 195</t>
  </si>
  <si>
    <t>Résultat brut  = 217 - 218</t>
  </si>
  <si>
    <t>Résultat intermédiaire  = 219 - 220 - 222</t>
  </si>
  <si>
    <t>Dissolution de provisions techniques 
selon le plan d'exploitation  = 209 (si négatif) + 212</t>
  </si>
  <si>
    <t>Résultat net  = 221 + 223</t>
  </si>
  <si>
    <t>Attribution au fonds d'excédents en faveur des preneurs 
d'assurance (art. 149 al. 1 lit. c OS)</t>
  </si>
  <si>
    <t>Légende des règles d'attribution:</t>
  </si>
  <si>
    <t>A.  Quote-part minimum basée sur produit:   Solde total restant (210)</t>
  </si>
  <si>
    <t>B.  Règle particulière basée sur résultat selon la ligne 149:   Quote-part de distribution (184, au moins 90%) x Résultat intermédiaire (221)</t>
  </si>
  <si>
    <t>C.  Solde total négatif (197):   Pas d'attribution</t>
  </si>
  <si>
    <t>D.  Cas particuliers selon art. 146 OS:  Attribution ou prélèvement du fonds d'excédents selon réglementation contractuelle et plan d'exploitation</t>
  </si>
  <si>
    <t>Règles :</t>
  </si>
  <si>
    <t>Un éventuel déficit ne peut être reporté à nouveau qu'à concurrence du fonds d'excédents disponible au maximum (art. 150 lit. c OS).</t>
  </si>
  <si>
    <t>Si le déficit est plus élevé, la partie excédentaire doit être couverte par des fonds propres (art. 150 lit. d OS). Dans ce cas il faut consulter l'OFAP.</t>
  </si>
  <si>
    <t>Prestation globale aux assurés
= 218 + 220 - 223 + 225</t>
  </si>
  <si>
    <t>Produit total  = 217</t>
  </si>
  <si>
    <t>Prestation globale aux assurés en % du produit total
= 228 en % de 229</t>
  </si>
  <si>
    <t>Total primes d'épargne</t>
  </si>
  <si>
    <t>Total primes de risque  = 163</t>
  </si>
  <si>
    <t>Total primes de frais  = 177</t>
  </si>
  <si>
    <t>Total des primes brutes acquises  = 231 + 232 + 233</t>
  </si>
  <si>
    <t>Prestation globale aux assurés en % du total des primes 
= 228 en % de 234</t>
  </si>
  <si>
    <t>Avoirs de vieillesse, PM des bénéficiaires de rentes et PM 
des polices de libre passage au total</t>
  </si>
  <si>
    <t>Attribution au fonds d'excédents en % de la PM totale
= 225 en % de 236</t>
  </si>
  <si>
    <t>216qa</t>
  </si>
  <si>
    <t>217a</t>
  </si>
  <si>
    <t>218a</t>
  </si>
  <si>
    <t>219a</t>
  </si>
  <si>
    <t>220a</t>
  </si>
  <si>
    <t>222a</t>
  </si>
  <si>
    <t>221a</t>
  </si>
  <si>
    <t>223a</t>
  </si>
  <si>
    <t>224a</t>
  </si>
  <si>
    <t>225a</t>
  </si>
  <si>
    <t>226aa</t>
  </si>
  <si>
    <t>226ba</t>
  </si>
  <si>
    <t>226ca</t>
  </si>
  <si>
    <t>226da</t>
  </si>
  <si>
    <t>226ea</t>
  </si>
  <si>
    <t>227aa</t>
  </si>
  <si>
    <t>227ba</t>
  </si>
  <si>
    <t>227ca</t>
  </si>
  <si>
    <t>228a</t>
  </si>
  <si>
    <t>229a</t>
  </si>
  <si>
    <t>230a</t>
  </si>
  <si>
    <t>231a</t>
  </si>
  <si>
    <t>232a</t>
  </si>
  <si>
    <t>233a</t>
  </si>
  <si>
    <t>234a</t>
  </si>
  <si>
    <t>235a</t>
  </si>
  <si>
    <t>236a</t>
  </si>
  <si>
    <t>Zwischenergebnis  = 219 - 220 - 222</t>
  </si>
  <si>
    <t>226fe</t>
  </si>
  <si>
    <t>J</t>
  </si>
  <si>
    <t>O</t>
  </si>
  <si>
    <t>225b</t>
  </si>
  <si>
    <t>CR, 26</t>
  </si>
  <si>
    <t>209e</t>
  </si>
  <si>
    <t>212e</t>
  </si>
  <si>
    <t>222b</t>
  </si>
  <si>
    <t>226be</t>
  </si>
  <si>
    <t>226di</t>
  </si>
  <si>
    <t>226fi</t>
  </si>
  <si>
    <t xml:space="preserve">  &lt;&lt;&lt; Vert = OK</t>
  </si>
  <si>
    <t xml:space="preserve">  &lt;&lt;&lt; Grün = OK</t>
  </si>
  <si>
    <t xml:space="preserve">  &lt;&lt;&lt; Régler quote-part de distribution</t>
  </si>
  <si>
    <t xml:space="preserve">Bleu = Justifier dans le rapport explicatif &gt;&gt;&gt;  </t>
  </si>
  <si>
    <t xml:space="preserve">Blau = Im Begleitbericht erläutern &gt;&gt;&gt;  </t>
  </si>
  <si>
    <t xml:space="preserve"> Quote-part de distribution (pos. 184) &gt;&gt;&gt;  </t>
  </si>
  <si>
    <t xml:space="preserve">Ausschüttungsquote (Pos. 184) &gt;&gt;&gt;  </t>
  </si>
  <si>
    <t>CR, 51</t>
  </si>
  <si>
    <t>234b</t>
  </si>
  <si>
    <t>CR, 3</t>
  </si>
  <si>
    <t>10.a</t>
  </si>
  <si>
    <t>10.d</t>
  </si>
  <si>
    <t>10.j</t>
  </si>
  <si>
    <t>237q</t>
  </si>
  <si>
    <t>237qa</t>
  </si>
  <si>
    <t>Analyse technique du résultat, Partie 5</t>
  </si>
  <si>
    <t>Actualisation du fonds d'excédents (art. 151 OS)</t>
  </si>
  <si>
    <t>244a</t>
  </si>
  <si>
    <t>246a</t>
  </si>
  <si>
    <t>249a</t>
  </si>
  <si>
    <t>249b</t>
  </si>
  <si>
    <t>Etat à la fin de l'exercice précédent</t>
  </si>
  <si>
    <t>Transferts zone verte &lt;--&gt; zone jaune en début d'année</t>
  </si>
  <si>
    <t>Attribution provenant du compte d'exploitation  = 225</t>
  </si>
  <si>
    <t>Gains ou pertes de changes sur les monnaies étrangères</t>
  </si>
  <si>
    <t>Etat à la fin de l'année d'exercice  
= 238 + 239 + 240 - 241 + 241a - 242</t>
  </si>
  <si>
    <t>Observation de la règle des deux tiers (art. 153 al. 1 OS)</t>
  </si>
  <si>
    <t>Deux tiers de l'état en début d'année (pos. 238 + 239) + Attribution (pos. 240)</t>
  </si>
  <si>
    <t>Règle des deux tiers respectée? Sinon veuillez justifier, svp. 
(Prélèvement pos. 241 plus petit ou égal à pos. 245)</t>
  </si>
  <si>
    <t>Répartition des parts d'excédents (pos. 241)</t>
  </si>
  <si>
    <t>Distribution directe aux assurés par augmentation de la provision mathématique ou bonification pour compte avec intérêts</t>
  </si>
  <si>
    <t>Distribution à l'institution de prévoyance ou à l'oeuvre de prévoyance
selon décision de l'organe paritaire</t>
  </si>
  <si>
    <t>Intérêt tarifaire  = 153</t>
  </si>
  <si>
    <t>238a</t>
  </si>
  <si>
    <t>239a</t>
  </si>
  <si>
    <t>240a</t>
  </si>
  <si>
    <t>241aa</t>
  </si>
  <si>
    <t>242a</t>
  </si>
  <si>
    <t>243a</t>
  </si>
  <si>
    <t>244aa</t>
  </si>
  <si>
    <t>245a</t>
  </si>
  <si>
    <t>246aa</t>
  </si>
  <si>
    <t>247a</t>
  </si>
  <si>
    <t>248a</t>
  </si>
  <si>
    <t>249aa</t>
  </si>
  <si>
    <t>249ba</t>
  </si>
  <si>
    <t>250a</t>
  </si>
  <si>
    <t>251a</t>
  </si>
  <si>
    <t>252a</t>
  </si>
  <si>
    <t>253a</t>
  </si>
  <si>
    <t>254a</t>
  </si>
  <si>
    <t>255a</t>
  </si>
  <si>
    <t>256a</t>
  </si>
  <si>
    <t>246d</t>
  </si>
  <si>
    <t>246e</t>
  </si>
  <si>
    <t>242b</t>
  </si>
  <si>
    <t>241b</t>
  </si>
  <si>
    <t>CR, 28</t>
  </si>
  <si>
    <t>CR, 29</t>
  </si>
  <si>
    <t>Indications sur la structure du portefeuille de la prévoyance professionnelle, Partie 1</t>
  </si>
  <si>
    <t>11.a</t>
  </si>
  <si>
    <t>257za</t>
  </si>
  <si>
    <t>Nombres de contrats et d'assurés</t>
  </si>
  <si>
    <t>257zb</t>
  </si>
  <si>
    <t>Sprache:</t>
  </si>
  <si>
    <t>257a</t>
  </si>
  <si>
    <t>258a</t>
  </si>
  <si>
    <t>259a</t>
  </si>
  <si>
    <t>260a</t>
  </si>
  <si>
    <t>Dont:   femmes</t>
  </si>
  <si>
    <t xml:space="preserve">            assurés avec couverture complète dans des fondations collectives</t>
  </si>
  <si>
    <t xml:space="preserve">               Vollversichert in Sammelstiftungen</t>
  </si>
  <si>
    <t>261yb</t>
  </si>
  <si>
    <t>261yc</t>
  </si>
  <si>
    <t>261yd</t>
  </si>
  <si>
    <t>261yg</t>
  </si>
  <si>
    <t>261za</t>
  </si>
  <si>
    <t>261zb</t>
  </si>
  <si>
    <t>261zc</t>
  </si>
  <si>
    <t>261zd</t>
  </si>
  <si>
    <t>261ze</t>
  </si>
  <si>
    <t>261zf</t>
  </si>
  <si>
    <t>261zg</t>
  </si>
  <si>
    <t>davon... a)</t>
  </si>
  <si>
    <t>Nbre de contrats</t>
  </si>
  <si>
    <t>Nbre d'assurés</t>
  </si>
  <si>
    <t>en 1000 CHF</t>
  </si>
  <si>
    <t>en % de pos. 264</t>
  </si>
  <si>
    <t>dont... a)</t>
  </si>
  <si>
    <t>Particip. aux exc.</t>
  </si>
  <si>
    <t>Ventilation des contrats (art. 146 nouvelle OS)</t>
  </si>
  <si>
    <t>Berufliche Vorsorge ohne FZP  = 261 + 262 + 263   c)</t>
  </si>
  <si>
    <t>Berufliche Vorsorge einschliesslich FZP  = 264 + 265   b)</t>
  </si>
  <si>
    <t>Statistik der speziellen Verträge   d)</t>
  </si>
  <si>
    <t>Prévoyance professionnelle sans PLP  = 261 + 262 + 263   c)</t>
  </si>
  <si>
    <t>Polices de libre passage (PLP)</t>
  </si>
  <si>
    <t>Prévoyance professionnelle, y compris PLP  = 264 + 265  b)</t>
  </si>
  <si>
    <t>Contrats spéciaux  d)</t>
  </si>
  <si>
    <t>261a</t>
  </si>
  <si>
    <t>262a</t>
  </si>
  <si>
    <t>263a</t>
  </si>
  <si>
    <t>264a</t>
  </si>
  <si>
    <t>265a</t>
  </si>
  <si>
    <t>266a</t>
  </si>
  <si>
    <t>267za</t>
  </si>
  <si>
    <t>Der Mindestquote  v o l l s t ä n d i g  unterstellte Verträge ohne FZP</t>
  </si>
  <si>
    <t>Der Mindestquote nur  t e i l w e i s e  unterstellte Verträge</t>
  </si>
  <si>
    <t>Der Mindestquote  n i c h t  unterstellte Verträge</t>
  </si>
  <si>
    <t>Contrats  e n t i è r e m e n t  soumis à la quote-part minimum sans PLP</t>
  </si>
  <si>
    <t>Contrats soumis seulement  p a r t i e l l e m e n t  à la quote-part minimum</t>
  </si>
  <si>
    <t>Contrats qui ne sont  p a s  soumis à la quote-part minimum</t>
  </si>
  <si>
    <t>Contrats avec compte de recettes et dépenses</t>
  </si>
  <si>
    <t>Contrats avec formules d'excédents spéciales</t>
  </si>
  <si>
    <t>Contrats avec fonds cantonnés</t>
  </si>
  <si>
    <t>Contrats avec des fondations liechtensteinoises</t>
  </si>
  <si>
    <t>Contrats stop loss</t>
  </si>
  <si>
    <t>267a</t>
  </si>
  <si>
    <t>268a</t>
  </si>
  <si>
    <t>269a</t>
  </si>
  <si>
    <t>270a</t>
  </si>
  <si>
    <t>271aa</t>
  </si>
  <si>
    <t>271ba</t>
  </si>
  <si>
    <t>272a</t>
  </si>
  <si>
    <t>Beteiligungsgeschäft  m i t  Federführung</t>
  </si>
  <si>
    <t>Beteiligungsgeschäft  o h n e  Federführung</t>
  </si>
  <si>
    <t>Coassurance  a v e c  conduite du contrat</t>
  </si>
  <si>
    <t>Coassurance  s a n s  conduite du contrat</t>
  </si>
  <si>
    <t>272aa</t>
  </si>
  <si>
    <t>272ba</t>
  </si>
  <si>
    <t>a)  davon der Mindestquote unterstellt (in 1000 CHF)
b)  Abstimmung:  266d mit BIL, 102;  266g mit ER, 28
c)  Abstimmung:  264c mit der Summe 279b + 282b + 319b + 321b + 323b + 325b + 327b + 329b + 331b + 333b + 335b</t>
  </si>
  <si>
    <t>a)  dont soumis à la quote-part minimum (en 1000 CHF)
b)  Accord:    266d avec BIL, 102;  266g avec CR, 28
c)  Accord:    264c avec la somme 279b + 282b + 319b + 321b + 323b + 325b + 327b + 329b + 331b + 333b + 335b</t>
  </si>
  <si>
    <t>278a</t>
  </si>
  <si>
    <t>273yb</t>
  </si>
  <si>
    <t>273yc</t>
  </si>
  <si>
    <t>273yd</t>
  </si>
  <si>
    <t>273za</t>
  </si>
  <si>
    <t>273zb</t>
  </si>
  <si>
    <t>273zc</t>
  </si>
  <si>
    <t>273zd</t>
  </si>
  <si>
    <t>273a</t>
  </si>
  <si>
    <t>277a</t>
  </si>
  <si>
    <t>Différentiation pour la statistique des caisses de pension</t>
  </si>
  <si>
    <t>Contrats d'assurance à couverture complète</t>
  </si>
  <si>
    <t>Portefeuilles de rentes pures</t>
  </si>
  <si>
    <t xml:space="preserve">Indications sur la structure du portefeuille de la prévoyance professionnelle, Partie 2 </t>
  </si>
  <si>
    <t>12.a</t>
  </si>
  <si>
    <t>12.f</t>
  </si>
  <si>
    <t>Autres indications statistiques sur le portefeuille</t>
  </si>
  <si>
    <t>Actifs</t>
  </si>
  <si>
    <t xml:space="preserve">        Hommes, nombre </t>
  </si>
  <si>
    <t xml:space="preserve">        Hommes, total avoirs de vieillesse en 1000 CHF</t>
  </si>
  <si>
    <t xml:space="preserve">        - dont part surobligatoire en 1000 CHF</t>
  </si>
  <si>
    <t xml:space="preserve">        Femmes, nombre</t>
  </si>
  <si>
    <t xml:space="preserve">        Femmes, total avoirs de vieillesse en 1000 CHF</t>
  </si>
  <si>
    <t>Nouvelles entrées</t>
  </si>
  <si>
    <t xml:space="preserve">        Nombre d'assurés</t>
  </si>
  <si>
    <t xml:space="preserve">        Primes en 1000 CHF</t>
  </si>
  <si>
    <t>Sorties et résiliations de contrats</t>
  </si>
  <si>
    <t xml:space="preserve">        Hommes, nombre</t>
  </si>
  <si>
    <t xml:space="preserve">        - dont sorties à la suite d'une résiliation de contrat</t>
  </si>
  <si>
    <t xml:space="preserve">        Prestations de libre passage (H) en 1000 CHF</t>
  </si>
  <si>
    <t xml:space="preserve">        - dont part à la suite d'une résiliation de contrat en 1000 CHF</t>
  </si>
  <si>
    <t xml:space="preserve">        Prestations de libre passage (F) en 1000 CHF</t>
  </si>
  <si>
    <t>Départ à la retraite</t>
  </si>
  <si>
    <t xml:space="preserve">        - dont ayant opté pour le capital</t>
  </si>
  <si>
    <t xml:space="preserve">        Prestations en capital (H) en 1000 CHF</t>
  </si>
  <si>
    <t xml:space="preserve">        Somme des rentes dans la partie obligatoire (H) en 1000 CHF</t>
  </si>
  <si>
    <t xml:space="preserve">        Somme des rentes dans la partie surobligatoire (H) en 1000 CHF</t>
  </si>
  <si>
    <t xml:space="preserve">        Taux de conversion H à l'âge de la retraite 65 utilisé dans la partie surobligatoire en %</t>
  </si>
  <si>
    <t xml:space="preserve">        Prestations en capital (F) en 1000 CHF</t>
  </si>
  <si>
    <t xml:space="preserve">        Somme des rentes dans la partie obligatoire (F) en 1000 CHF</t>
  </si>
  <si>
    <t xml:space="preserve">        Somme des rentes dans la partie surobligatoire (F) en 1000 CHF</t>
  </si>
  <si>
    <t xml:space="preserve">        Taux de conversion F à l'âge de la retraite 64 utilisé dans la partie surobligatoire en %</t>
  </si>
  <si>
    <t>279ya</t>
  </si>
  <si>
    <t>279za</t>
  </si>
  <si>
    <t>279a</t>
  </si>
  <si>
    <t>280a</t>
  </si>
  <si>
    <t>281a</t>
  </si>
  <si>
    <t>282a</t>
  </si>
  <si>
    <t>283a</t>
  </si>
  <si>
    <t>284a</t>
  </si>
  <si>
    <t>285a</t>
  </si>
  <si>
    <t>286a</t>
  </si>
  <si>
    <t>287a</t>
  </si>
  <si>
    <t>288a</t>
  </si>
  <si>
    <t>289a</t>
  </si>
  <si>
    <t>290a</t>
  </si>
  <si>
    <t>291a</t>
  </si>
  <si>
    <t>292a</t>
  </si>
  <si>
    <t>293a</t>
  </si>
  <si>
    <t>294a</t>
  </si>
  <si>
    <t>295a</t>
  </si>
  <si>
    <t>296a</t>
  </si>
  <si>
    <t>297a</t>
  </si>
  <si>
    <t>298a</t>
  </si>
  <si>
    <t>299a</t>
  </si>
  <si>
    <t>300a</t>
  </si>
  <si>
    <t>301a</t>
  </si>
  <si>
    <t>302a</t>
  </si>
  <si>
    <t>303a</t>
  </si>
  <si>
    <t>304a</t>
  </si>
  <si>
    <t>305a</t>
  </si>
  <si>
    <t>306a</t>
  </si>
  <si>
    <t>286aa</t>
  </si>
  <si>
    <t>294aa</t>
  </si>
  <si>
    <t>284aa</t>
  </si>
  <si>
    <t>Indications sur la structure du portefeuille dans la prévoyance professionnelle, Partie 3</t>
  </si>
  <si>
    <t>Autres indications statistiques sur le portefeuille, suite</t>
  </si>
  <si>
    <t>Décès</t>
  </si>
  <si>
    <t xml:space="preserve">        H, prestations en capital aux survivants en 1000 CHF</t>
  </si>
  <si>
    <t xml:space="preserve">        H, survivants mis au bénéfice de rentes, somme des nouv. rentes en 1000 CHF</t>
  </si>
  <si>
    <t xml:space="preserve">        F, prestations en capital aux survivants en 1000 CHF</t>
  </si>
  <si>
    <t xml:space="preserve">        F, survivants mis au bénéfice de rentes, somme des nouv. rentes en 1000 CHF</t>
  </si>
  <si>
    <t>Cas d'invalidité</t>
  </si>
  <si>
    <t xml:space="preserve">        H, prestations en capital en 1000 CHF</t>
  </si>
  <si>
    <t xml:space="preserve">        Hommes mis au bénéfice de rentes, somme des nouvelles rentes en 1000 CHF</t>
  </si>
  <si>
    <t xml:space="preserve">        F, prestations en capital en 1000 CHF</t>
  </si>
  <si>
    <t xml:space="preserve">        Femmes mises au bénéfice de rentes, somme des nouv. rentes en 1000 CHF</t>
  </si>
  <si>
    <t>Bénéficiaires de rentes</t>
  </si>
  <si>
    <t xml:space="preserve">        Rentes de vieillesse hommes, nombre</t>
  </si>
  <si>
    <t xml:space="preserve">        Rentes de vieillesse hommes, somme annuelle des rentes en 1000 CHF</t>
  </si>
  <si>
    <t xml:space="preserve">        Rentes de vieillesse femmes, nombre</t>
  </si>
  <si>
    <t xml:space="preserve">        Rentes de vieillesse femmes, somme annuelle des rentes en 1000 CHF</t>
  </si>
  <si>
    <t xml:space="preserve">        Rentes de veuves, nombre</t>
  </si>
  <si>
    <t xml:space="preserve">        Rentes de veuves, somme annuelle des rentes en 1000 CHF</t>
  </si>
  <si>
    <t xml:space="preserve">        Rentes de veufs, nombre</t>
  </si>
  <si>
    <t xml:space="preserve">        Rentes de veufs, somme annuelle des rentes en 1000 CHF</t>
  </si>
  <si>
    <t xml:space="preserve">        Rentes d'orphelins, nombre</t>
  </si>
  <si>
    <t xml:space="preserve">        Rentes d'orphelins, somme annuelle des rentes en 1000 CHF</t>
  </si>
  <si>
    <t xml:space="preserve">        Rentes d'invalidité hommes, nombre</t>
  </si>
  <si>
    <t xml:space="preserve">        Rentes d'invalidité hommes, somme annuelle des rentes en 1000 CHF</t>
  </si>
  <si>
    <t xml:space="preserve">        Rentes d'invalidité femmes, nombre</t>
  </si>
  <si>
    <t xml:space="preserve">        Rentes d'invalidité femmes, somme annuelle des rentes en 1000 CHF</t>
  </si>
  <si>
    <t xml:space="preserve">        Rentes d'enfants d'invalides, nombre</t>
  </si>
  <si>
    <t xml:space="preserve">        Rentes d'enfants d'invalides, somme annuelle des rentes en 1000 CHF</t>
  </si>
  <si>
    <t xml:space="preserve">        Autres rentes, nombre</t>
  </si>
  <si>
    <t xml:space="preserve">        Autres rentes, somme annuelle des rentes en 1000 CHF</t>
  </si>
  <si>
    <t>312a</t>
  </si>
  <si>
    <t>318a</t>
  </si>
  <si>
    <t>13.a</t>
  </si>
  <si>
    <t>13.f</t>
  </si>
  <si>
    <t>307ya</t>
  </si>
  <si>
    <t>307za</t>
  </si>
  <si>
    <t>307a</t>
  </si>
  <si>
    <t>308a</t>
  </si>
  <si>
    <t>309a</t>
  </si>
  <si>
    <t>310a</t>
  </si>
  <si>
    <t>311a</t>
  </si>
  <si>
    <t>312aa</t>
  </si>
  <si>
    <t>313a</t>
  </si>
  <si>
    <t>314a</t>
  </si>
  <si>
    <t>315a</t>
  </si>
  <si>
    <t>316a</t>
  </si>
  <si>
    <t>317a</t>
  </si>
  <si>
    <t>318aa</t>
  </si>
  <si>
    <t>319a</t>
  </si>
  <si>
    <t>320a</t>
  </si>
  <si>
    <t>321a</t>
  </si>
  <si>
    <t>322a</t>
  </si>
  <si>
    <t>323a</t>
  </si>
  <si>
    <t>324a</t>
  </si>
  <si>
    <t>325a</t>
  </si>
  <si>
    <t>326a</t>
  </si>
  <si>
    <t>327a</t>
  </si>
  <si>
    <t>328a</t>
  </si>
  <si>
    <t>329a</t>
  </si>
  <si>
    <t>330a</t>
  </si>
  <si>
    <t>331a</t>
  </si>
  <si>
    <t>332a</t>
  </si>
  <si>
    <t>333a</t>
  </si>
  <si>
    <t>334a</t>
  </si>
  <si>
    <t>335a</t>
  </si>
  <si>
    <t>336a</t>
  </si>
  <si>
    <t>Indications sur la structure du portefeuille dans la prévoyance professionnelle, Partie 4</t>
  </si>
  <si>
    <t>14.a</t>
  </si>
  <si>
    <t>14.f</t>
  </si>
  <si>
    <t>337za</t>
  </si>
  <si>
    <t>337ya</t>
  </si>
  <si>
    <t>337xa</t>
  </si>
  <si>
    <t>343a</t>
  </si>
  <si>
    <t>348aa</t>
  </si>
  <si>
    <t>348ba</t>
  </si>
  <si>
    <t>b)  Bitte auch die Vorjahre angeben. Danke.</t>
  </si>
  <si>
    <t>337a</t>
  </si>
  <si>
    <t>338a</t>
  </si>
  <si>
    <t>339a</t>
  </si>
  <si>
    <t>340a</t>
  </si>
  <si>
    <t>341a</t>
  </si>
  <si>
    <t>342a</t>
  </si>
  <si>
    <t>344a</t>
  </si>
  <si>
    <t>345a</t>
  </si>
  <si>
    <t>346a</t>
  </si>
  <si>
    <t>347a</t>
  </si>
  <si>
    <t>348aaa</t>
  </si>
  <si>
    <t>348aba</t>
  </si>
  <si>
    <t>348baa</t>
  </si>
  <si>
    <t>Indications spéciales</t>
  </si>
  <si>
    <t>concernant les rentes de vieillesse, de survivants et d'invalidité</t>
  </si>
  <si>
    <t>Indications spéciales concernant les rentes en cours</t>
  </si>
  <si>
    <t xml:space="preserve">        Rentes de vieillesse en cours garanties selon le tarif</t>
  </si>
  <si>
    <t xml:space="preserve">        - dont financées par les provisions mathématiques</t>
  </si>
  <si>
    <t xml:space="preserve">        Rentes de vieillesse d'excédents LPP garanties en cours</t>
  </si>
  <si>
    <t xml:space="preserve">        - dont financées par le compte de résultat courant</t>
  </si>
  <si>
    <t xml:space="preserve">        Autres rentes de vieillesse d'excédents en cours</t>
  </si>
  <si>
    <t xml:space="preserve">        Rentes de survivants en cours</t>
  </si>
  <si>
    <t xml:space="preserve">        Rentes d'invalidité en cours</t>
  </si>
  <si>
    <t>Conversion en rentes lors du départ à la retraite</t>
  </si>
  <si>
    <t xml:space="preserve">        Besoin estimé de constitution de provisions a posteriori</t>
  </si>
  <si>
    <t>Rémunération des avoirs de vieillesse</t>
  </si>
  <si>
    <t xml:space="preserve">        Taux d'intérêt en pourcent valable pour la rémunération des avoirs de vieillesse  
        du régime sur-obligatoire  b)</t>
  </si>
  <si>
    <t xml:space="preserve">        Taux d'intérêt en pourcent valable pour la rémunération des avoirs de vieillesse  
        du régime obligatoire LPP</t>
  </si>
  <si>
    <t xml:space="preserve">        Zinssatz in Prozent, 
        mit dem die Altersguthaben im BVG-Obligatorium zu verzinsen sind</t>
  </si>
  <si>
    <t xml:space="preserve">        Zinssatz in Prozent, 
        mit dem die Altersguthaben im Überobligatorium verzinst werden  b)</t>
  </si>
  <si>
    <t>b)  Veuillez indiquer aussi les années antérieures SVP. Merci.</t>
  </si>
  <si>
    <t>15.</t>
  </si>
  <si>
    <t>Principes d'établissement du bilan pour les actifs immatériels, les placements de capitaux et les placements immobiliers</t>
  </si>
  <si>
    <t>15.a</t>
  </si>
  <si>
    <t>15.d</t>
  </si>
  <si>
    <t>349z</t>
  </si>
  <si>
    <t>349za</t>
  </si>
  <si>
    <t>349zb</t>
  </si>
  <si>
    <t>349zc</t>
  </si>
  <si>
    <t>349zd</t>
  </si>
  <si>
    <t>Kommentar (auch Änderungen gegenüber Vorjahr erwähnen)</t>
  </si>
  <si>
    <t>Suisse : Affaires de la Prévoyance professionnelle</t>
  </si>
  <si>
    <t>Choix à disposition</t>
  </si>
  <si>
    <t>Principe de bilan retenu</t>
  </si>
  <si>
    <t>Commentaire (et mention des changements dès l'année précédente)</t>
  </si>
  <si>
    <t>349a</t>
  </si>
  <si>
    <t>350a</t>
  </si>
  <si>
    <t>351a</t>
  </si>
  <si>
    <t>352a</t>
  </si>
  <si>
    <t>353a</t>
  </si>
  <si>
    <t>354a</t>
  </si>
  <si>
    <t>355a</t>
  </si>
  <si>
    <t>356a</t>
  </si>
  <si>
    <t>357a</t>
  </si>
  <si>
    <t>358a</t>
  </si>
  <si>
    <t>359a</t>
  </si>
  <si>
    <t>360a</t>
  </si>
  <si>
    <t>361a</t>
  </si>
  <si>
    <t>362a</t>
  </si>
  <si>
    <t>363a</t>
  </si>
  <si>
    <t>364a</t>
  </si>
  <si>
    <t>365a</t>
  </si>
  <si>
    <t>366a</t>
  </si>
  <si>
    <t>367a</t>
  </si>
  <si>
    <t>368a</t>
  </si>
  <si>
    <t>Terrains et constructions</t>
  </si>
  <si>
    <t>Prêts à des entreprises avec lesquelles existe 
un lien de participation</t>
  </si>
  <si>
    <t>Actions et parts de fonds de placement</t>
  </si>
  <si>
    <t>Papiers-valeurs à taux d'intérêt fixe</t>
  </si>
  <si>
    <t>Prêts représentés par un titre et créances 
inscrites dans des livres de dette publiques</t>
  </si>
  <si>
    <t>Actifs corporels</t>
  </si>
  <si>
    <t>368b</t>
  </si>
  <si>
    <t>368c</t>
  </si>
  <si>
    <t>368e</t>
  </si>
  <si>
    <t>368f</t>
  </si>
  <si>
    <t>368g</t>
  </si>
  <si>
    <t>368h</t>
  </si>
  <si>
    <t>368i</t>
  </si>
  <si>
    <t>368j</t>
  </si>
  <si>
    <t>368k</t>
  </si>
  <si>
    <t>368l</t>
  </si>
  <si>
    <t>368m</t>
  </si>
  <si>
    <t>368n</t>
  </si>
  <si>
    <t>368o</t>
  </si>
  <si>
    <t>368p</t>
  </si>
  <si>
    <t>368q</t>
  </si>
  <si>
    <t>368r</t>
  </si>
  <si>
    <t>368d</t>
  </si>
  <si>
    <t>368e1</t>
  </si>
  <si>
    <t>368k1</t>
  </si>
  <si>
    <t>368e2</t>
  </si>
  <si>
    <t>368e3</t>
  </si>
  <si>
    <t>368e4</t>
  </si>
  <si>
    <t>368f1</t>
  </si>
  <si>
    <t>368f2</t>
  </si>
  <si>
    <t>368g1</t>
  </si>
  <si>
    <t>368g2</t>
  </si>
  <si>
    <t>368g3</t>
  </si>
  <si>
    <t>368h1</t>
  </si>
  <si>
    <t>368h2</t>
  </si>
  <si>
    <t>368h3</t>
  </si>
  <si>
    <t>368i1</t>
  </si>
  <si>
    <t>368j1</t>
  </si>
  <si>
    <t>368j2</t>
  </si>
  <si>
    <t>368l1</t>
  </si>
  <si>
    <t>368m1</t>
  </si>
  <si>
    <t>368m2</t>
  </si>
  <si>
    <t>368m3</t>
  </si>
  <si>
    <t>368n1</t>
  </si>
  <si>
    <t>368n2</t>
  </si>
  <si>
    <t>368n3</t>
  </si>
  <si>
    <t>368o1</t>
  </si>
  <si>
    <t>368o2</t>
  </si>
  <si>
    <t>368o3</t>
  </si>
  <si>
    <t>368o4</t>
  </si>
  <si>
    <t>368p1</t>
  </si>
  <si>
    <t>368p2</t>
  </si>
  <si>
    <t>368p3</t>
  </si>
  <si>
    <t>368q1</t>
  </si>
  <si>
    <t>368q2</t>
  </si>
  <si>
    <t>368q3</t>
  </si>
  <si>
    <t>368r1</t>
  </si>
  <si>
    <t>368r2</t>
  </si>
  <si>
    <t>368r3</t>
  </si>
  <si>
    <t>368s</t>
  </si>
  <si>
    <t>368s1</t>
  </si>
  <si>
    <t>368t</t>
  </si>
  <si>
    <t>368t1</t>
  </si>
  <si>
    <t>368u</t>
  </si>
  <si>
    <t>368v</t>
  </si>
  <si>
    <t>368w</t>
  </si>
  <si>
    <t>368x</t>
  </si>
  <si>
    <t>368x1</t>
  </si>
  <si>
    <t>368x2</t>
  </si>
  <si>
    <t>368w1</t>
  </si>
  <si>
    <t>368v1</t>
  </si>
  <si>
    <t>368v2</t>
  </si>
  <si>
    <t>368v3</t>
  </si>
  <si>
    <t>368u1</t>
  </si>
  <si>
    <t>368u2</t>
  </si>
  <si>
    <t>368u3</t>
  </si>
  <si>
    <t>368eb</t>
  </si>
  <si>
    <t>368fb</t>
  </si>
  <si>
    <t>368gb</t>
  </si>
  <si>
    <t>*   réajustements individuels de valeur</t>
  </si>
  <si>
    <t>**  Principe de valeur minimum rigoureux (sans réévaluations)</t>
  </si>
  <si>
    <t>*** Principe de valeur minimum</t>
  </si>
  <si>
    <t>368aa</t>
  </si>
  <si>
    <t>368ba</t>
  </si>
  <si>
    <t>368ca</t>
  </si>
  <si>
    <t>368da</t>
  </si>
  <si>
    <t>Légende des principes d'évaluation</t>
  </si>
  <si>
    <t>368e1b</t>
  </si>
  <si>
    <t>368e2b</t>
  </si>
  <si>
    <t>368e3b</t>
  </si>
  <si>
    <t>368e4b</t>
  </si>
  <si>
    <t>368f1b</t>
  </si>
  <si>
    <t>368f2b</t>
  </si>
  <si>
    <t>368g1b</t>
  </si>
  <si>
    <t>368g2b</t>
  </si>
  <si>
    <t>368g3b</t>
  </si>
  <si>
    <t>Pas d'actifs immatériels activés</t>
  </si>
  <si>
    <t>Amortissement selon plan sur 3 à 5 ans</t>
  </si>
  <si>
    <t>Amortissement selon plan sur 6 à 8 ans</t>
  </si>
  <si>
    <t>Amortissement selon plan sur plus de 8 ans</t>
  </si>
  <si>
    <t>Autre méthode d'évaluation (à commenter)</t>
  </si>
  <si>
    <t>Amortissements acceptés par l'autorité fiscale*</t>
  </si>
  <si>
    <t>Frais d'acquisition sans amortissements*</t>
  </si>
  <si>
    <t>Valeur de marché</t>
  </si>
  <si>
    <t>Valeur d'actif nette</t>
  </si>
  <si>
    <t>Valeur d'acquisition selon plan d'amortissements*</t>
  </si>
  <si>
    <t>Valeur d'actif nette si inférieure à la val. d'acquisition</t>
  </si>
  <si>
    <t>Valeur nominale*</t>
  </si>
  <si>
    <t>Valeur d'acquisition diminuée des amort. néc.</t>
  </si>
  <si>
    <t>Valeur d'actif nette si inférieure à la va. d'acquisition</t>
  </si>
  <si>
    <t>Val. indiv. la plus basse d'acquis./compt./de marché**</t>
  </si>
  <si>
    <t>Val. Indiv. la plus basse d'acquisition/de marché***</t>
  </si>
  <si>
    <t>Valeur d'acquisition</t>
  </si>
  <si>
    <t>Pas de valeur comptable suite à un amortissement direct</t>
  </si>
  <si>
    <t>Val. Indiv. la plus basse d'acquisition/de marché</t>
  </si>
  <si>
    <t>Val. indiv. la plus basse d'acquis./comptable/de marché</t>
  </si>
  <si>
    <t>Méthode scientifique d'amortissement des frais*</t>
  </si>
  <si>
    <t>Méthode linéaire d'amortissement des frais*</t>
  </si>
  <si>
    <t>Méthode mathématique d'évaluation*</t>
  </si>
  <si>
    <t>Valeur nominale</t>
  </si>
  <si>
    <t>Valeur la plus basse d'acquisition/valeur d'actif nette</t>
  </si>
  <si>
    <t>Amort. selon autorité fiscale/droit commercial</t>
  </si>
  <si>
    <t>Amortissements selon normes internationales</t>
  </si>
  <si>
    <t>368hb</t>
  </si>
  <si>
    <t>368h1b</t>
  </si>
  <si>
    <t>368h2b</t>
  </si>
  <si>
    <t>368h3b</t>
  </si>
  <si>
    <t>368ib</t>
  </si>
  <si>
    <t>368i1b</t>
  </si>
  <si>
    <t>368jb</t>
  </si>
  <si>
    <t>368j1b</t>
  </si>
  <si>
    <t>368j2b</t>
  </si>
  <si>
    <t>368kb</t>
  </si>
  <si>
    <t>368k1b</t>
  </si>
  <si>
    <t>368lb</t>
  </si>
  <si>
    <t>368l1b</t>
  </si>
  <si>
    <t>368mb</t>
  </si>
  <si>
    <t>368m1b</t>
  </si>
  <si>
    <t>368m2b</t>
  </si>
  <si>
    <t>368m3b</t>
  </si>
  <si>
    <t>368nb</t>
  </si>
  <si>
    <t>368n1b</t>
  </si>
  <si>
    <t>368n2b</t>
  </si>
  <si>
    <t>368n3b</t>
  </si>
  <si>
    <t>368ob</t>
  </si>
  <si>
    <t>368o1b</t>
  </si>
  <si>
    <t>368o2b</t>
  </si>
  <si>
    <t>368o3b</t>
  </si>
  <si>
    <t>368o4b</t>
  </si>
  <si>
    <t>368pb</t>
  </si>
  <si>
    <t>368p1b</t>
  </si>
  <si>
    <t>368p2b</t>
  </si>
  <si>
    <t>368p3b</t>
  </si>
  <si>
    <t>368qb</t>
  </si>
  <si>
    <t>368q1b</t>
  </si>
  <si>
    <t>368q2b</t>
  </si>
  <si>
    <t>368q3b</t>
  </si>
  <si>
    <t>368rb</t>
  </si>
  <si>
    <t>368r1b</t>
  </si>
  <si>
    <t>368r2b</t>
  </si>
  <si>
    <t>368r3b</t>
  </si>
  <si>
    <t>368sb</t>
  </si>
  <si>
    <t>368s1b</t>
  </si>
  <si>
    <t>368tb</t>
  </si>
  <si>
    <t>368t1b</t>
  </si>
  <si>
    <t>368ub</t>
  </si>
  <si>
    <t>368u1b</t>
  </si>
  <si>
    <t>368u2b</t>
  </si>
  <si>
    <t>368u3b</t>
  </si>
  <si>
    <t>368vb</t>
  </si>
  <si>
    <t>368v1b</t>
  </si>
  <si>
    <t>368v2b</t>
  </si>
  <si>
    <t>368v3b</t>
  </si>
  <si>
    <t>368wb</t>
  </si>
  <si>
    <t>368w1b</t>
  </si>
  <si>
    <t>368xb</t>
  </si>
  <si>
    <t>368x1b</t>
  </si>
  <si>
    <t>368x2b</t>
  </si>
  <si>
    <t>16.</t>
  </si>
  <si>
    <t>16.a</t>
  </si>
  <si>
    <t>16.i</t>
  </si>
  <si>
    <t>369z</t>
  </si>
  <si>
    <t>369t</t>
  </si>
  <si>
    <t>Langue:</t>
  </si>
  <si>
    <t>369ti</t>
  </si>
  <si>
    <t>369ua</t>
  </si>
  <si>
    <t>369va</t>
  </si>
  <si>
    <t>369wc</t>
  </si>
  <si>
    <t>369wg</t>
  </si>
  <si>
    <t>Schweiz:  Berufliche Vorsorge</t>
  </si>
  <si>
    <t>Suisse:  Prévoyance professionnelle</t>
  </si>
  <si>
    <t>(Chiffres en 1000 CHF)</t>
  </si>
  <si>
    <t>Année d'exercice</t>
  </si>
  <si>
    <t>Exercice précédent</t>
  </si>
  <si>
    <t>369xf</t>
  </si>
  <si>
    <t>Réserves</t>
  </si>
  <si>
    <t>369yb</t>
  </si>
  <si>
    <t>369ye</t>
  </si>
  <si>
    <t>369yf</t>
  </si>
  <si>
    <t>369yi</t>
  </si>
  <si>
    <t>369yj</t>
  </si>
  <si>
    <t>Valeur comptable reportée de la</t>
  </si>
  <si>
    <t>Valeur</t>
  </si>
  <si>
    <t>369yc</t>
  </si>
  <si>
    <t>369yd</t>
  </si>
  <si>
    <t>369yg</t>
  </si>
  <si>
    <t>369yh</t>
  </si>
  <si>
    <t>369zb</t>
  </si>
  <si>
    <t>369zc</t>
  </si>
  <si>
    <t>369zd</t>
  </si>
  <si>
    <t>369ze</t>
  </si>
  <si>
    <t>369zf</t>
  </si>
  <si>
    <t>369zg</t>
  </si>
  <si>
    <t>369zh</t>
  </si>
  <si>
    <t>369zi</t>
  </si>
  <si>
    <t>369zj</t>
  </si>
  <si>
    <t>col. e (AE) resp. f (AE-1) de…</t>
  </si>
  <si>
    <t>comptable</t>
  </si>
  <si>
    <t>de marché</t>
  </si>
  <si>
    <t>d'évaluation</t>
  </si>
  <si>
    <t>369xj</t>
  </si>
  <si>
    <t>de la val. compt.</t>
  </si>
  <si>
    <t>d'évaluation en %</t>
  </si>
  <si>
    <t>reserven in %</t>
  </si>
  <si>
    <t>Sonstige Kapitalanlagen  c)</t>
  </si>
  <si>
    <t>Total  b)</t>
  </si>
  <si>
    <t>Placements de capitaux pour compte de tiers</t>
  </si>
  <si>
    <t>369a</t>
  </si>
  <si>
    <t>370a</t>
  </si>
  <si>
    <t>371a</t>
  </si>
  <si>
    <t>372a</t>
  </si>
  <si>
    <t>373a</t>
  </si>
  <si>
    <t>374a</t>
  </si>
  <si>
    <t>375a</t>
  </si>
  <si>
    <t>376a</t>
  </si>
  <si>
    <t>377a</t>
  </si>
  <si>
    <t>378aa</t>
  </si>
  <si>
    <t>379a</t>
  </si>
  <si>
    <t>380aa</t>
  </si>
  <si>
    <t>381a</t>
  </si>
  <si>
    <t>Autres placements de capitaux  c)</t>
  </si>
  <si>
    <t>Avoirs  n e t s  découlant d’instruments financiers dérivés  a)</t>
  </si>
  <si>
    <t>N e t t o - Guthaben aus derivativen Finanzinstrumenten  a)</t>
  </si>
  <si>
    <t>381b</t>
  </si>
  <si>
    <t>381c</t>
  </si>
  <si>
    <t>381d</t>
  </si>
  <si>
    <t>381e</t>
  </si>
  <si>
    <t xml:space="preserve">a)  Ab Berichtsjahr 2012 ist der Saldo Guthaben minus Verpflichtungen aus derivativen Finanzinstrumenten unter Position 378a einzutragen. </t>
  </si>
  <si>
    <t>b)  Infolgedessen wird das Total Position 381 um den Betrag von Pos. 130a (Bilanz, Passivseite) vom Total der Kapitalanlagen Pos. 79 (Bilanz, Aktivseite) abweichen. Pos. 381 ist für die Renditeberechnungen massgebend.</t>
  </si>
  <si>
    <t>c)  Die Summe der Position 379, Spalten c resp. g, sollte in der Bilanz mit der Summe der Positionen 56, 58, 59, 68 bis 71, 74 und 75 der Spalten e resp. f übereinstimmen. Sonst ist das Total rot hinterlegt.</t>
  </si>
  <si>
    <t>381ba</t>
  </si>
  <si>
    <t>381ca</t>
  </si>
  <si>
    <t>381da</t>
  </si>
  <si>
    <t>381ea</t>
  </si>
  <si>
    <t xml:space="preserve">      Dies im Gegensatz zur Bilanz, wo Guthaben und Verpflichtungen aus derivaten Finanzinstrumenten getrennt unter Aktiven und Passiven auszuweisen sind.</t>
  </si>
  <si>
    <t>c)  L'addition de la position 379, colonnes c resp. g, devrait s'accorder dans le bilan avec la somme des positions 56, 58, 59, 68 bis 71, 74 et 75 des colonnes e resp f. Sinon le total apparaît sur fonds rouge.</t>
  </si>
  <si>
    <t>a)  Dès l'exercice 2012, le solde avoirs moins engagements découlant d'instruments dérivés est à enregistrer dans la position 378a.</t>
  </si>
  <si>
    <t xml:space="preserve">      Ceci par contraste au bilan, dans lequel les avoirs et les engagements découlant d'instruments dérivés doivent être présentés séparément sous les actifs et les passifs.</t>
  </si>
  <si>
    <t xml:space="preserve">b)  Par conséquent, le total de la pos. 381 divergera du total des placements de capitaux pos. 79 (bilan, côté de l'actif) dans la mesure de la position 130a (bilan, côté du passif). Pos. 381 détermine les calculs de la rentabilité.  </t>
  </si>
  <si>
    <t>17.a</t>
  </si>
  <si>
    <t>17.i</t>
  </si>
  <si>
    <t>Netto-Guthaben aus derivativen Finanzinstrumenten  e)</t>
  </si>
  <si>
    <t>Sonstige Kapitalanlagen  g)</t>
  </si>
  <si>
    <t>Total  f)</t>
  </si>
  <si>
    <t>382ti</t>
  </si>
  <si>
    <t>382ua</t>
  </si>
  <si>
    <t>382va</t>
  </si>
  <si>
    <t>382wc</t>
  </si>
  <si>
    <t>382wg</t>
  </si>
  <si>
    <t>382xf</t>
  </si>
  <si>
    <t>382xj</t>
  </si>
  <si>
    <t>382yb</t>
  </si>
  <si>
    <t>382yc</t>
  </si>
  <si>
    <t>382yd</t>
  </si>
  <si>
    <t>382ye</t>
  </si>
  <si>
    <t>382yf</t>
  </si>
  <si>
    <t>382yg</t>
  </si>
  <si>
    <t>382yh</t>
  </si>
  <si>
    <t>382yi</t>
  </si>
  <si>
    <t>382yj</t>
  </si>
  <si>
    <t>382zb</t>
  </si>
  <si>
    <t>382zc</t>
  </si>
  <si>
    <t>382zd</t>
  </si>
  <si>
    <t>382ze</t>
  </si>
  <si>
    <t>382zf</t>
  </si>
  <si>
    <t>382zg</t>
  </si>
  <si>
    <t>382zh</t>
  </si>
  <si>
    <t>382zi</t>
  </si>
  <si>
    <t>382zj</t>
  </si>
  <si>
    <t>382a</t>
  </si>
  <si>
    <t>383a</t>
  </si>
  <si>
    <t>384a</t>
  </si>
  <si>
    <t>385a</t>
  </si>
  <si>
    <t>386a</t>
  </si>
  <si>
    <t>387a</t>
  </si>
  <si>
    <t>388a</t>
  </si>
  <si>
    <t>389a</t>
  </si>
  <si>
    <t>390a</t>
  </si>
  <si>
    <t>391aa</t>
  </si>
  <si>
    <t>392a</t>
  </si>
  <si>
    <t>393aa</t>
  </si>
  <si>
    <t>394a</t>
  </si>
  <si>
    <t>Autres placements de capitaux  g)</t>
  </si>
  <si>
    <t>e)  Ab Berichtsjahr 2012 ist der Saldo Guthaben minus Verpflichtungen aus derivativen Finanzinstrumenten unter Position 391a einzutragen.</t>
  </si>
  <si>
    <t>f)  Infolgedessen wird das Total Position 394 um den Betrag von Pos. 130a (Bilanz, Passivseite) vom Total der Kapitalanlagen Pos. 79 (Bilanz, Aktivseite) abweichen.</t>
  </si>
  <si>
    <t>g)  Die Summe der Position 392, Spalten c resp. g, sollte in der Bilanz mit der Summe der Positionen 56, 58, 59, 68 bis 71, 74 und 75 der Spalten h resp. i übereinstimmen. Sonst ist das Total rot hinterlegt.</t>
  </si>
  <si>
    <t>394b</t>
  </si>
  <si>
    <t>394c</t>
  </si>
  <si>
    <t>394d</t>
  </si>
  <si>
    <t>394e</t>
  </si>
  <si>
    <t>394ba</t>
  </si>
  <si>
    <t>394ca</t>
  </si>
  <si>
    <t>394da</t>
  </si>
  <si>
    <t>394ea</t>
  </si>
  <si>
    <t>e)  Dès l'exercice 2012, le solde avoirs moins engagements découlant d'instruments dérivés est à enregistrer dans la position 391a.</t>
  </si>
  <si>
    <t>f)  Par conséquent, le total de la pos. 394 divergera du total des placements de capitaux pos. 79 (bilan, côté de l'actif) dans la mesure de la position 130a (bilan, côté du passif).</t>
  </si>
  <si>
    <t>g)  L'addition de la position 392, colonnes c resp. g, devrait s'accorder dans le bilan avec la somme des positions 56, 58, 59, 68 bis 71, 74 et 75 des colonnes h resp i. Sinon le total apparaît sur fonds rouge.</t>
  </si>
  <si>
    <t>Schéma de publication aux institutions de prévoyance</t>
  </si>
  <si>
    <t>18.h</t>
  </si>
  <si>
    <t>18.g</t>
  </si>
  <si>
    <t>18.a0</t>
  </si>
  <si>
    <t>Comptabilité de la prévoyance professionnelle</t>
  </si>
  <si>
    <t>395sa0</t>
  </si>
  <si>
    <t>395ta0</t>
  </si>
  <si>
    <t>395ua0</t>
  </si>
  <si>
    <t>395va0</t>
  </si>
  <si>
    <t>Angaben in 1000 CHF, gemäss statutarischem Rechnungsabschluss,  a u t o m a t i s c h  ausgefüllt</t>
  </si>
  <si>
    <t xml:space="preserve">Entreprise d'assurance sur la vie:  </t>
  </si>
  <si>
    <t>Minimal-Anforderungen der FINMA</t>
  </si>
  <si>
    <t>Exigences minimales de la FINMA</t>
  </si>
  <si>
    <t>Données en 1000 CHF, selon clôture des comptes statutaire, feuille remplie  a u t o m a t i q u e m e n t</t>
  </si>
  <si>
    <t>395wc</t>
  </si>
  <si>
    <t>395wd</t>
  </si>
  <si>
    <t>395we</t>
  </si>
  <si>
    <t>395wf</t>
  </si>
  <si>
    <t>395wg</t>
  </si>
  <si>
    <t>395wh</t>
  </si>
  <si>
    <t>Pré-colonne</t>
  </si>
  <si>
    <t>Col. principale</t>
  </si>
  <si>
    <t>Formules à gauche</t>
  </si>
  <si>
    <t>Formules à droite</t>
  </si>
  <si>
    <t>488a</t>
  </si>
  <si>
    <t>Kapitalanlagebestand am Ende des Rechnungsjahrs  a)</t>
  </si>
  <si>
    <t>a)  Total Kapitalanlagen Pos. 427e minus Verpflichtungen aus derivativen Finanzinstrumenten</t>
  </si>
  <si>
    <t>Bruttoergebnis der Betriebsrechnung  b)</t>
  </si>
  <si>
    <t>I.  Compte de résultat</t>
  </si>
  <si>
    <t>Produit</t>
  </si>
  <si>
    <t>Primes de risque</t>
  </si>
  <si>
    <t>Produit des placements de capitaux</t>
  </si>
  <si>
    <t>Résultat sur réalisations</t>
  </si>
  <si>
    <t>Résultat monétaire</t>
  </si>
  <si>
    <t>Solde entre plus-values et amortissements</t>
  </si>
  <si>
    <t>Charges d'intérêt</t>
  </si>
  <si>
    <t>Résultat de la réassurance (gain = +)</t>
  </si>
  <si>
    <t>Produit total</t>
  </si>
  <si>
    <t>Charges</t>
  </si>
  <si>
    <t>Frais occasionnés par le traitement des prestations / Total des prestations</t>
  </si>
  <si>
    <t>Avoirs de vieillesse</t>
  </si>
  <si>
    <t>Autres provisions techniques / Total intermédiaire</t>
  </si>
  <si>
    <t>Frais d'acquisition et de gestion bruts</t>
  </si>
  <si>
    <t>Autres charges (regroupés)</t>
  </si>
  <si>
    <t>Participation aux excédents attribuée au fonds d'excédents</t>
  </si>
  <si>
    <t>Charges totales</t>
  </si>
  <si>
    <t>Placements de capitaux</t>
  </si>
  <si>
    <t>Liquidités et dépôts à terme</t>
  </si>
  <si>
    <t>Hypothèques et autres créances nominales</t>
  </si>
  <si>
    <t>Private Equity et Hedge Funds</t>
  </si>
  <si>
    <t>Placements dans des participations et des entreprises liées</t>
  </si>
  <si>
    <t>Immeubles</t>
  </si>
  <si>
    <t>Passifs</t>
  </si>
  <si>
    <t>Provisions techniques brutes</t>
  </si>
  <si>
    <t>Provision pour sinistres survenus mais non encore liquidés</t>
  </si>
  <si>
    <t>Fonds de renchérissement</t>
  </si>
  <si>
    <t>Parts d'excédents créditées aux assurés</t>
  </si>
  <si>
    <t>Autres provisions techniques / Total</t>
  </si>
  <si>
    <t>III.  Fonds d'excédents</t>
  </si>
  <si>
    <t>Attribution du compte d'exploitation au fonds d'excédents</t>
  </si>
  <si>
    <t>Etat à la fin de l'exercice en cours</t>
  </si>
  <si>
    <t>IV.  Fonds de renchérissement</t>
  </si>
  <si>
    <t>Intérêt tarifaire / Total intermédiaire</t>
  </si>
  <si>
    <t>V.  Autres chiffres indicatifs</t>
  </si>
  <si>
    <t>Produit des placements de capitaux brut / net</t>
  </si>
  <si>
    <t>Placements de capitaux au début de l'exercice</t>
  </si>
  <si>
    <t>Réserves d'évaluation</t>
  </si>
  <si>
    <t>Réserves d'évaluation au début de l'exercice</t>
  </si>
  <si>
    <t>Réserves d'évaluation à la fin de l'exercice</t>
  </si>
  <si>
    <t>Variation des réserves d'évaluation</t>
  </si>
  <si>
    <t>Paramètres utilisés dans la partie sur-obligatoire</t>
  </si>
  <si>
    <t>Taux d'intérêt valable pour la rémunération des avoirs de vieillesse</t>
  </si>
  <si>
    <t>Nombre d'assurés à la fin de l'exercice en cours</t>
  </si>
  <si>
    <t>Nombre d'assurés actifs</t>
  </si>
  <si>
    <t>Nombres de bénéficiaires de rentes</t>
  </si>
  <si>
    <t>Nombre d'assurés total</t>
  </si>
  <si>
    <t>Autres charges pour l'administration générale</t>
  </si>
  <si>
    <t>VI.  Preuves du respect de la quote-part minimum (QM)</t>
  </si>
  <si>
    <t>Processus d'épargne (Produits des placements de capitaux)</t>
  </si>
  <si>
    <t>Processus de risque (Primes de risque)</t>
  </si>
  <si>
    <t>Processus de frais (Primes de frais)</t>
  </si>
  <si>
    <t>Somme des charges</t>
  </si>
  <si>
    <t>Processus d'épargne (princ. Intérêts techniques)</t>
  </si>
  <si>
    <t>Processus de risque (princ. prest. en cas de décès et d'inv.)</t>
  </si>
  <si>
    <t>Processus de frais (princ. frais de gestion)</t>
  </si>
  <si>
    <t>Lacunes de couverture en cas de conversion en rentes</t>
  </si>
  <si>
    <t>Sinistres survenus mais non encore annoncés</t>
  </si>
  <si>
    <t>Fluctuations de sinistres</t>
  </si>
  <si>
    <t>Fluctuations de la valeur des placements de capitaux</t>
  </si>
  <si>
    <t>Garanties d'intérêt</t>
  </si>
  <si>
    <t>Adaptations et assainissements de tarifs</t>
  </si>
  <si>
    <t>Frais pour capital risque supplémentaire</t>
  </si>
  <si>
    <t>Attribution au fonds d'excédents</t>
  </si>
  <si>
    <t>Résutat d'exploitation de l'exercice</t>
  </si>
  <si>
    <t>Quote-part de distribution</t>
  </si>
  <si>
    <t>Récapitulation du résultat de l'exercice</t>
  </si>
  <si>
    <t>Part des affaires soumises à la quote-part minimum</t>
  </si>
  <si>
    <t>Part des affaires non soumises à la quote-part minimum</t>
  </si>
  <si>
    <t>Produit des placements de capitaux direct</t>
  </si>
  <si>
    <t>Charges pour la gestion de la fortune / Total Produit net</t>
  </si>
  <si>
    <t>Prestations d'assurance brutes</t>
  </si>
  <si>
    <t>Variation des provisions techniques brutes</t>
  </si>
  <si>
    <t>Rückstellung für eingetretene noch nicht erledigte Versicherungsfälle</t>
  </si>
  <si>
    <t>Autres produits (regroupés)</t>
  </si>
  <si>
    <t>Actions suisses et étrangères</t>
  </si>
  <si>
    <t>Provision mathématique des polices de libre passage</t>
  </si>
  <si>
    <t>Provision mathématique des rentes de vieillesse et de survivants en cours</t>
  </si>
  <si>
    <t>Provision mathématique des rentes d'invalidité en cours</t>
  </si>
  <si>
    <t>Renforcement de la provision mathématique des rentes en cours</t>
  </si>
  <si>
    <t xml:space="preserve">   Prélevé du fonds d'excédents pour couvrir un déficit du compte d'exploit.</t>
  </si>
  <si>
    <t xml:space="preserve">   Distribué aux institutions de prévoyance / Total intermédiaire</t>
  </si>
  <si>
    <t xml:space="preserve">   Charges pour augmentations liées au renchérissement des rentes de risque</t>
  </si>
  <si>
    <t>Placements de capitaux à la fin de l'exercice  a)</t>
  </si>
  <si>
    <t>a)  Total des placements de capitaux pos. 427e moins engagements découlant d’instruments financiers dérivés</t>
  </si>
  <si>
    <t>Nombre de polices de libre passage</t>
  </si>
  <si>
    <t>Somme des composantes du produit</t>
  </si>
  <si>
    <t>Résultat brut d'exploitation  b)</t>
  </si>
  <si>
    <t>Äufnung (+) oder Auflösung (-) technischer Rückstellungen</t>
  </si>
  <si>
    <t>Alimentation (+) ou dissolution (-) de provisions techniques</t>
  </si>
  <si>
    <t xml:space="preserve">   au processus de risque</t>
  </si>
  <si>
    <t xml:space="preserve">   au processus d'épargne</t>
  </si>
  <si>
    <t xml:space="preserve">   im Sparprozess</t>
  </si>
  <si>
    <t xml:space="preserve">   im Risikoprozess</t>
  </si>
  <si>
    <t>Eingetretene noch nicht gemeldete Versicherungsfälle</t>
  </si>
  <si>
    <t>Ventilation des primes de frais selon répondants de frais</t>
  </si>
  <si>
    <t>Primes de frais des polices de libre passage, valeur absolue / par police en CHF</t>
  </si>
  <si>
    <t>Primes de frais des assurés actifs, valeur absolue / par personne en CHF</t>
  </si>
  <si>
    <t>Autres primes de frais / Total des primes de frais</t>
  </si>
  <si>
    <t>Ventilation des charges d'exploitation selon répondants de frais</t>
  </si>
  <si>
    <t>Ventilation des charges d'exploitation selon sections de frais</t>
  </si>
  <si>
    <t>Part des réassureurs aux charges d'expl. / Total charges d'exploitation</t>
  </si>
  <si>
    <t>Charges d'exploitation des assurés actifs, valeur absolue / par personne en CHF</t>
  </si>
  <si>
    <t>Charges d'exploitation des rentiers, valeur absolue / par personne en CHF</t>
  </si>
  <si>
    <t>395xa0</t>
  </si>
  <si>
    <t>395b</t>
  </si>
  <si>
    <t>396b</t>
  </si>
  <si>
    <t>397b</t>
  </si>
  <si>
    <t>398za</t>
  </si>
  <si>
    <t>399b</t>
  </si>
  <si>
    <t>400b</t>
  </si>
  <si>
    <t>401b</t>
  </si>
  <si>
    <t>402b</t>
  </si>
  <si>
    <t>403b</t>
  </si>
  <si>
    <t>407ya0</t>
  </si>
  <si>
    <t>407za</t>
  </si>
  <si>
    <t>407b</t>
  </si>
  <si>
    <t>408b</t>
  </si>
  <si>
    <t>409b</t>
  </si>
  <si>
    <t>409ab</t>
  </si>
  <si>
    <t>410za</t>
  </si>
  <si>
    <t>410b</t>
  </si>
  <si>
    <t>411ab</t>
  </si>
  <si>
    <t>411bb</t>
  </si>
  <si>
    <t>412b</t>
  </si>
  <si>
    <t>413b</t>
  </si>
  <si>
    <t>414a</t>
  </si>
  <si>
    <t>415a</t>
  </si>
  <si>
    <t>417a</t>
  </si>
  <si>
    <t>418a</t>
  </si>
  <si>
    <t>419a</t>
  </si>
  <si>
    <t>420xa0</t>
  </si>
  <si>
    <t>420ya0</t>
  </si>
  <si>
    <t>420za</t>
  </si>
  <si>
    <t>404a</t>
  </si>
  <si>
    <t>405a</t>
  </si>
  <si>
    <t>406a</t>
  </si>
  <si>
    <t>398b</t>
  </si>
  <si>
    <t>381ac</t>
  </si>
  <si>
    <t>381ag</t>
  </si>
  <si>
    <t>394ac</t>
  </si>
  <si>
    <t>394ag</t>
  </si>
  <si>
    <t>420e</t>
  </si>
  <si>
    <t>421e</t>
  </si>
  <si>
    <t>421ae</t>
  </si>
  <si>
    <t>422e</t>
  </si>
  <si>
    <t>423e</t>
  </si>
  <si>
    <t>423ae</t>
  </si>
  <si>
    <t>424e</t>
  </si>
  <si>
    <t>424ae</t>
  </si>
  <si>
    <t>425e</t>
  </si>
  <si>
    <t>426e</t>
  </si>
  <si>
    <t>en %:</t>
  </si>
  <si>
    <t>428ya0</t>
  </si>
  <si>
    <t>420b</t>
  </si>
  <si>
    <t>421b</t>
  </si>
  <si>
    <t>422b</t>
  </si>
  <si>
    <t>423b</t>
  </si>
  <si>
    <t>424b</t>
  </si>
  <si>
    <t>425b</t>
  </si>
  <si>
    <t>426b</t>
  </si>
  <si>
    <t>427b</t>
  </si>
  <si>
    <t>421ab</t>
  </si>
  <si>
    <t>423ab</t>
  </si>
  <si>
    <t>424ab</t>
  </si>
  <si>
    <t>428za</t>
  </si>
  <si>
    <t>428ze</t>
  </si>
  <si>
    <t>428zf</t>
  </si>
  <si>
    <t>Obligatoire</t>
  </si>
  <si>
    <t>Surobligatoire</t>
  </si>
  <si>
    <t>428b</t>
  </si>
  <si>
    <t>429b</t>
  </si>
  <si>
    <t>430b</t>
  </si>
  <si>
    <t>430ab</t>
  </si>
  <si>
    <t>431b</t>
  </si>
  <si>
    <t>432b</t>
  </si>
  <si>
    <t>433b</t>
  </si>
  <si>
    <t>434b</t>
  </si>
  <si>
    <t>435b</t>
  </si>
  <si>
    <t>436za0</t>
  </si>
  <si>
    <t>436b</t>
  </si>
  <si>
    <t>437b</t>
  </si>
  <si>
    <t>438b</t>
  </si>
  <si>
    <t>439b</t>
  </si>
  <si>
    <t>440b</t>
  </si>
  <si>
    <t>441b</t>
  </si>
  <si>
    <t>442za0</t>
  </si>
  <si>
    <t>442b</t>
  </si>
  <si>
    <t>443b</t>
  </si>
  <si>
    <t>444b</t>
  </si>
  <si>
    <t>445b</t>
  </si>
  <si>
    <t>446b</t>
  </si>
  <si>
    <t>447b</t>
  </si>
  <si>
    <t>441f</t>
  </si>
  <si>
    <t>447f</t>
  </si>
  <si>
    <t>448za0</t>
  </si>
  <si>
    <t>448b</t>
  </si>
  <si>
    <t>449zb</t>
  </si>
  <si>
    <t>449b</t>
  </si>
  <si>
    <t>450b</t>
  </si>
  <si>
    <t>450ab</t>
  </si>
  <si>
    <t>451zb</t>
  </si>
  <si>
    <t>451b</t>
  </si>
  <si>
    <t>452b</t>
  </si>
  <si>
    <t>453b</t>
  </si>
  <si>
    <t>454b</t>
  </si>
  <si>
    <t>455b</t>
  </si>
  <si>
    <t>463b</t>
  </si>
  <si>
    <t>456zb</t>
  </si>
  <si>
    <t>456b</t>
  </si>
  <si>
    <t>457b</t>
  </si>
  <si>
    <t>458b</t>
  </si>
  <si>
    <t>459zb</t>
  </si>
  <si>
    <t>459b</t>
  </si>
  <si>
    <t>460b</t>
  </si>
  <si>
    <t>461b</t>
  </si>
  <si>
    <t>462b</t>
  </si>
  <si>
    <t>464zb</t>
  </si>
  <si>
    <t>464ab</t>
  </si>
  <si>
    <t>464bb</t>
  </si>
  <si>
    <t>464cb</t>
  </si>
  <si>
    <t>465zb</t>
  </si>
  <si>
    <t>465b</t>
  </si>
  <si>
    <t>465ab</t>
  </si>
  <si>
    <t>466ab</t>
  </si>
  <si>
    <t>467b</t>
  </si>
  <si>
    <t>468b</t>
  </si>
  <si>
    <t>469zb</t>
  </si>
  <si>
    <t>469ab</t>
  </si>
  <si>
    <t>469bb</t>
  </si>
  <si>
    <t>469cb</t>
  </si>
  <si>
    <t>469db</t>
  </si>
  <si>
    <t>449zd</t>
  </si>
  <si>
    <t>449ze</t>
  </si>
  <si>
    <t>Valeur comptable</t>
  </si>
  <si>
    <t>Charges d'expl. des polices de libre passage, valeur absolue / par pers. en CHF</t>
  </si>
  <si>
    <t>Charges d'expl. pour d'autres répondants de frais / Total des charges d'expl. nettes</t>
  </si>
  <si>
    <t>471ya0</t>
  </si>
  <si>
    <t>471za</t>
  </si>
  <si>
    <t>474za</t>
  </si>
  <si>
    <t>471b</t>
  </si>
  <si>
    <t>472b</t>
  </si>
  <si>
    <t>473b</t>
  </si>
  <si>
    <t>474b</t>
  </si>
  <si>
    <t>475b</t>
  </si>
  <si>
    <t>476b</t>
  </si>
  <si>
    <t>477a</t>
  </si>
  <si>
    <t>478ya</t>
  </si>
  <si>
    <t>471zc</t>
  </si>
  <si>
    <t>471ze</t>
  </si>
  <si>
    <t>478za</t>
  </si>
  <si>
    <t>478b</t>
  </si>
  <si>
    <t>479b</t>
  </si>
  <si>
    <t>484b</t>
  </si>
  <si>
    <t>483b</t>
  </si>
  <si>
    <t>480za</t>
  </si>
  <si>
    <t>480b</t>
  </si>
  <si>
    <t>481b</t>
  </si>
  <si>
    <t>482b</t>
  </si>
  <si>
    <t>485b</t>
  </si>
  <si>
    <t>486a</t>
  </si>
  <si>
    <t>487a</t>
  </si>
  <si>
    <t>488aa</t>
  </si>
  <si>
    <t>489a</t>
  </si>
  <si>
    <t>490za</t>
  </si>
  <si>
    <t>490b</t>
  </si>
  <si>
    <t>491b</t>
  </si>
  <si>
    <t>492b</t>
  </si>
  <si>
    <t>493d</t>
  </si>
  <si>
    <t>490ze</t>
  </si>
  <si>
    <t>Part en % du produit total</t>
  </si>
  <si>
    <t>493h</t>
  </si>
  <si>
    <t>441ah</t>
  </si>
  <si>
    <t>447ah</t>
  </si>
  <si>
    <t>14g</t>
  </si>
  <si>
    <t>14h</t>
  </si>
  <si>
    <t>14ga</t>
  </si>
  <si>
    <t>14ha</t>
  </si>
  <si>
    <t>201b</t>
  </si>
  <si>
    <t>201ba</t>
  </si>
  <si>
    <t>Sinistres ann. mais non encore liq., y compris renf. de PM pour rentes d'invalidité et de survivants (ch. 3)</t>
  </si>
  <si>
    <t>Gemeldete noch nicht erledigte Versicherungsfälle  c)</t>
  </si>
  <si>
    <t>Sinistres annoncés mais non encore liquidés  c)</t>
  </si>
  <si>
    <t>b)  Vor Äufnung der Verstärkungen techn. Rückstellungen und vor Zuweisung an Überschussfonds
c)  Einschliesslich Äufnung der Deckungskapitalverstärkungen für Invaliden- und Hinterbliebenenrenten</t>
  </si>
  <si>
    <t>b)  Avant alimentation du renforcement de provisions techniques et avant attribution au fonds d'excédents
c)  Alimentation du renforcement des provisions mathématiques des rentes d'invalidité et de survivants y comprise</t>
  </si>
  <si>
    <t>413ab</t>
  </si>
  <si>
    <t>348ca</t>
  </si>
  <si>
    <t xml:space="preserve">        Anzahl Rentenbezüger total 
        = 319b + 321b + 323b + 325b + 327b + 329b + 331b + 333b + 335b</t>
  </si>
  <si>
    <t>348bba</t>
  </si>
  <si>
    <t>Anzahl Rentenbezüger insgesamt</t>
  </si>
  <si>
    <t>Nombre des bénéficiaires de rentes au total</t>
  </si>
  <si>
    <t xml:space="preserve">        Nombre total de bénéficiaires de rentes 
        = 319b + 321b + 323b + 325b + 327b + 329b + 331b + 333b + 335b</t>
  </si>
  <si>
    <t>-</t>
  </si>
  <si>
    <t>Meldung &gt;&gt;&gt;</t>
  </si>
  <si>
    <t>167ca</t>
  </si>
  <si>
    <t>169ca</t>
  </si>
  <si>
    <t>Var. prov. pour sin. en cas de décès ann. non encore liq. (augm. = +)</t>
  </si>
  <si>
    <t>Var. prov. pour sin. en cas de décès surv. non encore annoncés (augm. = +)</t>
  </si>
  <si>
    <t>Var. prov. pour sin. en cas d'inv. ann. non encore liq. (augm. = +)</t>
  </si>
  <si>
    <t>Var. prov. pour sin. en cas d'inv. surv. non encore annoncés (augm. = +)</t>
  </si>
  <si>
    <t>ER, 14e</t>
  </si>
  <si>
    <t>ER, 14f</t>
  </si>
  <si>
    <t>Veränd. DK für laufende Invalidenrenten (+ = Zunahme)</t>
  </si>
  <si>
    <t>Var. PM prévue pour rentes d'invalidité en cours (augm. = +)</t>
  </si>
  <si>
    <t>Var. PM prévue pour rentes de survivants en cours (augm. = +)</t>
  </si>
  <si>
    <t>Veränd. DK für laufende Hinterbliebenenrenten (+ = Zunahme)</t>
  </si>
  <si>
    <t>Laufende Invaliden- und Hinterbliebenenrenten (Ziff. 3)</t>
  </si>
  <si>
    <t>Rentes d'invalidité et rentes de survivants en cours (ch. 3)</t>
  </si>
  <si>
    <t>Variation des autres provisions techniques (brutes, augmentation = +)</t>
  </si>
  <si>
    <t>167ab</t>
  </si>
  <si>
    <t>Message &gt;&gt;&gt;</t>
  </si>
  <si>
    <t>167cb</t>
  </si>
  <si>
    <t>CR, 14e</t>
  </si>
  <si>
    <t>169cb</t>
  </si>
  <si>
    <t>CR, 14f</t>
  </si>
  <si>
    <t>51kb</t>
  </si>
  <si>
    <t>51ka</t>
  </si>
  <si>
    <t>51ke</t>
  </si>
  <si>
    <t>51kf</t>
  </si>
  <si>
    <t>51kg</t>
  </si>
  <si>
    <t>51kh</t>
  </si>
  <si>
    <t>51kaa</t>
  </si>
  <si>
    <t>51kba</t>
  </si>
  <si>
    <t>51kca</t>
  </si>
  <si>
    <t>51kda</t>
  </si>
  <si>
    <t>51kea</t>
  </si>
  <si>
    <t>51kfa</t>
  </si>
  <si>
    <t>51kga</t>
  </si>
  <si>
    <t>51kha</t>
  </si>
  <si>
    <t>Sparprämien (zur Alimentierung des Altersguthabens)</t>
  </si>
  <si>
    <t>Aufgliederung der gebuchten Bruttoprämien:</t>
  </si>
  <si>
    <t>256aa</t>
  </si>
  <si>
    <t>256b</t>
  </si>
  <si>
    <t>256c</t>
  </si>
  <si>
    <t>256e</t>
  </si>
  <si>
    <t>256f</t>
  </si>
  <si>
    <t>256ba</t>
  </si>
  <si>
    <t>256ca</t>
  </si>
  <si>
    <t>256da</t>
  </si>
  <si>
    <t>256ea</t>
  </si>
  <si>
    <t>256fa</t>
  </si>
  <si>
    <t>256aaa</t>
  </si>
  <si>
    <t>ER, 1</t>
  </si>
  <si>
    <t>Ventilation des primes brutes comptabilisées:</t>
  </si>
  <si>
    <t>Primes d'épargne (réservées à l'alimentation des avoirs de vieillesse)</t>
  </si>
  <si>
    <t>182f</t>
  </si>
  <si>
    <t>182fa</t>
  </si>
  <si>
    <t>Total den Kostenträgern zugewiesener Kostenaufwand  = Summe 182a bis d</t>
  </si>
  <si>
    <t>Total charges de frais imputées aux répondants des frais  = somme 182a à d</t>
  </si>
  <si>
    <t>182db</t>
  </si>
  <si>
    <t>Plausibilität &gt;&gt;&gt;</t>
  </si>
  <si>
    <t>Plausibilité !</t>
  </si>
  <si>
    <t>170a</t>
  </si>
  <si>
    <t>170aa</t>
  </si>
  <si>
    <t>178ac</t>
  </si>
  <si>
    <t>178aba</t>
  </si>
  <si>
    <t>178aca</t>
  </si>
  <si>
    <t>178aaa</t>
  </si>
  <si>
    <t>Provisionen für Broker und Makler</t>
  </si>
  <si>
    <t>Provisionen für eigenen Aussendienst</t>
  </si>
  <si>
    <t>Übrige Abschlussaufwendungen</t>
  </si>
  <si>
    <t>Autres frais d'acquisition</t>
  </si>
  <si>
    <t>Commissions pour le propre service extérieur</t>
  </si>
  <si>
    <t>Commissions pour courtiers et agents</t>
  </si>
  <si>
    <t>178aab</t>
  </si>
  <si>
    <t>ER, 20 (Vj)</t>
  </si>
  <si>
    <t>CR, 20 (Aa)</t>
  </si>
  <si>
    <t>Abschlussaufwendungen, davon: Provisionen an Broker, Makler, Aussendienst</t>
  </si>
  <si>
    <t>An Broker 
und Makler</t>
  </si>
  <si>
    <t>An eigenen 
Aussendienst</t>
  </si>
  <si>
    <t>465ze</t>
  </si>
  <si>
    <t>465zf</t>
  </si>
  <si>
    <t>Aux courtiers 
et agents</t>
  </si>
  <si>
    <t>Au propre 
service extérieur</t>
  </si>
  <si>
    <t>Frais d'acquisition, dont: commissions aux courtiers, agents, service ext.</t>
  </si>
  <si>
    <t>91aa</t>
  </si>
  <si>
    <t>428ab</t>
  </si>
  <si>
    <t>Zusätzliche Rückstellung für zukünftige Rentenumwandlungen</t>
  </si>
  <si>
    <t>Provision complémentaire pour transformations en rente futures</t>
  </si>
  <si>
    <t>Total Aufwendungen netto für Versicherungsfälle  
= 10 - 10a + 11 - 11a</t>
  </si>
  <si>
    <t>Total des charges pour prestations d'ass. nettes de réass. 
= 10 - 10a + 11 - 11a</t>
  </si>
  <si>
    <t>Veränd. Altersguthaben brutto, nur Verzinsung  b)</t>
  </si>
  <si>
    <t>Var. des avoirs de vieillesse brute, intérêts seuls  b)</t>
  </si>
  <si>
    <t>15aa</t>
  </si>
  <si>
    <t>Veränd. zus. Rückst. für zuk. Rentenumw. brutto (Zunahme = +)</t>
  </si>
  <si>
    <t>Variation des prov. compl. brutes pour transf. en rente futures</t>
  </si>
  <si>
    <t>Variation des renforcements de la prov. math. des rentes (augm. = +)</t>
  </si>
  <si>
    <t>Aufwand im Kostenprozess  
= 178aa + 178ab + 178ac + 178a + 179 + 181 - 181a</t>
  </si>
  <si>
    <t>Charges du processus de frais  
= 178aa + 178ab + 178ac + 178a + 179 + 181 - 181a</t>
  </si>
  <si>
    <t>c)  A ces renforcements appartient le besoin de provisions ultérieures résultant de l'amélioration de la mortalité des rentiers. Les déficits futurs de couverture dus aux conversions en rentes sont à saisir dans pos. 91a.</t>
  </si>
  <si>
    <t>256ga</t>
  </si>
  <si>
    <t>256g</t>
  </si>
  <si>
    <t xml:space="preserve">        Rentensumme im Obligatorium bei F in 1000 CHF</t>
  </si>
  <si>
    <t>b)  Dans cette position, comptabiliser l'ensemble des produits des placements de capitaux individuellement attribués aux contrats. Il ne s'agit ici que des contrats collectifs pour lesquels le preneur d'assurance assume le risque.</t>
  </si>
  <si>
    <t>Ch. pour prod. des placem. individuellement attribués aux contrats  b)</t>
  </si>
  <si>
    <t>h)  Die Kosten für die Abwicklung der Renten werden nicht mit Kostenprämien finanziert.</t>
  </si>
  <si>
    <t>h)  Les frais de liquidation des rentes ne sont pas financés par des primes de frais.</t>
  </si>
  <si>
    <t>Risikoprämien übrige versicherte Risiken  e)</t>
  </si>
  <si>
    <t>Primes de risque autres risques assurés  e)</t>
  </si>
  <si>
    <t>Aufteilung des Ertrags im Kostenprozess (Kostenprämien) nach Kostenträgern:  h)</t>
  </si>
  <si>
    <t>Répartition du produit du processus de frais (primes de frais) par répondants des frais:  h)</t>
  </si>
  <si>
    <t>Aufteilung des Aufwands im Kostenprozess nach Kostenträgern:  i)</t>
  </si>
  <si>
    <t>Kostenaufwand für Rentenbezüger (siehe Fussnote j)</t>
  </si>
  <si>
    <t>Répartition des charges du processus de frais (primes de frais) par répondants des frais:  i)</t>
  </si>
  <si>
    <t>Charges de frais imputées aux rentiers (voir note de bas de page j)</t>
  </si>
  <si>
    <t>Leistungsbearbeitungsaufwendungen im Sparprozess  d)</t>
  </si>
  <si>
    <t>Leistungsbearbeitungsaufwendungen im Risikoprozess  g)</t>
  </si>
  <si>
    <t>Charges occasionnées par le traitem. des prest. du proc. d'épargne  d)</t>
  </si>
  <si>
    <t>Charges occasionnées par le traitem. des prest. du proc. de risque  g)</t>
  </si>
  <si>
    <t>Einmalprämien für übernommene Invalidenrenten</t>
  </si>
  <si>
    <t>Einmalprämien für übernommene Alters- + Hinterbliebenenrenten</t>
  </si>
  <si>
    <t>Primes uniques pour rentes d'invalidité reprises</t>
  </si>
  <si>
    <t>Primes uniques pour rentes de vieillesse et de survivants reprises</t>
  </si>
  <si>
    <t>256h</t>
  </si>
  <si>
    <t>256ha</t>
  </si>
  <si>
    <t>Einmalprämien für Freizügigkeitspolicen</t>
  </si>
  <si>
    <t>Primes uniques pour les polices de libre passage</t>
  </si>
  <si>
    <t>Total gebuchte Bruttoprämien = ∑ Pos. 256a bis g</t>
  </si>
  <si>
    <t>Total des primes brutes comptabilisées = ∑ pos. 256a à g</t>
  </si>
  <si>
    <t>395xf</t>
  </si>
  <si>
    <t>395zc</t>
  </si>
  <si>
    <t>398zc</t>
  </si>
  <si>
    <t>155aa</t>
  </si>
  <si>
    <t>Variation de la provision pour sinistres survenus non encore liquidés (augmentation = +)</t>
  </si>
  <si>
    <t>a)  Schätzungen zulässig bei fehlenden exakten Daten. Schätzungen bitte im Begleitbericht angeben.</t>
  </si>
  <si>
    <t>a)  Estimations autorisées en cas de manque de données exactes. Estimations à indiquer dans le rapport explicatif, svp.</t>
  </si>
  <si>
    <t>e)  Schätzungen zulässig bei fehlenden exakten Daten. Schätzungen bitte im Begleitbericht angeben.</t>
  </si>
  <si>
    <t>e)  Estimations autorisées en cas de manque de données exactes. Estimations à indiquer dans le rapport explicatif, svp.</t>
  </si>
  <si>
    <t>557a</t>
  </si>
  <si>
    <t>14a.</t>
  </si>
  <si>
    <t>Présentation détaillée des charges pour la gestion des placements de capitaux</t>
  </si>
  <si>
    <t>550tg</t>
  </si>
  <si>
    <t>Zahlen in 1000 CHF</t>
  </si>
  <si>
    <t>Chiffres en 1000 CHF</t>
  </si>
  <si>
    <t>K o s t e n e b e n e n</t>
  </si>
  <si>
    <t>N i v e a u x  d e  f r a i s</t>
  </si>
  <si>
    <t>550xc</t>
  </si>
  <si>
    <t>550xd</t>
  </si>
  <si>
    <t>Placements de capitaux directs</t>
  </si>
  <si>
    <t>550xe</t>
  </si>
  <si>
    <t>Einstufige kollektive 
Kapitalanlagen</t>
  </si>
  <si>
    <t>Placements de capitaux collectifs 
à un niveau</t>
  </si>
  <si>
    <t>550xf</t>
  </si>
  <si>
    <t>Placements de capitaux collectifs 
à plusieurs niveaux</t>
  </si>
  <si>
    <t>550xg</t>
  </si>
  <si>
    <t>Placements de capitaux 
collectifs non-transparents</t>
  </si>
  <si>
    <t>550za</t>
  </si>
  <si>
    <t>550a</t>
  </si>
  <si>
    <t>551a</t>
  </si>
  <si>
    <t>552a</t>
  </si>
  <si>
    <t>553za</t>
  </si>
  <si>
    <t>K o s t e n k a t e g o r i e n</t>
  </si>
  <si>
    <t>C a t é g o r i e s  d e  f r a i s</t>
  </si>
  <si>
    <t>553a</t>
  </si>
  <si>
    <t>TER-Kosten</t>
  </si>
  <si>
    <t>Frais TER</t>
  </si>
  <si>
    <t>Kosten für Verwaltung und Bewirtschaftung 
(intern und extern)</t>
  </si>
  <si>
    <t>Frais liés à la gestion des placements 
(internes et externes)</t>
  </si>
  <si>
    <t>554a</t>
  </si>
  <si>
    <t>TTC-Kosten</t>
  </si>
  <si>
    <t>Frais TTC</t>
  </si>
  <si>
    <t>Transaktionskosten</t>
  </si>
  <si>
    <t>Frais de transaction</t>
  </si>
  <si>
    <t>555a</t>
  </si>
  <si>
    <t>SC-Kosten</t>
  </si>
  <si>
    <t>Frais SC</t>
  </si>
  <si>
    <t>Kosten, die nicht einzelnen Kapitalanlagen 
zugeordnet werden können</t>
  </si>
  <si>
    <t>Frais qui ne peuvent pas être assignés 
à un placement donné</t>
  </si>
  <si>
    <t>556a</t>
  </si>
  <si>
    <t>557za</t>
  </si>
  <si>
    <t>A d j u s t i e r u n g  d e s  K a p i t a l a n l a g e e r t r a g s</t>
  </si>
  <si>
    <t>A j u s t e m e n t  d u  p r o d u i t  d e s  p l a c e m e n t s</t>
  </si>
  <si>
    <t>557aa</t>
  </si>
  <si>
    <t>553ab</t>
  </si>
  <si>
    <t>554ab</t>
  </si>
  <si>
    <t>555ab</t>
  </si>
  <si>
    <t>550wb</t>
  </si>
  <si>
    <t>550xb</t>
  </si>
  <si>
    <t>Buchwert  (Zeilentotal = BEWERTUNGSRESERVEN, 381c)</t>
  </si>
  <si>
    <t>Marktwert  (Zeilentotal = BEWERTUNGSRESERVEN, 381d)</t>
  </si>
  <si>
    <t>Valeur comptable  (Total de ligne = RESERVES D'EVAL, 381c)</t>
  </si>
  <si>
    <t>Valeur de marché  (Total de ligne = RESERVES D'EVAL, 381d)</t>
  </si>
  <si>
    <t>557ba</t>
  </si>
  <si>
    <t>550wa</t>
  </si>
  <si>
    <t>550xh</t>
  </si>
  <si>
    <t>11.g</t>
  </si>
  <si>
    <t>14a.g</t>
  </si>
  <si>
    <t>Mehrstufige kollektive 
Kapitalanlagen</t>
  </si>
  <si>
    <t>Nicht kostentransparente 
Kapitalanlagen</t>
  </si>
  <si>
    <t>Total Aufwendungen
vor Aktivierung</t>
  </si>
  <si>
    <t xml:space="preserve">Direkte 
Kapitalanlagen
</t>
  </si>
  <si>
    <t xml:space="preserve">Zeilentotal
               a)
</t>
  </si>
  <si>
    <t>Aktivierte Aufwendungen
                     b)</t>
  </si>
  <si>
    <t>557ca</t>
  </si>
  <si>
    <t>a)  Für die Pos. 553 bis 557: Total der erfolgswirksamen Aufwendungen für die Bewirtschaftung der Kapitalanlagen</t>
  </si>
  <si>
    <t>c)  Le produit direct des placements, CR pos. 33, et les charges pour les autres placements, CR pos. 44, s'augmentent parallèlement de ce montant.</t>
  </si>
  <si>
    <t>a)  Pour les pos. 553 à 557: Total des charges liées à la gestion des placements de capitaux, avec effet sur le résultat</t>
  </si>
  <si>
    <t>33b</t>
  </si>
  <si>
    <t>33c</t>
  </si>
  <si>
    <t>33d</t>
  </si>
  <si>
    <t>33e</t>
  </si>
  <si>
    <t>44b</t>
  </si>
  <si>
    <t>33aa</t>
  </si>
  <si>
    <t>33ba</t>
  </si>
  <si>
    <t>33ca</t>
  </si>
  <si>
    <t>33da</t>
  </si>
  <si>
    <t>33ea</t>
  </si>
  <si>
    <t>40aa</t>
  </si>
  <si>
    <t>44aa</t>
  </si>
  <si>
    <t>44ba</t>
  </si>
  <si>
    <t>45a</t>
  </si>
  <si>
    <t>46a</t>
  </si>
  <si>
    <t>Sonstige Erträge (+)</t>
  </si>
  <si>
    <t>Autres produits (+)</t>
  </si>
  <si>
    <t>Aufw. für übrige Kapitalanlagen (verwendet für Bj 2013 und vorher)</t>
  </si>
  <si>
    <t>Charges pour les autres placem. (utilisé pour l'ex. 2013 et préal.)</t>
  </si>
  <si>
    <t>463ab</t>
  </si>
  <si>
    <t>Anteil der Kollektivanlagen / Anteil der nicht kostentransparenten Kapitalanlagen</t>
  </si>
  <si>
    <t>Part des placements collectifs / Part des placements non-transparents</t>
  </si>
  <si>
    <t>(gemessen am Marktwert des Kapitalanlagebestands unter Ziff. 2)</t>
  </si>
  <si>
    <t>463azb</t>
  </si>
  <si>
    <t>(mesurée sur la base de la valeur de marché des placements de capitaux selon ch. 2)</t>
  </si>
  <si>
    <t>Ü29c</t>
  </si>
  <si>
    <t>Ü27a</t>
  </si>
  <si>
    <t>Ü29a</t>
  </si>
  <si>
    <t>Produits directs des placements de capitaux à intérêt fixe</t>
  </si>
  <si>
    <t>Direkte Erträge aus flüssigen Mitteln</t>
  </si>
  <si>
    <t>Direkte Erträge aus den übrigen Kapitalanlagen</t>
  </si>
  <si>
    <t>Produits directs des autres placements de capitaux</t>
  </si>
  <si>
    <t>Produits directs des liquidités</t>
  </si>
  <si>
    <t>Total des produits dir. des placem. de cap. =  33a - 33b + 33c + 33d + 33e</t>
  </si>
  <si>
    <t>Charges pour les placements de capitaux à intérêt fixe</t>
  </si>
  <si>
    <t>Charges pour placements de capitaux  = 43 + 44a + 44b</t>
  </si>
  <si>
    <t>272xa</t>
  </si>
  <si>
    <t>272ya</t>
  </si>
  <si>
    <t>Abzüglich Verträge mit liechtensteinischen Stiftungen, die der MQ unterstellt sind</t>
  </si>
  <si>
    <t>272ca</t>
  </si>
  <si>
    <t>d)  Bitte jeden Vertrag in der vorgegebenen Prioritätenreihenfolge in nur einer Kategorie berücksichtigen. 
      Ausnahmen: Alle Stop Loss-Verträge sind ausschliesslich unter Pos. 271b anzugeben. Alle Verträge mit liechtensteinischen Stiftungen (ohne Stop Loss-Verträge) sind unter Pos. 271a zu subsummieren.
      Die Verträge sind in der Zählung vollständig aufzuführen.</t>
  </si>
  <si>
    <t xml:space="preserve">Zwischentotal </t>
  </si>
  <si>
    <t>Sonstige Spezielle Verträge 
( Spalten b, c, d, g:  272 = 272a - 267 - 268 - 269 - 270 - 271 - 271a - 271b )</t>
  </si>
  <si>
    <t>Total spezielle Verträge ohne Pos. 272b ( Spalten b, c, d, g:  272c = 262 + 263 )</t>
  </si>
  <si>
    <t>Autres contrats spéciaux 
( colonnes b, c, d, g:  272 = 272a - 267 - 268 - 269 - 270 - 271 - 271a - 271b )</t>
  </si>
  <si>
    <t>Total intermédiaire</t>
  </si>
  <si>
    <t>Déduction faite des fondations liechtensteinoises soumises à la QM</t>
  </si>
  <si>
    <t>Total contrats spéciaux sans pos. 272b ( colonnes b, c, d, g:  272c = 262 + 263 )</t>
  </si>
  <si>
    <t>d)  Veuillez classer chaque contrat dans une seule catégorie en observant la suite donnée par les textes en tête des positions 267 à 272, SVP.
      Exceptions: Tous les contrats stop loss sont à classer exclusivement sous pos. 271b. Tous les contrats avec des fondations liechtensteinoises (sans contrats stop loss) doivent figurer sous pos. 271a.
      Tous les contrats doivent être pris en compte.</t>
  </si>
  <si>
    <t>Kostenkennzahl  (= 553f + g)    c)</t>
  </si>
  <si>
    <t>Indicateur des frais  (= 553f + g)    c)</t>
  </si>
  <si>
    <t xml:space="preserve">Totaux de ligne
               a)
</t>
  </si>
  <si>
    <t>Taux de transparence en matière de frais = ( 551e + f + g ) / 551b</t>
  </si>
  <si>
    <t>Kostentransparenzquote = ( 551e + f + g ) / 551b</t>
  </si>
  <si>
    <t>Ertrag im Sparprozess (Sparkomponente) 
= 135 + 136 + 137 + 138 - 140 - 141</t>
  </si>
  <si>
    <t>Produit du processus d'épargne (composante épargne)
= 135 + 136 + 137 + 138 - 140 - 141</t>
  </si>
  <si>
    <t>ER, 45</t>
  </si>
  <si>
    <t>CR, 45</t>
  </si>
  <si>
    <t xml:space="preserve">c)  Insbesondere wirkt sich dieser Betrag erhöhend auf die direkten Kapitalanlageerträge, ER Pos. 33, und die Aufwendungen für Kapitalanlagen, ER Pos. 45, aus. </t>
  </si>
  <si>
    <t>Spaltentotal erfolgswirksame Aufwendungen für Kapitalanl. = ER, 45 + 33b, Spaltenref. e</t>
  </si>
  <si>
    <t>Total charges pour placem. avec effet sur le résultat = CR, 45 + 33b, réf. de col. e</t>
  </si>
  <si>
    <t>b)  Diese Kosten werden nicht erfolgswirksam verbucht, sondern zum Einstandswert der Kapitalanlage geschlagen und nach den aufsichtsrechtlichen Rechnungslegungsvorschriften abgeschrieben.</t>
  </si>
  <si>
    <t>b)  Ces frais se comptabilisent sans effet sur le résultat, mais ils s'ajoutent à la valeur de revient du placement de capitaux et s'amortissent selon les prescriptions du droit de surveillance.</t>
  </si>
  <si>
    <t>Schema der Vermögensverwaltungskosten</t>
  </si>
  <si>
    <t>463bab</t>
  </si>
  <si>
    <t>463bac</t>
  </si>
  <si>
    <t>463bb</t>
  </si>
  <si>
    <t>Verursachte Kosten</t>
  </si>
  <si>
    <t>463bbc</t>
  </si>
  <si>
    <t>463bbd</t>
  </si>
  <si>
    <t>463bbe</t>
  </si>
  <si>
    <t>463bbf</t>
  </si>
  <si>
    <t>463cb</t>
  </si>
  <si>
    <t>463db</t>
  </si>
  <si>
    <t>463eb</t>
  </si>
  <si>
    <t>463fb</t>
  </si>
  <si>
    <t>Direkte Kapitalanlagen</t>
  </si>
  <si>
    <t>Einstufige kollektive Kapitalanlagen</t>
  </si>
  <si>
    <t>Kostenintransparente Kapitalanlagen</t>
  </si>
  <si>
    <t>463gb</t>
  </si>
  <si>
    <t>Aktivierte Kosten</t>
  </si>
  <si>
    <t>463hb</t>
  </si>
  <si>
    <t>TER-Kosten: Kosten für Verwaltung und Bewirtschaftung (intern und extern)</t>
  </si>
  <si>
    <t>TTC-Kosten: Transaktionskosten</t>
  </si>
  <si>
    <t>463mac</t>
  </si>
  <si>
    <t>463mbc</t>
  </si>
  <si>
    <t>463mcc</t>
  </si>
  <si>
    <t>Total Marktwert / Total vor Aktivierung</t>
  </si>
  <si>
    <t>Wert der Kapitalanlagen</t>
  </si>
  <si>
    <t>Mehrstufige kollektive Kapitalanlagen</t>
  </si>
  <si>
    <t>Valeur des placements de capitaux</t>
  </si>
  <si>
    <t>Schéma des charges de gestion patrimoniale</t>
  </si>
  <si>
    <t>Frais occasionnés</t>
  </si>
  <si>
    <t>463bbbb</t>
  </si>
  <si>
    <t>Total valeur de marché / Total avant activation</t>
  </si>
  <si>
    <t>Total des charges 
avant activation</t>
  </si>
  <si>
    <t>Placements collectifs à un niveau</t>
  </si>
  <si>
    <t>Placements collectifs à plusieurs niveaux</t>
  </si>
  <si>
    <t>Placements collectifs non-transparents</t>
  </si>
  <si>
    <t>Charges activées
                      b)</t>
  </si>
  <si>
    <t>Charges activées</t>
  </si>
  <si>
    <t>Total avec effet sur le résultat</t>
  </si>
  <si>
    <t>Total erfolgswirksam ausgewiesen</t>
  </si>
  <si>
    <t>Frais TER: Frais liées à la gestion des placements (internes et externes)</t>
  </si>
  <si>
    <t>Frais TTC: Frais de transaction</t>
  </si>
  <si>
    <t>Frais SC:   Frais qui ne peuvent être assignés à un placement donné</t>
  </si>
  <si>
    <t>SC-Kosten:   Kosten, die nicht einzelnen Kapitalanlagen zugeordnet werden können</t>
  </si>
  <si>
    <t>Aufwendungen für Überschussbeteiligung der 
Versicherten  = 26</t>
  </si>
  <si>
    <t>Charges pour la participation des assurés aux excédents  
= 26</t>
  </si>
  <si>
    <t>Sonstige versicherungstechnische Aufwendungen</t>
  </si>
  <si>
    <t>Autres charges techniques</t>
  </si>
  <si>
    <t>42b</t>
  </si>
  <si>
    <t>42aa</t>
  </si>
  <si>
    <t>42ba</t>
  </si>
  <si>
    <t>Übriger Zinsaufwand</t>
  </si>
  <si>
    <t>Autres charges d'intérêt</t>
  </si>
  <si>
    <t>Zinsaufwand total  = 42 + 42a</t>
  </si>
  <si>
    <t>Charges d'intérêt total  = 42 + 42a</t>
  </si>
  <si>
    <t>Aufwendungen für übrige Kapitalanlagen</t>
  </si>
  <si>
    <t>Charges pour les autres placements</t>
  </si>
  <si>
    <t>42c</t>
  </si>
  <si>
    <t>42ca</t>
  </si>
  <si>
    <t>Bildung (+) und Auflösung (-) von
Wertschwankungs- und Zinsgarantierückstellungen</t>
  </si>
  <si>
    <t>Alimentation (+) et dissolution (-) de provisions pour
fluctuation de la valeur des placem. et garanties d'intérêt</t>
  </si>
  <si>
    <t>Aufwand im Risikoprozess  
= 164 + 167a + 167b + 168 + 169a + 169b - 170a - 171a - 171b + 172 - 173</t>
  </si>
  <si>
    <t>Charges du processus de risque
= 164 + 167a + 167b + 168 + 169a + 169b - 170a - 171a - 171b + 172 - 173</t>
  </si>
  <si>
    <t>256db</t>
  </si>
  <si>
    <t>256daa</t>
  </si>
  <si>
    <t>256dba</t>
  </si>
  <si>
    <t>Aufgliederung
der Sparprämie</t>
  </si>
  <si>
    <t>Ventilation de la
prime d'épargne</t>
  </si>
  <si>
    <t>Risikoprämien       /       Einlagen für übernommene Alters- und Hinterbliebenenrenten</t>
  </si>
  <si>
    <t>Kostenprämien     /     Prämientotal     /     Einlagen für übernommene Invalidenrenten</t>
  </si>
  <si>
    <t xml:space="preserve">Sparprämien / Eingebrachte Altersguthaben: Vertragsübernahmen bei Neuanschluss  </t>
  </si>
  <si>
    <t xml:space="preserve">Einlagen für Freizügigkeitspolicen   </t>
  </si>
  <si>
    <t xml:space="preserve">Beiträge zur Alimentierung der Altersguthaben   </t>
  </si>
  <si>
    <t xml:space="preserve">Contributions pour alimentation des avoirs de vieillesse  </t>
  </si>
  <si>
    <t xml:space="preserve">Pr. uniques pour polices de libre passage   </t>
  </si>
  <si>
    <t>Primes de frais  /  Total des primes / Primes uniques pour rentes d'invalidité reprises</t>
  </si>
  <si>
    <t>Primes de risque    /    Primes uniques pour rentes de vieillesse et de surviv. reprises</t>
  </si>
  <si>
    <t>Übrige Aktiven</t>
  </si>
  <si>
    <t>Bilanzsumme</t>
  </si>
  <si>
    <t>Autres actifs</t>
  </si>
  <si>
    <t>Somme du bilan</t>
  </si>
  <si>
    <t>427aa</t>
  </si>
  <si>
    <t>427ba</t>
  </si>
  <si>
    <t>Sonstige Kapitalanlagen / Total Kapitalanlagen</t>
  </si>
  <si>
    <t>Autres placements de capitaux / Total placements de capitaux</t>
  </si>
  <si>
    <t>435aa</t>
  </si>
  <si>
    <t>435ba</t>
  </si>
  <si>
    <t>435ca</t>
  </si>
  <si>
    <t>435da</t>
  </si>
  <si>
    <t>Überschussfonds</t>
  </si>
  <si>
    <t>Übrige Passiven</t>
  </si>
  <si>
    <t>Fonds d'excédents</t>
  </si>
  <si>
    <t>Autres passifs</t>
  </si>
  <si>
    <t>Kapitalleistungen</t>
  </si>
  <si>
    <t>Rentenleistungen</t>
  </si>
  <si>
    <t>13b</t>
  </si>
  <si>
    <t>13c</t>
  </si>
  <si>
    <t>13aa</t>
  </si>
  <si>
    <t>13ba</t>
  </si>
  <si>
    <t>13ca</t>
  </si>
  <si>
    <t>204b</t>
  </si>
  <si>
    <t>ER 42c</t>
  </si>
  <si>
    <t>CR 42c</t>
  </si>
  <si>
    <t>205b</t>
  </si>
  <si>
    <t>273ye</t>
  </si>
  <si>
    <t>273yf</t>
  </si>
  <si>
    <t>273yg</t>
  </si>
  <si>
    <t>273ze</t>
  </si>
  <si>
    <t>273zf</t>
  </si>
  <si>
    <t>273zg</t>
  </si>
  <si>
    <t>Gebuchte Brutto-</t>
  </si>
  <si>
    <t>Gebuchte period.</t>
  </si>
  <si>
    <t>277aa</t>
  </si>
  <si>
    <t>Reine Stop Loss-Verträge</t>
  </si>
  <si>
    <t>Contrats stop loss purs</t>
  </si>
  <si>
    <t>278ah</t>
  </si>
  <si>
    <t>Bitte Einträge abstimmen mit Positionen 256a bis f, Spalte c</t>
  </si>
  <si>
    <t>Veuillez svp assurer la concordance avec les positions 256a à f, colonne c</t>
  </si>
  <si>
    <t>Primes uniques brutes</t>
  </si>
  <si>
    <t>Primes d'épargne pér.</t>
  </si>
  <si>
    <t>Primes de risque et de</t>
  </si>
  <si>
    <t>Übrige Verbindlichkeiten (einschliesslich solchen gegenüber Versicherungsnehmern)</t>
  </si>
  <si>
    <t>Autres dettes (y compris celles envers les preneurs d'assurance)</t>
  </si>
  <si>
    <t>407ze</t>
  </si>
  <si>
    <t>407zf</t>
  </si>
  <si>
    <t>II.  Bilanz</t>
  </si>
  <si>
    <t>II.  Bilan</t>
  </si>
  <si>
    <t>463aab</t>
  </si>
  <si>
    <t>463abb</t>
  </si>
  <si>
    <t>Kosten der Vermögensverwaltung ohne Immobilienunterhalt / in % der Kapitalanlagen zu Marktwerten</t>
  </si>
  <si>
    <t>Kosten der Vermögensverwaltung mit Immobilienunterhalt / in % der Kapitalanlagen zu Marktwerten</t>
  </si>
  <si>
    <t>Kosten Unterhalt und Instandhaltung der Immobilien / in % der Kapitalanlagen zu Marktwerten</t>
  </si>
  <si>
    <t>Frais d'entretien et de maintien des immeubles / en % des placements à la valeur de marché</t>
  </si>
  <si>
    <t>Frais de gestion de la fortune sans frais d'entretien des immeubles / en % des placem. à la val. de marché</t>
  </si>
  <si>
    <t>Frais de gestion de la fortune avec frais d'entretien des immeubles / en % des placem. à la val. de marché</t>
  </si>
  <si>
    <t>463aqb</t>
  </si>
  <si>
    <t>Dans le compte de résultat, les frais d'entretien et de maintien des immeubles sont directement déduits du produit des immeubles (présentation nette).</t>
  </si>
  <si>
    <t>Die Kosten für Unterhalt und Instandhaltung der Immobilien werden in der Erfolgsrechnung direkt mit dem Ertrag aus Immobilien verrechnet (Nettodarstellung).</t>
  </si>
  <si>
    <t>406wb</t>
  </si>
  <si>
    <t xml:space="preserve">Eingebrachte Altersguthaben: Individuell eingebracht     </t>
  </si>
  <si>
    <t xml:space="preserve">Avoirs de vieillesse apportés: apportés individuellement   </t>
  </si>
  <si>
    <t>apportés individuellement: prestations de libre passage lors d'entrée de service, achats, sommes résultant d'un processus d'épargne externe en cas décès etc</t>
  </si>
  <si>
    <t>256ma</t>
  </si>
  <si>
    <t>Individuell eingebracht: Freizügigkeitsleistungen bei Diensteintritten, Einkäufe, Einlagen aus extern geführtem Sparprozess bei Todesfällen u. ä.</t>
  </si>
  <si>
    <t>Avoirs de vieillesse apportés par des entrées de service et nouvelles affiliations (jusqu'à AE 2014)</t>
  </si>
  <si>
    <t>Eingebrachte Altersguthaben aus Diensteintritten + Neuanschlüssen (bis BJ 2014)</t>
  </si>
  <si>
    <t>Primes d'épargne / Avoirs de vieillesse apportés: reprises de contrats lors d'affiliations</t>
  </si>
  <si>
    <t>395zf</t>
  </si>
  <si>
    <t>395za0</t>
  </si>
  <si>
    <t>395zga</t>
  </si>
  <si>
    <t>395zgc</t>
  </si>
  <si>
    <t>Contrôle de plausibilité ligne 97 col. 10:  Concordance pos. 447 e avec pos. 256 c de l'analyse techn.</t>
  </si>
  <si>
    <t>Contrôle de plausibilité ligne 89 col. 10:  Concordance pos. 441 e avec pos. 243 c de l'analyse techn.</t>
  </si>
  <si>
    <t>419h</t>
  </si>
  <si>
    <t>Plausi à côté de pos. 419:  SI ABS( pos. 406 - pos. 419 ) &gt; 1  il y a une indication</t>
  </si>
  <si>
    <t>Plausi neben Pos. 419:  WENN ABS( Pos. 406 - Pos. 419 ) &gt; 1  dann Hinweis</t>
  </si>
  <si>
    <t>406h</t>
  </si>
  <si>
    <t>Plausi neben Pos. 406:  WENN ABS( Pos. 406 - Pos. 419 ) &gt; 1  dann Hinweis</t>
  </si>
  <si>
    <t>Prämien (brutto gebucht)</t>
  </si>
  <si>
    <t>Primes (brutes émises)</t>
  </si>
  <si>
    <t>Anzahl Kollektivverträge, ohne FZP,  = 264, Spalte b</t>
  </si>
  <si>
    <t>Nombre de contrats collectifs, sans PLP,  = 264, colonne b</t>
  </si>
  <si>
    <t>Anzahl versicherte Personen, Aktive und Rentenbezüger, 
ohne FZP,  = 264, Spalte c</t>
  </si>
  <si>
    <t>Nombre de personnes assurées, actifs et bénéficiaires de rentes, 
sans PLP,  = 264, colonne c</t>
  </si>
  <si>
    <t>48aa</t>
  </si>
  <si>
    <t>Gebühren, Abgaben und sonstige Steuern</t>
  </si>
  <si>
    <t>Emoluments, taxes et autres impôts</t>
  </si>
  <si>
    <t>24aa</t>
  </si>
  <si>
    <t>6aa</t>
  </si>
  <si>
    <t>252aa</t>
  </si>
  <si>
    <t>255aa</t>
  </si>
  <si>
    <t>Vereinnahmte Teuerungsprämien (Risiko- und Kostenanteil)</t>
  </si>
  <si>
    <t>Primes de renchérissement encaissées (part risque + part frais)</t>
  </si>
  <si>
    <t xml:space="preserve">   Entnahme für den Kostenaufwand / Zwischentotal</t>
  </si>
  <si>
    <t xml:space="preserve">   Prélèvement pour autres charges administratives / Total intermédiaire</t>
  </si>
  <si>
    <t>Vereinnahmte Teuerungsprämien brutto (inbegriffen in Pos. 162 und 176)</t>
  </si>
  <si>
    <t>Primes de renchérissement brutes encaissées (incluses dans les pos. 162 et 176)</t>
  </si>
  <si>
    <t>ER, 42b</t>
  </si>
  <si>
    <t>CR, 42b</t>
  </si>
  <si>
    <t>244mb</t>
  </si>
  <si>
    <t>244mc</t>
  </si>
  <si>
    <t>244mf</t>
  </si>
  <si>
    <t>244mi</t>
  </si>
  <si>
    <t>244nb</t>
  </si>
  <si>
    <t>244nc</t>
  </si>
  <si>
    <t>244nf</t>
  </si>
  <si>
    <t>244ni</t>
  </si>
  <si>
    <t>244oc</t>
  </si>
  <si>
    <t>244od</t>
  </si>
  <si>
    <t>244oe</t>
  </si>
  <si>
    <t>244of</t>
  </si>
  <si>
    <t>244og</t>
  </si>
  <si>
    <t>244oh</t>
  </si>
  <si>
    <t>244oi</t>
  </si>
  <si>
    <t>244oj</t>
  </si>
  <si>
    <t>244ok</t>
  </si>
  <si>
    <t>256n</t>
  </si>
  <si>
    <t>256r</t>
  </si>
  <si>
    <t>256na</t>
  </si>
  <si>
    <t>Aufgliederung der Leistungen und Abfindungswerte</t>
  </si>
  <si>
    <t>256oa</t>
  </si>
  <si>
    <t>256ob</t>
  </si>
  <si>
    <t>256oc</t>
  </si>
  <si>
    <t>256oaa</t>
  </si>
  <si>
    <t>256oba</t>
  </si>
  <si>
    <t>256oca</t>
  </si>
  <si>
    <t>Leistungen infolge Alter</t>
  </si>
  <si>
    <t>Leistungen infolge Tod</t>
  </si>
  <si>
    <t>Leistungen infolge Invalidität</t>
  </si>
  <si>
    <t>256oda</t>
  </si>
  <si>
    <t>256od</t>
  </si>
  <si>
    <t>256odb</t>
  </si>
  <si>
    <t>ER, 7</t>
  </si>
  <si>
    <t>CR, 7</t>
  </si>
  <si>
    <t>256pb</t>
  </si>
  <si>
    <t>256pa</t>
  </si>
  <si>
    <t>ER, 8</t>
  </si>
  <si>
    <t>CR, 8</t>
  </si>
  <si>
    <t>Rückkaufswerte Altersguthaben aus Vertragsauflösungen</t>
  </si>
  <si>
    <t>256paa</t>
  </si>
  <si>
    <t>256pba</t>
  </si>
  <si>
    <t>256pca</t>
  </si>
  <si>
    <t>Leistungen bei Dienstaustritten</t>
  </si>
  <si>
    <t>256pcb</t>
  </si>
  <si>
    <t>256pc</t>
  </si>
  <si>
    <t>Rückkaufswerte übrige Verpflichtungen aus Vertragsauflösungen</t>
  </si>
  <si>
    <t>Total Rückkaufswerte</t>
  </si>
  <si>
    <t>ER, 10</t>
  </si>
  <si>
    <t>CR, 10</t>
  </si>
  <si>
    <t>ER, 9</t>
  </si>
  <si>
    <t>CR, 9</t>
  </si>
  <si>
    <t>256qa</t>
  </si>
  <si>
    <t>256qb</t>
  </si>
  <si>
    <t>256qc</t>
  </si>
  <si>
    <t>256qd</t>
  </si>
  <si>
    <t>256qe</t>
  </si>
  <si>
    <t>256qeb</t>
  </si>
  <si>
    <t>256ra</t>
  </si>
  <si>
    <t>256rb</t>
  </si>
  <si>
    <t>256qaa</t>
  </si>
  <si>
    <t>256qba</t>
  </si>
  <si>
    <t>256qca</t>
  </si>
  <si>
    <t>256qda</t>
  </si>
  <si>
    <t>256qea</t>
  </si>
  <si>
    <t>Total Versicherungsleistungen brutto 
= 256od + 256pc + 256qe</t>
  </si>
  <si>
    <t>256ua</t>
  </si>
  <si>
    <t>Ü32i</t>
  </si>
  <si>
    <t>343wa</t>
  </si>
  <si>
    <t>343t</t>
  </si>
  <si>
    <t>343ta</t>
  </si>
  <si>
    <t>343n</t>
  </si>
  <si>
    <t>343na</t>
  </si>
  <si>
    <t xml:space="preserve">        Geschätzter Nachreservierungsbedarf für laufende Renten</t>
  </si>
  <si>
    <t xml:space="preserve">        Besoin estimé de constitution de provisions a posteriori pour les rentes en cours</t>
  </si>
  <si>
    <t>346aa</t>
  </si>
  <si>
    <t xml:space="preserve">        Geschätzter Nachreservierungsbedarf für zukünftige Rentenumwandlungen</t>
  </si>
  <si>
    <t xml:space="preserve">        Perte calculée résultant de la conversion en rente</t>
  </si>
  <si>
    <t xml:space="preserve">        Perte estimée résultant de la conversion en rente</t>
  </si>
  <si>
    <t xml:space="preserve">        Besoin estimé de constitution de prov. a posteriori pour conversions futures en rente</t>
  </si>
  <si>
    <t>343oa</t>
  </si>
  <si>
    <t xml:space="preserve">        Bestehende Verstärkung für den nicht ausfinanzierten Anteil</t>
  </si>
  <si>
    <t>347aa</t>
  </si>
  <si>
    <t>a)  Diese Positionen enthalten nur die bestehenden Verstärkungen für die nicht ausfinanzierten Teile der gesetzlich oder vertraglich garantierten laufenden oder anwartschaftlichen Renten. Sie sind enthalten in den Pos. 91a, 93, 95 und 97 der BILANZ.</t>
  </si>
  <si>
    <t>a)  Ces positions n'englobent que les renforcements existants pour les parties non financées des rentes en cours ou différées, garanties par la loi ou par le contrat. Elles sont contenues dans les pos. 91a, 93, 95 et 97 du BILAN.</t>
  </si>
  <si>
    <t xml:space="preserve">        Renforcement existant pour la partie non financée des rentes de vieillesse différées   a)</t>
  </si>
  <si>
    <t xml:space="preserve">        Bestehende Verstärkung für den nicht ausfinanzierten Anteil der laufenden Renten   a)</t>
  </si>
  <si>
    <t xml:space="preserve">        Renforcement existant pour la partie non financée des rentes en cours   a)</t>
  </si>
  <si>
    <t xml:space="preserve">        Renforcement existant pour la partie non financée</t>
  </si>
  <si>
    <t xml:space="preserve">        Bestehende Verstärkung für den nicht ausfinanz. Ant. der anwartschaftl. Altersrenten   a)</t>
  </si>
  <si>
    <t>Ventilation des prestations et valeurs de restitution</t>
  </si>
  <si>
    <t>Prestations en cas de vieillesse</t>
  </si>
  <si>
    <t>Prestations en cas de décès</t>
  </si>
  <si>
    <t>Prestations en cas d'invalidité</t>
  </si>
  <si>
    <t>Prestations en cas de résiliation de service</t>
  </si>
  <si>
    <t>Prestations en cas de versement anticipé</t>
  </si>
  <si>
    <t>Valeurs de restitution d'avoirs de vieillesse en cas de résiliation de contrat</t>
  </si>
  <si>
    <t>Valeurs de restitution d'autres engagements en cas de résiliation de contrat</t>
  </si>
  <si>
    <t>Total des valeurs de restitution</t>
  </si>
  <si>
    <t>Total des prestations d'assurance brutes
= 256oc + 256pc + 256qe</t>
  </si>
  <si>
    <t>Apportés individuellement: prestations de libre passage lors d'entrée de service, achats, sommes résultant d'un processus d'épargne externe en cas décès etc</t>
  </si>
  <si>
    <t>Vorbezüge: Infolge Erwerb Wohneigentum,...</t>
  </si>
  <si>
    <t>Versement anticipé: En cas d'acquisition de propriété de logement,...</t>
  </si>
  <si>
    <t>Rentenumwandlungssatz für Männer im Schlussalter 65 bei Vollversicherung</t>
  </si>
  <si>
    <t>Rentenumwandlungssatz für Frauen im Schlussalter 64 bei Vollversicherung</t>
  </si>
  <si>
    <t>Taux de conversion en rente pour hommes à l'âge de retraite 65 en cas de couverture complète</t>
  </si>
  <si>
    <t>Taux de conversion en rentes pour femmes à l'âge de retraite 64 en cas de couverture complète</t>
  </si>
  <si>
    <t xml:space="preserve">        Technischer Zinssatz für die Bewertung der Rentenverpflichtungen in Prozent</t>
  </si>
  <si>
    <t>455ab</t>
  </si>
  <si>
    <t>Technischer Zinssatz für die Bewertung der Rentenverpflichtungen</t>
  </si>
  <si>
    <t>455od</t>
  </si>
  <si>
    <t>455oe</t>
  </si>
  <si>
    <t>Intérêt technique pour l'évaluation des engagements de rente</t>
  </si>
  <si>
    <t>454od</t>
  </si>
  <si>
    <t>454oe</t>
  </si>
  <si>
    <t>Brutto</t>
  </si>
  <si>
    <t>Netto</t>
  </si>
  <si>
    <t>Brut</t>
  </si>
  <si>
    <t>Net</t>
  </si>
  <si>
    <t>Rendite auf Buchwerten</t>
  </si>
  <si>
    <t>Performance auf Marktwerten</t>
  </si>
  <si>
    <t>Rendement sur valeurs comptables</t>
  </si>
  <si>
    <t>Performance sur valeurs de marché</t>
  </si>
  <si>
    <t>Leistungen infolge Alter, Tod und Invalidität (gemäss Erfolgsrechnung)</t>
  </si>
  <si>
    <t>455bab</t>
  </si>
  <si>
    <t>455bbb</t>
  </si>
  <si>
    <t>455cab</t>
  </si>
  <si>
    <t>455cbb</t>
  </si>
  <si>
    <t>Rückkaufswerte aus Vertragsauflösungen (gemäss Erfolgsrechnung)</t>
  </si>
  <si>
    <t>Rückkaufswerte aus Vertragsauflösungen</t>
  </si>
  <si>
    <t>Rückkaufswerte Rentenverpflichtungen aus Vertragsauflösungen</t>
  </si>
  <si>
    <t>Valeurs de restitution d'engagements de rentes en cas de résiliation de contrat</t>
  </si>
  <si>
    <t>Valeurs de rachat résultant de résiliations de contrat</t>
  </si>
  <si>
    <t>Valeurs de rachat résultant de résiliations de contrat (selon compte de résultat)</t>
  </si>
  <si>
    <t>Prestations en cas de vieillesse, de décès et d'invalidité (selon compte de résultat)</t>
  </si>
  <si>
    <t>Aufgliederung nach Alter / Tod / Invalidität in Prozent</t>
  </si>
  <si>
    <t>Ventilation selon vieillesse / décès / invalidité en pour-cent</t>
  </si>
  <si>
    <t>Aufgliederung nach Altersguthhaben / Rentenverpflichtungen / Übrigen Verpflichtungen inkl. Freizügigkeitspolicen in Prozent</t>
  </si>
  <si>
    <t>Ventilation selon avoirs de vieillesse / engagements de rente / autres engagements y comprises les polices de libre passage en pour-cent</t>
  </si>
  <si>
    <t>Plausikontrolle Zeile 203 Spalte 8:  WENN( ABS(Z46S9-Z202S8)&gt;=5 dann ist Pos. 492 d &lt;&gt; Pos. 418 e, Betriebsergebnis unter I. Erfolgsrechnung !</t>
  </si>
  <si>
    <t>Contrôle de plausibilité ligne 203 col 8:  SI( ABS(Z46S9-Z202S8)&gt;=5 alors pos. 492 d &lt;&gt; pos. 418 e, résultat de l'exercice sous I. Compte de résultat !</t>
  </si>
  <si>
    <t>Plausikontrolle Zeile 89 Spalte 10: Abgleichung Pos. 441 e mit Pos. 243 c der Technischen Zerlegung</t>
  </si>
  <si>
    <t>Plausikontrolle Zeile 97 Spalte 10: Abgleichung Pos. 447 e mit Pos. 256 c der Technischen Zerlegung</t>
  </si>
  <si>
    <t>256obb</t>
  </si>
  <si>
    <t>ER, 13b</t>
  </si>
  <si>
    <t>CR, 13b</t>
  </si>
  <si>
    <t>256ocb</t>
  </si>
  <si>
    <t>ER, 13c</t>
  </si>
  <si>
    <t>CR, 13c</t>
  </si>
  <si>
    <t>273yh</t>
  </si>
  <si>
    <t>Anzahl Anschlussverträge</t>
  </si>
  <si>
    <t>273zh</t>
  </si>
  <si>
    <t>Rückkaufswert</t>
  </si>
  <si>
    <t>Valeur de rachat</t>
  </si>
  <si>
    <t>Nbre de contrats  d'affiliation</t>
  </si>
  <si>
    <t>Contrats d'assurance avec couverture de risque et prime de risque forfaitaire</t>
  </si>
  <si>
    <t>Contrats d'assurance avec couverture de risque sans prime de risque forfaitaire</t>
  </si>
  <si>
    <t>Versicherungsverträge mit Risikorückdeckung und pauschalierter Risikoprämie</t>
  </si>
  <si>
    <t>Versicherungsverträge mit Risikorückdeckung ohne pauschalierter Risikoprämie</t>
  </si>
  <si>
    <t>274aa</t>
  </si>
  <si>
    <t>275aa</t>
  </si>
  <si>
    <t>276aa</t>
  </si>
  <si>
    <t xml:space="preserve">     Versicherungsverträge von 274a und 275a mit Altersrenteneinkaufsoption</t>
  </si>
  <si>
    <t xml:space="preserve">     Contrats d'assurance de 274a et 275a avec option de rente vieillesse</t>
  </si>
  <si>
    <t>Sonstige Verträge
( Spalten b, c:  278 = 264 - Summe von 273 bis 277a, ohne 276a )</t>
  </si>
  <si>
    <t>Autres contrats
( colonnes b, c:  278 = 264 - somme de 273 à 277a, sans 276a )</t>
  </si>
  <si>
    <t>Gebuchte Risiko- und</t>
  </si>
  <si>
    <t>199aa</t>
  </si>
  <si>
    <t>Sparprämien</t>
  </si>
  <si>
    <t>Eingebrachte Altersguthaben bei Vertragsübernahmen</t>
  </si>
  <si>
    <t>Einlagen für Alters- und Hinterbliebenenrenten</t>
  </si>
  <si>
    <t>Einlagen für Invaliden- und Invalidenkinderrenten</t>
  </si>
  <si>
    <t>Einlagen für Freizügigkeitspolicen</t>
  </si>
  <si>
    <t>Obligationen</t>
  </si>
  <si>
    <t>Hypotheken</t>
  </si>
  <si>
    <t>Übrige Kapitalanlagen</t>
  </si>
  <si>
    <t>Vermögensverwaltungskosten</t>
  </si>
  <si>
    <t>Übriger Ertrag</t>
  </si>
  <si>
    <t>Rückversicherungsergebnis</t>
  </si>
  <si>
    <t>Altersgutschriften</t>
  </si>
  <si>
    <t>Individuelle Einlagen infolge Diensteintritt, Einkauf, WEF oder Scheidung</t>
  </si>
  <si>
    <t>Versicherungstechnische Rückstellungen</t>
  </si>
  <si>
    <t>Rückstellung für zukünftige Rentenumwandlungssatzverluste</t>
  </si>
  <si>
    <t>Deckungskapital für laufende Invaliden- und Invalidenkinderrenten</t>
  </si>
  <si>
    <t>Teuerungsrückstellungen</t>
  </si>
  <si>
    <t>Stand Anfang Jahr</t>
  </si>
  <si>
    <t>Übrige versicherungstechnische Rückstellungen</t>
  </si>
  <si>
    <t>Kostenaufwand</t>
  </si>
  <si>
    <t>Zuweisung zum Überschussfonds</t>
  </si>
  <si>
    <t>Verteilung an Vorsorgeeinrichtungen (Überschusszuteilung)</t>
  </si>
  <si>
    <t>Überschussbeteiligung laufendes Jahr (Überschusszuweisung)</t>
  </si>
  <si>
    <t>freier Teil</t>
  </si>
  <si>
    <t>gebundener Teil</t>
  </si>
  <si>
    <t>CHF</t>
  </si>
  <si>
    <t>FW</t>
  </si>
  <si>
    <t>Aktien und Beteiligungen</t>
  </si>
  <si>
    <t>Alternative Kapitalanlagen</t>
  </si>
  <si>
    <t>Direkte Erträge aus Obligationen</t>
  </si>
  <si>
    <t>33fa</t>
  </si>
  <si>
    <t>33f</t>
  </si>
  <si>
    <t>Total direkte Erträge aus Kapitalanlagen = 33a - 33b + 33c + 33d + 33e + 33f</t>
  </si>
  <si>
    <t>Obligationen CHF</t>
  </si>
  <si>
    <t>Obligationen FW</t>
  </si>
  <si>
    <t>Nettokapitalerträge</t>
  </si>
  <si>
    <t>Versicherungsleistungen</t>
  </si>
  <si>
    <t>Veränderung versicherungstechnische Rückstellungen</t>
  </si>
  <si>
    <t>Abschluss- und Verwaltungskosten</t>
  </si>
  <si>
    <t>Übriger Aufwand</t>
  </si>
  <si>
    <t>Teuerungsprämien brutto</t>
  </si>
  <si>
    <t>Aufwand für teuerungsbedingte Erhöhungen der Risikorenten</t>
  </si>
  <si>
    <t>Auflösung zugunsten Überschussfonds</t>
  </si>
  <si>
    <t>Auflösung zugunsten Verstärkungen gem. Art. 149 Abs. 1 Bst. a</t>
  </si>
  <si>
    <t>Bildung zusätzliche Teuerungsrückstellungen</t>
  </si>
  <si>
    <t>Entnahme zur Deckung des Betriebsdefizits</t>
  </si>
  <si>
    <t>Liegenschaften</t>
  </si>
  <si>
    <t>Direkte Erträge aus Liegenschaften brutto</t>
  </si>
  <si>
    <t>Abzüglich Unterhaltskosten der Liegenschaften</t>
  </si>
  <si>
    <t>44c</t>
  </si>
  <si>
    <t>44d</t>
  </si>
  <si>
    <t>Aufwendungen für Obligationen</t>
  </si>
  <si>
    <t>44ca</t>
  </si>
  <si>
    <t>44da</t>
  </si>
  <si>
    <t>Aufwendungen für Kapitalanlagen  = 43 + 44a + 44b + 44c + 44d</t>
  </si>
  <si>
    <t>13da</t>
  </si>
  <si>
    <t>13d</t>
  </si>
  <si>
    <t>Leistungen infolge Tod und Invalidität</t>
  </si>
  <si>
    <t>Individuelle Kapitalleistungen (FZL, WEF, Scheidung, FZP)</t>
  </si>
  <si>
    <t>Prämienüberträge</t>
  </si>
  <si>
    <t>Deckungskapital übrige Deckungen</t>
  </si>
  <si>
    <t>15ba</t>
  </si>
  <si>
    <t>15b</t>
  </si>
  <si>
    <t>Wertschwankungs- und Zinsgarantierückstellungen</t>
  </si>
  <si>
    <t>Veränderung der versicherungstechn. Rückstellungen 
(netto)  = 14a bis 17 + 42c - 18</t>
  </si>
  <si>
    <t>Veränderung Prämienüberträge</t>
  </si>
  <si>
    <t>Rückstellung für eingetretene noch nicht erledigte Versicherungsfälle (RBNS und IBNR)</t>
  </si>
  <si>
    <t>Rückstellung für eingetretene, noch nicht erledigte Versicherungsfälle (RBNS und IBNR)</t>
  </si>
  <si>
    <t>Rückstellung für zukünftige Umwandlungssatzverluste</t>
  </si>
  <si>
    <t>DK-Verstärkungen für Rentendeckungskapitalien und Freizügigkeitspolicen</t>
  </si>
  <si>
    <t>IV.  Weitere Kennzahlen</t>
  </si>
  <si>
    <t>88ml</t>
  </si>
  <si>
    <t>253aa</t>
  </si>
  <si>
    <t>205aa</t>
  </si>
  <si>
    <t>205ba</t>
  </si>
  <si>
    <t>Auflösung Teuerungsrückstellungen zugunsten Verstärkungen</t>
  </si>
  <si>
    <t>205c</t>
  </si>
  <si>
    <t>205ca</t>
  </si>
  <si>
    <t>Auflösung Teuerungsrückstellungen zugunsten Überschussfonds</t>
  </si>
  <si>
    <t>205d</t>
  </si>
  <si>
    <t>205da</t>
  </si>
  <si>
    <t>253b</t>
  </si>
  <si>
    <t>253c</t>
  </si>
  <si>
    <t>253d</t>
  </si>
  <si>
    <t>253ba</t>
  </si>
  <si>
    <t>253ca</t>
  </si>
  <si>
    <t>253da</t>
  </si>
  <si>
    <t>Rückstellungen für Zinsgarantien, Schaden- und Wertschwankungen</t>
  </si>
  <si>
    <t>Total versicherungstechnische Rückstellungen (brutto)</t>
  </si>
  <si>
    <t>Total des provisions techniques (brute)</t>
  </si>
  <si>
    <t>Total sonstige Verbindlichkeiten</t>
  </si>
  <si>
    <t>Total autres engagements</t>
  </si>
  <si>
    <t>Total Passiven  = 89 + 90 + 116 + 133</t>
  </si>
  <si>
    <t>Total Passifs  = 89 + 90 + 116 + 133</t>
  </si>
  <si>
    <t>Passive Rückversicherung</t>
  </si>
  <si>
    <t>MQ</t>
  </si>
  <si>
    <t>nMQ</t>
  </si>
  <si>
    <t>im Sparprozess</t>
  </si>
  <si>
    <t>im Risikoprozess</t>
  </si>
  <si>
    <t>Bildung (-) und Auflösung (+) technischer Rückstellungen</t>
  </si>
  <si>
    <t>Total Äufnung (+) oder Auflösung (-) techn. Rückstellungen
= Summe 199 bis 206</t>
  </si>
  <si>
    <t>Total alimentation (+) ou dissolution (-) des provisions techniques
= somme 199 à 206</t>
  </si>
  <si>
    <t>Mindestquote</t>
  </si>
  <si>
    <t>Bruttokapitalerträge</t>
  </si>
  <si>
    <t>Buchwert der Kapitalanlagen</t>
  </si>
  <si>
    <t>Marktwert der Kapitalanlagen</t>
  </si>
  <si>
    <t>Stille Reserven</t>
  </si>
  <si>
    <t>Brutto-Rendite auf Buchwerten</t>
  </si>
  <si>
    <t>Brutto-Performance auf Marktwerten</t>
  </si>
  <si>
    <t>Netto-Rendite auf Buchwerten</t>
  </si>
  <si>
    <t>Netto-Performance auf Marktwerten</t>
  </si>
  <si>
    <t>m</t>
  </si>
  <si>
    <t>n</t>
  </si>
  <si>
    <t>369wk</t>
  </si>
  <si>
    <t>261zh</t>
  </si>
  <si>
    <t>Anzahl Vollversicherte</t>
  </si>
  <si>
    <t>Anzahl übrige aktive Versicherte</t>
  </si>
  <si>
    <t>an Broker und Makler</t>
  </si>
  <si>
    <t>an eigenen Aussendienst</t>
  </si>
  <si>
    <t>übrige</t>
  </si>
  <si>
    <t>Aufwendungen für die allgemeine Verwaltung</t>
  </si>
  <si>
    <t>Total Kostenprämien</t>
  </si>
  <si>
    <t>Kostenprämien aktive Versicherte</t>
  </si>
  <si>
    <t>Kostenprämien Freizügigkeitspolicen</t>
  </si>
  <si>
    <t>Übrige Kostenprämien</t>
  </si>
  <si>
    <t>Kostenprämien gegliedert nach Kostenträgern</t>
  </si>
  <si>
    <t>Betriebsaufwand gegliedert nach Kostenstellen</t>
  </si>
  <si>
    <t>Betriebsaufwand gegliedert nach Kostenträgern</t>
  </si>
  <si>
    <t>Betriebsaufwand aktive Versicherte</t>
  </si>
  <si>
    <t>Betriebsaufwand Rentenbezüger</t>
  </si>
  <si>
    <t>Betriebsaufwand Freizügigkeitspolicen</t>
  </si>
  <si>
    <t>Betriebsaufwand für übrige Kostenträger</t>
  </si>
  <si>
    <t>Total Betriebsaufwand</t>
  </si>
  <si>
    <t>Anteil Rückversicherer am Betriebsaufwand</t>
  </si>
  <si>
    <t>178aa-ac=ER, 20</t>
  </si>
  <si>
    <t>178aa-ac=CR,20</t>
  </si>
  <si>
    <t>Rendite auf Buchwerten und Performance auf Marktwerten</t>
  </si>
  <si>
    <t>Zins- und Umwandlungssätze</t>
  </si>
  <si>
    <t>Kapitalanlagen und stille Reserven</t>
  </si>
  <si>
    <t>III.  Ergebnis, Ausschüttungsquoten und Mindestquote</t>
  </si>
  <si>
    <t>Δ abs</t>
  </si>
  <si>
    <t>Δ %</t>
  </si>
  <si>
    <t>Quote</t>
  </si>
  <si>
    <t>Total BV</t>
  </si>
  <si>
    <t>Nicht kostentransparente Kapitalanlagen</t>
  </si>
  <si>
    <t>Marktwert Kapitalanlagen</t>
  </si>
  <si>
    <t>Ein- und mehrstufige kollektive Kapitalanlagen</t>
  </si>
  <si>
    <t>Ein- und mehrstufige Kapitalanlagen (Kostenkennzahl)</t>
  </si>
  <si>
    <t>Vermögensverwaltungskosten (brutto gemäss OAK-Schema)</t>
  </si>
  <si>
    <t>Vermögensverwaltungskosten (netto gemäss Betriebsrechnung BV)</t>
  </si>
  <si>
    <t>Unterhalts- und Instandhaltungskosten Liegenschaften</t>
  </si>
  <si>
    <t>check wenn ungleich 0</t>
  </si>
  <si>
    <t>TER-Kosten von direkten Kapitalanlagen</t>
  </si>
  <si>
    <t>TER-Kosten Total Kapitalanlagen</t>
  </si>
  <si>
    <t>TER-Kosten von ein- und mehrstufigen Kapitalanlagen (Kostenkennzahl)</t>
  </si>
  <si>
    <t>TTC-Kosten (der direkten Kapitalanlagen)</t>
  </si>
  <si>
    <t>Marktwert Total Kapitalanlagen</t>
  </si>
  <si>
    <t>Marktwert direkte Kapitalanlagen</t>
  </si>
  <si>
    <t>Marktwert ein- und mehrstufige kollektive Kapitalanlagen</t>
  </si>
  <si>
    <t>Marktwert nicht kostentransparente Kapitalanlagen</t>
  </si>
  <si>
    <t>560a</t>
  </si>
  <si>
    <t>561a</t>
  </si>
  <si>
    <t>562a</t>
  </si>
  <si>
    <t>563a</t>
  </si>
  <si>
    <t>564a</t>
  </si>
  <si>
    <t>565a</t>
  </si>
  <si>
    <t>566a</t>
  </si>
  <si>
    <t>567a</t>
  </si>
  <si>
    <t>568a</t>
  </si>
  <si>
    <t>569a</t>
  </si>
  <si>
    <t>570a</t>
  </si>
  <si>
    <t>571a</t>
  </si>
  <si>
    <t>572a</t>
  </si>
  <si>
    <t>573a</t>
  </si>
  <si>
    <t>574a</t>
  </si>
  <si>
    <t>pro Kopf (CHF)</t>
  </si>
  <si>
    <t>395a</t>
  </si>
  <si>
    <t>600a</t>
  </si>
  <si>
    <t>601a</t>
  </si>
  <si>
    <t>602a</t>
  </si>
  <si>
    <t>603a</t>
  </si>
  <si>
    <t>604a</t>
  </si>
  <si>
    <t>605a</t>
  </si>
  <si>
    <t>606a</t>
  </si>
  <si>
    <t>607a</t>
  </si>
  <si>
    <t>617a</t>
  </si>
  <si>
    <t>629a</t>
  </si>
  <si>
    <t>630a</t>
  </si>
  <si>
    <t>631a</t>
  </si>
  <si>
    <t>632a</t>
  </si>
  <si>
    <t>642a</t>
  </si>
  <si>
    <t>654a</t>
  </si>
  <si>
    <t>655a</t>
  </si>
  <si>
    <t>656a</t>
  </si>
  <si>
    <t>657a</t>
  </si>
  <si>
    <t>658a</t>
  </si>
  <si>
    <t>659a</t>
  </si>
  <si>
    <t>660a</t>
  </si>
  <si>
    <t>661a</t>
  </si>
  <si>
    <t>673a</t>
  </si>
  <si>
    <t>674a</t>
  </si>
  <si>
    <t>675a</t>
  </si>
  <si>
    <t>710a</t>
  </si>
  <si>
    <t>711a</t>
  </si>
  <si>
    <t>713a</t>
  </si>
  <si>
    <t>722a</t>
  </si>
  <si>
    <t>738a</t>
  </si>
  <si>
    <t>739a</t>
  </si>
  <si>
    <t>740a</t>
  </si>
  <si>
    <t>741a</t>
  </si>
  <si>
    <t>742a</t>
  </si>
  <si>
    <t>743a</t>
  </si>
  <si>
    <t>750a</t>
  </si>
  <si>
    <t>751a</t>
  </si>
  <si>
    <t>752a</t>
  </si>
  <si>
    <t>753a</t>
  </si>
  <si>
    <t>754a</t>
  </si>
  <si>
    <t>755a</t>
  </si>
  <si>
    <t>756a</t>
  </si>
  <si>
    <t>757a</t>
  </si>
  <si>
    <t>758a</t>
  </si>
  <si>
    <t>759a</t>
  </si>
  <si>
    <t>760a</t>
  </si>
  <si>
    <t>761a</t>
  </si>
  <si>
    <t>762a</t>
  </si>
  <si>
    <t>763a</t>
  </si>
  <si>
    <t>771a</t>
  </si>
  <si>
    <t>776a</t>
  </si>
  <si>
    <t>782a</t>
  </si>
  <si>
    <t>Primes d'épargne</t>
  </si>
  <si>
    <t>Gebuchte Brutto-Prämien</t>
  </si>
  <si>
    <t>611c</t>
  </si>
  <si>
    <t>612c</t>
  </si>
  <si>
    <t>613c</t>
  </si>
  <si>
    <t>614c</t>
  </si>
  <si>
    <t>618b</t>
  </si>
  <si>
    <t>628b</t>
  </si>
  <si>
    <t>638c</t>
  </si>
  <si>
    <t>640b</t>
  </si>
  <si>
    <t>643b</t>
  </si>
  <si>
    <t>644b</t>
  </si>
  <si>
    <t>645b</t>
  </si>
  <si>
    <t>647b</t>
  </si>
  <si>
    <t>648b</t>
  </si>
  <si>
    <t>649b</t>
  </si>
  <si>
    <t>650b</t>
  </si>
  <si>
    <t>651b</t>
  </si>
  <si>
    <t>652b</t>
  </si>
  <si>
    <t>653b</t>
  </si>
  <si>
    <t>605e</t>
  </si>
  <si>
    <t>610c</t>
  </si>
  <si>
    <t>616b</t>
  </si>
  <si>
    <t>636b</t>
  </si>
  <si>
    <t>637c</t>
  </si>
  <si>
    <t>639b</t>
  </si>
  <si>
    <t>646b</t>
  </si>
  <si>
    <t>608b</t>
  </si>
  <si>
    <t>609c</t>
  </si>
  <si>
    <t>615b</t>
  </si>
  <si>
    <t>641b</t>
  </si>
  <si>
    <t>635c</t>
  </si>
  <si>
    <t>633b</t>
  </si>
  <si>
    <t>633j</t>
  </si>
  <si>
    <t>634c</t>
  </si>
  <si>
    <t>662b</t>
  </si>
  <si>
    <t>663b</t>
  </si>
  <si>
    <t>664c</t>
  </si>
  <si>
    <t>665c</t>
  </si>
  <si>
    <t>666b</t>
  </si>
  <si>
    <t>667b</t>
  </si>
  <si>
    <t>668b</t>
  </si>
  <si>
    <t>669b</t>
  </si>
  <si>
    <t>671b</t>
  </si>
  <si>
    <t>670b</t>
  </si>
  <si>
    <t>680c</t>
  </si>
  <si>
    <t>683c</t>
  </si>
  <si>
    <t>686c</t>
  </si>
  <si>
    <t>690b</t>
  </si>
  <si>
    <t>691b</t>
  </si>
  <si>
    <t>692b</t>
  </si>
  <si>
    <t>693b</t>
  </si>
  <si>
    <t>694b</t>
  </si>
  <si>
    <t>697c</t>
  </si>
  <si>
    <t>698c</t>
  </si>
  <si>
    <t>699c</t>
  </si>
  <si>
    <t>700c</t>
  </si>
  <si>
    <t>701c</t>
  </si>
  <si>
    <t>705b</t>
  </si>
  <si>
    <t>706b</t>
  </si>
  <si>
    <t>707b</t>
  </si>
  <si>
    <t>o</t>
  </si>
  <si>
    <t>p</t>
  </si>
  <si>
    <t>q</t>
  </si>
  <si>
    <t>r</t>
  </si>
  <si>
    <t>715b</t>
  </si>
  <si>
    <t>716b</t>
  </si>
  <si>
    <t>719b</t>
  </si>
  <si>
    <t>720b</t>
  </si>
  <si>
    <t>725c</t>
  </si>
  <si>
    <t>726c</t>
  </si>
  <si>
    <t>727c</t>
  </si>
  <si>
    <t>728c</t>
  </si>
  <si>
    <t>731c</t>
  </si>
  <si>
    <t>732c</t>
  </si>
  <si>
    <t>733c</t>
  </si>
  <si>
    <t>734c</t>
  </si>
  <si>
    <t>735c</t>
  </si>
  <si>
    <t>745b</t>
  </si>
  <si>
    <t>748b</t>
  </si>
  <si>
    <t>766c</t>
  </si>
  <si>
    <t>768b</t>
  </si>
  <si>
    <t>773b</t>
  </si>
  <si>
    <t>774b</t>
  </si>
  <si>
    <t>778b</t>
  </si>
  <si>
    <t>779b</t>
  </si>
  <si>
    <t>780b</t>
  </si>
  <si>
    <t>785c</t>
  </si>
  <si>
    <t>795b</t>
  </si>
  <si>
    <t>797b</t>
  </si>
  <si>
    <t>s</t>
  </si>
  <si>
    <t>t</t>
  </si>
  <si>
    <t>%</t>
  </si>
  <si>
    <t>676a</t>
  </si>
  <si>
    <t>679c</t>
  </si>
  <si>
    <t>682c</t>
  </si>
  <si>
    <t>685c</t>
  </si>
  <si>
    <t>688c</t>
  </si>
  <si>
    <t>695b</t>
  </si>
  <si>
    <t>702c</t>
  </si>
  <si>
    <t>708b</t>
  </si>
  <si>
    <t>712a</t>
  </si>
  <si>
    <t>Netto-Guthaben aus derivativen Finanzinstrumenten</t>
  </si>
  <si>
    <t>672b</t>
  </si>
  <si>
    <t>677a</t>
  </si>
  <si>
    <t>678b</t>
  </si>
  <si>
    <t>681b</t>
  </si>
  <si>
    <t>684b</t>
  </si>
  <si>
    <t>687b</t>
  </si>
  <si>
    <t>689c</t>
  </si>
  <si>
    <t>696b</t>
  </si>
  <si>
    <t>703c</t>
  </si>
  <si>
    <t>704a</t>
  </si>
  <si>
    <t>709b</t>
  </si>
  <si>
    <t>713j</t>
  </si>
  <si>
    <t>713o</t>
  </si>
  <si>
    <t>714a</t>
  </si>
  <si>
    <t>717b</t>
  </si>
  <si>
    <t>718a</t>
  </si>
  <si>
    <t>721b</t>
  </si>
  <si>
    <t>723a</t>
  </si>
  <si>
    <t>724b</t>
  </si>
  <si>
    <t>729c</t>
  </si>
  <si>
    <t>730b</t>
  </si>
  <si>
    <t>736c</t>
  </si>
  <si>
    <t>737b</t>
  </si>
  <si>
    <t>744a</t>
  </si>
  <si>
    <t>746b</t>
  </si>
  <si>
    <t>747a</t>
  </si>
  <si>
    <t>749b</t>
  </si>
  <si>
    <t>764a</t>
  </si>
  <si>
    <t>765b</t>
  </si>
  <si>
    <t>767c</t>
  </si>
  <si>
    <t>769b</t>
  </si>
  <si>
    <t>770j</t>
  </si>
  <si>
    <t>772a</t>
  </si>
  <si>
    <t>775b</t>
  </si>
  <si>
    <t>777a</t>
  </si>
  <si>
    <t>781b</t>
  </si>
  <si>
    <t>783a</t>
  </si>
  <si>
    <t>784b</t>
  </si>
  <si>
    <t>791b</t>
  </si>
  <si>
    <t>796b</t>
  </si>
  <si>
    <t>801d</t>
  </si>
  <si>
    <t>803c</t>
  </si>
  <si>
    <t>805b</t>
  </si>
  <si>
    <t>Verpflichtungen aus derivativen Finanzinstrumenten</t>
  </si>
  <si>
    <t>Zinssatz für die Verzinsung der überobligatorischen Altersguthaben</t>
  </si>
  <si>
    <t>786d</t>
  </si>
  <si>
    <t>787d</t>
  </si>
  <si>
    <t>789c</t>
  </si>
  <si>
    <t>790c</t>
  </si>
  <si>
    <t>793j</t>
  </si>
  <si>
    <t>794a</t>
  </si>
  <si>
    <t>798a</t>
  </si>
  <si>
    <t>799b</t>
  </si>
  <si>
    <t>800c</t>
  </si>
  <si>
    <t>802d</t>
  </si>
  <si>
    <t>804c</t>
  </si>
  <si>
    <t>806b</t>
  </si>
  <si>
    <t>792b</t>
  </si>
  <si>
    <t>788d</t>
  </si>
  <si>
    <t>273yc2</t>
  </si>
  <si>
    <t>davon aktive Versicherte</t>
  </si>
  <si>
    <t>Variation des provisions techniques (total - net)  
= 14a bis 14h + 15 + 15a + 16 + 17 - 18</t>
  </si>
  <si>
    <t>dont assurés actifs</t>
  </si>
  <si>
    <t>Valeur de marché des placements de capitaux (total)</t>
  </si>
  <si>
    <t>cellule de contrôle (valeur apparaît en cas de somme non identique)</t>
  </si>
  <si>
    <t>Valeur de marché des placements directs de capitaux</t>
  </si>
  <si>
    <t xml:space="preserve">Valeur de marché des placements de capitaux non-transparents </t>
  </si>
  <si>
    <t xml:space="preserve">Frais de gestion de la fortune (net selon comptabilité séparée prévoyance) </t>
  </si>
  <si>
    <t>Frais TER relatifs au placement des capitaux (total)</t>
  </si>
  <si>
    <t>Valeur de marché des placements de capitaux collectifs (un ou plusieurs niveaux)</t>
  </si>
  <si>
    <t>Frais TER relatifs au placement direct de capitaux</t>
  </si>
  <si>
    <t>Frais TER relatifs aux placement de capitaux collectifs (un ou plusieurs niveaux)</t>
  </si>
  <si>
    <t>Frais TTC (relatif aux placements directs)</t>
  </si>
  <si>
    <t>Frais d'entretien et de maintien des immeubles</t>
  </si>
  <si>
    <t>Exercice précédent (J-1)</t>
  </si>
  <si>
    <t>Total PP</t>
  </si>
  <si>
    <t>Cotisation épargne</t>
  </si>
  <si>
    <t>Avoirs de vieillesse reçus suite à un reprise de contrat</t>
  </si>
  <si>
    <t>Prime unique reçue suite à reprise d'une rente de vieillesse ou une rente de survivant</t>
  </si>
  <si>
    <t>Prime unique reçue suite à reprise d'une rente d'invalidité ou rente d'enfant d'invalide</t>
  </si>
  <si>
    <t>Prime unique reçue suite à un libre-passage</t>
  </si>
  <si>
    <t>Revenus brut des capitaux</t>
  </si>
  <si>
    <t>Revenus net des capitaux</t>
  </si>
  <si>
    <t>Immobiliers</t>
  </si>
  <si>
    <t>Hypothèques</t>
  </si>
  <si>
    <t>Charges pour placement de capitaux</t>
  </si>
  <si>
    <t>Autres produits</t>
  </si>
  <si>
    <t>Résultat de réassurance</t>
  </si>
  <si>
    <t>Prestations d'assurance</t>
  </si>
  <si>
    <t>Prestations de rentes</t>
  </si>
  <si>
    <t>Prestations en capital</t>
  </si>
  <si>
    <t>Prestations suite à un décés ou une invalidité</t>
  </si>
  <si>
    <t>Versement individuel suite à un libre passage, une séparation ou un versement anticipé</t>
  </si>
  <si>
    <t>Prime unique individuelle suite à un libre passage, rachat, séparation ou remboursement d'un versement anticipé</t>
  </si>
  <si>
    <t>Variation des provisions techniques</t>
  </si>
  <si>
    <t>Provision pour pertes future sur taux de conversion</t>
  </si>
  <si>
    <t>Taux</t>
  </si>
  <si>
    <t>Provisions mathématiques pour rentes d'invalidité et enfant d'invalide (rente en cours)</t>
  </si>
  <si>
    <t>Provisions pour autres couvertures</t>
  </si>
  <si>
    <t>Renforcement de la provision mathématique des rentes en cours et des PLP</t>
  </si>
  <si>
    <t>Provisions pour sinistres (RBNS et IBNR)</t>
  </si>
  <si>
    <t>Provision pour fluctuation des valeur et pour garantie des taux</t>
  </si>
  <si>
    <t>Autres provisions techniques</t>
  </si>
  <si>
    <t>Participation aux excédents attribuée au fonds d'excédents pour l'année d'exercice</t>
  </si>
  <si>
    <t>Variation du report de primes</t>
  </si>
  <si>
    <t>Frais de gestion et d'acquisition</t>
  </si>
  <si>
    <t>Autres charges</t>
  </si>
  <si>
    <t>Résultat d'exploitation</t>
  </si>
  <si>
    <t>Placement de produits alternatifs</t>
  </si>
  <si>
    <t>Placement des capitaux et réserves latentes</t>
  </si>
  <si>
    <t>Valeur comptable des placements de capitaux</t>
  </si>
  <si>
    <t>Valeur de marché des placement de capitaux</t>
  </si>
  <si>
    <t>Placements collectifs à un ou plusieurs niveaux</t>
  </si>
  <si>
    <t>Obligations</t>
  </si>
  <si>
    <t>Actions et participations</t>
  </si>
  <si>
    <t>Réassurance passive</t>
  </si>
  <si>
    <t>Provisions techniques</t>
  </si>
  <si>
    <t>obligatoire</t>
  </si>
  <si>
    <t>surobligatoire</t>
  </si>
  <si>
    <t>Provision de renchérissement (brut)</t>
  </si>
  <si>
    <t>Provision de renchérissement</t>
  </si>
  <si>
    <t>Charges pour l'intérêt tarifaire sur la provision de renchérissement (=Pos. 253)</t>
  </si>
  <si>
    <t>Aufwand für Tarifzins auf der Teuerungsrückstellung (= Pos. 253)</t>
  </si>
  <si>
    <t>Dissolution de la provision de renchérissement en faveur du fonds d'excédent</t>
  </si>
  <si>
    <t>Constitution de provision de renchérissement supplémentaire</t>
  </si>
  <si>
    <t>Prime de renchérissement but</t>
  </si>
  <si>
    <t>Dissolution de la provision de renchérissement en faveur des renforcements</t>
  </si>
  <si>
    <t>Avoirs  nets  découlant d’instruments financiers dérivés</t>
  </si>
  <si>
    <t>Avoirs  nets  découlant d’instruments financiers dérivés  e)</t>
  </si>
  <si>
    <t>Engagements découlant d'instruments dérivés</t>
  </si>
  <si>
    <t>Situation début d'année</t>
  </si>
  <si>
    <t>Charges de frais</t>
  </si>
  <si>
    <t>Dissolution en faveur des renforcement selon art. 149 al. 1 let a</t>
  </si>
  <si>
    <t>Dissolution en faveur du fond d'excédent</t>
  </si>
  <si>
    <t>Attribution à l'institution de prévoyance (attribution de l'excédent)</t>
  </si>
  <si>
    <t>Prélèvement pour couvrir le déficit du compte d'exploitation</t>
  </si>
  <si>
    <t>Report de prime</t>
  </si>
  <si>
    <t>III Résultat, quote part de distribution et quote-par minimum</t>
  </si>
  <si>
    <t>dans le processus risque</t>
  </si>
  <si>
    <t>au processus d'épargne</t>
  </si>
  <si>
    <t>Constitution (-) ou dissolution (+) des provisions techniques</t>
  </si>
  <si>
    <t>risque de longévité</t>
  </si>
  <si>
    <t>Provision pour garantie d'intérêt, provision de fluctuation des sinitres et des valeurs de placement</t>
  </si>
  <si>
    <t>Quote-par minimum</t>
  </si>
  <si>
    <t>IV. Autres chiffres-clé</t>
  </si>
  <si>
    <t>Charges pour le marketing et la publicité</t>
  </si>
  <si>
    <t>partie liée</t>
  </si>
  <si>
    <t>partie libre</t>
  </si>
  <si>
    <t>Réserves latentes</t>
  </si>
  <si>
    <t>Rendements bruts sur valeurs comptables</t>
  </si>
  <si>
    <t>Rendements nets sur valeurs comptables</t>
  </si>
  <si>
    <t>Rendement sur valeurs comptables et performance sur les valeurs de marché</t>
  </si>
  <si>
    <t>Performance nette sur valeurs de marché</t>
  </si>
  <si>
    <t>Performance brute sur valeurs de marché</t>
  </si>
  <si>
    <t xml:space="preserve">Taux de rémunération de la partie surobligatoire des avoirs de vieillesse </t>
  </si>
  <si>
    <t>Taux de conversion en rente pour hommes à l'âge de retraite 65 en cas de couverture complète, partie surobligatoire</t>
  </si>
  <si>
    <t>Taux de conversion en rentes pour femmes à l'âge de retraite 64 en cas de couverture complète, partie surobligatoire</t>
  </si>
  <si>
    <t>Taux d'intérêt et taux de conversion</t>
  </si>
  <si>
    <t>Nombre autres assurés actifs</t>
  </si>
  <si>
    <t>Nombre d'assurés en couverture complète</t>
  </si>
  <si>
    <t>par assuré (CHF)</t>
  </si>
  <si>
    <t>Autres primes de frais</t>
  </si>
  <si>
    <t>Total prime pour frais de gestion</t>
  </si>
  <si>
    <t>Prime pour frais de gestion assurés actifs</t>
  </si>
  <si>
    <t>Prime pour frais police de libre-passage</t>
  </si>
  <si>
    <t>Primes de frais selon répondants de frais</t>
  </si>
  <si>
    <t>Charges d'exploitation selon sections de frais</t>
  </si>
  <si>
    <t>Charges d'exploitation selon répondants de frais</t>
  </si>
  <si>
    <t>Total charges d'exploitation</t>
  </si>
  <si>
    <t>Charges d'exploitation assurés actifs</t>
  </si>
  <si>
    <t>Charges d'exploitation bénéficiaires de rente</t>
  </si>
  <si>
    <t>Charges d'exploitation police de libre passage</t>
  </si>
  <si>
    <t>Charges d'expoitation pour autres répondants de frais</t>
  </si>
  <si>
    <t>Part des assureurs sur les charges d'exploitation</t>
  </si>
  <si>
    <t>aux courtiers et intermédiaires non liés</t>
  </si>
  <si>
    <t xml:space="preserve">aux agents du service externe </t>
  </si>
  <si>
    <t>autre</t>
  </si>
  <si>
    <t>Charges pour la gestion générales</t>
  </si>
  <si>
    <t xml:space="preserve">Placements de capitaux non-transparents </t>
  </si>
  <si>
    <t>Monnaies étrangères</t>
  </si>
  <si>
    <t>Charges pour augmentations liées au renchérissement des rentes de risque</t>
  </si>
  <si>
    <t xml:space="preserve">Frais de gestion de la fortune (brut selon schéma CHS) </t>
  </si>
  <si>
    <t>RESERVES D'EVALUATION</t>
  </si>
  <si>
    <t>Charges pour le marketing et la publicité (brutes)</t>
  </si>
  <si>
    <t>Obligations en monnaies étrangères</t>
  </si>
  <si>
    <t>Obligations en francs suisses</t>
  </si>
  <si>
    <t>Parts d'excédents créditées</t>
  </si>
  <si>
    <t>Fortschreibung der Teuerungsrückstellungen</t>
  </si>
  <si>
    <t>Actualisation de la provision de renchérissement</t>
  </si>
  <si>
    <t>Teuerungsrückstellungen (brutto)</t>
  </si>
  <si>
    <t>Kostenprämien (einschliesslich Kostenprämien für Teuerungsausgleich auf BVG-Risikorenten)</t>
  </si>
  <si>
    <t>Primes de frais (y compris les primes de frais d'adaptation des rentes de risque LPP au renchérissement</t>
  </si>
  <si>
    <t>f)  Les prélèvements du fonds de renchérissement (pos. 254) et de la provision pour frais de gestion sont à inclure dans les pos. 171a et 171b, résultat de liquidation. 
      La composition du résultat de liquidation est à détailler dans le rapport explicatif.
g)  Frais de versement et de liquidation pour les rentes en cours d'invalidité et de survivants. La provision pour frais de gestion incluse dans la provision mathématique des rentes d'invalidité et de survivants doit être liquidée par l'intermédiare des pos. 171a et 171b. 
      Les charges occasionnées par le traitement des prestations de la pos. 11 CR sont à répartir entre les pos. 157 et 172 analyse technique!</t>
  </si>
  <si>
    <t>Übrige Aufwendungen für die allgemeine Verwaltung:  h1)</t>
  </si>
  <si>
    <t>Autres charges pour l'administration générale:  h1)</t>
  </si>
  <si>
    <t>110aa</t>
  </si>
  <si>
    <t>115aa</t>
  </si>
  <si>
    <t xml:space="preserve">  Anteil der Rückversicherer an Zeile 104</t>
  </si>
  <si>
    <t xml:space="preserve">   Part des réassureurs à la ligne 104</t>
  </si>
  <si>
    <t xml:space="preserve">  Anteil der Rückversicherer an den Zeilen 106 bis 109 sowie 111</t>
  </si>
  <si>
    <t xml:space="preserve">   Part des réassureurs aux lignes 106 à 109 et 111</t>
  </si>
  <si>
    <t>Provisions de renchérissement</t>
  </si>
  <si>
    <t>Rückstellungen für den Umlageschlüssel</t>
  </si>
  <si>
    <t>Provisions techniques pour le clé de répartition</t>
  </si>
  <si>
    <t>Garantierte technische Zinsen (einschl. techn. Zins im Risikoprozess)</t>
  </si>
  <si>
    <t>Intérêts techniques garantis (y inclus intérêts techn. du proc. de risque)</t>
  </si>
  <si>
    <t>Aufwand im Sparprozess 
= 150 - 154 + 155 + 155a - 156 + 157</t>
  </si>
  <si>
    <t>Charges du processus d' épargne 
= 150 - 154 + 155 + 155a - 156 + 157</t>
  </si>
  <si>
    <t xml:space="preserve">c)  Entnahmen aus der Verwaltungskostenrückstellung sind unter Pos. 156, Abwicklungsergebnis einzuschliessen. Die Zusammensetzung des Abwicklungsergebnisses ist im Begleitbericht anzugeben.
d)  Rentenexkasso- und Abwicklungskosten für laufende Altersrenten und Pensioniertenkinderrenten. Die im DK der Altersrenten eingerechnete Verwaltungskostenrückstellung ist über Pos. 156 abzuwickeln. 
      Die Leistungsbearbeitungsaufwendungen in der ER Pos. 11 sind auf die beiden Pos. 157 und 172 der techn. Zerlegung aufzuteilen!  </t>
  </si>
  <si>
    <t>c)  Les prélèvements de la provision pour frais de gestion sont à inclure dans la pos. 156, résultat de liquidation. La composition du résultat de liquidation est à détailler dans le rapport explicatif.
d)  Frais de versement et de liquidation pour les rentes en cours de vieillesse et d'enfants de pensionnés. La provision pour frais de gestion incluse dans la provision mathématique des rentes de vieillesse doit être liquidée par l'intermédiare de la pos. 156.
      Les charges occasionnées par le traitement des prestations de la pos. 11 CR sont à répartir entre les pos. 157 et 172 de l'analyse technique!</t>
  </si>
  <si>
    <t xml:space="preserve">f)  Entnahmen aus den Teuerungsrückstellungen zur Bildung von DK infolge Teuerungsanpassung (Pos. 254) sowie aus der Verwaltungskostenrückstellung sind unter den Pos. 171a und 171b, Abwicklungsergebnis einzuschliessen. 
      Die Zusammensetzung des Abwicklungsergebnisses ist im Begleitbericht anzugeben.
g)  Rentenexkasso- und Abwicklungskosten für laufende Invaliden- und Hinterbliebenenrenten. Die im DK der Invaliden- und Hinterbliebenenrenten eingerechnete Verwaltungskostenrückstellung ist über die Pos. 171a und 171b abzuwickeln. 
      Die Leistungsbearbeitungsaufwendungen in der ER Pos. 11 sind auf die beiden Pos. 157 und 172 der techn. Zerlegung aufzuteilen!  </t>
  </si>
  <si>
    <t>e)  Einschliesslich Risikoprämien (exkl. Kostenprämien) für Teuerungsausgleich auf BVG-Risikorenten</t>
  </si>
  <si>
    <t>e)  Y compris les primes de risque (excl. primes de frais) d'adaptation des rentes de risque LPP au renchérissement</t>
  </si>
  <si>
    <t xml:space="preserve">h1)  einschliesslich Entnahme der Kostenprämie aus den Teuerungsrückstellungen (Pos. 255a)
i)  Ohne Einbezug der Vermögensverwaltungskosten jedoch einschliesslich der Rentenexkasso- und Abwicklungskosten im Sparprozess (Pos. 157) und im Risikoprozess (Pos. 172) sowie des dazugehörigen rückversicherten Anteils (ER Pos. 11a). 
      Der Saldo aus den übrigen Erfolgsposten (Pos. 181) wird nicht miteinbezogen.
j)   Die Exkasso- und Abwicklungskosten sind unter den Pos. 157 (für den Sparprozess) und 172 (für den Risikoprozess) zu erfassen. Der Anteil der Rentenbezüger ist Pos. 182b zuzuteilen. </t>
  </si>
  <si>
    <t>h1) y compris le prélèvement des primes de frais de la provision pour rencherissement (Pos. 255a)
i)  Sans les frais de placement et de gestion des placements de capitaux, mais y compris les frais de versement et de liquidation des processus d'épargne (pos. 157) et de risque (pos. 172) ainsi que la part du réassureur y relative (pos. 11a du CR). 
      Le solde des autres postes du compte de résultat (pos. 181) est exclu.
j)   Les frais de versement et de liquidation de prest. sont à saisir sous pos. 157 (conc. le processus d'épargne) et 172 (conc. le processus de risque). Les charges de frais imputées aux rentiers sont à saisir sous pos. 182b.</t>
  </si>
  <si>
    <t>273yyc2</t>
  </si>
  <si>
    <t>QM</t>
  </si>
  <si>
    <t>nQM</t>
  </si>
  <si>
    <t>Produits directs bruts des immeubles</t>
  </si>
  <si>
    <t>Déduction des frais d'entretien des immeubles</t>
  </si>
  <si>
    <t>Etat à la fin de l'année d'exercice
= 250 + 251 + 252a - 254 - 255a - 253a - 253b - 253c + 253d</t>
  </si>
  <si>
    <r>
      <t>Stand am Ende des Berichtsjahrs  
= 250 + 251 + 252</t>
    </r>
    <r>
      <rPr>
        <sz val="9"/>
        <rFont val="Arial"/>
        <family val="2"/>
      </rPr>
      <t>a</t>
    </r>
    <r>
      <rPr>
        <sz val="10"/>
        <rFont val="Arial"/>
        <family val="2"/>
      </rPr>
      <t xml:space="preserve"> - 254 - 255a - 253a - 253b - 253c + 253d</t>
    </r>
  </si>
  <si>
    <t>Total Aktiven  = 52 + 79 + 87 + 105 + 110a + 115a</t>
  </si>
  <si>
    <t>Total Actifs  = 52 + 79 + 87 + 105 + 110a + 115a</t>
  </si>
  <si>
    <t>Nettoertrag aus Kapitalanlagen  = 39 + 41 - 42b - 45</t>
  </si>
  <si>
    <t>Rendement net des placements de capitaux  = 39 + 41 - 42b - 45</t>
  </si>
  <si>
    <t>Bruttoergebnis der Betriebsrechnung</t>
  </si>
  <si>
    <t>Résultat brut d'exploitation</t>
  </si>
  <si>
    <t>Gemeldete noch nicht erledigte Versicherungsfälle</t>
  </si>
  <si>
    <t>Sinistres annoncés mais non encore liquidés</t>
  </si>
  <si>
    <t>Anzahl Versicherte</t>
  </si>
  <si>
    <t>Nombre d'assurés</t>
  </si>
  <si>
    <t>Besondere Verträge (Art. 146 AVO)</t>
  </si>
  <si>
    <t>mit Einnahmen-Ausgabenrechnungen (Abs. 1)</t>
  </si>
  <si>
    <t>mit Separate Account (Abs. 2)</t>
  </si>
  <si>
    <t>mit Stop Loss (Abs. 3)</t>
  </si>
  <si>
    <t>Freizügigkeitspolicen</t>
  </si>
  <si>
    <t>Berufliche Vorsorge ohne Freizügigkeitspolicen</t>
  </si>
  <si>
    <t>Anzahl Kollektivverträge</t>
  </si>
  <si>
    <t>davon Rentenbezüger</t>
  </si>
  <si>
    <t>Vollversicherte</t>
  </si>
  <si>
    <t>Übrige</t>
  </si>
  <si>
    <t>Männer</t>
  </si>
  <si>
    <t>Frauen</t>
  </si>
  <si>
    <t>Invalidenrenten</t>
  </si>
  <si>
    <t>Kinder</t>
  </si>
  <si>
    <t>Hinterlassenenrenten</t>
  </si>
  <si>
    <t>Witwer</t>
  </si>
  <si>
    <t>Witwen</t>
  </si>
  <si>
    <t>Waisen</t>
  </si>
  <si>
    <t>Altersrenten</t>
  </si>
  <si>
    <t>Übrige Renten</t>
  </si>
  <si>
    <t>Jahresrenten</t>
  </si>
  <si>
    <t>Spezielle Angaben</t>
  </si>
  <si>
    <t>Bestehende Verstärkungen für laufende Renten</t>
  </si>
  <si>
    <t>Geschätzter Nachreservierungsbedarf für laufende Renten im Folgejahr</t>
  </si>
  <si>
    <t>Ermittelter Verlust aus Rentenumwandlung im Berichtsjahr</t>
  </si>
  <si>
    <t>Geschätzter Verlust aus Rentenumwandlung im Folgejahr</t>
  </si>
  <si>
    <t>Bestehende Rückstellung für künftige Umwandlungssatzverluste</t>
  </si>
  <si>
    <t>Zinssatz für die Bewertung der Rentenverpflichtungen</t>
  </si>
  <si>
    <t>Umwandlungssatz zur Umwandlung obligatorischer Altersguthaben</t>
  </si>
  <si>
    <t>Männer im Alter 65</t>
  </si>
  <si>
    <t>Frauen im Alter 64</t>
  </si>
  <si>
    <t>Garantierter Zinssatz obligatorische Altersguthaben</t>
  </si>
  <si>
    <t>Garantierter Zinssatz überobligatorische Altersguthaben</t>
  </si>
  <si>
    <t>Umwandlungssatz zur Umwandlung überobligatorischer Altersguthaben</t>
  </si>
  <si>
    <t>Zugänge aus Vertragsübernahmen</t>
  </si>
  <si>
    <t>Zugänge aus Diensteintritten</t>
  </si>
  <si>
    <t>Abgänge infolge Dienstaustritten</t>
  </si>
  <si>
    <t>Abgänge infolge Tod</t>
  </si>
  <si>
    <t>Abgänge infolge Invalidisierung</t>
  </si>
  <si>
    <t>Saldierung</t>
  </si>
  <si>
    <t>mit Kapitalbezug</t>
  </si>
  <si>
    <t>ohne Kapitalbezug</t>
  </si>
  <si>
    <t>Zugänge aus Neuinvaliden</t>
  </si>
  <si>
    <t>Abgänge durch Reaktivierung oder Tod</t>
  </si>
  <si>
    <t>Abgänge durch Pensionierung</t>
  </si>
  <si>
    <t>Zugänge aus Todesfällen</t>
  </si>
  <si>
    <t>Abgänge aus Todesfällen</t>
  </si>
  <si>
    <t>Zugänge aus Pensionierungen</t>
  </si>
  <si>
    <t>Abgänge durch Tod</t>
  </si>
  <si>
    <t>Zugänge</t>
  </si>
  <si>
    <t>Abgänge</t>
  </si>
  <si>
    <t>Abgänge infolge Pensionierung</t>
  </si>
  <si>
    <t>Gesetzlicher Mindest-Rentenumwandlungssatz (M65/F64)</t>
  </si>
  <si>
    <t>Geschätzter Verstärkungsbedarf der Rst. UWS-Verluste im Folgejahr</t>
  </si>
  <si>
    <t>618a</t>
  </si>
  <si>
    <t>618ac</t>
  </si>
  <si>
    <t>619d</t>
  </si>
  <si>
    <t>620d</t>
  </si>
  <si>
    <t>621d</t>
  </si>
  <si>
    <t>622d</t>
  </si>
  <si>
    <t>623d</t>
  </si>
  <si>
    <t>624c</t>
  </si>
  <si>
    <t>625c</t>
  </si>
  <si>
    <t>626c</t>
  </si>
  <si>
    <t>627c</t>
  </si>
  <si>
    <t>761b</t>
  </si>
  <si>
    <t>761aa</t>
  </si>
  <si>
    <t>Zinssatz für die Verzinsung der obligatorischen Altersguthaben</t>
  </si>
  <si>
    <t>761ba</t>
  </si>
  <si>
    <t>Obligatorischer BVG-Mindestzinssatz (Schattenrechnung)</t>
  </si>
  <si>
    <t>762aa</t>
  </si>
  <si>
    <t>763aa</t>
  </si>
  <si>
    <t>763ba</t>
  </si>
  <si>
    <t>Obligatorischer Rentenmindestumwandlungssatz M65/F64 (Schattenrechnung)</t>
  </si>
  <si>
    <t>Umwandlungssatz F64 für obligatorische Altersguthaben</t>
  </si>
  <si>
    <t>Umwandlungssatz F64 für überobligatorische Altersguthaben</t>
  </si>
  <si>
    <t>Umwandlungssatz M65 für obligatorische Altersguthaben</t>
  </si>
  <si>
    <t>Umwandlungssatz M65 für überobligatorische Altersguthaben</t>
  </si>
  <si>
    <t>763b</t>
  </si>
  <si>
    <t>Zugänge aus Spargutschriften</t>
  </si>
  <si>
    <t>Verträge in der beruflichen Vorsorge</t>
  </si>
  <si>
    <t>Risikoverträge</t>
  </si>
  <si>
    <t>Reine Rentnerverträge</t>
  </si>
  <si>
    <t>Aktive Versicherte</t>
  </si>
  <si>
    <t>Altersguthaben Aktive Versicherte</t>
  </si>
  <si>
    <t>davon Obligatorium</t>
  </si>
  <si>
    <t>Anzahl Aktive Versicherte</t>
  </si>
  <si>
    <t>Bestandesveränderungen (+ Zugang, - Abgang)</t>
  </si>
  <si>
    <t>mit pauschalierter Prämie</t>
  </si>
  <si>
    <t>mit Altersrenten-Einkaufsoption</t>
  </si>
  <si>
    <t>davon Überobligatorium</t>
  </si>
  <si>
    <t>Deckungskapital (in 1'000 CHF)</t>
  </si>
  <si>
    <t>Bilanzrückstellungen (Inventarrückstellung und Verstärkung, in 1'000 CHF)</t>
  </si>
  <si>
    <t>Rückkaufswert (in 1'000 CHF)</t>
  </si>
  <si>
    <t>Gebuchte Brutto-Einmalprämien (in 1'000 CHF)</t>
  </si>
  <si>
    <t>Gebuchte Brutto-Sparprämien (in 1'000 CHF)</t>
  </si>
  <si>
    <t>Gebuchte Risiko- und Kostenprämien (in 1'000 CHF)</t>
  </si>
  <si>
    <t>Überschussbeteiligung (in 1'000 CHF)</t>
  </si>
  <si>
    <t>Altersguthaben und Jahresrenten (in 1'000 CHF)</t>
  </si>
  <si>
    <t>Altersguthaben Aktive Versicherte (in 1'000 CHF)</t>
  </si>
  <si>
    <t>Laufende Renten und Rentenumwandlungen (in 1'000 CHF)</t>
  </si>
  <si>
    <t>Zins- und Umwandlungssätze (in %)</t>
  </si>
  <si>
    <t>Bestandesstatistik, Teil 1 - Verträge in der beruflichen Vorsorge</t>
  </si>
  <si>
    <t>Bestandesstatistik, Teil 1 - Angaben nach Vertragsart</t>
  </si>
  <si>
    <t>Bestandesstatistik, Teil 2 - Bestandesangaben</t>
  </si>
  <si>
    <t>Bestandesstatistik, Teil 3 - Bestandesveränderungen</t>
  </si>
  <si>
    <t>Bestandesstatistik, Teil 4 - Spezielle Angaben</t>
  </si>
  <si>
    <t>Detaillierte Angaben zu den Vermögensverwaltungskosten</t>
  </si>
  <si>
    <t>Inhalt</t>
  </si>
  <si>
    <t>Veränderung Teuerungsrückstellungen (Zunahme = +)</t>
  </si>
  <si>
    <t>Variation provision de renchérissement (augm. = +)</t>
  </si>
  <si>
    <t>Direkte Erträge aus Hypotheken</t>
  </si>
  <si>
    <t>Produits directs issus des hypothèques</t>
  </si>
  <si>
    <t>Aufwendungen für Hypotheken</t>
  </si>
  <si>
    <t>Aufwendungen für flüssige Mittel</t>
  </si>
  <si>
    <t>Charges pour hypothèques</t>
  </si>
  <si>
    <t>Charges pour liquidités</t>
  </si>
  <si>
    <t>Anteil Rückversicherer an Pos. 116, Total VT-Rückst. Brutto</t>
  </si>
  <si>
    <t>Anteil Rückversicherung an Pos. 133, Total sonstige Verbindlichkeiten</t>
  </si>
  <si>
    <t xml:space="preserve">   Part des réassureurs à la ligne 116, Total des provisions techniques brute</t>
  </si>
  <si>
    <t xml:space="preserve">   Part des réassureurs aux lignes 133, Total autres engagements</t>
  </si>
  <si>
    <t>Verstärkungen für Freizügigkeitspolicen (Ziff. 1)</t>
  </si>
  <si>
    <t>Renforcements des polices de libre passage (ch. 1)</t>
  </si>
  <si>
    <t>Auflösung Teuerungsrückstellungen zugunsten Verstärkungen (Sparprozess)</t>
  </si>
  <si>
    <t>Auflösung Teuerungsrückstellungen zugunsten Verstärkungen (Risikoprozess)</t>
  </si>
  <si>
    <t>Dissolution de la provision de renchérissement en faveur des renforcements (processus épargne)</t>
  </si>
  <si>
    <t>Dissolution de la provision de renchérissement en faveur des renforcements (processus risque)</t>
  </si>
  <si>
    <t>820b</t>
  </si>
  <si>
    <t>821b</t>
  </si>
  <si>
    <t>822c</t>
  </si>
  <si>
    <t>823d</t>
  </si>
  <si>
    <t>824d</t>
  </si>
  <si>
    <t>825e</t>
  </si>
  <si>
    <t>826e</t>
  </si>
  <si>
    <t>827e</t>
  </si>
  <si>
    <t>828c</t>
  </si>
  <si>
    <t>830b</t>
  </si>
  <si>
    <t>839b</t>
  </si>
  <si>
    <t>848b</t>
  </si>
  <si>
    <t>849b</t>
  </si>
  <si>
    <t>850c</t>
  </si>
  <si>
    <t>851c</t>
  </si>
  <si>
    <t>853d</t>
  </si>
  <si>
    <t>854d</t>
  </si>
  <si>
    <t>855c</t>
  </si>
  <si>
    <t>856c</t>
  </si>
  <si>
    <t>857c</t>
  </si>
  <si>
    <t>858c</t>
  </si>
  <si>
    <t>859c</t>
  </si>
  <si>
    <t>862b</t>
  </si>
  <si>
    <t>863c</t>
  </si>
  <si>
    <t>864d</t>
  </si>
  <si>
    <t>886c</t>
  </si>
  <si>
    <t>949d</t>
  </si>
  <si>
    <t>Detaillierter Ausweis der Aufwendungen für die Bewirtschaftung der Kapitalanlagen</t>
  </si>
  <si>
    <t>860c</t>
  </si>
  <si>
    <t>BVG-Mindestumwandlungssatz (M65/F64)</t>
  </si>
  <si>
    <t>F</t>
  </si>
  <si>
    <t>M</t>
  </si>
  <si>
    <t>261b</t>
  </si>
  <si>
    <t>271bb</t>
  </si>
  <si>
    <t>269b</t>
  </si>
  <si>
    <t>261c</t>
  </si>
  <si>
    <t>271bc</t>
  </si>
  <si>
    <t>269c</t>
  </si>
  <si>
    <t>265b</t>
  </si>
  <si>
    <t>265h</t>
  </si>
  <si>
    <t>261d</t>
  </si>
  <si>
    <t>269d</t>
  </si>
  <si>
    <t>271bd</t>
  </si>
  <si>
    <t>265d</t>
  </si>
  <si>
    <t>273b</t>
  </si>
  <si>
    <t>273h</t>
  </si>
  <si>
    <t>273c2</t>
  </si>
  <si>
    <t>NEU</t>
  </si>
  <si>
    <t>273d</t>
  </si>
  <si>
    <t>273e</t>
  </si>
  <si>
    <t>273f</t>
  </si>
  <si>
    <t>273g</t>
  </si>
  <si>
    <t>874c</t>
  </si>
  <si>
    <t>887c</t>
  </si>
  <si>
    <t>Prämienvolumen (geb. Risiko- und Kostenprämien) in 1'000 CHF der Verträge von 863 und 874 mit Altersrenteneinkaufsoption</t>
  </si>
  <si>
    <t>889b</t>
  </si>
  <si>
    <t>899b</t>
  </si>
  <si>
    <t>901c</t>
  </si>
  <si>
    <t>902d</t>
  </si>
  <si>
    <t>903e</t>
  </si>
  <si>
    <t>904e</t>
  </si>
  <si>
    <t>905d</t>
  </si>
  <si>
    <t>908c</t>
  </si>
  <si>
    <t>909d</t>
  </si>
  <si>
    <t>912e</t>
  </si>
  <si>
    <t>913d</t>
  </si>
  <si>
    <t>914e</t>
  </si>
  <si>
    <t>915e</t>
  </si>
  <si>
    <t>916e</t>
  </si>
  <si>
    <t>917d</t>
  </si>
  <si>
    <t>921d</t>
  </si>
  <si>
    <t>923b</t>
  </si>
  <si>
    <t>924c</t>
  </si>
  <si>
    <t>925d</t>
  </si>
  <si>
    <t>928d</t>
  </si>
  <si>
    <t>931c</t>
  </si>
  <si>
    <t>946b</t>
  </si>
  <si>
    <t>947b</t>
  </si>
  <si>
    <t>950d</t>
  </si>
  <si>
    <t>951d</t>
  </si>
  <si>
    <t>952d</t>
  </si>
  <si>
    <t>953d</t>
  </si>
  <si>
    <t>954d</t>
  </si>
  <si>
    <t>955d</t>
  </si>
  <si>
    <t>956e</t>
  </si>
  <si>
    <t>957e</t>
  </si>
  <si>
    <t>958d</t>
  </si>
  <si>
    <t>972b</t>
  </si>
  <si>
    <t>983d</t>
  </si>
  <si>
    <t>998b</t>
  </si>
  <si>
    <t>1000d</t>
  </si>
  <si>
    <t>1001d</t>
  </si>
  <si>
    <t>1002d</t>
  </si>
  <si>
    <t>1005d</t>
  </si>
  <si>
    <t>1006d</t>
  </si>
  <si>
    <t>1009d</t>
  </si>
  <si>
    <t>1010d</t>
  </si>
  <si>
    <t>1013d</t>
  </si>
  <si>
    <t>1014d</t>
  </si>
  <si>
    <t>1017b</t>
  </si>
  <si>
    <t>1038c</t>
  </si>
  <si>
    <t>1042c</t>
  </si>
  <si>
    <t>1043c</t>
  </si>
  <si>
    <t>1048c</t>
  </si>
  <si>
    <t>1052d</t>
  </si>
  <si>
    <t>1053d</t>
  </si>
  <si>
    <t>1054c</t>
  </si>
  <si>
    <t>275ab</t>
  </si>
  <si>
    <t>275ah</t>
  </si>
  <si>
    <t>275ac2</t>
  </si>
  <si>
    <t>275ad</t>
  </si>
  <si>
    <t>275ae</t>
  </si>
  <si>
    <t>275ag</t>
  </si>
  <si>
    <t>274ab</t>
  </si>
  <si>
    <t>274ah</t>
  </si>
  <si>
    <t>274ac2</t>
  </si>
  <si>
    <t>274ad</t>
  </si>
  <si>
    <t>274ae</t>
  </si>
  <si>
    <t>274ag</t>
  </si>
  <si>
    <t>276ag</t>
  </si>
  <si>
    <t>277b</t>
  </si>
  <si>
    <t>277c</t>
  </si>
  <si>
    <t>277d</t>
  </si>
  <si>
    <t>277e</t>
  </si>
  <si>
    <t>273c-273c2</t>
  </si>
  <si>
    <t>275ac-275ac2</t>
  </si>
  <si>
    <t>274ac-274ac2</t>
  </si>
  <si>
    <t>NEU (280-281)</t>
  </si>
  <si>
    <t>NEU (283-284)</t>
  </si>
  <si>
    <t>NEU (943+944=336)</t>
  </si>
  <si>
    <t>NEU (920+921=335)</t>
  </si>
  <si>
    <t>287-288</t>
  </si>
  <si>
    <t>291-292</t>
  </si>
  <si>
    <t>NEU (949+951+961+963=285)</t>
  </si>
  <si>
    <t>295-296</t>
  </si>
  <si>
    <t>301-302</t>
  </si>
  <si>
    <t>Abgänge aus Vertragsauflösungen</t>
  </si>
  <si>
    <t>313+316</t>
  </si>
  <si>
    <t>Überschusszinssatz obligatorische Altersguthaben</t>
  </si>
  <si>
    <t>Überschusszinssatz überobligatorische Altersguthaben</t>
  </si>
  <si>
    <t>1018b</t>
  </si>
  <si>
    <t>1019c</t>
  </si>
  <si>
    <t>1020c</t>
  </si>
  <si>
    <t>1021c</t>
  </si>
  <si>
    <t>1022c</t>
  </si>
  <si>
    <t>1023c</t>
  </si>
  <si>
    <t>1024c</t>
  </si>
  <si>
    <t>1025b</t>
  </si>
  <si>
    <t>1026c</t>
  </si>
  <si>
    <t>1027c</t>
  </si>
  <si>
    <t>1028c</t>
  </si>
  <si>
    <t>1029c</t>
  </si>
  <si>
    <t>1030c</t>
  </si>
  <si>
    <t>1031c</t>
  </si>
  <si>
    <t>1032c</t>
  </si>
  <si>
    <t>1033d</t>
  </si>
  <si>
    <t>1034d</t>
  </si>
  <si>
    <t>1035c</t>
  </si>
  <si>
    <t>1049d</t>
  </si>
  <si>
    <t>1040b</t>
  </si>
  <si>
    <t>1041b</t>
  </si>
  <si>
    <t>1044c</t>
  </si>
  <si>
    <t>1045b</t>
  </si>
  <si>
    <t>1050e</t>
  </si>
  <si>
    <t>1047b</t>
  </si>
  <si>
    <t>1051e</t>
  </si>
  <si>
    <t>1055c</t>
  </si>
  <si>
    <t/>
  </si>
  <si>
    <t>+/-</t>
  </si>
  <si>
    <t>Erfolgsrechnung</t>
  </si>
  <si>
    <t>Compte de résultat</t>
  </si>
  <si>
    <r>
      <t>Ergebnis vor Ertrags- und Kapitalsteuern
=  31 + 46 + 47 - 47a - 48</t>
    </r>
    <r>
      <rPr>
        <sz val="9"/>
        <rFont val="Arial"/>
        <family val="2"/>
      </rPr>
      <t>a</t>
    </r>
  </si>
  <si>
    <r>
      <t>Résultat avant impôts sur le revenu et le capital
=  31 + 46 + 47 - 47a - 48</t>
    </r>
    <r>
      <rPr>
        <sz val="9"/>
        <rFont val="Arial"/>
        <family val="2"/>
      </rPr>
      <t>a</t>
    </r>
  </si>
  <si>
    <t>3aa</t>
  </si>
  <si>
    <t>Veränderung Bruttoprämienüberträge (Zunahme = +)</t>
  </si>
  <si>
    <t>Variation du report de primes brut (augmentation = +)</t>
  </si>
  <si>
    <t>Part des réassureurs aux primes acquises</t>
  </si>
  <si>
    <t>Anteil Rückversicherer an den verdienten Prämien</t>
  </si>
  <si>
    <t>Anteil Rückversicherer an den Versicherungsleistungen</t>
  </si>
  <si>
    <t>Part des réassureurs aux prestations payées</t>
  </si>
  <si>
    <t>Part des réassureurs aux frais occ. par le traitement des prest.</t>
  </si>
  <si>
    <t>Anteil Rückversicherer an den Leistungsbearbeitungsaufw.</t>
  </si>
  <si>
    <t xml:space="preserve">   Anteil der Leistungen unter Position 7 in Kapitalform</t>
  </si>
  <si>
    <t xml:space="preserve">   Anteil der Altersleistungen unter Position 7 in Kapitalform</t>
  </si>
  <si>
    <t xml:space="preserve">   Anteil der Leistungen unter Position 7 im Todesfall</t>
  </si>
  <si>
    <t xml:space="preserve">   Anteil der Leistungen unter Position 7 im Invaliditätsfall</t>
  </si>
  <si>
    <t xml:space="preserve">   Part des prestations de position 7 en cas d'invalidité</t>
  </si>
  <si>
    <t xml:space="preserve">   Part des prestations de position 7 sous forme de capital</t>
  </si>
  <si>
    <t xml:space="preserve">   Part des avoirs de vieillesses de position 7 versées sous forme de capital</t>
  </si>
  <si>
    <t xml:space="preserve">   Part des prestations de position 7 en cas de décès</t>
  </si>
  <si>
    <t>7aa</t>
  </si>
  <si>
    <t>10b</t>
  </si>
  <si>
    <t>10ba</t>
  </si>
  <si>
    <t>13aaa</t>
  </si>
  <si>
    <t>13daa</t>
  </si>
  <si>
    <t>28aa</t>
  </si>
  <si>
    <t>check</t>
  </si>
  <si>
    <t>91ba</t>
  </si>
  <si>
    <t>91b</t>
  </si>
  <si>
    <t>Anteil Rückversicherer an Veränd. der vt. Rückstellungen</t>
  </si>
  <si>
    <t>Part des réassureurs à la variation des provisions techniques</t>
  </si>
  <si>
    <t>Anteil Rückversicherer an Abschluss- und Verwaltungsaufw.</t>
  </si>
  <si>
    <t>Part des réassureurs dans les frais d'acquisition et administratifs</t>
  </si>
  <si>
    <t>Veränderung aktivierte Abschlusskosten (brutto; Zunahme = +)</t>
  </si>
  <si>
    <t>Variation des frais d'acquisition activés (bruts; augmentation = +)</t>
  </si>
  <si>
    <t xml:space="preserve">   Im Berichtsjahr vorgenommene Abschreibungen auf neu 
erworbenen Liegenschaften</t>
  </si>
  <si>
    <t xml:space="preserve">   Amortissements effectués pendant l'exercice sur des immeubles 
acquis au cours de l'exercice </t>
  </si>
  <si>
    <t>91c</t>
  </si>
  <si>
    <t>91ca</t>
  </si>
  <si>
    <t>92aa</t>
  </si>
  <si>
    <t>93aa</t>
  </si>
  <si>
    <t>94aa</t>
  </si>
  <si>
    <t>95aa</t>
  </si>
  <si>
    <t>96aa</t>
  </si>
  <si>
    <t>97aa</t>
  </si>
  <si>
    <t>Verlustvortrag zu Lasten der Überschussbeteiligung  f)</t>
  </si>
  <si>
    <t>Report de perte à charge de la participation aux excédents  f)</t>
  </si>
  <si>
    <t>Anteil der Rückversicherer an den Zeilen 112 bis 114</t>
  </si>
  <si>
    <t>Part des réassureurs aux lignes 112 à 114</t>
  </si>
  <si>
    <t>c)  Unter Verstärkungen für laufende Altersrenten fällt der sich aus der Verbesserung der Rentnersterblichkeit ergebende Nachreservierungsbedarf. Die sich aus künftiger Rentenumwandlung ergebenden Deckungslücken sind unter Pos. 91a einzutragen.</t>
  </si>
  <si>
    <t>Bilanz  -  Passiven</t>
  </si>
  <si>
    <t>Bilan  -  Passifs</t>
  </si>
  <si>
    <t>Mapping alt</t>
  </si>
  <si>
    <t>Aufwand im Sparprozess = 158</t>
  </si>
  <si>
    <t>Charges du processus d'épargne  = 158</t>
  </si>
  <si>
    <t>Aufwand im Risikoprozess = 174</t>
  </si>
  <si>
    <t>Charges du processus de risque  = 174</t>
  </si>
  <si>
    <t>Aufwand im Kostenprozess = 182</t>
  </si>
  <si>
    <t>Charges du processus de frais  = 182</t>
  </si>
  <si>
    <t>Summe der Aufwendungen  = 187 + 191 + 195</t>
  </si>
  <si>
    <t>Verstärkung von technischen Rückstellungen nach Geschäftsplan  = 209 (falls positiv)</t>
  </si>
  <si>
    <t>Alimentation des provisions techniques selon le plan d'exploitation  = 209 (si positif)</t>
  </si>
  <si>
    <t>Risikokapitalkosten  = 208</t>
  </si>
  <si>
    <t>Frais pour capital risque  = 208</t>
  </si>
  <si>
    <t>Ausschüttungsquote (mindestens 90% = Mindestquote, Eingabe in Pos. 226)</t>
  </si>
  <si>
    <t>Ergebnis im Sparprozess  = 142 - 158</t>
  </si>
  <si>
    <t>Ergebnis im Risikoprozess  = 163 - 174</t>
  </si>
  <si>
    <t>Entnahme zur Zuteilung an die Versicherungsnehmer  --&gt; 249</t>
  </si>
  <si>
    <t>Prélèvement pour distribution aux preneurs d'assurance  --&gt; voir 249</t>
  </si>
  <si>
    <t>Verwendung zur Deckung des Defizits des Vorjahrs</t>
  </si>
  <si>
    <t>Utilisation pour couverture du déficit de l'année précédente</t>
  </si>
  <si>
    <t>Total Ausschüttung  = 247 + 248, muss mit Pos. 241 übereinstimmen</t>
  </si>
  <si>
    <t>Total distribution  = 247 + 248; il doit concorder avec position 241</t>
  </si>
  <si>
    <t>Entnahme für teuerungsbedingte Erhöhungen der Risikorenten (inbegriffen in den Pos. 171a und 171b)</t>
  </si>
  <si>
    <t>Prélèvement en faveur des augmentations liées au renchérissement des rentes de risque (incluses dans les pos. 171a et 171b)</t>
  </si>
  <si>
    <t>Entnahme für den Kostenaufwand (inbegriffen in Pos. 179)</t>
  </si>
  <si>
    <t>Prélèvement pour autres charges administratives (inclus dans la pos. 179)</t>
  </si>
  <si>
    <t xml:space="preserve">Individuell eingebrachte Altersguthaben (Diensteintritt, Einkäufe, WEF-Rückzahlung, Scheidung) </t>
  </si>
  <si>
    <t>Avoirs de vieillesse apportés individuellement</t>
  </si>
  <si>
    <t>Eingebrachte Altersguthaben aus Neuanschlüssen (Vertragsübernahmen)</t>
  </si>
  <si>
    <t>Avoirs de vieillesse apportés lors d'affiliations (reprises de contrats)</t>
  </si>
  <si>
    <t>Leistungen bei WEF/Scheidung</t>
  </si>
  <si>
    <t>Aufwendungen für Bewirtschaftung Kapitalanlagen   a)</t>
  </si>
  <si>
    <t>Charges pour la gestion des placements de capitaux  a)</t>
  </si>
  <si>
    <t>Zinsaufwand   a)</t>
  </si>
  <si>
    <t>Intérêts passifs  a)</t>
  </si>
  <si>
    <t>Gewinne minus Verluste aus Rückkäufen und Übernahmen (+ = Gewinn)</t>
  </si>
  <si>
    <t>Bénéfices moins pertes sur rachats et reprises (+ = bénéfice)</t>
  </si>
  <si>
    <t>Abwicklungsergebnis im Sparprozess (+ = Gewinn)  c)</t>
  </si>
  <si>
    <t>Résultat de liquidation du processus d'épargne (+ = bénéfice)  c)</t>
  </si>
  <si>
    <t>Résultat de liquidation du processus de risque (bénéfice = +)</t>
  </si>
  <si>
    <t>Abwicklungsergebnis im Risikoprozess (+ = Gewinn)</t>
  </si>
  <si>
    <t>Abwicklungsergebnis im Risikoproz., nur Todesfälle (+ = Gewinn)  f)</t>
  </si>
  <si>
    <t>Rés. de liq. du processus de risque, en cas de décès (bén. = +)  f)</t>
  </si>
  <si>
    <t>Rés. de liq. du processus de risque, en cas d'inv. (bénéfice = +)  f)</t>
  </si>
  <si>
    <t>Abw.ergebnis im Risikoproz., nur Invaliditätsfälle (+ = Gewinn)  f)</t>
  </si>
  <si>
    <t>Rückversicherungsergebnis (Gewinn = +, Verlust = -)</t>
  </si>
  <si>
    <t>Résultat de la réassurance (bénéfice = +, perte = -)</t>
  </si>
  <si>
    <t>Rückversicherungsergebnis 
   (Gewinn = +, Verlust = -)</t>
  </si>
  <si>
    <t>Résultat de la réassurance 
   (bénéfice = +, perte = -)</t>
  </si>
  <si>
    <t>DK (brutto) - Altersguthaben  d)</t>
  </si>
  <si>
    <t>PM (brutes) - Avoirs de vieillesse  d)</t>
  </si>
  <si>
    <t>DK (brutto) - Zus. Rückst. für zukünftige Rentenumwandlungen</t>
  </si>
  <si>
    <t>PM (brutes) - Prov. compl. pour transformations en rente futures</t>
  </si>
  <si>
    <t>PM (brutes) - Rentes de vieillesse en cours  d)</t>
  </si>
  <si>
    <t>DK (brutto) - Laufende Alters-Renten  d)</t>
  </si>
  <si>
    <t>DK (brutto) - Laufende Alters-Renten (Verstärkungen)  c)</t>
  </si>
  <si>
    <t>PM (brutes) - Rentes de vieillesse en cours (renforcements)  c)</t>
  </si>
  <si>
    <t xml:space="preserve">PM (brutes) - Rentes de survivants en cours  d) </t>
  </si>
  <si>
    <t>DK (brutto) - Laufende Hinterbliebenen-Renten  d)</t>
  </si>
  <si>
    <t>DK (brutto) - Laufende Hinterbliebenen-Renten (Verstärkungen)</t>
  </si>
  <si>
    <t>PM (brutes) - Rentes de survivants en cours (renforcements)</t>
  </si>
  <si>
    <t>PM (brutes) - Rentes d'invalidité en cours  d)</t>
  </si>
  <si>
    <t>DK (brutto) - Laufende Invaliditäts-Renten  d)</t>
  </si>
  <si>
    <t>DK (brutto) - Laufende Invaliditäts-Renten (Verstärkungen)</t>
  </si>
  <si>
    <t>PM (brutes) - Rentes d'invalidité en cours (renforcements)</t>
  </si>
  <si>
    <t>DK (brutto) - Freizügigkeitspolicen  (inkl. Verst.)</t>
  </si>
  <si>
    <t>PM (brutes) pour autres couvertures et branches d'assurance</t>
  </si>
  <si>
    <t>DK (brutto) für übrige Deckungen und Versicherungszweige</t>
  </si>
  <si>
    <t>Provision pour sinistres survenus mais 
non encore liquidés (brute)</t>
  </si>
  <si>
    <t>Provision pour sinistres annoncés mais 
non encore liquidés (brute)</t>
  </si>
  <si>
    <t>Rückstellung für gemeldete, noch nicht erledigte
Versicherungsfälle (brutto)</t>
  </si>
  <si>
    <t>Rückstellung für eingetretene, noch nicht erledigte
Versicherungsfälle (brutto)</t>
  </si>
  <si>
    <t>PM (brutes) - Polices de libre passage  (incl. Renf.)</t>
  </si>
  <si>
    <t>Provision pour sinistres survenus mais 
non encore annoncés (IBNR, brute)</t>
  </si>
  <si>
    <t>Rückstellung für eingetretene, noch nicht gemeldete
Versicherungsfälle (IBNR, brutto)</t>
  </si>
  <si>
    <t>Techn. Zerlegung des Ergebnisses</t>
  </si>
  <si>
    <t>Analyse technique du résultat</t>
  </si>
  <si>
    <t>Montants en 1000 CHF, selon clôture des comptes statutaire, feuille remplie  a u t o m a t i q u e m e n t</t>
  </si>
  <si>
    <t>Montants en 1000 CHF</t>
  </si>
  <si>
    <t>Frankenbeträge in 1000 CHF</t>
  </si>
  <si>
    <t>Frankenbeträge in 1000 CHF, gemäss statutarischem Rechnungsabschluss,  a u t o m a t i s c h  ausgefüllt</t>
  </si>
  <si>
    <t>in % Buchwert</t>
  </si>
  <si>
    <t>en % de la val. compt.</t>
  </si>
  <si>
    <t>Bewertungs-Reserven</t>
  </si>
  <si>
    <t>369za</t>
  </si>
  <si>
    <t>Autres Affaires</t>
  </si>
  <si>
    <t>Veränderung der Rückstellung für eingetretene, noch nicht erledigte Leistungsfälle brutto (Zunahme = +)</t>
  </si>
  <si>
    <t>Verbleibender Anteil des Versicherers (Betriebsergebnis)
= 224 - 225</t>
  </si>
  <si>
    <t>Part restante de l'assureur (Résultat d'exploitation)
= 224 - 225</t>
  </si>
  <si>
    <t>Umteilungen grüne Zone (MQ) &lt;--&gt; gelbe Zone (nMQ) zu Jahresbeginn</t>
  </si>
  <si>
    <t>Transferts zone verte (QM) &lt;--&gt; zone jaune (nQM) en début d'année</t>
  </si>
  <si>
    <t>BIL, 116 - (106 + 107 + 108 + 108a + 109)</t>
  </si>
  <si>
    <t>Gem. noch nicht erl. Versicherungsfälle einschl. DK-Verstärkungen für Inv.- u. Hinterbl.-Renten (Ziff. 3)</t>
  </si>
  <si>
    <t>Gemeldete noch nicht erledigte Versicherungsfälle (RBNS, Ziff. 3)</t>
  </si>
  <si>
    <t>Sinistres annoncés mais non encore liquidés (RBNS, ch. 3)</t>
  </si>
  <si>
    <r>
      <t>Vt Ergebnis  = 5 + 6a - 13 - 19 - 23 - 24</t>
    </r>
    <r>
      <rPr>
        <sz val="9"/>
        <rFont val="Arial"/>
        <family val="2"/>
      </rPr>
      <t>a</t>
    </r>
    <r>
      <rPr>
        <sz val="10"/>
        <rFont val="Arial"/>
        <family val="2"/>
      </rPr>
      <t xml:space="preserve"> - 30</t>
    </r>
  </si>
  <si>
    <r>
      <t>Report = 5 + 6a - 13 - 19 - 23 - 24</t>
    </r>
    <r>
      <rPr>
        <sz val="9"/>
        <rFont val="Arial"/>
        <family val="2"/>
      </rPr>
      <t>a</t>
    </r>
    <r>
      <rPr>
        <sz val="10"/>
        <rFont val="Arial"/>
        <family val="2"/>
      </rPr>
      <t xml:space="preserve"> - 30</t>
    </r>
  </si>
  <si>
    <t>Detaillierter Ausweis der Aufwendungen für die Bewirtschaftung der Kapitalanlagen (in 1'000 CHF)</t>
  </si>
  <si>
    <t>Présentation détaillée des charges pour la gestion des placements de capitaux (en 1'000 CHF)</t>
  </si>
  <si>
    <t>276ab resp. 276ah</t>
  </si>
  <si>
    <t>Anzahl Verträge oder Anschlussverträge von Pos. 863 und 874 mit Altersrenteneinkaufsoption</t>
  </si>
  <si>
    <t>Indications sur la structure du portefeuille prévoyance professionnelle, partie 1, contrats</t>
  </si>
  <si>
    <t>Indications sur la structure du portefeuille prévoyance professionnelle, partie 1, par type de contrat</t>
  </si>
  <si>
    <t>Indications sur la structure du portefeuille prévoyance professionnelle, partie 2, effectifs</t>
  </si>
  <si>
    <t>Indications sur la structure du portefeuille prévoyance professionnelle, partie 3, mouvements des effectifs</t>
  </si>
  <si>
    <t>Indications sur la structure du portefeuille prévoyance professionnelle, partie 4, autres données</t>
  </si>
  <si>
    <t xml:space="preserve">Taux de rémunération de la partie obligatoire des avoirs de vieillesse </t>
  </si>
  <si>
    <t>Taux de conversion en rente pour hommes à l'âge de retraite 65 en cas de couverture complète, partie obligatoire</t>
  </si>
  <si>
    <t>Taux de conversion en rentes pour femmes à l'âge de retraite 64 en cas de couverture complète, partie obligatoire</t>
  </si>
  <si>
    <t>Nombre de contrats</t>
  </si>
  <si>
    <t>Prévoyance sans PLP</t>
  </si>
  <si>
    <t>Cas particuliers (art. 146 AVO)</t>
  </si>
  <si>
    <t>avec transfert de risque de placement (al. 2)</t>
  </si>
  <si>
    <t>avec Stop Loss (al. 3)</t>
  </si>
  <si>
    <t>Polices de libre-passage</t>
  </si>
  <si>
    <t>Capitaux de couverture (1'000 CHF)</t>
  </si>
  <si>
    <t>Contrats avec couverture complète</t>
  </si>
  <si>
    <t>Nombre de contrats collectifs</t>
  </si>
  <si>
    <t>Nombre de contrats d'affiliation</t>
  </si>
  <si>
    <t>Provisions au bilan (Provisions d'inventaire et renforcements, 1'000 CHF)</t>
  </si>
  <si>
    <t>Valeur de rachat (1'000 CHF)</t>
  </si>
  <si>
    <t>Contrats de risque</t>
  </si>
  <si>
    <t>sans prime forfaitaire</t>
  </si>
  <si>
    <t>avec prime forfaitaire</t>
  </si>
  <si>
    <t>Contrats pour rentiers exclusivement</t>
  </si>
  <si>
    <t>Assurés actifs</t>
  </si>
  <si>
    <t>Assurés avec couverture totale</t>
  </si>
  <si>
    <t>Hommes</t>
  </si>
  <si>
    <t>Femmes</t>
  </si>
  <si>
    <t>Autres</t>
  </si>
  <si>
    <t>Rentes d'invalidités</t>
  </si>
  <si>
    <t>Enfants</t>
  </si>
  <si>
    <t>Veufs</t>
  </si>
  <si>
    <t>Veuves</t>
  </si>
  <si>
    <t>Rentes de survivants</t>
  </si>
  <si>
    <t>Orphelins</t>
  </si>
  <si>
    <t>Rentes de veillesse</t>
  </si>
  <si>
    <t>Autres rentes</t>
  </si>
  <si>
    <t>Avoirs de vieilliesse et rentes annuelles (1'000 CHF)</t>
  </si>
  <si>
    <t>Avoir de vieilliesse des assurés actifs</t>
  </si>
  <si>
    <t>dont obligatoire</t>
  </si>
  <si>
    <t>dont surobligatoire</t>
  </si>
  <si>
    <t>Rentes annuelles</t>
  </si>
  <si>
    <t>Variation des effectifs (+ Augmentation, - Diminution)</t>
  </si>
  <si>
    <t>Augmentation due à reprises de contrat</t>
  </si>
  <si>
    <t>Diminution suite à un résilation de contrat</t>
  </si>
  <si>
    <t>Augmentation due à un nouveau contrat de travail</t>
  </si>
  <si>
    <t>Diminution suite à une résiliation du contrat de travail</t>
  </si>
  <si>
    <t>Diminution suite à des décès</t>
  </si>
  <si>
    <t>Diminution suite à une invalidité</t>
  </si>
  <si>
    <t>Diminution suite à une retraite</t>
  </si>
  <si>
    <t>avec choix de capital</t>
  </si>
  <si>
    <t>sans choix de capital</t>
  </si>
  <si>
    <t>Avoir de vieilliesse des assurés actifs (1'000 CHF)</t>
  </si>
  <si>
    <t>Augmentation due aux bonifications vieillesse</t>
  </si>
  <si>
    <t>Nombre de bénéficiares de rente</t>
  </si>
  <si>
    <t>Augmentationsuite aux nouveaux invalidtes</t>
  </si>
  <si>
    <t>Diminution suite à une réactivation ou à un décès</t>
  </si>
  <si>
    <t>Diminution suite à un décès</t>
  </si>
  <si>
    <t>Augmentation suite à un décès</t>
  </si>
  <si>
    <t>Augmentation suite à une retraite</t>
  </si>
  <si>
    <t>Diminution</t>
  </si>
  <si>
    <t>Augmentation</t>
  </si>
  <si>
    <t>Autres données</t>
  </si>
  <si>
    <t>Rentes en cours et transformation en rente (1'000 CHF)</t>
  </si>
  <si>
    <t>Estimation du besoin de renforcement supplémentaire pour rente en cours pour le prochain exercice</t>
  </si>
  <si>
    <t>Pertes efffectives suite à conversion en rente durant l'exercice</t>
  </si>
  <si>
    <t>Estimation des pertes sur taux de conversion durant le prochain exercice</t>
  </si>
  <si>
    <t>Renforcements disponibles pour rentes en cours</t>
  </si>
  <si>
    <t>Provision disponibles pour pertes sur taux de conversion</t>
  </si>
  <si>
    <t>Estimation du besoin de renforcement supplémentaire des provisions pour pertes sur taux de conversion pour le prochain exercice</t>
  </si>
  <si>
    <t>Taux technique et taux de conversion en %</t>
  </si>
  <si>
    <t xml:space="preserve">Taux technique excédentaire sur les avoirs de vieillesse obligatoires </t>
  </si>
  <si>
    <t>Taux technique garanti sur les avoirs de vieillesse obligatoires</t>
  </si>
  <si>
    <t>Taux technique garanti sur les avoirs de vieillesse surobligatoires</t>
  </si>
  <si>
    <t xml:space="preserve">Taux technique excédentaire sur les avoirs de vieillesse surobligatoires </t>
  </si>
  <si>
    <t>Taux de rémunération LPP</t>
  </si>
  <si>
    <t>Taux de conversion sur l'avoir de vieillesse obligatoire</t>
  </si>
  <si>
    <t>Hommes de 65 ans</t>
  </si>
  <si>
    <t>Femmes de 64 ans</t>
  </si>
  <si>
    <t>Taux de conversion sur l'avoir de vieillesse surobligatoire</t>
  </si>
  <si>
    <t>Taux de conversion minimal LPP (H65, F64)</t>
  </si>
  <si>
    <t>Contrats en prévoyance professionnelle</t>
  </si>
  <si>
    <t>avec comptes de recettes et dépenses particuliers (al. 1)</t>
  </si>
  <si>
    <t>dont bénéficiaires de rente</t>
  </si>
  <si>
    <t>Primes annuelles comptabilisées (1'000 CHF)</t>
  </si>
  <si>
    <t>Primes d'épargne comptabilisées (1'000 CHF)</t>
  </si>
  <si>
    <t>Primes de risque et pour frais comptabilisées (1'000 CHF)</t>
  </si>
  <si>
    <t>Excédents (1'000 CHF)</t>
  </si>
  <si>
    <t>ohne pauschalierte Prämie</t>
  </si>
  <si>
    <t xml:space="preserve">avec option de rente de vieilliesse </t>
  </si>
  <si>
    <t>Nombre de contrats ou contrats d'affiliation dans pos. 863 et 874 avec option de rente de vieillesse</t>
  </si>
  <si>
    <t xml:space="preserve">        Intérêt technique pour l'évaluation des engagements de rente en pour cent</t>
  </si>
  <si>
    <t>Taux minimal de rémunération LPP (pour compte témoin)</t>
  </si>
  <si>
    <t>Volume de prime (primes de risque et de frais comptabilisées) en 1'000 CHF des positions 863 et 864 avec option de rente de vieillesse</t>
  </si>
  <si>
    <t>réglement</t>
  </si>
  <si>
    <t>Ü25ac</t>
  </si>
  <si>
    <r>
      <t xml:space="preserve">Der Mindestquote </t>
    </r>
    <r>
      <rPr>
        <i/>
        <sz val="10"/>
        <rFont val="Arial"/>
        <family val="2"/>
      </rPr>
      <t>vollständig</t>
    </r>
    <r>
      <rPr>
        <sz val="10"/>
        <rFont val="Arial"/>
        <family val="2"/>
      </rPr>
      <t xml:space="preserve"> unterstellte Verträge ohne FZP</t>
    </r>
  </si>
  <si>
    <r>
      <t xml:space="preserve">Contrats </t>
    </r>
    <r>
      <rPr>
        <i/>
        <sz val="10"/>
        <rFont val="Arial"/>
        <family val="2"/>
      </rPr>
      <t>totalement</t>
    </r>
    <r>
      <rPr>
        <sz val="10"/>
        <rFont val="Arial"/>
        <family val="2"/>
      </rPr>
      <t xml:space="preserve"> soumis à la quote-part minimum sans PLP</t>
    </r>
  </si>
  <si>
    <t>256pa2a</t>
  </si>
  <si>
    <t xml:space="preserve">   Anteil Überobligatorium an Position 3  a)</t>
  </si>
  <si>
    <t xml:space="preserve">   Partie surobligatoire de la position 3  a)</t>
  </si>
  <si>
    <t xml:space="preserve">   Anteil Überobligatorium an Position 7   a)</t>
  </si>
  <si>
    <t xml:space="preserve">   Partie surobligatoire de la position 7  a)</t>
  </si>
  <si>
    <t xml:space="preserve">   Anteil Überobligatorium an Position 10  a)</t>
  </si>
  <si>
    <t xml:space="preserve">   Partie surobligatoire de la position 10  a)</t>
  </si>
  <si>
    <t xml:space="preserve">      Anteil Überobligatorium an Position 13a  a)</t>
  </si>
  <si>
    <t xml:space="preserve">   Partie surobligatoire de la position 13a  a)</t>
  </si>
  <si>
    <t xml:space="preserve">      Anteil Überobligatorium an Position 13d  a)</t>
  </si>
  <si>
    <t xml:space="preserve">   Partie surobligatoire de la position 13d  a)</t>
  </si>
  <si>
    <t xml:space="preserve">   Anteil Überobligatorium an Position 28  a)</t>
  </si>
  <si>
    <t xml:space="preserve">   Partie surobligatoire de la position 28  a)</t>
  </si>
  <si>
    <t xml:space="preserve">   Anteil Überobligatorium an Position 91  e)</t>
  </si>
  <si>
    <t xml:space="preserve">   Partie surobligatoire de la position 91  e)</t>
  </si>
  <si>
    <t xml:space="preserve">   Anteil Überobligatorium an Position 91a  e)</t>
  </si>
  <si>
    <t xml:space="preserve">   Partie surobligatoire de la position 91a  e)</t>
  </si>
  <si>
    <t xml:space="preserve">   Anteil Überobligatorium an Position 92  e)</t>
  </si>
  <si>
    <t xml:space="preserve">   Partie surobligatoire de la position 92  e)</t>
  </si>
  <si>
    <t xml:space="preserve">   Anteil Überobligatorium an Position 93  e)</t>
  </si>
  <si>
    <t xml:space="preserve">   Partie surobligatoire de la position 93  e)</t>
  </si>
  <si>
    <t xml:space="preserve">   Anteil Überobligatorium an Position 94  e)</t>
  </si>
  <si>
    <t xml:space="preserve">   Partie surobligatoire de la position 94  e)</t>
  </si>
  <si>
    <t xml:space="preserve">   Anteil Überobligatorium an Position 95  e)</t>
  </si>
  <si>
    <t xml:space="preserve">   Partie surobligatoire de la position 95  e)</t>
  </si>
  <si>
    <t xml:space="preserve">   Anteil Überobligatorium an Position 96  e)</t>
  </si>
  <si>
    <t xml:space="preserve">   Partie surobligatoire de la position 96  e)</t>
  </si>
  <si>
    <t xml:space="preserve">   Anteil Überobligatorium an Position 97  e)</t>
  </si>
  <si>
    <t xml:space="preserve">   Partie surobligatoire de la position 97  e)</t>
  </si>
  <si>
    <t>Verstärkungen für Rentendeckungskapitalien und FZP</t>
  </si>
  <si>
    <t>Renforcement de la provision mathématique des rentes et PLP</t>
  </si>
  <si>
    <t>Prestations en cas de dissolution PLP</t>
  </si>
  <si>
    <t>Angaben nach Vertragsart (ohne Stop Loss und ohne FZP)</t>
  </si>
  <si>
    <t>Données par type de contrat (sans Stop Loss et sans PLP)</t>
  </si>
  <si>
    <t>Bestandesangaben (mit Stop Loss, aber ohne FZP)</t>
  </si>
  <si>
    <t>Données relatives aux effectifs (avec Stop Loss mais sans PLP)</t>
  </si>
  <si>
    <t>1009a</t>
  </si>
  <si>
    <t>1009ad</t>
  </si>
  <si>
    <t>Leistungen aus Auflösungen FZP</t>
  </si>
  <si>
    <t>Rückkaufswerte von Freizügigkeitspolicen (verschoben und inkl. 256pa2)</t>
  </si>
  <si>
    <t>Valeurs de restitution de polices de libre passage (deplacé et incl. pos. 256pa2)</t>
  </si>
  <si>
    <t>Abgänge für nicht rückgedeckte Pensionierungen (NEU)</t>
  </si>
  <si>
    <t>Diminution suite à une retraite pas couverte par l'assureur (NEU)</t>
  </si>
  <si>
    <t>983a</t>
  </si>
  <si>
    <t>983ad</t>
  </si>
  <si>
    <t>Verzinsung der Altersguthaben (NEU)</t>
  </si>
  <si>
    <t>Rémunération des avoirs de vieillesse (NEU)</t>
  </si>
  <si>
    <t>995a</t>
  </si>
  <si>
    <t>74</t>
  </si>
  <si>
    <t>SPRACHE / LANGUE</t>
  </si>
  <si>
    <t>DEUTSCH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</si>
</sst>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64" formatCode="000"/>
    <numFmt numFmtId="165" formatCode="0.0"/>
    <numFmt numFmtId="166" formatCode="#\ ##0.0;\-\ #\ ##0.0"/>
    <numFmt numFmtId="167" formatCode="#,##0;;"/>
    <numFmt numFmtId="168" formatCode="[Blue]#,##0;[Red]\-#,##0"/>
    <numFmt numFmtId="169" formatCode="0%;\-0%;&quot;-&quot;"/>
    <numFmt numFmtId="170" formatCode="#0."/>
    <numFmt numFmtId="171" formatCode="0.0%;\-0.0%;&quot;-&quot;"/>
    <numFmt numFmtId="172" formatCode="#,##0;\-#,##0;&quot;- &quot;"/>
    <numFmt numFmtId="173" formatCode="[Black]#,##0;[Red]\-#,##0;"/>
    <numFmt numFmtId="174" formatCode="0.0%"/>
    <numFmt numFmtId="175" formatCode="[Black]#,##0;[Red]\-#,##0"/>
    <numFmt numFmtId="176" formatCode="&quot;&quot;;&quot;&quot;;&quot;&quot;"/>
    <numFmt numFmtId="177" formatCode="#0&quot;.&quot;"/>
    <numFmt numFmtId="178" formatCode="\+#,##0;\-#,##0"/>
    <numFmt numFmtId="179" formatCode="\+0%;\-0%"/>
    <numFmt numFmtId="180" formatCode="#,##0.0000000"/>
    <numFmt numFmtId="181" formatCode="#,##0.00000000"/>
    <numFmt numFmtId="182" formatCode="#,##0.0000000000"/>
    <numFmt numFmtId="183" formatCode="\+#,##0.00%;\-#,##0.00%"/>
    <numFmt numFmtId="184" formatCode="#,##0_ ;\-#,##0\ "/>
  </numFmts>
  <fonts count="55">
    <font>
      <sz val="10"/>
      <name val="Arial"/>
    </font>
    <font>
      <sz val="10"/>
      <color theme="1"/>
      <name val="Arial"/>
      <family val="2"/>
    </font>
    <font>
      <sz val="10"/>
      <name val="Arial"/>
      <family val="2"/>
    </font>
    <font>
      <b/>
      <sz val="10"/>
      <name val="Arial"/>
      <family val="2"/>
    </font>
    <font>
      <sz val="10"/>
      <name val="Arial"/>
      <family val="2"/>
    </font>
    <font>
      <b/>
      <sz val="10"/>
      <color indexed="9"/>
      <name val="Arial"/>
      <family val="2"/>
    </font>
    <font>
      <u/>
      <sz val="10"/>
      <color indexed="12"/>
      <name val="MS Sans Serif"/>
      <family val="2"/>
    </font>
    <font>
      <b/>
      <sz val="10"/>
      <color indexed="10"/>
      <name val="Arial"/>
      <family val="2"/>
    </font>
    <font>
      <b/>
      <sz val="12"/>
      <name val="Arial"/>
      <family val="2"/>
    </font>
    <font>
      <sz val="8"/>
      <name val="Arial"/>
      <family val="2"/>
    </font>
    <font>
      <sz val="15"/>
      <name val="Arial"/>
      <family val="2"/>
    </font>
    <font>
      <sz val="16"/>
      <name val="Arial"/>
      <family val="2"/>
    </font>
    <font>
      <sz val="9"/>
      <name val="Arial"/>
      <family val="2"/>
    </font>
    <font>
      <sz val="8.5"/>
      <name val="Arial"/>
      <family val="2"/>
    </font>
    <font>
      <sz val="10"/>
      <color indexed="20"/>
      <name val="Arial"/>
      <family val="2"/>
    </font>
    <font>
      <sz val="9"/>
      <color indexed="10"/>
      <name val="Arial"/>
      <family val="2"/>
    </font>
    <font>
      <i/>
      <sz val="10"/>
      <name val="Arial"/>
      <family val="2"/>
    </font>
    <font>
      <b/>
      <sz val="9"/>
      <name val="Arial"/>
      <family val="2"/>
    </font>
    <font>
      <b/>
      <sz val="8"/>
      <name val="Arial"/>
      <family val="2"/>
    </font>
    <font>
      <b/>
      <sz val="12"/>
      <name val="Arial"/>
      <family val="2"/>
    </font>
    <font>
      <b/>
      <sz val="10"/>
      <color indexed="12"/>
      <name val="Arial"/>
      <family val="2"/>
    </font>
    <font>
      <b/>
      <sz val="8"/>
      <color indexed="12"/>
      <name val="Arial"/>
      <family val="2"/>
    </font>
    <font>
      <b/>
      <sz val="16"/>
      <name val="Arial"/>
      <family val="2"/>
    </font>
    <font>
      <b/>
      <sz val="12"/>
      <color indexed="12"/>
      <name val="Arial"/>
      <family val="2"/>
    </font>
    <font>
      <sz val="10"/>
      <color indexed="9"/>
      <name val="Arial"/>
      <family val="2"/>
    </font>
    <font>
      <b/>
      <sz val="16"/>
      <color indexed="9"/>
      <name val="Arial"/>
      <family val="2"/>
    </font>
    <font>
      <sz val="12"/>
      <name val="Arial"/>
      <family val="2"/>
    </font>
    <font>
      <b/>
      <sz val="9"/>
      <color indexed="10"/>
      <name val="Arial"/>
      <family val="2"/>
    </font>
    <font>
      <b/>
      <sz val="10"/>
      <color indexed="8"/>
      <name val="Arial"/>
      <family val="2"/>
    </font>
    <font>
      <sz val="10"/>
      <color theme="0"/>
      <name val="Arial"/>
      <family val="2"/>
    </font>
    <font>
      <b/>
      <sz val="10"/>
      <color theme="0"/>
      <name val="Arial"/>
      <family val="2"/>
    </font>
    <font>
      <sz val="10"/>
      <color rgb="FFFF0000"/>
      <name val="Arial"/>
      <family val="2"/>
    </font>
    <font>
      <b/>
      <sz val="10"/>
      <color rgb="FFFF0000"/>
      <name val="Arial"/>
      <family val="2"/>
    </font>
    <font>
      <b/>
      <sz val="10"/>
      <color rgb="FF7030A0"/>
      <name val="Arial"/>
      <family val="2"/>
    </font>
    <font>
      <sz val="9"/>
      <color theme="0"/>
      <name val="Arial"/>
      <family val="2"/>
    </font>
    <font>
      <sz val="8"/>
      <color theme="0"/>
      <name val="Arial"/>
      <family val="2"/>
    </font>
    <font>
      <sz val="10"/>
      <color rgb="FF7030A0"/>
      <name val="Arial"/>
      <family val="2"/>
    </font>
    <font>
      <i/>
      <sz val="8"/>
      <name val="Arial"/>
      <family val="2"/>
    </font>
    <font>
      <b/>
      <i/>
      <sz val="8"/>
      <name val="Arial"/>
      <family val="2"/>
    </font>
    <font>
      <b/>
      <u/>
      <sz val="10"/>
      <name val="Arial"/>
      <family val="2"/>
    </font>
    <font>
      <b/>
      <sz val="10"/>
      <color rgb="FF0900C0"/>
      <name val="Arial"/>
      <family val="2"/>
    </font>
    <font>
      <sz val="10"/>
      <color rgb="FF0900C0"/>
      <name val="Arial"/>
      <family val="2"/>
    </font>
    <font>
      <sz val="9"/>
      <color rgb="FFFF0000"/>
      <name val="Arial"/>
      <family val="2"/>
    </font>
    <font>
      <i/>
      <sz val="10"/>
      <color rgb="FF0900C0"/>
      <name val="Arial"/>
      <family val="2"/>
    </font>
    <font>
      <b/>
      <i/>
      <sz val="10"/>
      <name val="Arial"/>
      <family val="2"/>
    </font>
    <font>
      <b/>
      <i/>
      <sz val="9"/>
      <name val="Arial"/>
      <family val="2"/>
    </font>
    <font>
      <b/>
      <sz val="9"/>
      <color rgb="FF7030A0"/>
      <name val="Arial"/>
      <family val="2"/>
    </font>
    <font>
      <sz val="9"/>
      <color rgb="FF7030A0"/>
      <name val="Arial"/>
      <family val="2"/>
    </font>
    <font>
      <vertAlign val="superscript"/>
      <sz val="9"/>
      <color rgb="FF7030A0"/>
      <name val="Arial"/>
      <family val="2"/>
    </font>
    <font>
      <sz val="8"/>
      <color rgb="FF7030A0"/>
      <name val="Arial"/>
      <family val="2"/>
    </font>
    <font>
      <b/>
      <sz val="9"/>
      <color rgb="FFFF0000"/>
      <name val="Arial"/>
      <family val="2"/>
    </font>
    <font>
      <vertAlign val="superscript"/>
      <sz val="9"/>
      <color rgb="FFFF0000"/>
      <name val="Arial"/>
      <family val="2"/>
    </font>
    <font>
      <b/>
      <sz val="12"/>
      <color theme="0"/>
      <name val="Arial"/>
      <family val="2"/>
    </font>
    <font>
      <b/>
      <i/>
      <sz val="12"/>
      <name val="Arial"/>
      <family val="2"/>
    </font>
    <font>
      <i/>
      <sz val="9"/>
      <name val="Arial"/>
      <family val="2"/>
    </font>
  </fonts>
  <fills count="2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2"/>
        <bgColor indexed="64"/>
      </patternFill>
    </fill>
    <fill>
      <patternFill patternType="solid">
        <fgColor indexed="51"/>
        <bgColor indexed="64"/>
      </patternFill>
    </fill>
    <fill>
      <patternFill patternType="solid">
        <fgColor indexed="43"/>
        <bgColor indexed="64"/>
      </patternFill>
    </fill>
    <fill>
      <patternFill patternType="solid">
        <fgColor indexed="10"/>
        <bgColor indexed="64"/>
      </patternFill>
    </fill>
    <fill>
      <patternFill patternType="solid">
        <fgColor indexed="63"/>
        <bgColor indexed="64"/>
      </patternFill>
    </fill>
    <fill>
      <patternFill patternType="solid">
        <fgColor indexed="56"/>
        <bgColor indexed="64"/>
      </patternFill>
    </fill>
    <fill>
      <patternFill patternType="solid">
        <fgColor indexed="19"/>
        <bgColor indexed="64"/>
      </patternFill>
    </fill>
    <fill>
      <patternFill patternType="solid">
        <fgColor indexed="60"/>
        <bgColor indexed="64"/>
      </patternFill>
    </fill>
    <fill>
      <patternFill patternType="solid">
        <fgColor indexed="58"/>
        <bgColor indexed="64"/>
      </patternFill>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56">
    <border>
      <left/>
      <right/>
      <top/>
      <bottom/>
      <diagonal/>
    </border>
    <border>
      <left/>
      <right/>
      <top style="hair">
        <color indexed="64"/>
      </top>
      <bottom style="hair">
        <color indexed="64"/>
      </bottom>
      <diagonal/>
    </border>
    <border>
      <left/>
      <right/>
      <top/>
      <bottom style="hair">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double">
        <color rgb="FF7030A0"/>
      </left>
      <right style="double">
        <color rgb="FF7030A0"/>
      </right>
      <top style="double">
        <color rgb="FF7030A0"/>
      </top>
      <bottom/>
      <diagonal/>
    </border>
    <border>
      <left style="double">
        <color rgb="FF7030A0"/>
      </left>
      <right style="double">
        <color rgb="FF7030A0"/>
      </right>
      <top/>
      <bottom style="double">
        <color rgb="FF7030A0"/>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right style="medium">
        <color indexed="64"/>
      </right>
      <top/>
      <bottom style="thin">
        <color indexed="8"/>
      </bottom>
      <diagonal/>
    </border>
    <border>
      <left style="medium">
        <color indexed="64"/>
      </left>
      <right/>
      <top/>
      <bottom style="hair">
        <color indexed="64"/>
      </bottom>
      <diagonal/>
    </border>
    <border>
      <left style="medium">
        <color indexed="64"/>
      </left>
      <right/>
      <top style="hair">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9"/>
      </right>
      <top/>
      <bottom/>
      <diagonal/>
    </border>
    <border>
      <left style="thin">
        <color indexed="9"/>
      </left>
      <right style="thin">
        <color indexed="9"/>
      </right>
      <top/>
      <bottom/>
      <diagonal/>
    </border>
    <border>
      <left style="thin">
        <color indexed="9"/>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thin">
        <color indexed="64"/>
      </top>
      <bottom style="thin">
        <color indexed="64"/>
      </bottom>
      <diagonal/>
    </border>
    <border>
      <left/>
      <right/>
      <top style="double">
        <color rgb="FF7030A0"/>
      </top>
      <bottom/>
      <diagonal/>
    </border>
  </borders>
  <cellStyleXfs count="3">
    <xf numFmtId="0" fontId="0" fillId="0" borderId="0"/>
    <xf numFmtId="0" fontId="6" fillId="0" borderId="0" applyNumberFormat="0" applyFill="0" applyBorder="0" applyAlignment="0" applyProtection="0">
      <alignment vertical="top"/>
      <protection locked="0"/>
    </xf>
    <xf numFmtId="9" fontId="2" fillId="0" borderId="0" applyFont="0" applyFill="0" applyBorder="0" applyAlignment="0" applyProtection="0"/>
  </cellStyleXfs>
  <cellXfs count="918">
    <xf numFmtId="0" fontId="0" fillId="0" borderId="0" xfId="0"/>
    <xf numFmtId="0" fontId="0" fillId="2" borderId="0" xfId="0" applyFill="1"/>
    <xf numFmtId="0" fontId="3" fillId="2" borderId="0" xfId="0" applyFont="1" applyFill="1"/>
    <xf numFmtId="0" fontId="0" fillId="2" borderId="0" xfId="0" applyFill="1" applyAlignment="1">
      <alignment vertical="center"/>
    </xf>
    <xf numFmtId="0" fontId="0" fillId="2" borderId="5" xfId="0" applyFill="1" applyBorder="1" applyAlignment="1">
      <alignment vertical="center"/>
    </xf>
    <xf numFmtId="0" fontId="0" fillId="2" borderId="6" xfId="0" applyFill="1" applyBorder="1" applyAlignment="1">
      <alignment vertical="center"/>
    </xf>
    <xf numFmtId="0" fontId="11" fillId="2" borderId="0" xfId="0" applyFont="1" applyFill="1"/>
    <xf numFmtId="0" fontId="10" fillId="2" borderId="0" xfId="0" applyFont="1" applyFill="1" applyAlignment="1">
      <alignment vertical="center"/>
    </xf>
    <xf numFmtId="0" fontId="8" fillId="2" borderId="0" xfId="0" applyFont="1" applyFill="1" applyBorder="1" applyAlignment="1">
      <alignment vertical="center"/>
    </xf>
    <xf numFmtId="0" fontId="22" fillId="2" borderId="0" xfId="0" applyFont="1" applyFill="1" applyAlignment="1">
      <alignment vertical="center"/>
    </xf>
    <xf numFmtId="0" fontId="0" fillId="2" borderId="3" xfId="0" applyFill="1" applyBorder="1" applyAlignment="1">
      <alignment vertical="center"/>
    </xf>
    <xf numFmtId="0" fontId="0" fillId="0" borderId="3" xfId="0" applyBorder="1" applyAlignment="1">
      <alignment vertical="center"/>
    </xf>
    <xf numFmtId="164" fontId="3" fillId="2" borderId="7" xfId="0" applyNumberFormat="1" applyFont="1" applyFill="1" applyBorder="1" applyAlignment="1">
      <alignment horizontal="center" vertical="center"/>
    </xf>
    <xf numFmtId="0" fontId="0" fillId="2" borderId="0" xfId="0" applyFill="1" applyBorder="1" applyAlignment="1">
      <alignment vertical="center"/>
    </xf>
    <xf numFmtId="0" fontId="0" fillId="2" borderId="0" xfId="0" applyFill="1" applyAlignment="1" applyProtection="1">
      <alignment vertical="center"/>
    </xf>
    <xf numFmtId="0" fontId="0" fillId="2" borderId="0" xfId="0" applyFill="1" applyProtection="1"/>
    <xf numFmtId="0" fontId="0" fillId="0" borderId="0" xfId="0" applyProtection="1"/>
    <xf numFmtId="3" fontId="3" fillId="0" borderId="0" xfId="0" applyNumberFormat="1" applyFont="1" applyFill="1" applyBorder="1" applyAlignment="1" applyProtection="1">
      <alignment vertical="top"/>
    </xf>
    <xf numFmtId="0" fontId="4" fillId="2" borderId="0" xfId="0" applyFont="1" applyFill="1" applyAlignment="1" applyProtection="1">
      <alignment horizontal="center"/>
    </xf>
    <xf numFmtId="0" fontId="0" fillId="2" borderId="0" xfId="0" applyFill="1" applyBorder="1" applyProtection="1"/>
    <xf numFmtId="0" fontId="0" fillId="2" borderId="0" xfId="0" applyFill="1" applyBorder="1" applyAlignment="1" applyProtection="1">
      <alignment horizontal="right" vertical="top"/>
    </xf>
    <xf numFmtId="0" fontId="3" fillId="2" borderId="0" xfId="0" applyFont="1" applyFill="1" applyBorder="1" applyAlignment="1" applyProtection="1">
      <alignment vertical="top"/>
    </xf>
    <xf numFmtId="0" fontId="0" fillId="0" borderId="0" xfId="0" applyFill="1" applyBorder="1" applyProtection="1"/>
    <xf numFmtId="0" fontId="3" fillId="2" borderId="0" xfId="0" applyFont="1" applyFill="1" applyProtection="1"/>
    <xf numFmtId="0" fontId="0" fillId="0" borderId="0" xfId="0" applyFill="1" applyProtection="1"/>
    <xf numFmtId="0" fontId="20" fillId="2" borderId="0" xfId="0" applyFont="1" applyFill="1" applyAlignment="1" applyProtection="1">
      <alignment horizontal="left" vertical="center"/>
    </xf>
    <xf numFmtId="0" fontId="3" fillId="2" borderId="0" xfId="0" applyFont="1" applyFill="1" applyBorder="1" applyAlignment="1" applyProtection="1">
      <alignment horizontal="right" vertical="center"/>
    </xf>
    <xf numFmtId="0" fontId="4" fillId="2" borderId="0" xfId="0" applyFont="1" applyFill="1" applyProtection="1"/>
    <xf numFmtId="0" fontId="0" fillId="6" borderId="2" xfId="0" applyFill="1" applyBorder="1" applyAlignment="1" applyProtection="1">
      <alignment vertical="center"/>
    </xf>
    <xf numFmtId="0" fontId="0" fillId="6" borderId="1" xfId="0" applyFill="1" applyBorder="1" applyAlignment="1" applyProtection="1">
      <alignment vertical="center"/>
    </xf>
    <xf numFmtId="0" fontId="0" fillId="6" borderId="1" xfId="0" applyFill="1" applyBorder="1" applyAlignment="1" applyProtection="1">
      <alignment vertical="center" wrapText="1"/>
    </xf>
    <xf numFmtId="0" fontId="18" fillId="2" borderId="0" xfId="0" applyFont="1" applyFill="1" applyProtection="1"/>
    <xf numFmtId="0" fontId="9" fillId="2" borderId="0" xfId="0" applyFont="1" applyFill="1" applyProtection="1"/>
    <xf numFmtId="0" fontId="0" fillId="5" borderId="0" xfId="0" applyFill="1"/>
    <xf numFmtId="0" fontId="24" fillId="11" borderId="0" xfId="0" applyFont="1" applyFill="1"/>
    <xf numFmtId="0" fontId="25" fillId="7" borderId="7" xfId="0" applyFont="1" applyFill="1" applyBorder="1" applyAlignment="1">
      <alignment horizontal="center"/>
    </xf>
    <xf numFmtId="0" fontId="9" fillId="2" borderId="0" xfId="0" applyFont="1" applyFill="1" applyAlignment="1" applyProtection="1"/>
    <xf numFmtId="168" fontId="21" fillId="6" borderId="2" xfId="0" applyNumberFormat="1" applyFont="1" applyFill="1" applyBorder="1" applyAlignment="1" applyProtection="1">
      <alignment vertical="center"/>
      <protection locked="0"/>
    </xf>
    <xf numFmtId="168" fontId="21" fillId="6" borderId="1" xfId="0" applyNumberFormat="1" applyFont="1" applyFill="1" applyBorder="1" applyAlignment="1" applyProtection="1">
      <alignment vertical="center"/>
      <protection locked="0"/>
    </xf>
    <xf numFmtId="0" fontId="28" fillId="6" borderId="1" xfId="0" applyFont="1" applyFill="1" applyBorder="1" applyAlignment="1" applyProtection="1">
      <alignment vertical="center"/>
    </xf>
    <xf numFmtId="0" fontId="23" fillId="2" borderId="9" xfId="0" applyFont="1" applyFill="1" applyBorder="1" applyAlignment="1" applyProtection="1">
      <alignment vertical="center"/>
      <protection locked="0"/>
    </xf>
    <xf numFmtId="170" fontId="0" fillId="3" borderId="0" xfId="0" applyNumberFormat="1" applyFill="1" applyAlignment="1">
      <alignment horizontal="left"/>
    </xf>
    <xf numFmtId="0" fontId="0" fillId="3" borderId="0" xfId="0" applyFill="1"/>
    <xf numFmtId="10" fontId="3" fillId="0" borderId="0" xfId="0" applyNumberFormat="1" applyFont="1" applyFill="1" applyBorder="1" applyAlignment="1" applyProtection="1">
      <alignment vertical="top"/>
    </xf>
    <xf numFmtId="0" fontId="0" fillId="13" borderId="0" xfId="0" applyFill="1"/>
    <xf numFmtId="0" fontId="0" fillId="0" borderId="0" xfId="0"/>
    <xf numFmtId="10" fontId="0" fillId="0" borderId="0" xfId="0" applyNumberFormat="1"/>
    <xf numFmtId="0" fontId="9" fillId="0" borderId="0" xfId="0" applyFont="1"/>
    <xf numFmtId="0" fontId="3" fillId="0" borderId="0" xfId="0" applyFont="1"/>
    <xf numFmtId="0" fontId="3" fillId="13" borderId="0" xfId="0" applyFont="1" applyFill="1"/>
    <xf numFmtId="0" fontId="0" fillId="0" borderId="0" xfId="0" applyFill="1"/>
    <xf numFmtId="0" fontId="33" fillId="2" borderId="10" xfId="0" applyFont="1" applyFill="1" applyBorder="1" applyAlignment="1">
      <alignment horizontal="center"/>
    </xf>
    <xf numFmtId="0" fontId="2" fillId="0" borderId="0" xfId="0" applyFont="1" applyBorder="1"/>
    <xf numFmtId="0" fontId="29" fillId="0" borderId="0" xfId="0" applyFont="1" applyFill="1" applyProtection="1"/>
    <xf numFmtId="0" fontId="29" fillId="0" borderId="0" xfId="0" applyFont="1" applyProtection="1"/>
    <xf numFmtId="0" fontId="29" fillId="2" borderId="0" xfId="0" applyFont="1" applyFill="1" applyProtection="1"/>
    <xf numFmtId="0" fontId="2" fillId="0" borderId="0" xfId="0" applyFont="1" applyFill="1" applyBorder="1"/>
    <xf numFmtId="0" fontId="2" fillId="0" borderId="0" xfId="0" applyFont="1" applyFill="1" applyAlignment="1" applyProtection="1">
      <alignment vertical="top"/>
    </xf>
    <xf numFmtId="170" fontId="19" fillId="2" borderId="0" xfId="0" quotePrefix="1" applyNumberFormat="1" applyFont="1" applyFill="1" applyAlignment="1" applyProtection="1">
      <alignment horizontal="left" vertical="center"/>
    </xf>
    <xf numFmtId="0" fontId="33" fillId="2" borderId="0" xfId="0" quotePrefix="1" applyFont="1" applyFill="1" applyAlignment="1" applyProtection="1">
      <alignment horizontal="right" vertical="top"/>
    </xf>
    <xf numFmtId="0" fontId="2" fillId="0" borderId="0" xfId="0" applyFont="1" applyFill="1" applyAlignment="1" applyProtection="1">
      <alignment horizontal="left" vertical="top" wrapText="1"/>
    </xf>
    <xf numFmtId="0" fontId="35" fillId="2" borderId="0" xfId="0" applyFont="1" applyFill="1" applyProtection="1"/>
    <xf numFmtId="11" fontId="35" fillId="2" borderId="0" xfId="0" quotePrefix="1" applyNumberFormat="1" applyFont="1" applyFill="1" applyProtection="1"/>
    <xf numFmtId="0" fontId="9" fillId="2" borderId="0" xfId="0" applyFont="1" applyFill="1" applyAlignment="1" applyProtection="1">
      <alignment wrapText="1"/>
    </xf>
    <xf numFmtId="0" fontId="3" fillId="13" borderId="0" xfId="0" quotePrefix="1" applyFont="1" applyFill="1" applyAlignment="1">
      <alignment horizontal="left"/>
    </xf>
    <xf numFmtId="0" fontId="0" fillId="0" borderId="0" xfId="0" applyAlignment="1" applyProtection="1">
      <alignment vertical="center"/>
    </xf>
    <xf numFmtId="177" fontId="0" fillId="2" borderId="0" xfId="0" applyNumberFormat="1" applyFill="1" applyBorder="1" applyAlignment="1">
      <alignment horizontal="left"/>
    </xf>
    <xf numFmtId="177" fontId="0" fillId="2" borderId="0" xfId="0" quotePrefix="1" applyNumberFormat="1" applyFill="1" applyBorder="1" applyAlignment="1">
      <alignment horizontal="left"/>
    </xf>
    <xf numFmtId="0" fontId="0" fillId="0" borderId="0" xfId="0" applyBorder="1"/>
    <xf numFmtId="0" fontId="0" fillId="0" borderId="0" xfId="0" applyFill="1" applyAlignment="1"/>
    <xf numFmtId="0" fontId="0" fillId="0" borderId="0" xfId="0" applyFill="1" applyAlignment="1">
      <alignment wrapText="1"/>
    </xf>
    <xf numFmtId="0" fontId="2" fillId="0" borderId="0" xfId="0" applyFont="1" applyFill="1"/>
    <xf numFmtId="0" fontId="2" fillId="0" borderId="0" xfId="0" applyFont="1" applyFill="1" applyAlignment="1">
      <alignment wrapText="1"/>
    </xf>
    <xf numFmtId="0" fontId="2" fillId="0" borderId="0" xfId="0" applyFont="1" applyFill="1" applyAlignment="1">
      <alignment vertical="top" wrapText="1"/>
    </xf>
    <xf numFmtId="0" fontId="6" fillId="2" borderId="9" xfId="1" applyFill="1" applyBorder="1" applyAlignment="1" applyProtection="1">
      <alignment vertical="center"/>
      <protection locked="0"/>
    </xf>
    <xf numFmtId="0" fontId="2" fillId="0" borderId="0" xfId="0" applyFont="1"/>
    <xf numFmtId="0" fontId="18" fillId="0" borderId="12" xfId="0" applyFont="1" applyBorder="1" applyAlignment="1">
      <alignment horizontal="left"/>
    </xf>
    <xf numFmtId="0" fontId="18" fillId="0" borderId="12" xfId="0" applyFont="1" applyBorder="1" applyAlignment="1">
      <alignment horizontal="right"/>
    </xf>
    <xf numFmtId="0" fontId="0" fillId="0" borderId="12" xfId="0" applyBorder="1"/>
    <xf numFmtId="0" fontId="37" fillId="0" borderId="12" xfId="0" applyFont="1" applyBorder="1"/>
    <xf numFmtId="0" fontId="3" fillId="0" borderId="12" xfId="0" applyFont="1" applyBorder="1"/>
    <xf numFmtId="182" fontId="0" fillId="0" borderId="12" xfId="0" applyNumberFormat="1" applyBorder="1"/>
    <xf numFmtId="0" fontId="8" fillId="14" borderId="12" xfId="0" applyFont="1" applyFill="1" applyBorder="1"/>
    <xf numFmtId="0" fontId="26" fillId="14" borderId="12" xfId="0" applyFont="1" applyFill="1" applyBorder="1"/>
    <xf numFmtId="0" fontId="8" fillId="14" borderId="12" xfId="0" applyFont="1" applyFill="1" applyBorder="1" applyAlignment="1">
      <alignment horizontal="right"/>
    </xf>
    <xf numFmtId="0" fontId="38" fillId="14" borderId="12" xfId="0" applyFont="1" applyFill="1" applyBorder="1" applyAlignment="1">
      <alignment horizontal="right"/>
    </xf>
    <xf numFmtId="0" fontId="26" fillId="0" borderId="12" xfId="0" applyFont="1" applyBorder="1"/>
    <xf numFmtId="0" fontId="38" fillId="0" borderId="12" xfId="0" applyFont="1" applyBorder="1" applyAlignment="1">
      <alignment horizontal="right"/>
    </xf>
    <xf numFmtId="0" fontId="3" fillId="15" borderId="12" xfId="0" applyFont="1" applyFill="1" applyBorder="1"/>
    <xf numFmtId="3" fontId="3" fillId="15" borderId="12" xfId="0" applyNumberFormat="1" applyFont="1" applyFill="1" applyBorder="1"/>
    <xf numFmtId="178" fontId="38" fillId="15" borderId="12" xfId="0" applyNumberFormat="1" applyFont="1" applyFill="1" applyBorder="1"/>
    <xf numFmtId="179" fontId="38" fillId="15" borderId="12" xfId="2" applyNumberFormat="1" applyFont="1" applyFill="1" applyBorder="1"/>
    <xf numFmtId="3" fontId="0" fillId="0" borderId="12" xfId="0" applyNumberFormat="1" applyFill="1" applyBorder="1"/>
    <xf numFmtId="0" fontId="0" fillId="16" borderId="12" xfId="0" applyFill="1" applyBorder="1"/>
    <xf numFmtId="3" fontId="0" fillId="16" borderId="12" xfId="0" applyNumberFormat="1" applyFill="1" applyBorder="1"/>
    <xf numFmtId="178" fontId="37" fillId="16" borderId="12" xfId="0" applyNumberFormat="1" applyFont="1" applyFill="1" applyBorder="1"/>
    <xf numFmtId="179" fontId="37" fillId="16" borderId="12" xfId="2" applyNumberFormat="1" applyFont="1" applyFill="1" applyBorder="1"/>
    <xf numFmtId="0" fontId="0" fillId="0" borderId="12" xfId="0" applyFill="1" applyBorder="1"/>
    <xf numFmtId="178" fontId="37" fillId="0" borderId="12" xfId="0" applyNumberFormat="1" applyFont="1" applyFill="1" applyBorder="1"/>
    <xf numFmtId="179" fontId="37" fillId="0" borderId="12" xfId="2" applyNumberFormat="1" applyFont="1" applyFill="1" applyBorder="1"/>
    <xf numFmtId="0" fontId="0" fillId="17" borderId="12" xfId="0" applyFill="1" applyBorder="1"/>
    <xf numFmtId="3" fontId="0" fillId="17" borderId="12" xfId="0" applyNumberFormat="1" applyFill="1" applyBorder="1"/>
    <xf numFmtId="178" fontId="37" fillId="17" borderId="12" xfId="0" applyNumberFormat="1" applyFont="1" applyFill="1" applyBorder="1"/>
    <xf numFmtId="179" fontId="37" fillId="17" borderId="12" xfId="2" applyNumberFormat="1" applyFont="1" applyFill="1" applyBorder="1"/>
    <xf numFmtId="0" fontId="2" fillId="16" borderId="12" xfId="0" applyFont="1" applyFill="1" applyBorder="1"/>
    <xf numFmtId="0" fontId="2" fillId="17" borderId="12" xfId="0" applyFont="1" applyFill="1" applyBorder="1"/>
    <xf numFmtId="0" fontId="2" fillId="0" borderId="12" xfId="0" applyFont="1" applyFill="1" applyBorder="1"/>
    <xf numFmtId="3" fontId="37" fillId="0" borderId="12" xfId="0" applyNumberFormat="1" applyFont="1" applyFill="1" applyBorder="1"/>
    <xf numFmtId="9" fontId="37" fillId="0" borderId="12" xfId="2" applyNumberFormat="1" applyFont="1" applyFill="1" applyBorder="1"/>
    <xf numFmtId="178" fontId="38" fillId="0" borderId="12" xfId="0" applyNumberFormat="1" applyFont="1" applyBorder="1" applyAlignment="1">
      <alignment horizontal="right"/>
    </xf>
    <xf numFmtId="179" fontId="38" fillId="0" borderId="12" xfId="0" applyNumberFormat="1" applyFont="1" applyBorder="1" applyAlignment="1">
      <alignment horizontal="right"/>
    </xf>
    <xf numFmtId="3" fontId="0" fillId="0" borderId="12" xfId="0" applyNumberFormat="1" applyBorder="1"/>
    <xf numFmtId="0" fontId="2" fillId="0" borderId="12" xfId="0" applyFont="1" applyBorder="1"/>
    <xf numFmtId="3" fontId="3" fillId="0" borderId="12" xfId="0" applyNumberFormat="1" applyFont="1" applyBorder="1" applyAlignment="1">
      <alignment horizontal="right"/>
    </xf>
    <xf numFmtId="179" fontId="37" fillId="17" borderId="12" xfId="0" applyNumberFormat="1" applyFont="1" applyFill="1" applyBorder="1"/>
    <xf numFmtId="9" fontId="0" fillId="17" borderId="12" xfId="2" applyFont="1" applyFill="1" applyBorder="1"/>
    <xf numFmtId="3" fontId="2" fillId="16" borderId="12" xfId="0" applyNumberFormat="1" applyFont="1" applyFill="1" applyBorder="1"/>
    <xf numFmtId="182" fontId="0" fillId="0" borderId="12" xfId="0" applyNumberFormat="1" applyBorder="1" applyAlignment="1">
      <alignment horizontal="right"/>
    </xf>
    <xf numFmtId="180" fontId="0" fillId="0" borderId="12" xfId="0" applyNumberFormat="1" applyBorder="1" applyAlignment="1">
      <alignment horizontal="right"/>
    </xf>
    <xf numFmtId="3" fontId="37" fillId="0" borderId="12" xfId="0" applyNumberFormat="1" applyFont="1" applyBorder="1"/>
    <xf numFmtId="9" fontId="37" fillId="0" borderId="12" xfId="0" applyNumberFormat="1" applyFont="1" applyBorder="1"/>
    <xf numFmtId="3" fontId="0" fillId="0" borderId="12" xfId="0" applyNumberFormat="1" applyBorder="1" applyAlignment="1">
      <alignment horizontal="right"/>
    </xf>
    <xf numFmtId="174" fontId="3" fillId="15" borderId="12" xfId="2" applyNumberFormat="1" applyFont="1" applyFill="1" applyBorder="1" applyAlignment="1">
      <alignment horizontal="right"/>
    </xf>
    <xf numFmtId="174" fontId="0" fillId="16" borderId="12" xfId="2" applyNumberFormat="1" applyFont="1" applyFill="1" applyBorder="1"/>
    <xf numFmtId="178" fontId="37" fillId="0" borderId="12" xfId="0" applyNumberFormat="1" applyFont="1" applyBorder="1"/>
    <xf numFmtId="179" fontId="37" fillId="0" borderId="12" xfId="0" applyNumberFormat="1" applyFont="1" applyBorder="1"/>
    <xf numFmtId="174" fontId="0" fillId="0" borderId="12" xfId="2" applyNumberFormat="1" applyFont="1" applyBorder="1"/>
    <xf numFmtId="174" fontId="0" fillId="17" borderId="12" xfId="2" applyNumberFormat="1" applyFont="1" applyFill="1" applyBorder="1"/>
    <xf numFmtId="180" fontId="0" fillId="0" borderId="12" xfId="0" applyNumberFormat="1" applyBorder="1"/>
    <xf numFmtId="181" fontId="0" fillId="0" borderId="12" xfId="0" applyNumberFormat="1" applyBorder="1"/>
    <xf numFmtId="0" fontId="3" fillId="0" borderId="12" xfId="0" applyFont="1" applyFill="1" applyBorder="1"/>
    <xf numFmtId="3" fontId="3" fillId="0" borderId="12" xfId="0" applyNumberFormat="1" applyFont="1" applyFill="1" applyBorder="1"/>
    <xf numFmtId="178" fontId="38" fillId="0" borderId="12" xfId="0" applyNumberFormat="1" applyFont="1" applyFill="1" applyBorder="1"/>
    <xf numFmtId="179" fontId="38" fillId="0" borderId="12" xfId="2" applyNumberFormat="1" applyFont="1" applyFill="1" applyBorder="1"/>
    <xf numFmtId="174" fontId="3" fillId="15" borderId="12" xfId="2" applyNumberFormat="1" applyFont="1" applyFill="1" applyBorder="1"/>
    <xf numFmtId="9" fontId="3" fillId="15" borderId="12" xfId="2" applyFont="1" applyFill="1" applyBorder="1"/>
    <xf numFmtId="3" fontId="38" fillId="0" borderId="12" xfId="0" applyNumberFormat="1" applyFont="1" applyBorder="1" applyAlignment="1">
      <alignment horizontal="right"/>
    </xf>
    <xf numFmtId="0" fontId="3" fillId="0" borderId="12" xfId="0" applyFont="1" applyBorder="1" applyAlignment="1">
      <alignment horizontal="right"/>
    </xf>
    <xf numFmtId="1" fontId="3" fillId="15" borderId="12" xfId="0" applyNumberFormat="1" applyFont="1" applyFill="1" applyBorder="1"/>
    <xf numFmtId="178" fontId="38" fillId="15" borderId="12" xfId="0" applyNumberFormat="1" applyFont="1" applyFill="1" applyBorder="1" applyAlignment="1">
      <alignment horizontal="right"/>
    </xf>
    <xf numFmtId="179" fontId="38" fillId="15" borderId="12" xfId="2" applyNumberFormat="1" applyFont="1" applyFill="1" applyBorder="1" applyAlignment="1">
      <alignment horizontal="right"/>
    </xf>
    <xf numFmtId="10" fontId="0" fillId="0" borderId="12" xfId="2" applyNumberFormat="1" applyFont="1" applyBorder="1"/>
    <xf numFmtId="183" fontId="37" fillId="0" borderId="12" xfId="0" applyNumberFormat="1" applyFont="1" applyBorder="1"/>
    <xf numFmtId="179" fontId="37" fillId="0" borderId="12" xfId="0" applyNumberFormat="1" applyFont="1" applyFill="1" applyBorder="1"/>
    <xf numFmtId="3" fontId="2" fillId="0" borderId="12" xfId="0" applyNumberFormat="1" applyFont="1" applyBorder="1" applyAlignment="1">
      <alignment horizontal="right"/>
    </xf>
    <xf numFmtId="0" fontId="2" fillId="0" borderId="0" xfId="0" applyFont="1" applyFill="1" applyAlignment="1">
      <alignment vertical="top"/>
    </xf>
    <xf numFmtId="0" fontId="2" fillId="0" borderId="0" xfId="0" applyFont="1" applyFill="1" applyAlignment="1">
      <alignment horizontal="left"/>
    </xf>
    <xf numFmtId="0" fontId="2" fillId="0" borderId="0" xfId="0" applyFont="1" applyFill="1" applyAlignment="1">
      <alignment horizontal="right"/>
    </xf>
    <xf numFmtId="0" fontId="2" fillId="0" borderId="0" xfId="0" applyFont="1" applyFill="1" applyAlignment="1"/>
    <xf numFmtId="0" fontId="2" fillId="0" borderId="0" xfId="0" applyFont="1" applyFill="1" applyAlignment="1">
      <alignment horizontal="right" vertical="top"/>
    </xf>
    <xf numFmtId="0" fontId="2" fillId="0" borderId="0" xfId="0" quotePrefix="1" applyFont="1" applyFill="1" applyAlignment="1">
      <alignment vertical="top" wrapText="1"/>
    </xf>
    <xf numFmtId="0" fontId="2" fillId="0" borderId="0" xfId="0" applyFont="1" applyFill="1" applyAlignment="1">
      <alignment horizontal="right" wrapText="1"/>
    </xf>
    <xf numFmtId="0" fontId="2" fillId="0" borderId="0" xfId="0" applyFont="1" applyFill="1" applyAlignment="1">
      <alignment horizontal="left" vertical="top"/>
    </xf>
    <xf numFmtId="14" fontId="2" fillId="0" borderId="0" xfId="0" applyNumberFormat="1" applyFont="1" applyFill="1" applyAlignment="1">
      <alignment vertical="top" wrapText="1"/>
    </xf>
    <xf numFmtId="0" fontId="2" fillId="0" borderId="0" xfId="0" applyFont="1" applyFill="1" applyAlignment="1">
      <alignment horizontal="right" vertical="center"/>
    </xf>
    <xf numFmtId="0" fontId="2" fillId="0" borderId="0" xfId="0" applyFont="1" applyFill="1" applyAlignment="1">
      <alignment vertical="center"/>
    </xf>
    <xf numFmtId="11" fontId="2" fillId="0" borderId="0" xfId="0" quotePrefix="1" applyNumberFormat="1" applyFont="1" applyFill="1"/>
    <xf numFmtId="0" fontId="2" fillId="0" borderId="0" xfId="0" quotePrefix="1" applyFont="1" applyFill="1"/>
    <xf numFmtId="0" fontId="2" fillId="0" borderId="0" xfId="0" quotePrefix="1" applyFont="1" applyFill="1" applyAlignment="1">
      <alignment wrapText="1"/>
    </xf>
    <xf numFmtId="0" fontId="0" fillId="0" borderId="0" xfId="0" applyAlignment="1">
      <alignment horizontal="left"/>
    </xf>
    <xf numFmtId="0" fontId="0" fillId="0" borderId="4" xfId="0" applyBorder="1"/>
    <xf numFmtId="3" fontId="31" fillId="0" borderId="12" xfId="0" applyNumberFormat="1" applyFont="1" applyBorder="1"/>
    <xf numFmtId="174" fontId="38" fillId="15" borderId="12" xfId="2" applyNumberFormat="1" applyFont="1" applyFill="1" applyBorder="1" applyAlignment="1">
      <alignment horizontal="right"/>
    </xf>
    <xf numFmtId="174" fontId="37" fillId="0" borderId="12" xfId="2" applyNumberFormat="1" applyFont="1" applyBorder="1"/>
    <xf numFmtId="0" fontId="8" fillId="0" borderId="0" xfId="0" applyFont="1" applyBorder="1" applyAlignment="1">
      <alignment horizontal="left"/>
    </xf>
    <xf numFmtId="0" fontId="26" fillId="0" borderId="0" xfId="0" applyFont="1"/>
    <xf numFmtId="177" fontId="2" fillId="2" borderId="0" xfId="0" quotePrefix="1" applyNumberFormat="1" applyFont="1" applyFill="1" applyBorder="1" applyAlignment="1">
      <alignment horizontal="left"/>
    </xf>
    <xf numFmtId="0" fontId="2" fillId="0" borderId="0" xfId="0" applyFont="1" applyAlignment="1">
      <alignment horizontal="right"/>
    </xf>
    <xf numFmtId="1" fontId="3" fillId="0" borderId="0" xfId="0" applyNumberFormat="1" applyFont="1" applyFill="1" applyAlignment="1" applyProtection="1">
      <alignment vertical="top"/>
    </xf>
    <xf numFmtId="0" fontId="2" fillId="0" borderId="0" xfId="0" applyFont="1" applyFill="1" applyAlignment="1" applyProtection="1">
      <alignment horizontal="center"/>
    </xf>
    <xf numFmtId="0" fontId="8" fillId="0" borderId="0" xfId="0" applyFont="1" applyFill="1" applyAlignment="1" applyProtection="1">
      <alignment vertical="top"/>
    </xf>
    <xf numFmtId="0" fontId="0" fillId="0" borderId="0" xfId="0" applyFill="1" applyAlignment="1" applyProtection="1">
      <alignment vertical="top"/>
    </xf>
    <xf numFmtId="165" fontId="0" fillId="0" borderId="0" xfId="0" applyNumberFormat="1" applyFill="1" applyAlignment="1" applyProtection="1">
      <alignment vertical="top"/>
    </xf>
    <xf numFmtId="0" fontId="0" fillId="0" borderId="0" xfId="0" applyFill="1" applyAlignment="1" applyProtection="1">
      <alignment horizontal="right" vertical="top"/>
    </xf>
    <xf numFmtId="0" fontId="30" fillId="0" borderId="0" xfId="0" applyFont="1" applyFill="1" applyBorder="1" applyAlignment="1" applyProtection="1">
      <alignment horizontal="right"/>
    </xf>
    <xf numFmtId="0" fontId="2" fillId="0" borderId="0" xfId="0" applyFont="1" applyFill="1" applyAlignment="1" applyProtection="1">
      <alignment horizontal="left"/>
    </xf>
    <xf numFmtId="165" fontId="2" fillId="0" borderId="0" xfId="0" applyNumberFormat="1" applyFont="1" applyFill="1" applyAlignment="1" applyProtection="1">
      <alignment horizontal="center"/>
    </xf>
    <xf numFmtId="0" fontId="20" fillId="0" borderId="0" xfId="0" applyFont="1" applyFill="1" applyAlignment="1" applyProtection="1">
      <alignment horizontal="right" vertical="center"/>
    </xf>
    <xf numFmtId="0" fontId="29" fillId="0" borderId="0" xfId="0" applyFont="1" applyFill="1" applyBorder="1" applyProtection="1"/>
    <xf numFmtId="0" fontId="33" fillId="0" borderId="0" xfId="0" quotePrefix="1" applyFont="1" applyFill="1" applyBorder="1" applyAlignment="1" applyProtection="1">
      <alignment horizontal="right"/>
    </xf>
    <xf numFmtId="165" fontId="0" fillId="0" borderId="0" xfId="0" applyNumberFormat="1" applyFill="1" applyBorder="1" applyProtection="1"/>
    <xf numFmtId="3" fontId="0" fillId="0" borderId="0" xfId="0" applyNumberFormat="1" applyFill="1" applyBorder="1" applyProtection="1"/>
    <xf numFmtId="3" fontId="2" fillId="0" borderId="0" xfId="0" applyNumberFormat="1" applyFont="1" applyFill="1" applyBorder="1" applyProtection="1"/>
    <xf numFmtId="3" fontId="3" fillId="0" borderId="0" xfId="0" applyNumberFormat="1" applyFont="1" applyFill="1" applyBorder="1" applyProtection="1"/>
    <xf numFmtId="0" fontId="34" fillId="0" borderId="0" xfId="0" applyFont="1" applyFill="1" applyBorder="1" applyAlignment="1" applyProtection="1">
      <alignment horizontal="right"/>
    </xf>
    <xf numFmtId="0" fontId="13" fillId="0" borderId="0" xfId="0" applyFont="1" applyFill="1" applyBorder="1" applyAlignment="1" applyProtection="1"/>
    <xf numFmtId="0" fontId="0" fillId="0" borderId="0" xfId="0" applyFill="1" applyBorder="1"/>
    <xf numFmtId="0" fontId="0" fillId="0" borderId="21" xfId="0" applyFill="1" applyBorder="1" applyProtection="1"/>
    <xf numFmtId="0" fontId="3" fillId="0" borderId="21" xfId="0" applyFont="1" applyFill="1" applyBorder="1" applyProtection="1"/>
    <xf numFmtId="0" fontId="2" fillId="0" borderId="21" xfId="0" applyFont="1" applyFill="1" applyBorder="1" applyProtection="1"/>
    <xf numFmtId="0" fontId="16" fillId="0" borderId="21" xfId="0" applyFont="1" applyFill="1" applyBorder="1" applyAlignment="1" applyProtection="1">
      <alignment wrapText="1"/>
    </xf>
    <xf numFmtId="0" fontId="0" fillId="0" borderId="21" xfId="0" quotePrefix="1" applyFill="1" applyBorder="1" applyAlignment="1" applyProtection="1">
      <alignment horizontal="left" wrapText="1"/>
    </xf>
    <xf numFmtId="0" fontId="2" fillId="0" borderId="21" xfId="0" applyFont="1" applyFill="1" applyBorder="1" applyAlignment="1" applyProtection="1">
      <alignment wrapText="1"/>
    </xf>
    <xf numFmtId="0" fontId="2" fillId="0" borderId="21" xfId="0" applyFont="1" applyFill="1" applyBorder="1" applyAlignment="1" applyProtection="1">
      <alignment horizontal="left"/>
    </xf>
    <xf numFmtId="0" fontId="0" fillId="0" borderId="21" xfId="0" applyFill="1" applyBorder="1" applyAlignment="1" applyProtection="1">
      <alignment horizontal="left" wrapText="1"/>
    </xf>
    <xf numFmtId="0" fontId="12" fillId="0" borderId="21" xfId="0" applyFont="1" applyFill="1" applyBorder="1" applyAlignment="1" applyProtection="1">
      <alignment horizontal="right"/>
    </xf>
    <xf numFmtId="0" fontId="12" fillId="0" borderId="21" xfId="0" applyFont="1" applyFill="1" applyBorder="1" applyAlignment="1" applyProtection="1">
      <alignment horizontal="right" vertical="top"/>
    </xf>
    <xf numFmtId="3" fontId="2" fillId="0" borderId="0" xfId="0" applyNumberFormat="1" applyFont="1" applyFill="1" applyBorder="1" applyAlignment="1" applyProtection="1">
      <alignment vertical="top"/>
    </xf>
    <xf numFmtId="3" fontId="3" fillId="0" borderId="0" xfId="0" applyNumberFormat="1" applyFont="1" applyFill="1" applyBorder="1" applyAlignment="1" applyProtection="1">
      <alignment horizontal="right"/>
    </xf>
    <xf numFmtId="9" fontId="2" fillId="0" borderId="0" xfId="2" applyFont="1" applyFill="1" applyAlignment="1" applyProtection="1">
      <alignment horizontal="center"/>
    </xf>
    <xf numFmtId="3" fontId="2" fillId="19" borderId="14" xfId="0" applyNumberFormat="1" applyFont="1" applyFill="1" applyBorder="1" applyAlignment="1" applyProtection="1"/>
    <xf numFmtId="9" fontId="2" fillId="19" borderId="17" xfId="2" applyFont="1" applyFill="1" applyBorder="1" applyProtection="1"/>
    <xf numFmtId="3" fontId="2" fillId="19" borderId="0" xfId="0" applyNumberFormat="1" applyFont="1" applyFill="1" applyBorder="1" applyProtection="1"/>
    <xf numFmtId="3" fontId="3" fillId="18" borderId="13" xfId="0" applyNumberFormat="1" applyFont="1" applyFill="1" applyBorder="1" applyAlignment="1" applyProtection="1"/>
    <xf numFmtId="3" fontId="2" fillId="18" borderId="14" xfId="0" applyNumberFormat="1" applyFont="1" applyFill="1" applyBorder="1" applyAlignment="1" applyProtection="1"/>
    <xf numFmtId="9" fontId="2" fillId="18" borderId="17" xfId="2" applyFont="1" applyFill="1" applyBorder="1" applyProtection="1"/>
    <xf numFmtId="3" fontId="2" fillId="18" borderId="16" xfId="0" applyNumberFormat="1" applyFont="1" applyFill="1" applyBorder="1" applyProtection="1"/>
    <xf numFmtId="3" fontId="2" fillId="18" borderId="0" xfId="0" applyNumberFormat="1" applyFont="1" applyFill="1" applyBorder="1" applyProtection="1"/>
    <xf numFmtId="3" fontId="3" fillId="20" borderId="13" xfId="0" applyNumberFormat="1" applyFont="1" applyFill="1" applyBorder="1" applyAlignment="1" applyProtection="1"/>
    <xf numFmtId="3" fontId="2" fillId="20" borderId="14" xfId="0" applyNumberFormat="1" applyFont="1" applyFill="1" applyBorder="1" applyAlignment="1" applyProtection="1"/>
    <xf numFmtId="9" fontId="2" fillId="20" borderId="17" xfId="2" applyFont="1" applyFill="1" applyBorder="1" applyProtection="1"/>
    <xf numFmtId="3" fontId="2" fillId="20" borderId="16" xfId="0" applyNumberFormat="1" applyFont="1" applyFill="1" applyBorder="1" applyProtection="1"/>
    <xf numFmtId="3" fontId="2" fillId="20" borderId="0" xfId="0" applyNumberFormat="1" applyFont="1" applyFill="1" applyBorder="1" applyProtection="1"/>
    <xf numFmtId="9" fontId="2" fillId="20" borderId="15" xfId="2" quotePrefix="1" applyFont="1" applyFill="1" applyBorder="1" applyAlignment="1" applyProtection="1">
      <alignment horizontal="right"/>
    </xf>
    <xf numFmtId="9" fontId="3" fillId="20" borderId="19" xfId="2" applyFont="1" applyFill="1" applyBorder="1" applyAlignment="1" applyProtection="1">
      <alignment horizontal="right"/>
    </xf>
    <xf numFmtId="3" fontId="3" fillId="20" borderId="16" xfId="0" applyNumberFormat="1" applyFont="1" applyFill="1" applyBorder="1" applyProtection="1"/>
    <xf numFmtId="3" fontId="3" fillId="20" borderId="0" xfId="0" applyNumberFormat="1" applyFont="1" applyFill="1" applyBorder="1" applyProtection="1"/>
    <xf numFmtId="9" fontId="3" fillId="20" borderId="17" xfId="2" applyFont="1" applyFill="1" applyBorder="1" applyProtection="1"/>
    <xf numFmtId="9" fontId="3" fillId="18" borderId="17" xfId="2" applyFont="1" applyFill="1" applyBorder="1" applyProtection="1"/>
    <xf numFmtId="9" fontId="3" fillId="19" borderId="17" xfId="2" applyFont="1" applyFill="1" applyBorder="1" applyProtection="1"/>
    <xf numFmtId="3" fontId="2" fillId="20" borderId="4" xfId="0" applyNumberFormat="1" applyFont="1" applyFill="1" applyBorder="1" applyProtection="1"/>
    <xf numFmtId="0" fontId="2" fillId="0" borderId="21" xfId="0" quotePrefix="1" applyFont="1" applyFill="1" applyBorder="1" applyAlignment="1" applyProtection="1">
      <alignment horizontal="left" wrapText="1"/>
    </xf>
    <xf numFmtId="0" fontId="2" fillId="0" borderId="21" xfId="0" quotePrefix="1" applyFont="1" applyFill="1" applyBorder="1" applyAlignment="1" applyProtection="1">
      <alignment horizontal="left"/>
    </xf>
    <xf numFmtId="0" fontId="3" fillId="0" borderId="26" xfId="0" quotePrefix="1" applyFont="1" applyFill="1" applyBorder="1" applyAlignment="1" applyProtection="1">
      <alignment horizontal="left"/>
    </xf>
    <xf numFmtId="3" fontId="3" fillId="20" borderId="27" xfId="0" applyNumberFormat="1" applyFont="1" applyFill="1" applyBorder="1" applyProtection="1"/>
    <xf numFmtId="3" fontId="3" fillId="20" borderId="28" xfId="0" applyNumberFormat="1" applyFont="1" applyFill="1" applyBorder="1" applyProtection="1"/>
    <xf numFmtId="9" fontId="3" fillId="20" borderId="29" xfId="2" applyFont="1" applyFill="1" applyBorder="1" applyProtection="1"/>
    <xf numFmtId="3" fontId="3" fillId="18" borderId="28" xfId="0" applyNumberFormat="1" applyFont="1" applyFill="1" applyBorder="1" applyProtection="1"/>
    <xf numFmtId="9" fontId="3" fillId="18" borderId="29" xfId="2" applyFont="1" applyFill="1" applyBorder="1" applyProtection="1"/>
    <xf numFmtId="3" fontId="3" fillId="19" borderId="28" xfId="0" applyNumberFormat="1" applyFont="1" applyFill="1" applyBorder="1" applyProtection="1"/>
    <xf numFmtId="9" fontId="3" fillId="19" borderId="29" xfId="2" applyFont="1" applyFill="1" applyBorder="1" applyProtection="1"/>
    <xf numFmtId="3" fontId="41" fillId="16" borderId="16" xfId="0" applyNumberFormat="1" applyFont="1" applyFill="1" applyBorder="1" applyAlignment="1" applyProtection="1">
      <protection locked="0"/>
    </xf>
    <xf numFmtId="3" fontId="41" fillId="16" borderId="0" xfId="0" applyNumberFormat="1" applyFont="1" applyFill="1" applyBorder="1" applyAlignment="1" applyProtection="1">
      <protection locked="0"/>
    </xf>
    <xf numFmtId="0" fontId="42" fillId="0" borderId="21" xfId="0" applyFont="1" applyFill="1" applyBorder="1" applyAlignment="1" applyProtection="1">
      <alignment horizontal="right"/>
    </xf>
    <xf numFmtId="3" fontId="16" fillId="20" borderId="16" xfId="0" applyNumberFormat="1" applyFont="1" applyFill="1" applyBorder="1" applyProtection="1"/>
    <xf numFmtId="3" fontId="16" fillId="20" borderId="0" xfId="0" applyNumberFormat="1" applyFont="1" applyFill="1" applyBorder="1" applyProtection="1"/>
    <xf numFmtId="9" fontId="16" fillId="20" borderId="17" xfId="2" applyFont="1" applyFill="1" applyBorder="1" applyProtection="1"/>
    <xf numFmtId="9" fontId="16" fillId="18" borderId="17" xfId="2" applyFont="1" applyFill="1" applyBorder="1" applyProtection="1"/>
    <xf numFmtId="9" fontId="16" fillId="19" borderId="17" xfId="2" applyFont="1" applyFill="1" applyBorder="1" applyProtection="1"/>
    <xf numFmtId="3" fontId="44" fillId="0" borderId="0" xfId="0" applyNumberFormat="1" applyFont="1" applyFill="1" applyBorder="1" applyProtection="1"/>
    <xf numFmtId="3" fontId="44" fillId="0" borderId="0" xfId="0" applyNumberFormat="1" applyFont="1" applyFill="1" applyAlignment="1" applyProtection="1">
      <alignment horizontal="left"/>
    </xf>
    <xf numFmtId="3" fontId="44" fillId="0" borderId="0" xfId="0" quotePrefix="1" applyNumberFormat="1" applyFont="1" applyFill="1" applyBorder="1" applyAlignment="1" applyProtection="1">
      <alignment horizontal="left"/>
    </xf>
    <xf numFmtId="3" fontId="44" fillId="0" borderId="0" xfId="0" applyNumberFormat="1" applyFont="1" applyFill="1" applyBorder="1" applyAlignment="1" applyProtection="1">
      <alignment horizontal="left"/>
    </xf>
    <xf numFmtId="3" fontId="2" fillId="0" borderId="0" xfId="0" quotePrefix="1" applyNumberFormat="1" applyFont="1" applyFill="1" applyBorder="1" applyAlignment="1" applyProtection="1">
      <alignment horizontal="right"/>
    </xf>
    <xf numFmtId="9" fontId="3" fillId="0" borderId="0" xfId="2" applyFont="1" applyFill="1" applyBorder="1" applyProtection="1"/>
    <xf numFmtId="9" fontId="2" fillId="0" borderId="0" xfId="2" applyFont="1" applyFill="1" applyBorder="1" applyProtection="1"/>
    <xf numFmtId="9" fontId="16" fillId="0" borderId="0" xfId="2" applyFont="1" applyFill="1" applyBorder="1" applyProtection="1"/>
    <xf numFmtId="3" fontId="2" fillId="20" borderId="13" xfId="0" applyNumberFormat="1" applyFont="1" applyFill="1" applyBorder="1" applyProtection="1"/>
    <xf numFmtId="3" fontId="2" fillId="20" borderId="14" xfId="0" applyNumberFormat="1" applyFont="1" applyFill="1" applyBorder="1" applyProtection="1"/>
    <xf numFmtId="9" fontId="2" fillId="20" borderId="15" xfId="2" applyFont="1" applyFill="1" applyBorder="1" applyProtection="1"/>
    <xf numFmtId="9" fontId="2" fillId="18" borderId="15" xfId="2" applyFont="1" applyFill="1" applyBorder="1" applyProtection="1"/>
    <xf numFmtId="9" fontId="2" fillId="19" borderId="15" xfId="2" applyFont="1" applyFill="1" applyBorder="1" applyProtection="1"/>
    <xf numFmtId="3" fontId="2" fillId="19" borderId="0" xfId="0" applyNumberFormat="1" applyFont="1" applyFill="1" applyBorder="1"/>
    <xf numFmtId="0" fontId="0" fillId="0" borderId="21" xfId="0" applyFill="1" applyBorder="1" applyAlignment="1" applyProtection="1">
      <alignment wrapText="1"/>
    </xf>
    <xf numFmtId="0" fontId="12" fillId="0" borderId="22" xfId="0" applyFont="1" applyFill="1" applyBorder="1" applyAlignment="1" applyProtection="1">
      <alignment horizontal="right"/>
    </xf>
    <xf numFmtId="0" fontId="3" fillId="0" borderId="30" xfId="0" applyFont="1" applyFill="1" applyBorder="1" applyAlignment="1" applyProtection="1">
      <alignment wrapText="1"/>
    </xf>
    <xf numFmtId="0" fontId="2" fillId="0" borderId="16" xfId="0" applyFont="1" applyFill="1" applyBorder="1" applyProtection="1"/>
    <xf numFmtId="0" fontId="0" fillId="0" borderId="16" xfId="0" applyFill="1" applyBorder="1" applyProtection="1"/>
    <xf numFmtId="0" fontId="0" fillId="0" borderId="16" xfId="0" applyFill="1" applyBorder="1" applyAlignment="1" applyProtection="1">
      <alignment wrapText="1"/>
    </xf>
    <xf numFmtId="0" fontId="12" fillId="0" borderId="16" xfId="0" applyFont="1" applyFill="1" applyBorder="1" applyAlignment="1" applyProtection="1">
      <alignment horizontal="right"/>
    </xf>
    <xf numFmtId="0" fontId="12" fillId="0" borderId="18" xfId="0" applyFont="1" applyFill="1" applyBorder="1" applyAlignment="1" applyProtection="1">
      <alignment horizontal="right"/>
    </xf>
    <xf numFmtId="1" fontId="2" fillId="0" borderId="0" xfId="0" applyNumberFormat="1" applyFont="1" applyFill="1" applyAlignment="1" applyProtection="1">
      <alignment horizontal="center"/>
    </xf>
    <xf numFmtId="165" fontId="0" fillId="0" borderId="0" xfId="0" applyNumberFormat="1" applyFill="1" applyProtection="1"/>
    <xf numFmtId="173" fontId="7" fillId="0" borderId="0" xfId="0" applyNumberFormat="1" applyFont="1" applyFill="1" applyProtection="1"/>
    <xf numFmtId="165" fontId="0" fillId="0" borderId="0" xfId="0" applyNumberFormat="1" applyFill="1" applyBorder="1" applyAlignment="1" applyProtection="1">
      <alignment vertical="top"/>
    </xf>
    <xf numFmtId="0" fontId="13" fillId="0" borderId="0" xfId="0" applyFont="1" applyFill="1" applyProtection="1"/>
    <xf numFmtId="176" fontId="0" fillId="0" borderId="0" xfId="0" applyNumberFormat="1" applyFill="1" applyBorder="1" applyAlignment="1" applyProtection="1">
      <alignment vertical="top"/>
    </xf>
    <xf numFmtId="0" fontId="29" fillId="0" borderId="0" xfId="0" applyFont="1" applyFill="1" applyBorder="1" applyAlignment="1" applyProtection="1">
      <alignment horizontal="right" vertical="top"/>
    </xf>
    <xf numFmtId="0" fontId="13" fillId="0" borderId="0" xfId="0" applyFont="1" applyFill="1" applyBorder="1" applyAlignment="1" applyProtection="1">
      <alignment vertical="center"/>
    </xf>
    <xf numFmtId="3" fontId="0" fillId="0" borderId="0" xfId="0" applyNumberFormat="1" applyFill="1" applyBorder="1" applyAlignment="1" applyProtection="1">
      <alignment vertical="top"/>
    </xf>
    <xf numFmtId="3" fontId="2" fillId="20" borderId="0" xfId="0" applyNumberFormat="1" applyFont="1" applyFill="1" applyBorder="1" applyAlignment="1" applyProtection="1"/>
    <xf numFmtId="0" fontId="3" fillId="20" borderId="18" xfId="0" applyNumberFormat="1" applyFont="1" applyFill="1" applyBorder="1" applyAlignment="1" applyProtection="1">
      <alignment horizontal="right"/>
    </xf>
    <xf numFmtId="0" fontId="3" fillId="20" borderId="8" xfId="0" applyNumberFormat="1" applyFont="1" applyFill="1" applyBorder="1" applyAlignment="1" applyProtection="1">
      <alignment horizontal="right"/>
    </xf>
    <xf numFmtId="0" fontId="3" fillId="18" borderId="18" xfId="0" applyNumberFormat="1" applyFont="1" applyFill="1" applyBorder="1" applyAlignment="1" applyProtection="1">
      <alignment horizontal="right"/>
    </xf>
    <xf numFmtId="0" fontId="3" fillId="18" borderId="8" xfId="0" applyNumberFormat="1" applyFont="1" applyFill="1" applyBorder="1" applyAlignment="1" applyProtection="1">
      <alignment horizontal="right"/>
    </xf>
    <xf numFmtId="0" fontId="3" fillId="19" borderId="8" xfId="0" applyNumberFormat="1" applyFont="1" applyFill="1" applyBorder="1" applyAlignment="1" applyProtection="1">
      <alignment horizontal="right"/>
    </xf>
    <xf numFmtId="0" fontId="3" fillId="20" borderId="0" xfId="0" applyNumberFormat="1" applyFont="1" applyFill="1" applyBorder="1" applyAlignment="1" applyProtection="1">
      <alignment horizontal="right"/>
    </xf>
    <xf numFmtId="3" fontId="3" fillId="19" borderId="0" xfId="0" applyNumberFormat="1" applyFont="1" applyFill="1" applyBorder="1" applyAlignment="1" applyProtection="1"/>
    <xf numFmtId="3" fontId="2" fillId="19" borderId="0" xfId="0" applyNumberFormat="1" applyFont="1" applyFill="1" applyBorder="1" applyAlignment="1" applyProtection="1"/>
    <xf numFmtId="3" fontId="2" fillId="18" borderId="0" xfId="0" applyNumberFormat="1" applyFont="1" applyFill="1" applyBorder="1" applyAlignment="1" applyProtection="1"/>
    <xf numFmtId="2" fontId="3" fillId="0" borderId="0" xfId="0" applyNumberFormat="1" applyFont="1" applyFill="1" applyBorder="1" applyAlignment="1" applyProtection="1">
      <alignment vertical="top"/>
    </xf>
    <xf numFmtId="3" fontId="2" fillId="18" borderId="0" xfId="0" applyNumberFormat="1" applyFont="1" applyFill="1" applyBorder="1"/>
    <xf numFmtId="3" fontId="3" fillId="20" borderId="4" xfId="0" applyNumberFormat="1" applyFont="1" applyFill="1" applyBorder="1" applyProtection="1"/>
    <xf numFmtId="3" fontId="3" fillId="18" borderId="4" xfId="0" applyNumberFormat="1" applyFont="1" applyFill="1" applyBorder="1" applyProtection="1"/>
    <xf numFmtId="3" fontId="3" fillId="19" borderId="4" xfId="0" applyNumberFormat="1" applyFont="1" applyFill="1" applyBorder="1" applyProtection="1"/>
    <xf numFmtId="3" fontId="3" fillId="19" borderId="4" xfId="0" applyNumberFormat="1" applyFont="1" applyFill="1" applyBorder="1"/>
    <xf numFmtId="3" fontId="17" fillId="0" borderId="0" xfId="0" applyNumberFormat="1" applyFont="1" applyFill="1" applyBorder="1" applyAlignment="1" applyProtection="1">
      <alignment horizontal="center" vertical="top"/>
    </xf>
    <xf numFmtId="0" fontId="3" fillId="0" borderId="0" xfId="0" applyFont="1" applyFill="1" applyAlignment="1" applyProtection="1">
      <alignment vertical="top"/>
    </xf>
    <xf numFmtId="0" fontId="2" fillId="0" borderId="0" xfId="0" applyFont="1" applyFill="1" applyAlignment="1" applyProtection="1">
      <alignment horizontal="center" vertical="top"/>
    </xf>
    <xf numFmtId="9" fontId="2" fillId="0" borderId="0" xfId="2" quotePrefix="1" applyFont="1" applyFill="1" applyBorder="1" applyAlignment="1" applyProtection="1">
      <alignment horizontal="right"/>
    </xf>
    <xf numFmtId="0" fontId="3" fillId="0" borderId="0" xfId="2" applyNumberFormat="1" applyFont="1" applyFill="1" applyBorder="1" applyAlignment="1" applyProtection="1">
      <alignment horizontal="right"/>
    </xf>
    <xf numFmtId="1" fontId="30" fillId="0" borderId="0" xfId="0" quotePrefix="1" applyNumberFormat="1" applyFont="1" applyFill="1" applyBorder="1" applyAlignment="1" applyProtection="1">
      <alignment vertical="top" wrapText="1"/>
    </xf>
    <xf numFmtId="2" fontId="2" fillId="0" borderId="0" xfId="0" applyNumberFormat="1" applyFont="1" applyFill="1" applyBorder="1" applyAlignment="1" applyProtection="1">
      <alignment vertical="top"/>
    </xf>
    <xf numFmtId="0" fontId="0" fillId="0" borderId="0" xfId="0" applyFill="1" applyAlignment="1" applyProtection="1">
      <alignment vertical="center"/>
    </xf>
    <xf numFmtId="167" fontId="2" fillId="0" borderId="0" xfId="0" applyNumberFormat="1" applyFont="1" applyFill="1" applyBorder="1" applyAlignment="1" applyProtection="1">
      <alignment vertical="top"/>
    </xf>
    <xf numFmtId="3" fontId="3" fillId="0" borderId="0" xfId="0" applyNumberFormat="1" applyFont="1" applyFill="1" applyBorder="1" applyAlignment="1" applyProtection="1"/>
    <xf numFmtId="3" fontId="2" fillId="0" borderId="0" xfId="0" applyNumberFormat="1" applyFont="1" applyFill="1" applyBorder="1" applyAlignment="1" applyProtection="1"/>
    <xf numFmtId="175" fontId="2" fillId="0" borderId="0" xfId="0" applyNumberFormat="1" applyFont="1" applyFill="1" applyBorder="1" applyAlignment="1" applyProtection="1"/>
    <xf numFmtId="167" fontId="2" fillId="0" borderId="0" xfId="0" applyNumberFormat="1" applyFont="1" applyFill="1" applyBorder="1" applyAlignment="1" applyProtection="1"/>
    <xf numFmtId="2" fontId="5" fillId="0" borderId="0" xfId="0" applyNumberFormat="1" applyFont="1" applyFill="1" applyBorder="1" applyAlignment="1" applyProtection="1">
      <alignment horizontal="center" vertical="top"/>
    </xf>
    <xf numFmtId="169" fontId="3" fillId="0" borderId="0" xfId="0" applyNumberFormat="1" applyFont="1" applyFill="1" applyBorder="1" applyAlignment="1" applyProtection="1"/>
    <xf numFmtId="171" fontId="3" fillId="0" borderId="0" xfId="0" applyNumberFormat="1" applyFont="1" applyFill="1" applyBorder="1" applyAlignment="1" applyProtection="1"/>
    <xf numFmtId="0" fontId="44" fillId="0" borderId="0" xfId="0" applyNumberFormat="1" applyFont="1" applyFill="1" applyAlignment="1" applyProtection="1">
      <alignment horizontal="left"/>
    </xf>
    <xf numFmtId="0" fontId="44" fillId="0" borderId="0" xfId="2" quotePrefix="1" applyNumberFormat="1" applyFont="1" applyFill="1" applyBorder="1" applyAlignment="1" applyProtection="1">
      <alignment horizontal="left"/>
    </xf>
    <xf numFmtId="0" fontId="44" fillId="0" borderId="0" xfId="0" applyNumberFormat="1" applyFont="1" applyFill="1" applyBorder="1" applyAlignment="1" applyProtection="1">
      <alignment horizontal="left"/>
    </xf>
    <xf numFmtId="0" fontId="44" fillId="0" borderId="0" xfId="0" quotePrefix="1" applyNumberFormat="1" applyFont="1" applyFill="1" applyBorder="1" applyAlignment="1" applyProtection="1">
      <alignment horizontal="left" wrapText="1"/>
    </xf>
    <xf numFmtId="0" fontId="45" fillId="0" borderId="0" xfId="0" applyNumberFormat="1" applyFont="1" applyFill="1" applyBorder="1" applyAlignment="1" applyProtection="1">
      <alignment horizontal="left"/>
    </xf>
    <xf numFmtId="3" fontId="3" fillId="18" borderId="0" xfId="0" applyNumberFormat="1" applyFont="1" applyFill="1" applyBorder="1"/>
    <xf numFmtId="0" fontId="47" fillId="0" borderId="0" xfId="0" applyNumberFormat="1" applyFont="1" applyFill="1" applyBorder="1" applyAlignment="1" applyProtection="1"/>
    <xf numFmtId="0" fontId="42" fillId="0" borderId="0" xfId="0" applyNumberFormat="1" applyFont="1" applyFill="1" applyBorder="1" applyAlignment="1" applyProtection="1">
      <alignment horizontal="left"/>
    </xf>
    <xf numFmtId="0" fontId="8" fillId="0" borderId="0" xfId="0" applyFont="1" applyFill="1" applyAlignment="1" applyProtection="1"/>
    <xf numFmtId="0" fontId="29" fillId="0" borderId="0" xfId="0" applyFont="1" applyFill="1" applyAlignment="1" applyProtection="1"/>
    <xf numFmtId="0" fontId="20" fillId="0" borderId="0" xfId="0" applyFont="1" applyFill="1" applyAlignment="1" applyProtection="1">
      <alignment horizontal="right"/>
    </xf>
    <xf numFmtId="0" fontId="29" fillId="0" borderId="0" xfId="0" applyFont="1" applyFill="1" applyBorder="1" applyAlignment="1" applyProtection="1"/>
    <xf numFmtId="0" fontId="12" fillId="0" borderId="20" xfId="0" applyFont="1" applyFill="1" applyBorder="1" applyAlignment="1" applyProtection="1"/>
    <xf numFmtId="0" fontId="12" fillId="0" borderId="21" xfId="0" applyFont="1" applyFill="1" applyBorder="1" applyAlignment="1" applyProtection="1"/>
    <xf numFmtId="0" fontId="0" fillId="0" borderId="21" xfId="0" applyFill="1" applyBorder="1" applyAlignment="1" applyProtection="1"/>
    <xf numFmtId="0" fontId="2" fillId="0" borderId="21" xfId="0" applyFont="1" applyFill="1" applyBorder="1" applyAlignment="1" applyProtection="1"/>
    <xf numFmtId="0" fontId="12" fillId="0" borderId="22" xfId="0" applyFont="1" applyFill="1" applyBorder="1" applyAlignment="1" applyProtection="1"/>
    <xf numFmtId="0" fontId="0" fillId="0" borderId="0" xfId="0" applyFill="1" applyBorder="1" applyAlignment="1" applyProtection="1"/>
    <xf numFmtId="0" fontId="0" fillId="0" borderId="0" xfId="0" applyFill="1" applyAlignment="1" applyProtection="1"/>
    <xf numFmtId="9" fontId="0" fillId="0" borderId="0" xfId="2" applyFont="1" applyFill="1" applyAlignment="1" applyProtection="1"/>
    <xf numFmtId="165" fontId="0" fillId="0" borderId="0" xfId="0" applyNumberFormat="1" applyFill="1" applyAlignment="1" applyProtection="1"/>
    <xf numFmtId="0" fontId="0" fillId="0" borderId="0" xfId="0" applyFill="1" applyAlignment="1" applyProtection="1">
      <alignment horizontal="right"/>
    </xf>
    <xf numFmtId="1" fontId="3" fillId="0" borderId="0" xfId="0" applyNumberFormat="1" applyFont="1" applyFill="1" applyAlignment="1" applyProtection="1"/>
    <xf numFmtId="9" fontId="3" fillId="0" borderId="0" xfId="2" applyFont="1" applyFill="1" applyBorder="1" applyAlignment="1" applyProtection="1"/>
    <xf numFmtId="3" fontId="2" fillId="20" borderId="16" xfId="0" applyNumberFormat="1" applyFont="1" applyFill="1" applyBorder="1" applyAlignment="1" applyProtection="1"/>
    <xf numFmtId="3" fontId="2" fillId="20" borderId="0" xfId="0" applyNumberFormat="1" applyFont="1" applyFill="1" applyBorder="1" applyAlignment="1" applyProtection="1"/>
    <xf numFmtId="9" fontId="2" fillId="20" borderId="17" xfId="2" applyFont="1" applyFill="1" applyBorder="1" applyAlignment="1" applyProtection="1"/>
    <xf numFmtId="9" fontId="2" fillId="18" borderId="17" xfId="2" applyFont="1" applyFill="1" applyBorder="1" applyAlignment="1" applyProtection="1"/>
    <xf numFmtId="9" fontId="2" fillId="19" borderId="17" xfId="2" applyFont="1" applyFill="1" applyBorder="1" applyAlignment="1" applyProtection="1"/>
    <xf numFmtId="9" fontId="2" fillId="0" borderId="0" xfId="2" applyFont="1" applyFill="1" applyBorder="1" applyAlignment="1" applyProtection="1"/>
    <xf numFmtId="3" fontId="2" fillId="18" borderId="0" xfId="0" applyNumberFormat="1" applyFont="1" applyFill="1" applyBorder="1" applyAlignment="1" applyProtection="1"/>
    <xf numFmtId="3" fontId="16" fillId="20" borderId="16" xfId="0" applyNumberFormat="1" applyFont="1" applyFill="1" applyBorder="1" applyAlignment="1" applyProtection="1"/>
    <xf numFmtId="3" fontId="16" fillId="20" borderId="0" xfId="0" applyNumberFormat="1" applyFont="1" applyFill="1" applyBorder="1" applyAlignment="1" applyProtection="1"/>
    <xf numFmtId="9" fontId="16" fillId="20" borderId="17" xfId="2" applyFont="1" applyFill="1" applyBorder="1" applyAlignment="1" applyProtection="1"/>
    <xf numFmtId="9" fontId="16" fillId="18" borderId="17" xfId="2" applyFont="1" applyFill="1" applyBorder="1" applyAlignment="1" applyProtection="1"/>
    <xf numFmtId="165" fontId="0" fillId="0" borderId="0" xfId="0" applyNumberFormat="1" applyFill="1" applyBorder="1" applyAlignment="1" applyProtection="1"/>
    <xf numFmtId="9" fontId="16" fillId="19" borderId="17" xfId="2" applyFont="1" applyFill="1" applyBorder="1" applyAlignment="1" applyProtection="1"/>
    <xf numFmtId="9" fontId="16" fillId="0" borderId="0" xfId="2" applyFont="1" applyFill="1" applyBorder="1" applyAlignment="1" applyProtection="1"/>
    <xf numFmtId="3" fontId="3" fillId="20" borderId="27" xfId="0" applyNumberFormat="1" applyFont="1" applyFill="1" applyBorder="1" applyAlignment="1" applyProtection="1"/>
    <xf numFmtId="3" fontId="3" fillId="20" borderId="28" xfId="0" applyNumberFormat="1" applyFont="1" applyFill="1" applyBorder="1" applyAlignment="1" applyProtection="1"/>
    <xf numFmtId="9" fontId="3" fillId="20" borderId="29" xfId="2" applyFont="1" applyFill="1" applyBorder="1" applyAlignment="1" applyProtection="1"/>
    <xf numFmtId="9" fontId="3" fillId="18" borderId="29" xfId="2" applyFont="1" applyFill="1" applyBorder="1" applyAlignment="1" applyProtection="1"/>
    <xf numFmtId="9" fontId="3" fillId="19" borderId="29" xfId="2" applyFont="1" applyFill="1" applyBorder="1" applyAlignment="1" applyProtection="1"/>
    <xf numFmtId="9" fontId="0" fillId="0" borderId="0" xfId="2" applyFont="1" applyFill="1" applyBorder="1" applyAlignment="1" applyProtection="1"/>
    <xf numFmtId="0" fontId="3" fillId="0" borderId="23" xfId="0" applyFont="1" applyFill="1" applyBorder="1" applyAlignment="1" applyProtection="1">
      <alignment wrapText="1"/>
    </xf>
    <xf numFmtId="3" fontId="3" fillId="20" borderId="24" xfId="0" applyNumberFormat="1" applyFont="1" applyFill="1" applyBorder="1" applyAlignment="1" applyProtection="1"/>
    <xf numFmtId="3" fontId="3" fillId="20" borderId="4" xfId="0" applyNumberFormat="1" applyFont="1" applyFill="1" applyBorder="1" applyAlignment="1" applyProtection="1"/>
    <xf numFmtId="9" fontId="3" fillId="20" borderId="25" xfId="2" applyFont="1" applyFill="1" applyBorder="1" applyAlignment="1" applyProtection="1"/>
    <xf numFmtId="9" fontId="3" fillId="18" borderId="25" xfId="2" applyFont="1" applyFill="1" applyBorder="1" applyAlignment="1" applyProtection="1"/>
    <xf numFmtId="9" fontId="3" fillId="19" borderId="25" xfId="2" applyFont="1" applyFill="1" applyBorder="1" applyAlignment="1" applyProtection="1"/>
    <xf numFmtId="0" fontId="3" fillId="0" borderId="23" xfId="0" quotePrefix="1" applyFont="1" applyFill="1" applyBorder="1" applyAlignment="1" applyProtection="1">
      <alignment horizontal="left" wrapText="1"/>
    </xf>
    <xf numFmtId="3" fontId="3" fillId="20" borderId="31" xfId="0" applyNumberFormat="1" applyFont="1" applyFill="1" applyBorder="1" applyAlignment="1" applyProtection="1"/>
    <xf numFmtId="3" fontId="3" fillId="20" borderId="32" xfId="0" applyNumberFormat="1" applyFont="1" applyFill="1" applyBorder="1" applyAlignment="1" applyProtection="1"/>
    <xf numFmtId="9" fontId="3" fillId="20" borderId="33" xfId="2" applyFont="1" applyFill="1" applyBorder="1" applyAlignment="1" applyProtection="1"/>
    <xf numFmtId="9" fontId="3" fillId="18" borderId="33" xfId="2" applyFont="1" applyFill="1" applyBorder="1" applyAlignment="1" applyProtection="1"/>
    <xf numFmtId="9" fontId="3" fillId="19" borderId="33" xfId="2" applyFont="1" applyFill="1" applyBorder="1" applyAlignment="1" applyProtection="1"/>
    <xf numFmtId="0" fontId="3" fillId="0" borderId="23" xfId="0" quotePrefix="1" applyFont="1" applyFill="1" applyBorder="1" applyAlignment="1" applyProtection="1">
      <alignment horizontal="left"/>
    </xf>
    <xf numFmtId="0" fontId="3" fillId="0" borderId="34" xfId="0" applyFont="1" applyFill="1" applyBorder="1" applyAlignment="1" applyProtection="1"/>
    <xf numFmtId="3" fontId="3" fillId="20" borderId="35" xfId="0" applyNumberFormat="1" applyFont="1" applyFill="1" applyBorder="1" applyAlignment="1" applyProtection="1"/>
    <xf numFmtId="3" fontId="3" fillId="20" borderId="36" xfId="0" applyNumberFormat="1" applyFont="1" applyFill="1" applyBorder="1" applyAlignment="1" applyProtection="1"/>
    <xf numFmtId="9" fontId="3" fillId="20" borderId="37" xfId="2" applyFont="1" applyFill="1" applyBorder="1" applyAlignment="1" applyProtection="1"/>
    <xf numFmtId="9" fontId="3" fillId="18" borderId="37" xfId="2" applyFont="1" applyFill="1" applyBorder="1" applyAlignment="1" applyProtection="1"/>
    <xf numFmtId="9" fontId="3" fillId="19" borderId="37" xfId="2" applyFont="1" applyFill="1" applyBorder="1" applyAlignment="1" applyProtection="1"/>
    <xf numFmtId="3" fontId="3" fillId="20" borderId="24" xfId="0" applyNumberFormat="1" applyFont="1" applyFill="1" applyBorder="1" applyProtection="1"/>
    <xf numFmtId="9" fontId="3" fillId="20" borderId="25" xfId="2" applyFont="1" applyFill="1" applyBorder="1" applyProtection="1"/>
    <xf numFmtId="3" fontId="3" fillId="18" borderId="24" xfId="0" applyNumberFormat="1" applyFont="1" applyFill="1" applyBorder="1" applyProtection="1"/>
    <xf numFmtId="9" fontId="3" fillId="18" borderId="25" xfId="2" applyFont="1" applyFill="1" applyBorder="1" applyProtection="1"/>
    <xf numFmtId="3" fontId="3" fillId="19" borderId="24" xfId="0" applyNumberFormat="1" applyFont="1" applyFill="1" applyBorder="1"/>
    <xf numFmtId="9" fontId="3" fillId="19" borderId="25" xfId="2" applyFont="1" applyFill="1" applyBorder="1" applyProtection="1"/>
    <xf numFmtId="0" fontId="0" fillId="0" borderId="0" xfId="0" applyFill="1" applyBorder="1" applyAlignment="1" applyProtection="1">
      <alignment wrapText="1"/>
    </xf>
    <xf numFmtId="0" fontId="2" fillId="0" borderId="13" xfId="0" applyFont="1" applyFill="1" applyBorder="1" applyProtection="1"/>
    <xf numFmtId="0" fontId="2" fillId="0" borderId="16" xfId="0" applyFont="1" applyFill="1" applyBorder="1" applyAlignment="1" applyProtection="1">
      <alignment wrapText="1"/>
    </xf>
    <xf numFmtId="0" fontId="3" fillId="0" borderId="24" xfId="0" applyFont="1" applyFill="1" applyBorder="1" applyAlignment="1" applyProtection="1">
      <alignment wrapText="1"/>
    </xf>
    <xf numFmtId="0" fontId="3" fillId="0" borderId="18" xfId="0" applyFont="1" applyFill="1" applyBorder="1" applyAlignment="1" applyProtection="1">
      <alignment wrapText="1"/>
    </xf>
    <xf numFmtId="0" fontId="3" fillId="20" borderId="16" xfId="0" applyNumberFormat="1" applyFont="1" applyFill="1" applyBorder="1" applyAlignment="1" applyProtection="1">
      <alignment horizontal="right"/>
    </xf>
    <xf numFmtId="9" fontId="3" fillId="20" borderId="17" xfId="2" applyFont="1" applyFill="1" applyBorder="1" applyAlignment="1" applyProtection="1">
      <alignment horizontal="right"/>
    </xf>
    <xf numFmtId="3" fontId="3" fillId="18" borderId="17" xfId="0" applyNumberFormat="1" applyFont="1" applyFill="1" applyBorder="1" applyAlignment="1" applyProtection="1">
      <alignment horizontal="right"/>
    </xf>
    <xf numFmtId="0" fontId="3" fillId="0" borderId="34" xfId="0" applyFont="1" applyFill="1" applyBorder="1" applyAlignment="1" applyProtection="1">
      <alignment wrapText="1"/>
    </xf>
    <xf numFmtId="0" fontId="3" fillId="0" borderId="23" xfId="0" applyFont="1" applyFill="1" applyBorder="1" applyProtection="1"/>
    <xf numFmtId="166" fontId="12" fillId="0" borderId="21" xfId="0" applyNumberFormat="1" applyFont="1" applyFill="1" applyBorder="1" applyAlignment="1" applyProtection="1"/>
    <xf numFmtId="166" fontId="17" fillId="0" borderId="21" xfId="0" applyNumberFormat="1" applyFont="1" applyFill="1" applyBorder="1" applyAlignment="1" applyProtection="1">
      <alignment wrapText="1"/>
    </xf>
    <xf numFmtId="166" fontId="12" fillId="0" borderId="17" xfId="0" applyNumberFormat="1" applyFont="1" applyFill="1" applyBorder="1" applyAlignment="1" applyProtection="1"/>
    <xf numFmtId="166" fontId="17" fillId="0" borderId="17" xfId="0" applyNumberFormat="1" applyFont="1" applyFill="1" applyBorder="1" applyAlignment="1" applyProtection="1">
      <alignment wrapText="1"/>
    </xf>
    <xf numFmtId="0" fontId="47" fillId="0" borderId="21" xfId="0" applyNumberFormat="1" applyFont="1" applyFill="1" applyBorder="1" applyAlignment="1" applyProtection="1"/>
    <xf numFmtId="0" fontId="46" fillId="0" borderId="21" xfId="0" applyNumberFormat="1" applyFont="1" applyFill="1" applyBorder="1" applyAlignment="1" applyProtection="1">
      <alignment wrapText="1"/>
    </xf>
    <xf numFmtId="0" fontId="42" fillId="0" borderId="16" xfId="0" applyNumberFormat="1" applyFont="1" applyFill="1" applyBorder="1" applyAlignment="1" applyProtection="1">
      <alignment horizontal="left"/>
    </xf>
    <xf numFmtId="0" fontId="50" fillId="0" borderId="16" xfId="0" applyNumberFormat="1" applyFont="1" applyFill="1" applyBorder="1" applyAlignment="1" applyProtection="1">
      <alignment horizontal="left" wrapText="1"/>
    </xf>
    <xf numFmtId="0" fontId="50" fillId="0" borderId="16" xfId="0" applyNumberFormat="1" applyFont="1" applyFill="1" applyBorder="1" applyAlignment="1" applyProtection="1">
      <alignment horizontal="left"/>
    </xf>
    <xf numFmtId="3" fontId="3" fillId="19" borderId="14" xfId="0" applyNumberFormat="1" applyFont="1" applyFill="1" applyBorder="1" applyAlignment="1" applyProtection="1"/>
    <xf numFmtId="9" fontId="2" fillId="19" borderId="15" xfId="2" quotePrefix="1" applyFont="1" applyFill="1" applyBorder="1" applyAlignment="1" applyProtection="1">
      <alignment horizontal="right"/>
    </xf>
    <xf numFmtId="3" fontId="3" fillId="20" borderId="16" xfId="0" applyNumberFormat="1" applyFont="1" applyFill="1" applyBorder="1" applyAlignment="1" applyProtection="1"/>
    <xf numFmtId="9" fontId="2" fillId="19" borderId="17" xfId="2" quotePrefix="1" applyFont="1" applyFill="1" applyBorder="1" applyAlignment="1" applyProtection="1">
      <alignment horizontal="right"/>
    </xf>
    <xf numFmtId="3" fontId="2" fillId="19" borderId="17" xfId="0" applyNumberFormat="1" applyFont="1" applyFill="1" applyBorder="1"/>
    <xf numFmtId="3" fontId="2" fillId="19" borderId="17" xfId="0" applyNumberFormat="1" applyFont="1" applyFill="1" applyBorder="1" applyProtection="1"/>
    <xf numFmtId="3" fontId="2" fillId="20" borderId="24" xfId="0" applyNumberFormat="1" applyFont="1" applyFill="1" applyBorder="1" applyProtection="1"/>
    <xf numFmtId="3" fontId="3" fillId="19" borderId="25" xfId="0" applyNumberFormat="1" applyFont="1" applyFill="1" applyBorder="1" applyProtection="1"/>
    <xf numFmtId="3" fontId="3" fillId="19" borderId="29" xfId="0" applyNumberFormat="1" applyFont="1" applyFill="1" applyBorder="1" applyProtection="1"/>
    <xf numFmtId="9" fontId="2" fillId="20" borderId="17" xfId="2" quotePrefix="1" applyFont="1" applyFill="1" applyBorder="1" applyAlignment="1" applyProtection="1">
      <alignment horizontal="right"/>
    </xf>
    <xf numFmtId="3" fontId="2" fillId="20" borderId="17" xfId="0" applyNumberFormat="1" applyFont="1" applyFill="1" applyBorder="1" applyProtection="1"/>
    <xf numFmtId="3" fontId="2" fillId="20" borderId="25" xfId="0" applyNumberFormat="1" applyFont="1" applyFill="1" applyBorder="1" applyProtection="1"/>
    <xf numFmtId="3" fontId="3" fillId="20" borderId="25" xfId="0" applyNumberFormat="1" applyFont="1" applyFill="1" applyBorder="1" applyProtection="1"/>
    <xf numFmtId="3" fontId="3" fillId="20" borderId="29" xfId="0" applyNumberFormat="1" applyFont="1" applyFill="1" applyBorder="1" applyProtection="1"/>
    <xf numFmtId="3" fontId="3" fillId="20" borderId="17" xfId="0" applyNumberFormat="1" applyFont="1" applyFill="1" applyBorder="1" applyProtection="1"/>
    <xf numFmtId="174" fontId="3" fillId="20" borderId="25" xfId="2" applyNumberFormat="1" applyFont="1" applyFill="1" applyBorder="1" applyProtection="1"/>
    <xf numFmtId="174" fontId="2" fillId="20" borderId="17" xfId="2" applyNumberFormat="1" applyFont="1" applyFill="1" applyBorder="1" applyProtection="1"/>
    <xf numFmtId="174" fontId="2" fillId="20" borderId="25" xfId="2" applyNumberFormat="1" applyFont="1" applyFill="1" applyBorder="1" applyProtection="1"/>
    <xf numFmtId="3" fontId="3" fillId="20" borderId="43" xfId="0" applyNumberFormat="1" applyFont="1" applyFill="1" applyBorder="1" applyProtection="1"/>
    <xf numFmtId="9" fontId="2" fillId="18" borderId="15" xfId="2" quotePrefix="1" applyFont="1" applyFill="1" applyBorder="1" applyAlignment="1" applyProtection="1">
      <alignment horizontal="right"/>
    </xf>
    <xf numFmtId="3" fontId="3" fillId="18" borderId="16" xfId="0" applyNumberFormat="1" applyFont="1" applyFill="1" applyBorder="1" applyAlignment="1" applyProtection="1"/>
    <xf numFmtId="9" fontId="2" fillId="18" borderId="17" xfId="2" quotePrefix="1" applyFont="1" applyFill="1" applyBorder="1" applyAlignment="1" applyProtection="1">
      <alignment horizontal="right"/>
    </xf>
    <xf numFmtId="3" fontId="2" fillId="18" borderId="17" xfId="0" applyNumberFormat="1" applyFont="1" applyFill="1" applyBorder="1"/>
    <xf numFmtId="3" fontId="2" fillId="18" borderId="17" xfId="0" applyNumberFormat="1" applyFont="1" applyFill="1" applyBorder="1" applyProtection="1"/>
    <xf numFmtId="3" fontId="3" fillId="18" borderId="25" xfId="0" applyNumberFormat="1" applyFont="1" applyFill="1" applyBorder="1" applyProtection="1"/>
    <xf numFmtId="3" fontId="2" fillId="18" borderId="16" xfId="0" applyNumberFormat="1" applyFont="1" applyFill="1" applyBorder="1"/>
    <xf numFmtId="3" fontId="3" fillId="18" borderId="27" xfId="0" applyNumberFormat="1" applyFont="1" applyFill="1" applyBorder="1" applyProtection="1"/>
    <xf numFmtId="3" fontId="3" fillId="18" borderId="29" xfId="0" applyNumberFormat="1" applyFont="1" applyFill="1" applyBorder="1" applyProtection="1"/>
    <xf numFmtId="3" fontId="3" fillId="18" borderId="16" xfId="0" applyNumberFormat="1" applyFont="1" applyFill="1" applyBorder="1"/>
    <xf numFmtId="3" fontId="3" fillId="18" borderId="17" xfId="0" applyNumberFormat="1" applyFont="1" applyFill="1" applyBorder="1"/>
    <xf numFmtId="0" fontId="34" fillId="0" borderId="0" xfId="0" applyFont="1" applyFill="1" applyAlignment="1" applyProtection="1"/>
    <xf numFmtId="0" fontId="33" fillId="0" borderId="0" xfId="0" quotePrefix="1" applyFont="1" applyFill="1" applyAlignment="1" applyProtection="1">
      <alignment horizontal="right"/>
    </xf>
    <xf numFmtId="0" fontId="46" fillId="0" borderId="0" xfId="0" applyNumberFormat="1" applyFont="1" applyFill="1" applyAlignment="1" applyProtection="1"/>
    <xf numFmtId="0" fontId="50" fillId="0" borderId="0" xfId="0" applyNumberFormat="1" applyFont="1" applyFill="1" applyAlignment="1" applyProtection="1">
      <alignment horizontal="left"/>
    </xf>
    <xf numFmtId="0" fontId="12" fillId="0" borderId="0" xfId="0" applyNumberFormat="1" applyFont="1" applyFill="1" applyAlignment="1" applyProtection="1">
      <alignment horizontal="center"/>
    </xf>
    <xf numFmtId="0" fontId="42" fillId="0" borderId="0" xfId="0" applyNumberFormat="1" applyFont="1" applyFill="1" applyAlignment="1" applyProtection="1">
      <alignment horizontal="left"/>
    </xf>
    <xf numFmtId="0" fontId="47" fillId="0" borderId="13" xfId="0" applyNumberFormat="1" applyFont="1" applyFill="1" applyBorder="1" applyAlignment="1" applyProtection="1"/>
    <xf numFmtId="0" fontId="47" fillId="0" borderId="16" xfId="0" applyNumberFormat="1" applyFont="1" applyFill="1" applyBorder="1" applyAlignment="1" applyProtection="1"/>
    <xf numFmtId="0" fontId="47" fillId="0" borderId="18" xfId="0" applyNumberFormat="1" applyFont="1" applyFill="1" applyBorder="1" applyAlignment="1" applyProtection="1"/>
    <xf numFmtId="166" fontId="17" fillId="0" borderId="15" xfId="0" applyNumberFormat="1" applyFont="1" applyFill="1" applyBorder="1" applyAlignment="1" applyProtection="1"/>
    <xf numFmtId="0" fontId="46" fillId="0" borderId="20" xfId="0" applyNumberFormat="1" applyFont="1" applyFill="1" applyBorder="1" applyAlignment="1" applyProtection="1"/>
    <xf numFmtId="0" fontId="50" fillId="0" borderId="13" xfId="0" applyNumberFormat="1" applyFont="1" applyFill="1" applyBorder="1" applyAlignment="1" applyProtection="1">
      <alignment horizontal="left"/>
    </xf>
    <xf numFmtId="166" fontId="17" fillId="0" borderId="17" xfId="0" applyNumberFormat="1" applyFont="1" applyFill="1" applyBorder="1" applyAlignment="1" applyProtection="1"/>
    <xf numFmtId="0" fontId="46" fillId="0" borderId="21" xfId="0" applyNumberFormat="1" applyFont="1" applyFill="1" applyBorder="1" applyAlignment="1" applyProtection="1"/>
    <xf numFmtId="166" fontId="17" fillId="0" borderId="25" xfId="0" applyNumberFormat="1" applyFont="1" applyFill="1" applyBorder="1" applyAlignment="1" applyProtection="1"/>
    <xf numFmtId="0" fontId="46" fillId="0" borderId="23" xfId="0" applyNumberFormat="1" applyFont="1" applyFill="1" applyBorder="1" applyAlignment="1" applyProtection="1"/>
    <xf numFmtId="0" fontId="50" fillId="0" borderId="24" xfId="0" applyNumberFormat="1" applyFont="1" applyFill="1" applyBorder="1" applyAlignment="1" applyProtection="1">
      <alignment horizontal="left"/>
    </xf>
    <xf numFmtId="166" fontId="17" fillId="0" borderId="25" xfId="0" applyNumberFormat="1" applyFont="1" applyFill="1" applyBorder="1" applyAlignment="1" applyProtection="1">
      <alignment wrapText="1"/>
    </xf>
    <xf numFmtId="0" fontId="47" fillId="0" borderId="38" xfId="0" applyNumberFormat="1" applyFont="1" applyFill="1" applyBorder="1" applyAlignment="1" applyProtection="1">
      <alignment wrapText="1"/>
    </xf>
    <xf numFmtId="0" fontId="42" fillId="0" borderId="41" xfId="0" applyNumberFormat="1" applyFont="1" applyFill="1" applyBorder="1" applyAlignment="1" applyProtection="1">
      <alignment horizontal="left" wrapText="1"/>
    </xf>
    <xf numFmtId="0" fontId="17" fillId="0" borderId="17" xfId="0" applyFont="1" applyFill="1" applyBorder="1" applyAlignment="1" applyProtection="1"/>
    <xf numFmtId="0" fontId="34" fillId="0" borderId="21" xfId="0" applyFont="1" applyFill="1" applyBorder="1" applyAlignment="1" applyProtection="1">
      <alignment horizontal="right"/>
    </xf>
    <xf numFmtId="0" fontId="46" fillId="0" borderId="23" xfId="0" applyNumberFormat="1" applyFont="1" applyFill="1" applyBorder="1" applyAlignment="1" applyProtection="1">
      <alignment wrapText="1"/>
    </xf>
    <xf numFmtId="0" fontId="50" fillId="0" borderId="24" xfId="0" applyNumberFormat="1" applyFont="1" applyFill="1" applyBorder="1" applyAlignment="1" applyProtection="1">
      <alignment horizontal="left" wrapText="1"/>
    </xf>
    <xf numFmtId="0" fontId="17" fillId="0" borderId="21" xfId="0" applyNumberFormat="1" applyFont="1" applyFill="1" applyBorder="1" applyAlignment="1" applyProtection="1"/>
    <xf numFmtId="0" fontId="17" fillId="0" borderId="16" xfId="0" applyNumberFormat="1" applyFont="1" applyFill="1" applyBorder="1" applyAlignment="1" applyProtection="1">
      <alignment horizontal="left"/>
    </xf>
    <xf numFmtId="166" fontId="12" fillId="0" borderId="17" xfId="0" applyNumberFormat="1" applyFont="1" applyFill="1" applyBorder="1" applyAlignment="1" applyProtection="1">
      <alignment wrapText="1"/>
    </xf>
    <xf numFmtId="0" fontId="12" fillId="0" borderId="21" xfId="0" applyNumberFormat="1" applyFont="1" applyFill="1" applyBorder="1" applyAlignment="1" applyProtection="1">
      <alignment wrapText="1"/>
    </xf>
    <xf numFmtId="0" fontId="12" fillId="0" borderId="16" xfId="0" applyNumberFormat="1" applyFont="1" applyFill="1" applyBorder="1" applyAlignment="1" applyProtection="1">
      <alignment horizontal="left" wrapText="1"/>
    </xf>
    <xf numFmtId="166" fontId="12" fillId="0" borderId="21" xfId="0" applyNumberFormat="1" applyFont="1" applyFill="1" applyBorder="1" applyAlignment="1" applyProtection="1">
      <alignment wrapText="1"/>
    </xf>
    <xf numFmtId="0" fontId="17" fillId="0" borderId="21" xfId="0" applyNumberFormat="1" applyFont="1" applyFill="1" applyBorder="1" applyAlignment="1" applyProtection="1">
      <alignment wrapText="1"/>
    </xf>
    <xf numFmtId="0" fontId="17" fillId="0" borderId="16" xfId="0" applyNumberFormat="1" applyFont="1" applyFill="1" applyBorder="1" applyAlignment="1" applyProtection="1">
      <alignment horizontal="left" wrapText="1"/>
    </xf>
    <xf numFmtId="0" fontId="42" fillId="0" borderId="16" xfId="0" applyNumberFormat="1" applyFont="1" applyFill="1" applyBorder="1" applyAlignment="1" applyProtection="1">
      <alignment horizontal="left" wrapText="1"/>
    </xf>
    <xf numFmtId="0" fontId="47" fillId="0" borderId="21" xfId="0" applyNumberFormat="1" applyFont="1" applyFill="1" applyBorder="1" applyAlignment="1" applyProtection="1">
      <alignment wrapText="1"/>
    </xf>
    <xf numFmtId="166" fontId="17" fillId="0" borderId="25" xfId="0" quotePrefix="1" applyNumberFormat="1" applyFont="1" applyFill="1" applyBorder="1" applyAlignment="1" applyProtection="1">
      <alignment horizontal="left" wrapText="1"/>
    </xf>
    <xf numFmtId="0" fontId="46" fillId="0" borderId="23" xfId="0" quotePrefix="1" applyNumberFormat="1" applyFont="1" applyFill="1" applyBorder="1" applyAlignment="1" applyProtection="1">
      <alignment horizontal="left" wrapText="1"/>
    </xf>
    <xf numFmtId="0" fontId="50" fillId="0" borderId="24" xfId="0" quotePrefix="1" applyNumberFormat="1" applyFont="1" applyFill="1" applyBorder="1" applyAlignment="1" applyProtection="1">
      <alignment horizontal="left" wrapText="1"/>
    </xf>
    <xf numFmtId="0" fontId="47" fillId="0" borderId="23" xfId="0" applyNumberFormat="1" applyFont="1" applyFill="1" applyBorder="1" applyAlignment="1" applyProtection="1"/>
    <xf numFmtId="166" fontId="17" fillId="0" borderId="40" xfId="0" quotePrefix="1" applyNumberFormat="1" applyFont="1" applyFill="1" applyBorder="1" applyAlignment="1" applyProtection="1">
      <alignment horizontal="left" wrapText="1"/>
    </xf>
    <xf numFmtId="174" fontId="17" fillId="0" borderId="25" xfId="2" quotePrefix="1" applyNumberFormat="1" applyFont="1" applyFill="1" applyBorder="1" applyAlignment="1" applyProtection="1">
      <alignment horizontal="left" wrapText="1"/>
    </xf>
    <xf numFmtId="174" fontId="46" fillId="0" borderId="23" xfId="2" quotePrefix="1" applyNumberFormat="1" applyFont="1" applyFill="1" applyBorder="1" applyAlignment="1" applyProtection="1">
      <alignment horizontal="left" wrapText="1"/>
    </xf>
    <xf numFmtId="174" fontId="50" fillId="0" borderId="24" xfId="2" quotePrefix="1" applyNumberFormat="1" applyFont="1" applyFill="1" applyBorder="1" applyAlignment="1" applyProtection="1">
      <alignment horizontal="left" wrapText="1"/>
    </xf>
    <xf numFmtId="0" fontId="47" fillId="0" borderId="39" xfId="0" applyNumberFormat="1" applyFont="1" applyFill="1" applyBorder="1" applyAlignment="1" applyProtection="1">
      <alignment wrapText="1"/>
    </xf>
    <xf numFmtId="0" fontId="42" fillId="0" borderId="42" xfId="0" applyNumberFormat="1" applyFont="1" applyFill="1" applyBorder="1" applyAlignment="1" applyProtection="1">
      <alignment horizontal="left" wrapText="1"/>
    </xf>
    <xf numFmtId="166" fontId="12" fillId="0" borderId="17" xfId="0" quotePrefix="1" applyNumberFormat="1" applyFont="1" applyFill="1" applyBorder="1" applyAlignment="1" applyProtection="1">
      <alignment horizontal="left" wrapText="1"/>
    </xf>
    <xf numFmtId="166" fontId="17" fillId="0" borderId="17" xfId="0" quotePrefix="1" applyNumberFormat="1" applyFont="1" applyFill="1" applyBorder="1" applyAlignment="1" applyProtection="1">
      <alignment horizontal="left" wrapText="1"/>
    </xf>
    <xf numFmtId="0" fontId="46" fillId="0" borderId="21" xfId="0" quotePrefix="1" applyNumberFormat="1" applyFont="1" applyFill="1" applyBorder="1" applyAlignment="1" applyProtection="1">
      <alignment horizontal="left" wrapText="1"/>
    </xf>
    <xf numFmtId="0" fontId="50" fillId="0" borderId="16" xfId="0" quotePrefix="1" applyNumberFormat="1" applyFont="1" applyFill="1" applyBorder="1" applyAlignment="1" applyProtection="1">
      <alignment horizontal="left" wrapText="1"/>
    </xf>
    <xf numFmtId="0" fontId="47" fillId="0" borderId="21" xfId="0" applyNumberFormat="1" applyFont="1" applyFill="1" applyBorder="1" applyAlignment="1" applyProtection="1">
      <alignment horizontal="left" wrapText="1"/>
    </xf>
    <xf numFmtId="166" fontId="17" fillId="0" borderId="43" xfId="0" quotePrefix="1" applyNumberFormat="1" applyFont="1" applyFill="1" applyBorder="1" applyAlignment="1" applyProtection="1">
      <alignment horizontal="left" wrapText="1"/>
    </xf>
    <xf numFmtId="0" fontId="47" fillId="0" borderId="30" xfId="0" applyNumberFormat="1" applyFont="1" applyFill="1" applyBorder="1" applyAlignment="1" applyProtection="1"/>
    <xf numFmtId="0" fontId="12" fillId="0" borderId="17" xfId="0" quotePrefix="1" applyNumberFormat="1" applyFont="1" applyFill="1" applyBorder="1" applyAlignment="1" applyProtection="1">
      <alignment horizontal="left"/>
    </xf>
    <xf numFmtId="0" fontId="47" fillId="0" borderId="21" xfId="0" quotePrefix="1" applyNumberFormat="1" applyFont="1" applyFill="1" applyBorder="1" applyAlignment="1" applyProtection="1">
      <alignment horizontal="left" wrapText="1"/>
    </xf>
    <xf numFmtId="0" fontId="42" fillId="0" borderId="16" xfId="0" quotePrefix="1" applyNumberFormat="1" applyFont="1" applyFill="1" applyBorder="1" applyAlignment="1" applyProtection="1">
      <alignment horizontal="left" wrapText="1"/>
    </xf>
    <xf numFmtId="166" fontId="12" fillId="0" borderId="21" xfId="0" quotePrefix="1" applyNumberFormat="1" applyFont="1" applyFill="1" applyBorder="1" applyAlignment="1" applyProtection="1">
      <alignment horizontal="left" wrapText="1"/>
    </xf>
    <xf numFmtId="166" fontId="12" fillId="0" borderId="21" xfId="0" applyNumberFormat="1" applyFont="1" applyFill="1" applyBorder="1" applyAlignment="1" applyProtection="1">
      <alignment horizontal="left" wrapText="1"/>
    </xf>
    <xf numFmtId="166" fontId="17" fillId="0" borderId="21" xfId="0" applyNumberFormat="1" applyFont="1" applyFill="1" applyBorder="1" applyAlignment="1" applyProtection="1"/>
    <xf numFmtId="166" fontId="12" fillId="0" borderId="21" xfId="0" applyNumberFormat="1" applyFont="1" applyFill="1" applyBorder="1" applyAlignment="1" applyProtection="1">
      <alignment horizontal="left"/>
    </xf>
    <xf numFmtId="9" fontId="12" fillId="0" borderId="21" xfId="0" applyNumberFormat="1" applyFont="1" applyFill="1" applyBorder="1" applyAlignment="1" applyProtection="1"/>
    <xf numFmtId="0" fontId="42" fillId="0" borderId="16" xfId="0" applyNumberFormat="1" applyFont="1" applyFill="1" applyBorder="1" applyAlignment="1" applyProtection="1"/>
    <xf numFmtId="0" fontId="47" fillId="0" borderId="21" xfId="0" applyNumberFormat="1" applyFont="1" applyFill="1" applyBorder="1" applyAlignment="1" applyProtection="1">
      <alignment horizontal="left"/>
    </xf>
    <xf numFmtId="0" fontId="49" fillId="0" borderId="21" xfId="0" applyNumberFormat="1" applyFont="1" applyFill="1" applyBorder="1" applyAlignment="1" applyProtection="1">
      <alignment horizontal="left" wrapText="1"/>
    </xf>
    <xf numFmtId="166" fontId="12" fillId="0" borderId="21" xfId="0" quotePrefix="1" applyNumberFormat="1" applyFont="1" applyFill="1" applyBorder="1" applyAlignment="1" applyProtection="1">
      <alignment horizontal="left"/>
    </xf>
    <xf numFmtId="0" fontId="47" fillId="0" borderId="21" xfId="0" quotePrefix="1" applyNumberFormat="1" applyFont="1" applyFill="1" applyBorder="1" applyAlignment="1" applyProtection="1">
      <alignment horizontal="left"/>
    </xf>
    <xf numFmtId="0" fontId="42" fillId="0" borderId="16" xfId="0" quotePrefix="1" applyNumberFormat="1" applyFont="1" applyFill="1" applyBorder="1" applyAlignment="1" applyProtection="1">
      <alignment horizontal="left"/>
    </xf>
    <xf numFmtId="0" fontId="46" fillId="0" borderId="23" xfId="0" quotePrefix="1" applyNumberFormat="1" applyFont="1" applyFill="1" applyBorder="1" applyAlignment="1" applyProtection="1">
      <alignment wrapText="1"/>
    </xf>
    <xf numFmtId="0" fontId="42" fillId="0" borderId="24" xfId="0" applyNumberFormat="1" applyFont="1" applyFill="1" applyBorder="1" applyAlignment="1" applyProtection="1">
      <alignment horizontal="left"/>
    </xf>
    <xf numFmtId="0" fontId="34" fillId="0" borderId="0" xfId="0" applyFont="1" applyFill="1" applyBorder="1" applyAlignment="1" applyProtection="1"/>
    <xf numFmtId="166" fontId="13" fillId="0" borderId="0" xfId="0" applyNumberFormat="1" applyFont="1" applyFill="1" applyBorder="1" applyAlignment="1" applyProtection="1"/>
    <xf numFmtId="0" fontId="48" fillId="0" borderId="0" xfId="0" applyNumberFormat="1" applyFont="1" applyFill="1" applyBorder="1" applyAlignment="1" applyProtection="1"/>
    <xf numFmtId="0" fontId="51" fillId="0" borderId="0" xfId="0" applyNumberFormat="1" applyFont="1" applyFill="1" applyBorder="1" applyAlignment="1" applyProtection="1">
      <alignment horizontal="left"/>
    </xf>
    <xf numFmtId="166" fontId="13" fillId="0" borderId="14" xfId="0" applyNumberFormat="1" applyFont="1" applyFill="1" applyBorder="1" applyAlignment="1" applyProtection="1"/>
    <xf numFmtId="0" fontId="46" fillId="0" borderId="14" xfId="0" applyNumberFormat="1" applyFont="1" applyFill="1" applyBorder="1" applyAlignment="1" applyProtection="1"/>
    <xf numFmtId="0" fontId="50" fillId="0" borderId="14" xfId="0" applyNumberFormat="1" applyFont="1" applyFill="1" applyBorder="1" applyAlignment="1" applyProtection="1">
      <alignment horizontal="left"/>
    </xf>
    <xf numFmtId="3" fontId="3" fillId="0" borderId="14" xfId="0" applyNumberFormat="1" applyFont="1" applyFill="1" applyBorder="1" applyAlignment="1" applyProtection="1">
      <alignment vertical="top"/>
    </xf>
    <xf numFmtId="2" fontId="3" fillId="0" borderId="14" xfId="0" applyNumberFormat="1" applyFont="1" applyFill="1" applyBorder="1" applyAlignment="1" applyProtection="1">
      <alignment vertical="top"/>
    </xf>
    <xf numFmtId="3" fontId="3" fillId="19" borderId="16" xfId="0" applyNumberFormat="1" applyFont="1" applyFill="1" applyBorder="1" applyAlignment="1" applyProtection="1">
      <alignment vertical="top"/>
    </xf>
    <xf numFmtId="3" fontId="3" fillId="19" borderId="0" xfId="0" applyNumberFormat="1" applyFont="1" applyFill="1" applyBorder="1" applyAlignment="1" applyProtection="1">
      <alignment vertical="top"/>
    </xf>
    <xf numFmtId="2" fontId="3" fillId="19" borderId="17" xfId="0" applyNumberFormat="1" applyFont="1" applyFill="1" applyBorder="1" applyAlignment="1" applyProtection="1">
      <alignment vertical="top"/>
    </xf>
    <xf numFmtId="3" fontId="2" fillId="19" borderId="0" xfId="0" applyNumberFormat="1" applyFont="1" applyFill="1" applyBorder="1" applyAlignment="1" applyProtection="1">
      <alignment vertical="top"/>
    </xf>
    <xf numFmtId="3" fontId="3" fillId="18" borderId="16" xfId="0" applyNumberFormat="1" applyFont="1" applyFill="1" applyBorder="1" applyAlignment="1" applyProtection="1">
      <alignment vertical="top"/>
    </xf>
    <xf numFmtId="3" fontId="3" fillId="18" borderId="0" xfId="0" applyNumberFormat="1" applyFont="1" applyFill="1" applyBorder="1" applyAlignment="1" applyProtection="1">
      <alignment vertical="top"/>
    </xf>
    <xf numFmtId="2" fontId="3" fillId="18" borderId="17" xfId="0" applyNumberFormat="1" applyFont="1" applyFill="1" applyBorder="1" applyAlignment="1" applyProtection="1">
      <alignment vertical="top"/>
    </xf>
    <xf numFmtId="3" fontId="2" fillId="18" borderId="0" xfId="0" applyNumberFormat="1" applyFont="1" applyFill="1" applyBorder="1" applyAlignment="1" applyProtection="1">
      <alignment vertical="top"/>
    </xf>
    <xf numFmtId="3" fontId="3" fillId="20" borderId="16" xfId="0" applyNumberFormat="1" applyFont="1" applyFill="1" applyBorder="1" applyAlignment="1" applyProtection="1">
      <alignment vertical="top"/>
    </xf>
    <xf numFmtId="3" fontId="3" fillId="20" borderId="0" xfId="0" applyNumberFormat="1" applyFont="1" applyFill="1" applyBorder="1" applyAlignment="1" applyProtection="1">
      <alignment vertical="top"/>
    </xf>
    <xf numFmtId="2" fontId="3" fillId="20" borderId="17" xfId="0" applyNumberFormat="1" applyFont="1" applyFill="1" applyBorder="1" applyAlignment="1" applyProtection="1">
      <alignment vertical="top"/>
    </xf>
    <xf numFmtId="0" fontId="0" fillId="20" borderId="16" xfId="0" applyFill="1" applyBorder="1" applyAlignment="1" applyProtection="1">
      <alignment vertical="top"/>
    </xf>
    <xf numFmtId="3" fontId="2" fillId="20" borderId="0" xfId="0" applyNumberFormat="1" applyFont="1" applyFill="1" applyBorder="1" applyAlignment="1" applyProtection="1">
      <alignment vertical="top"/>
    </xf>
    <xf numFmtId="0" fontId="0" fillId="20" borderId="0" xfId="0" applyFill="1" applyBorder="1" applyAlignment="1" applyProtection="1">
      <alignment vertical="top"/>
    </xf>
    <xf numFmtId="0" fontId="0" fillId="20" borderId="17" xfId="0" applyFill="1" applyBorder="1" applyAlignment="1" applyProtection="1">
      <alignment vertical="top"/>
    </xf>
    <xf numFmtId="3" fontId="2" fillId="20" borderId="16" xfId="0" applyNumberFormat="1" applyFont="1" applyFill="1" applyBorder="1" applyAlignment="1" applyProtection="1">
      <alignment vertical="top"/>
    </xf>
    <xf numFmtId="2" fontId="2" fillId="20" borderId="17" xfId="0" applyNumberFormat="1" applyFont="1" applyFill="1" applyBorder="1" applyAlignment="1" applyProtection="1">
      <alignment vertical="top"/>
    </xf>
    <xf numFmtId="0" fontId="0" fillId="20" borderId="16" xfId="0" applyFill="1" applyBorder="1" applyAlignment="1" applyProtection="1">
      <alignment vertical="center"/>
    </xf>
    <xf numFmtId="3" fontId="2" fillId="20" borderId="0" xfId="0" applyNumberFormat="1" applyFont="1" applyFill="1" applyBorder="1" applyAlignment="1" applyProtection="1">
      <alignment vertical="center"/>
    </xf>
    <xf numFmtId="2" fontId="2" fillId="20" borderId="17" xfId="0" applyNumberFormat="1" applyFont="1" applyFill="1" applyBorder="1" applyAlignment="1" applyProtection="1">
      <alignment vertical="center"/>
    </xf>
    <xf numFmtId="3" fontId="3" fillId="20" borderId="16" xfId="0" applyNumberFormat="1" applyFont="1" applyFill="1" applyBorder="1" applyAlignment="1" applyProtection="1"/>
    <xf numFmtId="3" fontId="30" fillId="20" borderId="0" xfId="0" applyNumberFormat="1" applyFont="1" applyFill="1" applyBorder="1" applyAlignment="1" applyProtection="1"/>
    <xf numFmtId="2" fontId="30" fillId="20" borderId="17" xfId="0" applyNumberFormat="1" applyFont="1" applyFill="1" applyBorder="1" applyAlignment="1" applyProtection="1"/>
    <xf numFmtId="3" fontId="30" fillId="20" borderId="0" xfId="0" applyNumberFormat="1" applyFont="1" applyFill="1" applyBorder="1" applyAlignment="1" applyProtection="1">
      <alignment vertical="top"/>
    </xf>
    <xf numFmtId="2" fontId="30" fillId="20" borderId="17" xfId="0" applyNumberFormat="1" applyFont="1" applyFill="1" applyBorder="1" applyAlignment="1" applyProtection="1">
      <alignment vertical="top"/>
    </xf>
    <xf numFmtId="3" fontId="29" fillId="20" borderId="0" xfId="0" applyNumberFormat="1" applyFont="1" applyFill="1" applyBorder="1" applyAlignment="1" applyProtection="1">
      <alignment vertical="top"/>
    </xf>
    <xf numFmtId="3" fontId="29" fillId="20" borderId="17" xfId="0" applyNumberFormat="1" applyFont="1" applyFill="1" applyBorder="1" applyAlignment="1" applyProtection="1">
      <alignment vertical="top"/>
    </xf>
    <xf numFmtId="3" fontId="30" fillId="20" borderId="17" xfId="0" applyNumberFormat="1" applyFont="1" applyFill="1" applyBorder="1" applyAlignment="1" applyProtection="1"/>
    <xf numFmtId="3" fontId="2" fillId="20" borderId="17" xfId="0" applyNumberFormat="1" applyFont="1" applyFill="1" applyBorder="1" applyAlignment="1" applyProtection="1"/>
    <xf numFmtId="3" fontId="3" fillId="20" borderId="17" xfId="0" applyNumberFormat="1" applyFont="1" applyFill="1" applyBorder="1" applyAlignment="1" applyProtection="1">
      <alignment vertical="top"/>
    </xf>
    <xf numFmtId="2" fontId="2" fillId="19" borderId="17" xfId="0" applyNumberFormat="1" applyFont="1" applyFill="1" applyBorder="1" applyAlignment="1" applyProtection="1">
      <alignment vertical="top"/>
    </xf>
    <xf numFmtId="3" fontId="3" fillId="19" borderId="17" xfId="0" applyNumberFormat="1" applyFont="1" applyFill="1" applyBorder="1" applyAlignment="1" applyProtection="1">
      <alignment vertical="top"/>
    </xf>
    <xf numFmtId="3" fontId="3" fillId="18" borderId="16" xfId="0" quotePrefix="1" applyNumberFormat="1" applyFont="1" applyFill="1" applyBorder="1" applyAlignment="1" applyProtection="1">
      <alignment vertical="top"/>
    </xf>
    <xf numFmtId="3" fontId="2" fillId="18" borderId="16" xfId="0" applyNumberFormat="1" applyFont="1" applyFill="1" applyBorder="1" applyAlignment="1" applyProtection="1">
      <alignment vertical="top"/>
    </xf>
    <xf numFmtId="2" fontId="2" fillId="18" borderId="17" xfId="0" applyNumberFormat="1" applyFont="1" applyFill="1" applyBorder="1" applyAlignment="1" applyProtection="1">
      <alignment vertical="top"/>
    </xf>
    <xf numFmtId="174" fontId="5" fillId="18" borderId="16" xfId="0" applyNumberFormat="1" applyFont="1" applyFill="1" applyBorder="1" applyAlignment="1" applyProtection="1">
      <alignment horizontal="center" vertical="center"/>
    </xf>
    <xf numFmtId="174" fontId="5" fillId="18" borderId="0" xfId="0" applyNumberFormat="1" applyFont="1" applyFill="1" applyBorder="1" applyAlignment="1" applyProtection="1">
      <alignment horizontal="center" vertical="center"/>
    </xf>
    <xf numFmtId="174" fontId="5" fillId="18" borderId="17" xfId="0" applyNumberFormat="1" applyFont="1" applyFill="1" applyBorder="1" applyAlignment="1" applyProtection="1">
      <alignment horizontal="center" vertical="center"/>
    </xf>
    <xf numFmtId="3" fontId="3" fillId="18" borderId="17" xfId="0" applyNumberFormat="1" applyFont="1" applyFill="1" applyBorder="1" applyAlignment="1" applyProtection="1">
      <alignment vertical="top"/>
    </xf>
    <xf numFmtId="10" fontId="3" fillId="19" borderId="0" xfId="0" applyNumberFormat="1" applyFont="1" applyFill="1" applyBorder="1" applyAlignment="1" applyProtection="1">
      <alignment vertical="top"/>
    </xf>
    <xf numFmtId="2" fontId="3" fillId="19" borderId="0" xfId="0" applyNumberFormat="1" applyFont="1" applyFill="1" applyBorder="1" applyAlignment="1" applyProtection="1">
      <alignment vertical="top"/>
    </xf>
    <xf numFmtId="1" fontId="30" fillId="19" borderId="17" xfId="0" quotePrefix="1" applyNumberFormat="1" applyFont="1" applyFill="1" applyBorder="1" applyAlignment="1" applyProtection="1">
      <alignment vertical="top" wrapText="1"/>
    </xf>
    <xf numFmtId="3" fontId="2" fillId="19" borderId="17" xfId="0" applyNumberFormat="1" applyFont="1" applyFill="1" applyBorder="1" applyAlignment="1" applyProtection="1">
      <alignment vertical="top"/>
    </xf>
    <xf numFmtId="3" fontId="3" fillId="19" borderId="0" xfId="0" applyNumberFormat="1" applyFont="1" applyFill="1" applyBorder="1" applyAlignment="1" applyProtection="1">
      <alignment vertical="center"/>
    </xf>
    <xf numFmtId="3" fontId="2" fillId="19" borderId="0" xfId="0" applyNumberFormat="1" applyFont="1" applyFill="1" applyBorder="1" applyAlignment="1" applyProtection="1">
      <alignment vertical="center"/>
    </xf>
    <xf numFmtId="2" fontId="2" fillId="19" borderId="17" xfId="0" applyNumberFormat="1" applyFont="1" applyFill="1" applyBorder="1" applyAlignment="1" applyProtection="1">
      <alignment vertical="center"/>
    </xf>
    <xf numFmtId="3" fontId="20" fillId="19" borderId="0" xfId="0" applyNumberFormat="1" applyFont="1" applyFill="1" applyBorder="1" applyAlignment="1" applyProtection="1">
      <alignment vertical="center"/>
    </xf>
    <xf numFmtId="10" fontId="3" fillId="19" borderId="17" xfId="0" applyNumberFormat="1" applyFont="1" applyFill="1" applyBorder="1" applyAlignment="1" applyProtection="1">
      <alignment vertical="top"/>
    </xf>
    <xf numFmtId="10" fontId="3" fillId="18" borderId="16" xfId="0" applyNumberFormat="1" applyFont="1" applyFill="1" applyBorder="1" applyAlignment="1" applyProtection="1">
      <alignment vertical="top"/>
    </xf>
    <xf numFmtId="10" fontId="3" fillId="18" borderId="0" xfId="0" applyNumberFormat="1" applyFont="1" applyFill="1" applyBorder="1" applyAlignment="1" applyProtection="1">
      <alignment vertical="top"/>
    </xf>
    <xf numFmtId="10" fontId="3" fillId="18" borderId="17" xfId="0" applyNumberFormat="1" applyFont="1" applyFill="1" applyBorder="1" applyAlignment="1" applyProtection="1">
      <alignment vertical="top"/>
    </xf>
    <xf numFmtId="10" fontId="3" fillId="18" borderId="46" xfId="0" applyNumberFormat="1" applyFont="1" applyFill="1" applyBorder="1" applyAlignment="1" applyProtection="1">
      <alignment horizontal="right"/>
    </xf>
    <xf numFmtId="10" fontId="3" fillId="18" borderId="47" xfId="0" applyNumberFormat="1" applyFont="1" applyFill="1" applyBorder="1" applyAlignment="1" applyProtection="1">
      <alignment horizontal="right"/>
    </xf>
    <xf numFmtId="10" fontId="3" fillId="18" borderId="48" xfId="0" applyNumberFormat="1" applyFont="1" applyFill="1" applyBorder="1" applyAlignment="1" applyProtection="1">
      <alignment horizontal="right"/>
    </xf>
    <xf numFmtId="0" fontId="2" fillId="20" borderId="16" xfId="0" applyFont="1" applyFill="1" applyBorder="1" applyAlignment="1" applyProtection="1">
      <alignment vertical="top"/>
    </xf>
    <xf numFmtId="10" fontId="2" fillId="18" borderId="16" xfId="0" applyNumberFormat="1" applyFont="1" applyFill="1" applyBorder="1" applyAlignment="1" applyProtection="1">
      <alignment vertical="top"/>
    </xf>
    <xf numFmtId="10" fontId="2" fillId="18" borderId="0" xfId="0" applyNumberFormat="1" applyFont="1" applyFill="1" applyBorder="1" applyAlignment="1" applyProtection="1">
      <alignment vertical="top"/>
    </xf>
    <xf numFmtId="10" fontId="2" fillId="18" borderId="17" xfId="0" applyNumberFormat="1" applyFont="1" applyFill="1" applyBorder="1" applyAlignment="1" applyProtection="1">
      <alignment vertical="top"/>
    </xf>
    <xf numFmtId="3" fontId="3" fillId="18" borderId="16" xfId="0" applyNumberFormat="1" applyFont="1" applyFill="1" applyBorder="1" applyAlignment="1" applyProtection="1">
      <alignment horizontal="right" vertical="top"/>
    </xf>
    <xf numFmtId="3" fontId="3" fillId="18" borderId="0" xfId="0" applyNumberFormat="1" applyFont="1" applyFill="1" applyBorder="1" applyAlignment="1" applyProtection="1">
      <alignment horizontal="right" vertical="top"/>
    </xf>
    <xf numFmtId="2" fontId="3" fillId="18" borderId="17" xfId="0" applyNumberFormat="1" applyFont="1" applyFill="1" applyBorder="1" applyAlignment="1" applyProtection="1">
      <alignment horizontal="right" vertical="top"/>
    </xf>
    <xf numFmtId="3" fontId="3" fillId="19" borderId="0" xfId="0" applyNumberFormat="1" applyFont="1" applyFill="1" applyBorder="1" applyAlignment="1" applyProtection="1">
      <alignment horizontal="right" vertical="top"/>
    </xf>
    <xf numFmtId="2" fontId="3" fillId="19" borderId="17" xfId="0" applyNumberFormat="1" applyFont="1" applyFill="1" applyBorder="1" applyAlignment="1" applyProtection="1">
      <alignment horizontal="right" vertical="top"/>
    </xf>
    <xf numFmtId="3" fontId="3" fillId="20" borderId="33" xfId="0" applyNumberFormat="1" applyFont="1" applyFill="1" applyBorder="1" applyProtection="1"/>
    <xf numFmtId="3" fontId="3" fillId="20" borderId="31" xfId="0" applyNumberFormat="1" applyFont="1" applyFill="1" applyBorder="1" applyAlignment="1" applyProtection="1">
      <alignment vertical="top"/>
    </xf>
    <xf numFmtId="3" fontId="3" fillId="20" borderId="32" xfId="0" applyNumberFormat="1" applyFont="1" applyFill="1" applyBorder="1" applyAlignment="1" applyProtection="1">
      <alignment vertical="top"/>
    </xf>
    <xf numFmtId="2" fontId="3" fillId="20" borderId="33" xfId="0" applyNumberFormat="1" applyFont="1" applyFill="1" applyBorder="1" applyAlignment="1" applyProtection="1">
      <alignment vertical="center"/>
    </xf>
    <xf numFmtId="4" fontId="3" fillId="19" borderId="32" xfId="0" applyNumberFormat="1" applyFont="1" applyFill="1" applyBorder="1" applyAlignment="1" applyProtection="1">
      <alignment horizontal="center" vertical="top"/>
    </xf>
    <xf numFmtId="3" fontId="3" fillId="19" borderId="32" xfId="0" applyNumberFormat="1" applyFont="1" applyFill="1" applyBorder="1" applyAlignment="1" applyProtection="1">
      <alignment horizontal="center" vertical="top"/>
    </xf>
    <xf numFmtId="2" fontId="3" fillId="19" borderId="33" xfId="0" applyNumberFormat="1" applyFont="1" applyFill="1" applyBorder="1" applyAlignment="1" applyProtection="1">
      <alignment horizontal="center" vertical="top"/>
    </xf>
    <xf numFmtId="166" fontId="17" fillId="0" borderId="21" xfId="0" quotePrefix="1" applyNumberFormat="1" applyFont="1" applyFill="1" applyBorder="1" applyAlignment="1" applyProtection="1">
      <alignment horizontal="left" wrapText="1"/>
    </xf>
    <xf numFmtId="170" fontId="52" fillId="0" borderId="0" xfId="0" quotePrefix="1" applyNumberFormat="1" applyFont="1" applyFill="1" applyAlignment="1" applyProtection="1">
      <alignment horizontal="left"/>
    </xf>
    <xf numFmtId="170" fontId="52" fillId="0" borderId="0" xfId="0" quotePrefix="1" applyNumberFormat="1" applyFont="1" applyFill="1" applyAlignment="1" applyProtection="1">
      <alignment horizontal="left" vertical="top"/>
    </xf>
    <xf numFmtId="0" fontId="2" fillId="0" borderId="0" xfId="0" applyFont="1" applyBorder="1" applyAlignment="1">
      <alignment horizontal="left"/>
    </xf>
    <xf numFmtId="0" fontId="9" fillId="0" borderId="0" xfId="0" applyFont="1" applyBorder="1" applyAlignment="1">
      <alignment horizontal="left"/>
    </xf>
    <xf numFmtId="0" fontId="9" fillId="0" borderId="0" xfId="0" applyFont="1" applyBorder="1" applyAlignment="1">
      <alignment horizontal="right"/>
    </xf>
    <xf numFmtId="0" fontId="9" fillId="0" borderId="0" xfId="0" applyFont="1" applyFill="1" applyBorder="1" applyAlignment="1">
      <alignment horizontal="left"/>
    </xf>
    <xf numFmtId="0" fontId="3" fillId="20" borderId="19" xfId="2" applyNumberFormat="1" applyFont="1" applyFill="1" applyBorder="1" applyAlignment="1" applyProtection="1">
      <alignment horizontal="right"/>
    </xf>
    <xf numFmtId="0" fontId="3" fillId="18" borderId="19" xfId="2" applyNumberFormat="1" applyFont="1" applyFill="1" applyBorder="1" applyAlignment="1" applyProtection="1">
      <alignment horizontal="right"/>
    </xf>
    <xf numFmtId="0" fontId="3" fillId="19" borderId="19" xfId="2" applyNumberFormat="1" applyFont="1" applyFill="1" applyBorder="1" applyAlignment="1" applyProtection="1">
      <alignment horizontal="right"/>
    </xf>
    <xf numFmtId="0" fontId="8" fillId="0" borderId="13" xfId="0" quotePrefix="1" applyFont="1" applyBorder="1"/>
    <xf numFmtId="0" fontId="8" fillId="0" borderId="14" xfId="0" applyFont="1" applyBorder="1" applyAlignment="1">
      <alignment horizontal="left"/>
    </xf>
    <xf numFmtId="0" fontId="8" fillId="0" borderId="15" xfId="0" applyFont="1" applyBorder="1" applyAlignment="1">
      <alignment horizontal="left"/>
    </xf>
    <xf numFmtId="0" fontId="3" fillId="0" borderId="16" xfId="0" applyFont="1" applyBorder="1"/>
    <xf numFmtId="0" fontId="3" fillId="0" borderId="0" xfId="0" applyFont="1" applyBorder="1"/>
    <xf numFmtId="0" fontId="2" fillId="0" borderId="17" xfId="0" applyFont="1" applyBorder="1"/>
    <xf numFmtId="0" fontId="0" fillId="0" borderId="16" xfId="0" applyBorder="1"/>
    <xf numFmtId="0" fontId="0" fillId="0" borderId="17" xfId="0" applyBorder="1"/>
    <xf numFmtId="0" fontId="39" fillId="0" borderId="16" xfId="0" applyFont="1" applyBorder="1"/>
    <xf numFmtId="0" fontId="8" fillId="0" borderId="16" xfId="0" quotePrefix="1" applyFont="1" applyBorder="1"/>
    <xf numFmtId="0" fontId="8" fillId="0" borderId="17" xfId="0" applyFont="1" applyBorder="1" applyAlignment="1">
      <alignment horizontal="left"/>
    </xf>
    <xf numFmtId="0" fontId="2" fillId="0" borderId="16" xfId="0" applyFont="1" applyBorder="1"/>
    <xf numFmtId="0" fontId="8" fillId="0" borderId="0" xfId="0" applyFont="1" applyBorder="1" applyAlignment="1"/>
    <xf numFmtId="0" fontId="0" fillId="0" borderId="18" xfId="0" applyBorder="1"/>
    <xf numFmtId="0" fontId="0" fillId="0" borderId="8" xfId="0" applyBorder="1"/>
    <xf numFmtId="0" fontId="0" fillId="0" borderId="19" xfId="0" applyBorder="1"/>
    <xf numFmtId="0" fontId="9" fillId="0" borderId="20" xfId="0" applyFont="1" applyFill="1" applyBorder="1" applyAlignment="1">
      <alignment horizontal="left"/>
    </xf>
    <xf numFmtId="0" fontId="9" fillId="0" borderId="21" xfId="0" applyFont="1" applyFill="1" applyBorder="1" applyAlignment="1">
      <alignment horizontal="left"/>
    </xf>
    <xf numFmtId="0" fontId="9" fillId="0" borderId="22" xfId="0" applyFont="1" applyFill="1" applyBorder="1" applyAlignment="1">
      <alignment horizontal="left"/>
    </xf>
    <xf numFmtId="0" fontId="26" fillId="0" borderId="20" xfId="0" applyFont="1" applyBorder="1" applyAlignment="1">
      <alignment horizontal="left"/>
    </xf>
    <xf numFmtId="0" fontId="2" fillId="0" borderId="21" xfId="0" applyFont="1" applyBorder="1" applyAlignment="1">
      <alignment horizontal="left"/>
    </xf>
    <xf numFmtId="0" fontId="0" fillId="0" borderId="21" xfId="0" applyBorder="1" applyAlignment="1">
      <alignment horizontal="left"/>
    </xf>
    <xf numFmtId="0" fontId="26" fillId="0" borderId="21" xfId="0" applyFont="1" applyBorder="1" applyAlignment="1">
      <alignment horizontal="left"/>
    </xf>
    <xf numFmtId="0" fontId="0" fillId="0" borderId="22" xfId="0" applyBorder="1" applyAlignment="1">
      <alignment horizontal="left"/>
    </xf>
    <xf numFmtId="0" fontId="8" fillId="18" borderId="13" xfId="0" applyFont="1" applyFill="1" applyBorder="1"/>
    <xf numFmtId="0" fontId="8" fillId="18" borderId="14" xfId="0" applyFont="1" applyFill="1" applyBorder="1"/>
    <xf numFmtId="0" fontId="8" fillId="18" borderId="15" xfId="0" applyFont="1" applyFill="1" applyBorder="1"/>
    <xf numFmtId="3" fontId="0" fillId="18" borderId="16" xfId="0" applyNumberFormat="1" applyFill="1" applyBorder="1"/>
    <xf numFmtId="3" fontId="0" fillId="18" borderId="0" xfId="0" applyNumberFormat="1" applyFill="1" applyBorder="1"/>
    <xf numFmtId="3" fontId="0" fillId="18" borderId="17" xfId="0" applyNumberFormat="1" applyFill="1" applyBorder="1"/>
    <xf numFmtId="0" fontId="0" fillId="18" borderId="16" xfId="0" applyFill="1" applyBorder="1"/>
    <xf numFmtId="0" fontId="0" fillId="18" borderId="0" xfId="0" applyFill="1" applyBorder="1"/>
    <xf numFmtId="0" fontId="0" fillId="18" borderId="17" xfId="0" applyFill="1" applyBorder="1"/>
    <xf numFmtId="0" fontId="8" fillId="18" borderId="16" xfId="0" applyFont="1" applyFill="1" applyBorder="1"/>
    <xf numFmtId="0" fontId="8" fillId="18" borderId="0" xfId="0" applyFont="1" applyFill="1" applyBorder="1"/>
    <xf numFmtId="0" fontId="8" fillId="18" borderId="17" xfId="0" applyFont="1" applyFill="1" applyBorder="1"/>
    <xf numFmtId="0" fontId="3" fillId="18" borderId="16" xfId="0" applyFont="1" applyFill="1" applyBorder="1"/>
    <xf numFmtId="0" fontId="3" fillId="18" borderId="0" xfId="0" applyFont="1" applyFill="1" applyBorder="1"/>
    <xf numFmtId="0" fontId="3" fillId="18" borderId="17" xfId="0" applyFont="1" applyFill="1" applyBorder="1"/>
    <xf numFmtId="0" fontId="2" fillId="18" borderId="16" xfId="0" applyFont="1" applyFill="1" applyBorder="1"/>
    <xf numFmtId="0" fontId="2" fillId="18" borderId="0" xfId="0" applyFont="1" applyFill="1" applyBorder="1"/>
    <xf numFmtId="10" fontId="0" fillId="18" borderId="16" xfId="2" applyNumberFormat="1" applyFont="1" applyFill="1" applyBorder="1"/>
    <xf numFmtId="10" fontId="0" fillId="18" borderId="0" xfId="2" applyNumberFormat="1" applyFont="1" applyFill="1" applyBorder="1"/>
    <xf numFmtId="10" fontId="0" fillId="18" borderId="17" xfId="2" applyNumberFormat="1" applyFont="1" applyFill="1" applyBorder="1"/>
    <xf numFmtId="3" fontId="0" fillId="18" borderId="18" xfId="0" applyNumberFormat="1" applyFill="1" applyBorder="1"/>
    <xf numFmtId="3" fontId="0" fillId="18" borderId="8" xfId="0" applyNumberFormat="1" applyFill="1" applyBorder="1"/>
    <xf numFmtId="0" fontId="0" fillId="18" borderId="19" xfId="0" applyFill="1" applyBorder="1"/>
    <xf numFmtId="0" fontId="0" fillId="0" borderId="0" xfId="0" quotePrefix="1" applyBorder="1" applyAlignment="1">
      <alignment horizontal="left"/>
    </xf>
    <xf numFmtId="0" fontId="2" fillId="0" borderId="4" xfId="0" applyFont="1" applyBorder="1"/>
    <xf numFmtId="0" fontId="0" fillId="0" borderId="25" xfId="0" applyBorder="1"/>
    <xf numFmtId="0" fontId="8" fillId="0" borderId="13" xfId="0" applyFont="1" applyBorder="1"/>
    <xf numFmtId="0" fontId="0" fillId="0" borderId="24" xfId="0" applyBorder="1"/>
    <xf numFmtId="0" fontId="2" fillId="0" borderId="8" xfId="0" applyFont="1" applyBorder="1"/>
    <xf numFmtId="0" fontId="0" fillId="0" borderId="13" xfId="0" applyBorder="1"/>
    <xf numFmtId="0" fontId="0" fillId="0" borderId="14" xfId="0" applyBorder="1"/>
    <xf numFmtId="0" fontId="0" fillId="0" borderId="15" xfId="0" applyBorder="1"/>
    <xf numFmtId="0" fontId="0" fillId="18" borderId="13" xfId="0" applyFill="1" applyBorder="1"/>
    <xf numFmtId="0" fontId="0" fillId="18" borderId="14" xfId="0" applyFill="1" applyBorder="1"/>
    <xf numFmtId="0" fontId="0" fillId="18" borderId="15" xfId="0" applyFill="1" applyBorder="1"/>
    <xf numFmtId="0" fontId="8" fillId="0" borderId="16" xfId="0" applyFont="1" applyBorder="1"/>
    <xf numFmtId="0" fontId="3" fillId="0" borderId="24" xfId="0" applyFont="1" applyBorder="1"/>
    <xf numFmtId="3" fontId="0" fillId="18" borderId="24" xfId="0" applyNumberFormat="1" applyFill="1" applyBorder="1"/>
    <xf numFmtId="3" fontId="0" fillId="18" borderId="4" xfId="0" applyNumberFormat="1" applyFill="1" applyBorder="1"/>
    <xf numFmtId="0" fontId="0" fillId="18" borderId="25" xfId="0" applyFill="1" applyBorder="1"/>
    <xf numFmtId="0" fontId="0" fillId="18" borderId="24" xfId="0" applyFill="1" applyBorder="1"/>
    <xf numFmtId="0" fontId="0" fillId="18" borderId="4" xfId="0" applyFill="1" applyBorder="1"/>
    <xf numFmtId="0" fontId="2" fillId="0" borderId="24" xfId="0" applyFont="1" applyBorder="1"/>
    <xf numFmtId="0" fontId="0" fillId="18" borderId="18" xfId="0" applyFill="1" applyBorder="1"/>
    <xf numFmtId="0" fontId="0" fillId="18" borderId="8" xfId="0" applyFill="1" applyBorder="1"/>
    <xf numFmtId="0" fontId="3" fillId="0" borderId="17" xfId="0" applyFont="1" applyBorder="1"/>
    <xf numFmtId="0" fontId="12" fillId="0" borderId="13" xfId="0" applyFont="1" applyFill="1" applyBorder="1" applyAlignment="1" applyProtection="1">
      <alignment horizontal="right"/>
    </xf>
    <xf numFmtId="0" fontId="12" fillId="0" borderId="20" xfId="0" applyFont="1" applyFill="1" applyBorder="1" applyAlignment="1" applyProtection="1">
      <alignment horizontal="right"/>
    </xf>
    <xf numFmtId="0" fontId="34" fillId="0" borderId="20" xfId="0" applyFont="1" applyFill="1" applyBorder="1" applyAlignment="1" applyProtection="1">
      <alignment horizontal="right"/>
    </xf>
    <xf numFmtId="0" fontId="15" fillId="0" borderId="21" xfId="0" applyFont="1" applyFill="1" applyBorder="1" applyAlignment="1" applyProtection="1">
      <alignment horizontal="right"/>
    </xf>
    <xf numFmtId="0" fontId="3" fillId="18" borderId="50" xfId="0" applyFont="1" applyFill="1" applyBorder="1" applyAlignment="1" applyProtection="1">
      <alignment horizontal="right" wrapText="1"/>
    </xf>
    <xf numFmtId="0" fontId="3" fillId="20" borderId="49" xfId="0" applyFont="1" applyFill="1" applyBorder="1" applyAlignment="1" applyProtection="1">
      <alignment horizontal="right" wrapText="1"/>
    </xf>
    <xf numFmtId="0" fontId="3" fillId="20" borderId="50" xfId="0" applyFont="1" applyFill="1" applyBorder="1" applyAlignment="1" applyProtection="1">
      <alignment horizontal="right" wrapText="1"/>
    </xf>
    <xf numFmtId="9" fontId="2" fillId="18" borderId="0" xfId="2" applyFont="1" applyFill="1" applyBorder="1" applyProtection="1"/>
    <xf numFmtId="9" fontId="2" fillId="20" borderId="0" xfId="2" applyFont="1" applyFill="1" applyBorder="1" applyProtection="1"/>
    <xf numFmtId="172" fontId="3" fillId="0" borderId="0" xfId="0" applyNumberFormat="1" applyFont="1" applyFill="1" applyBorder="1" applyProtection="1"/>
    <xf numFmtId="0" fontId="3" fillId="0" borderId="0" xfId="0" applyFont="1" applyFill="1" applyBorder="1" applyAlignment="1" applyProtection="1">
      <alignment vertical="center"/>
    </xf>
    <xf numFmtId="0" fontId="0" fillId="0" borderId="0" xfId="0" applyFill="1" applyBorder="1" applyAlignment="1" applyProtection="1">
      <alignment horizontal="right" vertical="center"/>
    </xf>
    <xf numFmtId="0" fontId="0" fillId="0" borderId="0" xfId="0" applyFill="1" applyBorder="1" applyAlignment="1" applyProtection="1">
      <alignment horizontal="center"/>
    </xf>
    <xf numFmtId="170" fontId="52" fillId="0" borderId="0" xfId="0" quotePrefix="1" applyNumberFormat="1" applyFont="1" applyFill="1" applyBorder="1" applyAlignment="1" applyProtection="1">
      <alignment horizontal="left" vertical="center"/>
    </xf>
    <xf numFmtId="170" fontId="8" fillId="0" borderId="0" xfId="0" applyNumberFormat="1" applyFont="1" applyFill="1" applyBorder="1" applyAlignment="1" applyProtection="1">
      <alignment horizontal="left" vertical="center"/>
    </xf>
    <xf numFmtId="0" fontId="20" fillId="0" borderId="0" xfId="0" applyFont="1" applyFill="1" applyBorder="1" applyAlignment="1" applyProtection="1">
      <alignment horizontal="right" vertical="center"/>
    </xf>
    <xf numFmtId="0" fontId="36" fillId="0" borderId="0" xfId="0" quotePrefix="1" applyFont="1" applyFill="1" applyBorder="1" applyAlignment="1" applyProtection="1">
      <alignment horizontal="right" vertical="top"/>
    </xf>
    <xf numFmtId="0" fontId="33" fillId="0" borderId="0" xfId="0" quotePrefix="1" applyFont="1" applyFill="1" applyBorder="1" applyAlignment="1" applyProtection="1">
      <alignment horizontal="right" vertical="top"/>
    </xf>
    <xf numFmtId="0" fontId="3" fillId="0" borderId="0" xfId="0" applyFont="1" applyFill="1" applyBorder="1" applyProtection="1"/>
    <xf numFmtId="172" fontId="3" fillId="20" borderId="8" xfId="0" applyNumberFormat="1" applyFont="1" applyFill="1" applyBorder="1" applyAlignment="1" applyProtection="1">
      <alignment horizontal="right"/>
    </xf>
    <xf numFmtId="172" fontId="3" fillId="20" borderId="8" xfId="0" applyNumberFormat="1" applyFont="1" applyFill="1" applyBorder="1" applyProtection="1"/>
    <xf numFmtId="172" fontId="3" fillId="18" borderId="8" xfId="0" applyNumberFormat="1" applyFont="1" applyFill="1" applyBorder="1" applyProtection="1"/>
    <xf numFmtId="0" fontId="3" fillId="20" borderId="18" xfId="0" applyFont="1" applyFill="1" applyBorder="1" applyAlignment="1" applyProtection="1">
      <alignment horizontal="right" wrapText="1"/>
    </xf>
    <xf numFmtId="0" fontId="3" fillId="20" borderId="8" xfId="0" applyFont="1" applyFill="1" applyBorder="1" applyAlignment="1" applyProtection="1">
      <alignment horizontal="right" wrapText="1"/>
    </xf>
    <xf numFmtId="0" fontId="3" fillId="18" borderId="8" xfId="0" applyFont="1" applyFill="1" applyBorder="1" applyAlignment="1" applyProtection="1">
      <alignment horizontal="right" wrapText="1"/>
    </xf>
    <xf numFmtId="0" fontId="3" fillId="19" borderId="8" xfId="0" applyFont="1" applyFill="1" applyBorder="1" applyAlignment="1" applyProtection="1">
      <alignment horizontal="right" wrapText="1"/>
    </xf>
    <xf numFmtId="0" fontId="3" fillId="19" borderId="19" xfId="0" applyFont="1" applyFill="1" applyBorder="1" applyAlignment="1" applyProtection="1">
      <alignment horizontal="right" wrapText="1"/>
    </xf>
    <xf numFmtId="172" fontId="2" fillId="0" borderId="52" xfId="0" applyNumberFormat="1" applyFont="1" applyFill="1" applyBorder="1" applyAlignment="1" applyProtection="1"/>
    <xf numFmtId="172" fontId="2" fillId="0" borderId="53" xfId="0" applyNumberFormat="1" applyFont="1" applyFill="1" applyBorder="1" applyAlignment="1" applyProtection="1"/>
    <xf numFmtId="172" fontId="2" fillId="0" borderId="39" xfId="0" applyNumberFormat="1" applyFont="1" applyFill="1" applyBorder="1" applyAlignment="1" applyProtection="1"/>
    <xf numFmtId="172" fontId="3" fillId="0" borderId="21" xfId="0" applyNumberFormat="1" applyFont="1" applyFill="1" applyBorder="1" applyProtection="1"/>
    <xf numFmtId="172" fontId="2" fillId="0" borderId="21" xfId="0" applyNumberFormat="1" applyFont="1" applyFill="1" applyBorder="1" applyAlignment="1" applyProtection="1"/>
    <xf numFmtId="172" fontId="3" fillId="0" borderId="22" xfId="0" applyNumberFormat="1" applyFont="1" applyFill="1" applyBorder="1" applyProtection="1"/>
    <xf numFmtId="172" fontId="14" fillId="0" borderId="52" xfId="0" applyNumberFormat="1" applyFont="1" applyFill="1" applyBorder="1" applyAlignment="1" applyProtection="1"/>
    <xf numFmtId="172" fontId="14" fillId="0" borderId="53" xfId="0" applyNumberFormat="1" applyFont="1" applyFill="1" applyBorder="1" applyAlignment="1" applyProtection="1"/>
    <xf numFmtId="172" fontId="14" fillId="0" borderId="39" xfId="0" applyNumberFormat="1" applyFont="1" applyFill="1" applyBorder="1" applyAlignment="1" applyProtection="1"/>
    <xf numFmtId="172" fontId="14" fillId="0" borderId="21" xfId="0" applyNumberFormat="1" applyFont="1" applyFill="1" applyBorder="1" applyAlignment="1" applyProtection="1"/>
    <xf numFmtId="172" fontId="14" fillId="0" borderId="22" xfId="0" applyNumberFormat="1" applyFont="1" applyFill="1" applyBorder="1" applyAlignment="1" applyProtection="1"/>
    <xf numFmtId="172" fontId="2" fillId="0" borderId="21" xfId="0" applyNumberFormat="1" applyFont="1" applyFill="1" applyBorder="1" applyAlignment="1" applyProtection="1">
      <alignment horizontal="right"/>
    </xf>
    <xf numFmtId="172" fontId="3" fillId="0" borderId="0" xfId="0" applyNumberFormat="1" applyFont="1" applyFill="1" applyBorder="1" applyAlignment="1" applyProtection="1">
      <alignment horizontal="right"/>
    </xf>
    <xf numFmtId="9" fontId="2" fillId="20" borderId="14" xfId="2" applyFont="1" applyFill="1" applyBorder="1" applyProtection="1"/>
    <xf numFmtId="9" fontId="2" fillId="18" borderId="14" xfId="2" applyFont="1" applyFill="1" applyBorder="1" applyProtection="1"/>
    <xf numFmtId="0" fontId="3" fillId="18" borderId="51" xfId="0" applyFont="1" applyFill="1" applyBorder="1" applyAlignment="1" applyProtection="1">
      <alignment horizontal="right" wrapText="1"/>
    </xf>
    <xf numFmtId="0" fontId="3" fillId="0" borderId="0" xfId="0" applyFont="1" applyFill="1" applyBorder="1" applyAlignment="1" applyProtection="1"/>
    <xf numFmtId="0" fontId="14" fillId="0" borderId="17" xfId="0" applyFont="1" applyFill="1" applyBorder="1" applyProtection="1"/>
    <xf numFmtId="3" fontId="3" fillId="18" borderId="0" xfId="0" applyNumberFormat="1" applyFont="1" applyFill="1" applyBorder="1" applyProtection="1"/>
    <xf numFmtId="9" fontId="3" fillId="20" borderId="28" xfId="2" applyFont="1" applyFill="1" applyBorder="1" applyProtection="1"/>
    <xf numFmtId="9" fontId="3" fillId="18" borderId="28" xfId="2" applyFont="1" applyFill="1" applyBorder="1" applyProtection="1"/>
    <xf numFmtId="0" fontId="3" fillId="18" borderId="19" xfId="0" applyFont="1" applyFill="1" applyBorder="1" applyAlignment="1" applyProtection="1">
      <alignment horizontal="right" wrapText="1"/>
    </xf>
    <xf numFmtId="3" fontId="3" fillId="19" borderId="0" xfId="0" applyNumberFormat="1" applyFont="1" applyFill="1" applyBorder="1" applyProtection="1"/>
    <xf numFmtId="0" fontId="29" fillId="0" borderId="16" xfId="0" applyFont="1" applyFill="1" applyBorder="1" applyProtection="1"/>
    <xf numFmtId="172" fontId="3" fillId="0" borderId="23" xfId="0" applyNumberFormat="1" applyFont="1" applyFill="1" applyBorder="1" applyProtection="1"/>
    <xf numFmtId="172" fontId="14" fillId="0" borderId="23" xfId="0" applyNumberFormat="1" applyFont="1" applyFill="1" applyBorder="1" applyAlignment="1" applyProtection="1"/>
    <xf numFmtId="0" fontId="29" fillId="0" borderId="0" xfId="0" applyFont="1" applyFill="1" applyAlignment="1" applyProtection="1">
      <alignment vertical="center"/>
    </xf>
    <xf numFmtId="0" fontId="3" fillId="0" borderId="0" xfId="0" applyFont="1" applyFill="1" applyAlignment="1" applyProtection="1">
      <alignment vertical="center"/>
    </xf>
    <xf numFmtId="0" fontId="3" fillId="20" borderId="49" xfId="0" applyFont="1" applyFill="1" applyBorder="1" applyAlignment="1" applyProtection="1"/>
    <xf numFmtId="0" fontId="3" fillId="18" borderId="50" xfId="0" applyFont="1" applyFill="1" applyBorder="1" applyAlignment="1" applyProtection="1"/>
    <xf numFmtId="0" fontId="3" fillId="20" borderId="18" xfId="0" applyFont="1" applyFill="1" applyBorder="1" applyAlignment="1" applyProtection="1"/>
    <xf numFmtId="0" fontId="3" fillId="18" borderId="8" xfId="0" applyFont="1" applyFill="1" applyBorder="1" applyAlignment="1" applyProtection="1"/>
    <xf numFmtId="0" fontId="3" fillId="20" borderId="50" xfId="0" applyFont="1" applyFill="1" applyBorder="1" applyAlignment="1" applyProtection="1"/>
    <xf numFmtId="0" fontId="3" fillId="19" borderId="50" xfId="0" applyFont="1" applyFill="1" applyBorder="1" applyAlignment="1" applyProtection="1"/>
    <xf numFmtId="0" fontId="3" fillId="19" borderId="51" xfId="0" applyFont="1" applyFill="1" applyBorder="1" applyAlignment="1" applyProtection="1"/>
    <xf numFmtId="0" fontId="3" fillId="20" borderId="8" xfId="0" applyFont="1" applyFill="1" applyBorder="1" applyAlignment="1" applyProtection="1"/>
    <xf numFmtId="0" fontId="3" fillId="18" borderId="19" xfId="0" applyFont="1" applyFill="1" applyBorder="1" applyAlignment="1" applyProtection="1"/>
    <xf numFmtId="0" fontId="27" fillId="0" borderId="0" xfId="0" quotePrefix="1" applyFont="1" applyFill="1" applyAlignment="1" applyProtection="1">
      <alignment horizontal="left"/>
    </xf>
    <xf numFmtId="0" fontId="13" fillId="0" borderId="0" xfId="0" quotePrefix="1" applyFont="1" applyFill="1" applyBorder="1" applyAlignment="1" applyProtection="1">
      <alignment vertical="top"/>
    </xf>
    <xf numFmtId="0" fontId="7" fillId="0" borderId="0" xfId="0" quotePrefix="1" applyFont="1" applyFill="1" applyAlignment="1" applyProtection="1">
      <alignment horizontal="left"/>
    </xf>
    <xf numFmtId="0" fontId="13" fillId="0" borderId="0" xfId="0" quotePrefix="1" applyFont="1" applyFill="1" applyBorder="1" applyAlignment="1" applyProtection="1">
      <alignment horizontal="left" vertical="top"/>
    </xf>
    <xf numFmtId="0" fontId="34" fillId="0" borderId="0" xfId="0" quotePrefix="1" applyFont="1" applyFill="1" applyBorder="1" applyAlignment="1" applyProtection="1">
      <alignment vertical="top"/>
    </xf>
    <xf numFmtId="0" fontId="12" fillId="0" borderId="0" xfId="0" quotePrefix="1" applyFont="1" applyFill="1" applyBorder="1" applyAlignment="1" applyProtection="1">
      <alignment vertical="top"/>
    </xf>
    <xf numFmtId="172" fontId="0" fillId="0" borderId="20" xfId="0" applyNumberFormat="1" applyFill="1" applyBorder="1" applyAlignment="1" applyProtection="1">
      <alignment horizontal="right"/>
    </xf>
    <xf numFmtId="172" fontId="0" fillId="0" borderId="21" xfId="0" applyNumberFormat="1" applyFill="1" applyBorder="1" applyAlignment="1" applyProtection="1">
      <alignment horizontal="right"/>
    </xf>
    <xf numFmtId="0" fontId="29" fillId="0" borderId="21" xfId="0" applyFont="1" applyFill="1" applyBorder="1" applyProtection="1"/>
    <xf numFmtId="0" fontId="14" fillId="0" borderId="21" xfId="0" applyFont="1" applyFill="1" applyBorder="1" applyProtection="1"/>
    <xf numFmtId="172" fontId="2" fillId="0" borderId="22" xfId="0" applyNumberFormat="1" applyFont="1" applyFill="1" applyBorder="1" applyAlignment="1" applyProtection="1">
      <alignment horizontal="right"/>
    </xf>
    <xf numFmtId="0" fontId="3" fillId="0" borderId="24" xfId="0" applyFont="1" applyFill="1" applyBorder="1" applyProtection="1"/>
    <xf numFmtId="9" fontId="0" fillId="0" borderId="0" xfId="2" applyFont="1" applyFill="1" applyProtection="1"/>
    <xf numFmtId="3" fontId="41" fillId="16" borderId="14" xfId="0" applyNumberFormat="1" applyFont="1" applyFill="1" applyBorder="1" applyAlignment="1" applyProtection="1">
      <protection locked="0"/>
    </xf>
    <xf numFmtId="0" fontId="0" fillId="0" borderId="23" xfId="0" applyFill="1" applyBorder="1" applyAlignment="1" applyProtection="1">
      <alignment wrapText="1"/>
    </xf>
    <xf numFmtId="0" fontId="0" fillId="0" borderId="24" xfId="0" applyFill="1" applyBorder="1" applyAlignment="1" applyProtection="1">
      <alignment wrapText="1"/>
    </xf>
    <xf numFmtId="0" fontId="0" fillId="0" borderId="23" xfId="0" applyFill="1" applyBorder="1" applyAlignment="1" applyProtection="1"/>
    <xf numFmtId="0" fontId="0" fillId="0" borderId="24" xfId="0" applyFill="1" applyBorder="1" applyAlignment="1" applyProtection="1"/>
    <xf numFmtId="3" fontId="2" fillId="18" borderId="24" xfId="0" applyNumberFormat="1" applyFont="1" applyFill="1" applyBorder="1" applyProtection="1"/>
    <xf numFmtId="3" fontId="2" fillId="18" borderId="4" xfId="0" applyNumberFormat="1" applyFont="1" applyFill="1" applyBorder="1" applyProtection="1"/>
    <xf numFmtId="3" fontId="2" fillId="18" borderId="25" xfId="0" applyNumberFormat="1" applyFont="1" applyFill="1" applyBorder="1" applyProtection="1"/>
    <xf numFmtId="3" fontId="2" fillId="19" borderId="4" xfId="0" applyNumberFormat="1" applyFont="1" applyFill="1" applyBorder="1" applyProtection="1"/>
    <xf numFmtId="3" fontId="2" fillId="19" borderId="25" xfId="0" applyNumberFormat="1" applyFont="1" applyFill="1" applyBorder="1" applyProtection="1"/>
    <xf numFmtId="0" fontId="2" fillId="0" borderId="23" xfId="0" applyFont="1" applyFill="1" applyBorder="1" applyAlignment="1" applyProtection="1"/>
    <xf numFmtId="0" fontId="2" fillId="0" borderId="24" xfId="0" applyFont="1" applyFill="1" applyBorder="1" applyAlignment="1" applyProtection="1"/>
    <xf numFmtId="174" fontId="3" fillId="18" borderId="16" xfId="2" applyNumberFormat="1" applyFont="1" applyFill="1" applyBorder="1" applyProtection="1"/>
    <xf numFmtId="174" fontId="3" fillId="18" borderId="0" xfId="2" applyNumberFormat="1" applyFont="1" applyFill="1" applyBorder="1" applyProtection="1"/>
    <xf numFmtId="174" fontId="3" fillId="18" borderId="17" xfId="2" applyNumberFormat="1" applyFont="1" applyFill="1" applyBorder="1" applyProtection="1"/>
    <xf numFmtId="168" fontId="7" fillId="0" borderId="0" xfId="0" applyNumberFormat="1" applyFont="1" applyFill="1" applyBorder="1" applyAlignment="1" applyProtection="1"/>
    <xf numFmtId="3" fontId="3" fillId="18" borderId="16" xfId="0" applyNumberFormat="1" applyFont="1" applyFill="1" applyBorder="1" applyProtection="1"/>
    <xf numFmtId="3" fontId="3" fillId="18" borderId="17" xfId="0" applyNumberFormat="1" applyFont="1" applyFill="1" applyBorder="1" applyProtection="1"/>
    <xf numFmtId="3" fontId="3" fillId="19" borderId="17" xfId="0" applyNumberFormat="1" applyFont="1" applyFill="1" applyBorder="1" applyProtection="1"/>
    <xf numFmtId="0" fontId="32" fillId="0" borderId="24" xfId="0" applyNumberFormat="1" applyFont="1" applyFill="1" applyBorder="1" applyAlignment="1" applyProtection="1">
      <alignment horizontal="left"/>
    </xf>
    <xf numFmtId="3" fontId="3" fillId="20" borderId="31" xfId="0" applyNumberFormat="1" applyFont="1" applyFill="1" applyBorder="1" applyProtection="1"/>
    <xf numFmtId="3" fontId="3" fillId="20" borderId="32" xfId="0" applyNumberFormat="1" applyFont="1" applyFill="1" applyBorder="1" applyProtection="1"/>
    <xf numFmtId="3" fontId="3" fillId="18" borderId="31" xfId="0" applyNumberFormat="1" applyFont="1" applyFill="1" applyBorder="1" applyProtection="1"/>
    <xf numFmtId="3" fontId="3" fillId="18" borderId="32" xfId="0" applyNumberFormat="1" applyFont="1" applyFill="1" applyBorder="1" applyProtection="1"/>
    <xf numFmtId="3" fontId="3" fillId="18" borderId="33" xfId="0" applyNumberFormat="1" applyFont="1" applyFill="1" applyBorder="1" applyProtection="1"/>
    <xf numFmtId="3" fontId="3" fillId="19" borderId="32" xfId="0" applyNumberFormat="1" applyFont="1" applyFill="1" applyBorder="1" applyProtection="1"/>
    <xf numFmtId="3" fontId="3" fillId="19" borderId="33" xfId="0" applyNumberFormat="1" applyFont="1" applyFill="1" applyBorder="1" applyProtection="1"/>
    <xf numFmtId="174" fontId="3" fillId="20" borderId="24" xfId="2" applyNumberFormat="1" applyFont="1" applyFill="1" applyBorder="1" applyProtection="1"/>
    <xf numFmtId="174" fontId="3" fillId="20" borderId="4" xfId="2" applyNumberFormat="1" applyFont="1" applyFill="1" applyBorder="1" applyProtection="1"/>
    <xf numFmtId="174" fontId="3" fillId="18" borderId="24" xfId="2" applyNumberFormat="1" applyFont="1" applyFill="1" applyBorder="1" applyProtection="1"/>
    <xf numFmtId="174" fontId="3" fillId="18" borderId="4" xfId="2" applyNumberFormat="1" applyFont="1" applyFill="1" applyBorder="1" applyProtection="1"/>
    <xf numFmtId="174" fontId="3" fillId="18" borderId="25" xfId="2" applyNumberFormat="1" applyFont="1" applyFill="1" applyBorder="1" applyProtection="1"/>
    <xf numFmtId="174" fontId="3" fillId="19" borderId="4" xfId="2" applyNumberFormat="1" applyFont="1" applyFill="1" applyBorder="1" applyProtection="1"/>
    <xf numFmtId="174" fontId="3" fillId="19" borderId="25" xfId="2" applyNumberFormat="1" applyFont="1" applyFill="1" applyBorder="1" applyProtection="1"/>
    <xf numFmtId="174" fontId="2" fillId="20" borderId="16" xfId="2" applyNumberFormat="1" applyFont="1" applyFill="1" applyBorder="1" applyProtection="1"/>
    <xf numFmtId="174" fontId="2" fillId="20" borderId="0" xfId="2" applyNumberFormat="1" applyFont="1" applyFill="1" applyBorder="1" applyProtection="1"/>
    <xf numFmtId="174" fontId="2" fillId="18" borderId="16" xfId="2" applyNumberFormat="1" applyFont="1" applyFill="1" applyBorder="1" applyProtection="1"/>
    <xf numFmtId="174" fontId="2" fillId="18" borderId="0" xfId="2" applyNumberFormat="1" applyFont="1" applyFill="1" applyBorder="1" applyProtection="1"/>
    <xf numFmtId="174" fontId="2" fillId="18" borderId="17" xfId="2" applyNumberFormat="1" applyFont="1" applyFill="1" applyBorder="1" applyProtection="1"/>
    <xf numFmtId="174" fontId="2" fillId="19" borderId="0" xfId="2" applyNumberFormat="1" applyFont="1" applyFill="1" applyBorder="1" applyProtection="1"/>
    <xf numFmtId="174" fontId="2" fillId="19" borderId="17" xfId="2" applyNumberFormat="1" applyFont="1" applyFill="1" applyBorder="1" applyProtection="1"/>
    <xf numFmtId="174" fontId="2" fillId="20" borderId="24" xfId="2" applyNumberFormat="1" applyFont="1" applyFill="1" applyBorder="1" applyProtection="1"/>
    <xf numFmtId="174" fontId="2" fillId="20" borderId="4" xfId="2" applyNumberFormat="1" applyFont="1" applyFill="1" applyBorder="1" applyProtection="1"/>
    <xf numFmtId="174" fontId="2" fillId="18" borderId="24" xfId="2" applyNumberFormat="1" applyFont="1" applyFill="1" applyBorder="1" applyProtection="1"/>
    <xf numFmtId="174" fontId="2" fillId="18" borderId="4" xfId="2" applyNumberFormat="1" applyFont="1" applyFill="1" applyBorder="1" applyProtection="1"/>
    <xf numFmtId="174" fontId="2" fillId="18" borderId="25" xfId="2" applyNumberFormat="1" applyFont="1" applyFill="1" applyBorder="1" applyProtection="1"/>
    <xf numFmtId="174" fontId="2" fillId="19" borderId="4" xfId="2" applyNumberFormat="1" applyFont="1" applyFill="1" applyBorder="1" applyProtection="1"/>
    <xf numFmtId="174" fontId="2" fillId="19" borderId="25" xfId="2" applyNumberFormat="1" applyFont="1" applyFill="1" applyBorder="1" applyProtection="1"/>
    <xf numFmtId="3" fontId="3" fillId="18" borderId="16" xfId="0" applyNumberFormat="1" applyFont="1" applyFill="1" applyBorder="1" applyAlignment="1" applyProtection="1">
      <alignment horizontal="right"/>
    </xf>
    <xf numFmtId="3" fontId="3" fillId="18" borderId="0" xfId="0" applyNumberFormat="1" applyFont="1" applyFill="1" applyBorder="1" applyAlignment="1" applyProtection="1">
      <alignment horizontal="right"/>
    </xf>
    <xf numFmtId="3" fontId="3" fillId="20" borderId="44" xfId="0" applyNumberFormat="1" applyFont="1" applyFill="1" applyBorder="1" applyProtection="1"/>
    <xf numFmtId="3" fontId="3" fillId="20" borderId="45" xfId="0" applyNumberFormat="1" applyFont="1" applyFill="1" applyBorder="1" applyProtection="1"/>
    <xf numFmtId="3" fontId="3" fillId="18" borderId="44" xfId="0" applyNumberFormat="1" applyFont="1" applyFill="1" applyBorder="1" applyProtection="1"/>
    <xf numFmtId="3" fontId="3" fillId="18" borderId="45" xfId="0" applyNumberFormat="1" applyFont="1" applyFill="1" applyBorder="1" applyProtection="1"/>
    <xf numFmtId="3" fontId="3" fillId="18" borderId="43" xfId="0" applyNumberFormat="1" applyFont="1" applyFill="1" applyBorder="1" applyProtection="1"/>
    <xf numFmtId="3" fontId="3" fillId="19" borderId="45" xfId="0" applyNumberFormat="1" applyFont="1" applyFill="1" applyBorder="1" applyProtection="1"/>
    <xf numFmtId="3" fontId="3" fillId="19" borderId="43" xfId="0" applyNumberFormat="1" applyFont="1" applyFill="1" applyBorder="1" applyProtection="1"/>
    <xf numFmtId="0" fontId="0" fillId="0" borderId="14" xfId="0" applyFill="1" applyBorder="1" applyProtection="1"/>
    <xf numFmtId="0" fontId="0" fillId="0" borderId="0" xfId="0" applyFill="1" applyAlignment="1" applyProtection="1">
      <alignment vertical="top" wrapText="1"/>
    </xf>
    <xf numFmtId="0" fontId="44" fillId="0" borderId="0" xfId="0" applyNumberFormat="1" applyFont="1" applyFill="1" applyAlignment="1" applyProtection="1">
      <alignment horizontal="left" wrapText="1"/>
    </xf>
    <xf numFmtId="0" fontId="0" fillId="0" borderId="0" xfId="0" applyFill="1" applyBorder="1" applyAlignment="1" applyProtection="1">
      <alignment vertical="top" wrapText="1"/>
    </xf>
    <xf numFmtId="0" fontId="44" fillId="0" borderId="0" xfId="0" applyNumberFormat="1" applyFont="1" applyFill="1" applyBorder="1" applyAlignment="1" applyProtection="1">
      <alignment horizontal="left" wrapText="1"/>
    </xf>
    <xf numFmtId="0" fontId="0" fillId="0" borderId="0" xfId="0" applyAlignment="1" applyProtection="1"/>
    <xf numFmtId="0" fontId="36" fillId="0" borderId="0" xfId="0" applyNumberFormat="1" applyFont="1" applyAlignment="1" applyProtection="1"/>
    <xf numFmtId="0" fontId="31" fillId="0" borderId="0" xfId="0" applyNumberFormat="1" applyFont="1" applyAlignment="1" applyProtection="1"/>
    <xf numFmtId="3" fontId="41" fillId="16" borderId="16" xfId="0" applyNumberFormat="1" applyFont="1" applyFill="1" applyBorder="1" applyProtection="1">
      <protection locked="0"/>
    </xf>
    <xf numFmtId="3" fontId="41" fillId="16" borderId="0" xfId="0" applyNumberFormat="1" applyFont="1" applyFill="1" applyBorder="1" applyProtection="1">
      <protection locked="0"/>
    </xf>
    <xf numFmtId="3" fontId="41" fillId="16" borderId="17" xfId="0" applyNumberFormat="1" applyFont="1" applyFill="1" applyBorder="1" applyProtection="1">
      <protection locked="0"/>
    </xf>
    <xf numFmtId="3" fontId="40" fillId="16" borderId="32" xfId="0" applyNumberFormat="1" applyFont="1" applyFill="1" applyBorder="1" applyProtection="1">
      <protection locked="0"/>
    </xf>
    <xf numFmtId="3" fontId="40" fillId="16" borderId="33" xfId="0" applyNumberFormat="1" applyFont="1" applyFill="1" applyBorder="1" applyProtection="1">
      <protection locked="0"/>
    </xf>
    <xf numFmtId="174" fontId="40" fillId="16" borderId="31" xfId="2" applyNumberFormat="1" applyFont="1" applyFill="1" applyBorder="1" applyProtection="1">
      <protection locked="0"/>
    </xf>
    <xf numFmtId="174" fontId="40" fillId="16" borderId="32" xfId="2" applyNumberFormat="1" applyFont="1" applyFill="1" applyBorder="1" applyProtection="1">
      <protection locked="0"/>
    </xf>
    <xf numFmtId="174" fontId="40" fillId="16" borderId="33" xfId="2" applyNumberFormat="1" applyFont="1" applyFill="1" applyBorder="1" applyProtection="1">
      <protection locked="0"/>
    </xf>
    <xf numFmtId="3" fontId="40" fillId="16" borderId="16" xfId="0" applyNumberFormat="1" applyFont="1" applyFill="1" applyBorder="1" applyProtection="1">
      <protection locked="0"/>
    </xf>
    <xf numFmtId="3" fontId="40" fillId="16" borderId="0" xfId="0" applyNumberFormat="1" applyFont="1" applyFill="1" applyBorder="1" applyProtection="1">
      <protection locked="0"/>
    </xf>
    <xf numFmtId="3" fontId="40" fillId="16" borderId="17" xfId="0" applyNumberFormat="1" applyFont="1" applyFill="1" applyBorder="1" applyProtection="1">
      <protection locked="0"/>
    </xf>
    <xf numFmtId="0" fontId="44" fillId="0" borderId="0" xfId="0" applyFont="1"/>
    <xf numFmtId="0" fontId="53" fillId="0" borderId="0" xfId="0" applyFont="1"/>
    <xf numFmtId="0" fontId="50" fillId="0" borderId="54" xfId="0" applyNumberFormat="1" applyFont="1" applyFill="1" applyBorder="1" applyAlignment="1" applyProtection="1">
      <alignment horizontal="left"/>
    </xf>
    <xf numFmtId="0" fontId="50" fillId="0" borderId="18" xfId="0" applyNumberFormat="1" applyFont="1" applyFill="1" applyBorder="1" applyAlignment="1" applyProtection="1">
      <alignment horizontal="left"/>
    </xf>
    <xf numFmtId="3" fontId="17" fillId="18" borderId="17" xfId="0" applyNumberFormat="1" applyFont="1" applyFill="1" applyBorder="1" applyAlignment="1" applyProtection="1">
      <alignment horizontal="right"/>
    </xf>
    <xf numFmtId="3" fontId="17" fillId="18" borderId="0" xfId="0" applyNumberFormat="1" applyFont="1" applyFill="1" applyBorder="1" applyAlignment="1" applyProtection="1">
      <alignment horizontal="right"/>
    </xf>
    <xf numFmtId="3" fontId="17" fillId="18" borderId="16" xfId="0" applyNumberFormat="1" applyFont="1" applyFill="1" applyBorder="1" applyAlignment="1" applyProtection="1">
      <alignment horizontal="right"/>
    </xf>
    <xf numFmtId="3" fontId="17" fillId="19" borderId="16" xfId="0" applyNumberFormat="1" applyFont="1" applyFill="1" applyBorder="1" applyAlignment="1" applyProtection="1">
      <alignment horizontal="right"/>
    </xf>
    <xf numFmtId="3" fontId="17" fillId="19" borderId="17" xfId="0" applyNumberFormat="1" applyFont="1" applyFill="1" applyBorder="1" applyAlignment="1" applyProtection="1">
      <alignment horizontal="right"/>
    </xf>
    <xf numFmtId="3" fontId="17" fillId="19" borderId="0" xfId="0" applyNumberFormat="1" applyFont="1" applyFill="1" applyBorder="1" applyAlignment="1" applyProtection="1">
      <alignment horizontal="right"/>
    </xf>
    <xf numFmtId="166" fontId="12" fillId="0" borderId="25" xfId="0" applyNumberFormat="1" applyFont="1" applyFill="1" applyBorder="1" applyAlignment="1" applyProtection="1">
      <alignment horizontal="left" wrapText="1"/>
    </xf>
    <xf numFmtId="0" fontId="3" fillId="0" borderId="4" xfId="0" applyFont="1" applyFill="1" applyBorder="1"/>
    <xf numFmtId="0" fontId="2" fillId="0" borderId="0" xfId="0" quotePrefix="1" applyFont="1" applyFill="1" applyAlignment="1" applyProtection="1">
      <alignment horizontal="left"/>
    </xf>
    <xf numFmtId="0" fontId="2" fillId="0" borderId="0" xfId="0" quotePrefix="1" applyFont="1" applyFill="1" applyBorder="1"/>
    <xf numFmtId="3" fontId="3" fillId="20" borderId="27" xfId="0" applyNumberFormat="1" applyFont="1" applyFill="1" applyBorder="1" applyAlignment="1" applyProtection="1">
      <alignment horizontal="right"/>
    </xf>
    <xf numFmtId="3" fontId="3" fillId="20" borderId="28" xfId="0" applyNumberFormat="1" applyFont="1" applyFill="1" applyBorder="1" applyAlignment="1" applyProtection="1">
      <alignment horizontal="right"/>
    </xf>
    <xf numFmtId="184" fontId="2" fillId="20" borderId="14" xfId="0" applyNumberFormat="1" applyFont="1" applyFill="1" applyBorder="1" applyProtection="1"/>
    <xf numFmtId="184" fontId="2" fillId="20" borderId="0" xfId="0" applyNumberFormat="1" applyFont="1" applyFill="1" applyBorder="1" applyProtection="1"/>
    <xf numFmtId="184" fontId="3" fillId="20" borderId="28" xfId="0" applyNumberFormat="1" applyFont="1" applyFill="1" applyBorder="1" applyProtection="1"/>
    <xf numFmtId="3" fontId="2" fillId="18" borderId="14" xfId="0" applyNumberFormat="1" applyFont="1" applyFill="1" applyBorder="1" applyProtection="1"/>
    <xf numFmtId="3" fontId="3" fillId="18" borderId="28" xfId="0" applyNumberFormat="1" applyFont="1" applyFill="1" applyBorder="1" applyAlignment="1" applyProtection="1">
      <alignment horizontal="right"/>
    </xf>
    <xf numFmtId="3" fontId="2" fillId="19" borderId="14" xfId="0" applyNumberFormat="1" applyFont="1" applyFill="1" applyBorder="1" applyProtection="1"/>
    <xf numFmtId="3" fontId="3" fillId="19" borderId="28" xfId="0" applyNumberFormat="1" applyFont="1" applyFill="1" applyBorder="1" applyAlignment="1" applyProtection="1">
      <alignment horizontal="right"/>
    </xf>
    <xf numFmtId="3" fontId="2" fillId="20" borderId="14" xfId="0" applyNumberFormat="1" applyFont="1" applyFill="1" applyBorder="1" applyAlignment="1" applyProtection="1"/>
    <xf numFmtId="3" fontId="2" fillId="18" borderId="14" xfId="0" applyNumberFormat="1" applyFont="1" applyFill="1" applyBorder="1" applyAlignment="1" applyProtection="1"/>
    <xf numFmtId="3" fontId="2" fillId="20" borderId="0" xfId="0" applyNumberFormat="1" applyFont="1" applyFill="1" applyBorder="1"/>
    <xf numFmtId="0" fontId="2" fillId="14" borderId="0" xfId="0" applyFont="1" applyFill="1"/>
    <xf numFmtId="0" fontId="16" fillId="0" borderId="21" xfId="0" applyFont="1" applyFill="1" applyBorder="1" applyProtection="1"/>
    <xf numFmtId="166" fontId="42" fillId="0" borderId="17" xfId="0" applyNumberFormat="1" applyFont="1" applyFill="1" applyBorder="1" applyAlignment="1" applyProtection="1">
      <alignment wrapText="1"/>
    </xf>
    <xf numFmtId="3" fontId="41" fillId="16" borderId="24" xfId="0" applyNumberFormat="1" applyFont="1" applyFill="1" applyBorder="1" applyProtection="1">
      <protection locked="0"/>
    </xf>
    <xf numFmtId="3" fontId="41" fillId="16" borderId="4" xfId="0" applyNumberFormat="1" applyFont="1" applyFill="1" applyBorder="1" applyProtection="1">
      <protection locked="0"/>
    </xf>
    <xf numFmtId="3" fontId="41" fillId="16" borderId="25" xfId="0" applyNumberFormat="1" applyFont="1" applyFill="1" applyBorder="1" applyProtection="1">
      <protection locked="0"/>
    </xf>
    <xf numFmtId="10" fontId="41" fillId="16" borderId="16" xfId="2" applyNumberFormat="1" applyFont="1" applyFill="1" applyBorder="1" applyProtection="1">
      <protection locked="0"/>
    </xf>
    <xf numFmtId="10" fontId="41" fillId="16" borderId="0" xfId="2" applyNumberFormat="1" applyFont="1" applyFill="1" applyBorder="1" applyProtection="1">
      <protection locked="0"/>
    </xf>
    <xf numFmtId="10" fontId="41" fillId="16" borderId="17" xfId="2" applyNumberFormat="1" applyFont="1" applyFill="1" applyBorder="1" applyProtection="1">
      <protection locked="0"/>
    </xf>
    <xf numFmtId="0" fontId="0" fillId="14" borderId="0" xfId="0" applyFont="1" applyFill="1"/>
    <xf numFmtId="166" fontId="54" fillId="0" borderId="17" xfId="0" applyNumberFormat="1" applyFont="1" applyFill="1" applyBorder="1" applyAlignment="1" applyProtection="1"/>
    <xf numFmtId="166" fontId="54" fillId="0" borderId="17" xfId="0" applyNumberFormat="1" applyFont="1" applyFill="1" applyBorder="1" applyAlignment="1" applyProtection="1">
      <alignment wrapText="1"/>
    </xf>
    <xf numFmtId="0" fontId="0" fillId="2" borderId="55" xfId="0" applyFill="1" applyBorder="1" applyAlignment="1" applyProtection="1">
      <alignment horizontal="center"/>
      <protection locked="0"/>
    </xf>
    <xf numFmtId="0" fontId="33" fillId="14" borderId="11" xfId="0" applyFont="1" applyFill="1" applyBorder="1" applyAlignment="1" applyProtection="1">
      <alignment horizont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9" fillId="4" borderId="0" xfId="1" applyFont="1" applyFill="1" applyAlignment="1" applyProtection="1"/>
    <xf numFmtId="0" fontId="29" fillId="4" borderId="0" xfId="0" applyFont="1" applyFill="1"/>
    <xf numFmtId="0" fontId="29" fillId="12" borderId="0" xfId="0" applyFont="1" applyFill="1"/>
    <xf numFmtId="0" fontId="29" fillId="9" borderId="0" xfId="0" applyFont="1" applyFill="1"/>
    <xf numFmtId="0" fontId="29" fillId="12" borderId="0" xfId="1" applyFont="1" applyFill="1" applyAlignment="1" applyProtection="1"/>
    <xf numFmtId="0" fontId="29" fillId="11" borderId="0" xfId="1" applyFont="1" applyFill="1" applyAlignment="1" applyProtection="1"/>
    <xf numFmtId="0" fontId="29" fillId="10" borderId="0" xfId="1" applyFont="1" applyFill="1" applyAlignment="1" applyProtection="1"/>
    <xf numFmtId="0" fontId="29" fillId="9" borderId="0" xfId="1" applyFont="1" applyFill="1" applyAlignment="1" applyProtection="1"/>
    <xf numFmtId="0" fontId="29" fillId="8" borderId="0" xfId="1" applyFont="1" applyFill="1" applyAlignment="1" applyProtection="1"/>
    <xf numFmtId="0" fontId="1" fillId="5" borderId="0" xfId="1" applyFont="1" applyFill="1" applyAlignment="1" applyProtection="1"/>
    <xf numFmtId="3" fontId="3" fillId="18" borderId="13" xfId="0" applyNumberFormat="1" applyFont="1" applyFill="1" applyBorder="1"/>
    <xf numFmtId="3" fontId="2" fillId="18" borderId="14" xfId="0" applyNumberFormat="1" applyFont="1" applyFill="1" applyBorder="1"/>
    <xf numFmtId="3" fontId="2" fillId="18" borderId="15" xfId="0" quotePrefix="1" applyNumberFormat="1" applyFont="1" applyFill="1" applyBorder="1" applyAlignment="1">
      <alignment horizontal="right"/>
    </xf>
    <xf numFmtId="3" fontId="3" fillId="19" borderId="13" xfId="0" applyNumberFormat="1" applyFont="1" applyFill="1" applyBorder="1"/>
    <xf numFmtId="3" fontId="2" fillId="19" borderId="14" xfId="0" applyNumberFormat="1" applyFont="1" applyFill="1" applyBorder="1"/>
    <xf numFmtId="3" fontId="2" fillId="19" borderId="15" xfId="0" quotePrefix="1" applyNumberFormat="1" applyFont="1" applyFill="1" applyBorder="1" applyAlignment="1">
      <alignment horizontal="right"/>
    </xf>
    <xf numFmtId="0" fontId="3" fillId="18" borderId="18" xfId="0" applyFont="1" applyFill="1" applyBorder="1" applyAlignment="1">
      <alignment horizontal="right"/>
    </xf>
    <xf numFmtId="0" fontId="3" fillId="18" borderId="8" xfId="0" applyFont="1" applyFill="1" applyBorder="1" applyAlignment="1">
      <alignment horizontal="right"/>
    </xf>
    <xf numFmtId="3" fontId="3" fillId="18" borderId="19" xfId="0" applyNumberFormat="1" applyFont="1" applyFill="1" applyBorder="1" applyAlignment="1">
      <alignment horizontal="right"/>
    </xf>
    <xf numFmtId="0" fontId="3" fillId="19" borderId="18" xfId="0" applyFont="1" applyFill="1" applyBorder="1" applyAlignment="1">
      <alignment horizontal="right"/>
    </xf>
    <xf numFmtId="0" fontId="3" fillId="19" borderId="8" xfId="0" applyFont="1" applyFill="1" applyBorder="1" applyAlignment="1">
      <alignment horizontal="right"/>
    </xf>
    <xf numFmtId="3" fontId="3" fillId="19" borderId="19" xfId="0" applyNumberFormat="1" applyFont="1" applyFill="1" applyBorder="1" applyAlignment="1">
      <alignment horizontal="right"/>
    </xf>
    <xf numFmtId="3" fontId="40" fillId="16" borderId="35" xfId="0" applyNumberFormat="1" applyFont="1" applyFill="1" applyBorder="1" applyProtection="1">
      <protection locked="0"/>
    </xf>
    <xf numFmtId="3" fontId="40" fillId="16" borderId="36" xfId="0" applyNumberFormat="1" applyFont="1" applyFill="1" applyBorder="1" applyProtection="1">
      <protection locked="0"/>
    </xf>
    <xf numFmtId="3" fontId="41" fillId="16" borderId="0" xfId="0" applyNumberFormat="1" applyFont="1" applyFill="1" applyProtection="1">
      <protection locked="0"/>
    </xf>
    <xf numFmtId="3" fontId="2" fillId="18" borderId="0" xfId="0" applyNumberFormat="1" applyFont="1" applyFill="1"/>
    <xf numFmtId="3" fontId="2" fillId="19" borderId="16" xfId="0" applyNumberFormat="1" applyFont="1" applyFill="1" applyBorder="1"/>
    <xf numFmtId="3" fontId="2" fillId="19" borderId="0" xfId="0" applyNumberFormat="1" applyFont="1" applyFill="1"/>
    <xf numFmtId="3" fontId="43" fillId="16" borderId="16" xfId="0" applyNumberFormat="1" applyFont="1" applyFill="1" applyBorder="1" applyProtection="1">
      <protection locked="0"/>
    </xf>
    <xf numFmtId="3" fontId="43" fillId="16" borderId="0" xfId="0" applyNumberFormat="1" applyFont="1" applyFill="1" applyProtection="1">
      <protection locked="0"/>
    </xf>
    <xf numFmtId="3" fontId="3" fillId="18" borderId="24" xfId="0" applyNumberFormat="1" applyFont="1" applyFill="1" applyBorder="1"/>
    <xf numFmtId="3" fontId="3" fillId="18" borderId="4" xfId="0" applyNumberFormat="1" applyFont="1" applyFill="1" applyBorder="1"/>
    <xf numFmtId="3" fontId="3" fillId="18" borderId="31" xfId="0" applyNumberFormat="1" applyFont="1" applyFill="1" applyBorder="1"/>
    <xf numFmtId="3" fontId="3" fillId="18" borderId="32" xfId="0" applyNumberFormat="1" applyFont="1" applyFill="1" applyBorder="1"/>
    <xf numFmtId="3" fontId="3" fillId="19" borderId="31" xfId="0" applyNumberFormat="1" applyFont="1" applyFill="1" applyBorder="1"/>
    <xf numFmtId="3" fontId="3" fillId="19" borderId="32" xfId="0" applyNumberFormat="1" applyFont="1" applyFill="1" applyBorder="1"/>
    <xf numFmtId="3" fontId="3" fillId="18" borderId="27" xfId="0" applyNumberFormat="1" applyFont="1" applyFill="1" applyBorder="1"/>
    <xf numFmtId="3" fontId="3" fillId="18" borderId="28" xfId="0" applyNumberFormat="1" applyFont="1" applyFill="1" applyBorder="1"/>
    <xf numFmtId="3" fontId="3" fillId="19" borderId="27" xfId="0" applyNumberFormat="1" applyFont="1" applyFill="1" applyBorder="1"/>
    <xf numFmtId="3" fontId="3" fillId="19" borderId="28" xfId="0" applyNumberFormat="1" applyFont="1" applyFill="1" applyBorder="1"/>
    <xf numFmtId="3" fontId="41" fillId="16" borderId="13" xfId="0" applyNumberFormat="1" applyFont="1" applyFill="1" applyBorder="1" applyProtection="1">
      <protection locked="0"/>
    </xf>
    <xf numFmtId="3" fontId="41" fillId="16" borderId="14" xfId="0" applyNumberFormat="1" applyFont="1" applyFill="1" applyBorder="1" applyProtection="1">
      <protection locked="0"/>
    </xf>
    <xf numFmtId="3" fontId="41" fillId="18" borderId="16" xfId="0" applyNumberFormat="1" applyFont="1" applyFill="1" applyBorder="1"/>
    <xf numFmtId="3" fontId="41" fillId="18" borderId="0" xfId="0" applyNumberFormat="1" applyFont="1" applyFill="1"/>
    <xf numFmtId="165" fontId="0" fillId="0" borderId="0" xfId="0" applyNumberFormat="1"/>
    <xf numFmtId="0" fontId="0" fillId="0" borderId="0" xfId="0" applyAlignment="1">
      <alignment vertical="top"/>
    </xf>
    <xf numFmtId="165" fontId="0" fillId="0" borderId="0" xfId="0" applyNumberFormat="1" applyAlignment="1">
      <alignment vertical="top"/>
    </xf>
    <xf numFmtId="0" fontId="0" fillId="0" borderId="0" xfId="0" applyAlignment="1">
      <alignment horizontal="right" vertical="top"/>
    </xf>
    <xf numFmtId="1" fontId="3" fillId="0" borderId="0" xfId="0" applyNumberFormat="1" applyFont="1" applyAlignment="1">
      <alignment vertical="top"/>
    </xf>
    <xf numFmtId="0" fontId="3" fillId="18" borderId="16" xfId="0" applyFont="1" applyFill="1" applyBorder="1" applyAlignment="1">
      <alignment horizontal="right"/>
    </xf>
    <xf numFmtId="0" fontId="3" fillId="18" borderId="0" xfId="0" applyFont="1" applyFill="1" applyAlignment="1">
      <alignment horizontal="right"/>
    </xf>
    <xf numFmtId="3" fontId="3" fillId="18" borderId="17" xfId="0" applyNumberFormat="1" applyFont="1" applyFill="1" applyBorder="1" applyAlignment="1">
      <alignment horizontal="right"/>
    </xf>
    <xf numFmtId="0" fontId="3" fillId="19" borderId="16" xfId="0" applyFont="1" applyFill="1" applyBorder="1" applyAlignment="1">
      <alignment horizontal="right"/>
    </xf>
    <xf numFmtId="0" fontId="3" fillId="19" borderId="0" xfId="0" applyFont="1" applyFill="1" applyAlignment="1">
      <alignment horizontal="right"/>
    </xf>
    <xf numFmtId="3" fontId="3" fillId="19" borderId="17" xfId="0" applyNumberFormat="1" applyFont="1" applyFill="1" applyBorder="1" applyAlignment="1">
      <alignment horizontal="right"/>
    </xf>
    <xf numFmtId="3" fontId="40" fillId="16" borderId="27" xfId="0" applyNumberFormat="1" applyFont="1" applyFill="1" applyBorder="1" applyProtection="1">
      <protection locked="0"/>
    </xf>
    <xf numFmtId="3" fontId="40" fillId="16" borderId="28" xfId="0" applyNumberFormat="1" applyFont="1" applyFill="1" applyBorder="1" applyProtection="1">
      <protection locked="0"/>
    </xf>
    <xf numFmtId="3" fontId="41" fillId="19" borderId="16" xfId="0" applyNumberFormat="1" applyFont="1" applyFill="1" applyBorder="1"/>
    <xf numFmtId="3" fontId="41" fillId="19" borderId="0" xfId="0" applyNumberFormat="1" applyFont="1" applyFill="1"/>
    <xf numFmtId="3" fontId="3" fillId="18" borderId="0" xfId="0" applyNumberFormat="1" applyFont="1" applyFill="1"/>
    <xf numFmtId="3" fontId="3" fillId="19" borderId="16" xfId="0" applyNumberFormat="1" applyFont="1" applyFill="1" applyBorder="1"/>
    <xf numFmtId="3" fontId="3" fillId="19" borderId="0" xfId="0" applyNumberFormat="1" applyFont="1" applyFill="1"/>
    <xf numFmtId="166" fontId="13" fillId="0" borderId="0" xfId="0" applyNumberFormat="1" applyFont="1" applyFill="1" applyBorder="1" applyAlignment="1" applyProtection="1">
      <alignment vertical="top" wrapText="1"/>
    </xf>
    <xf numFmtId="0" fontId="0" fillId="0" borderId="0" xfId="0" applyFill="1" applyBorder="1" applyAlignment="1" applyProtection="1">
      <alignment vertical="top" wrapText="1"/>
    </xf>
    <xf numFmtId="0" fontId="13" fillId="0" borderId="0" xfId="0" applyFont="1" applyFill="1" applyBorder="1" applyAlignment="1" applyProtection="1">
      <alignment vertical="top" wrapText="1"/>
    </xf>
    <xf numFmtId="0" fontId="13" fillId="0" borderId="0" xfId="0" applyFont="1" applyFill="1" applyBorder="1" applyAlignment="1" applyProtection="1">
      <alignment wrapText="1"/>
    </xf>
    <xf numFmtId="0" fontId="0" fillId="0" borderId="0" xfId="0" applyFill="1" applyBorder="1" applyAlignment="1" applyProtection="1">
      <alignment wrapText="1"/>
    </xf>
    <xf numFmtId="0" fontId="9" fillId="19" borderId="0" xfId="0" applyFont="1" applyFill="1" applyBorder="1" applyAlignment="1" applyProtection="1">
      <alignment wrapText="1"/>
    </xf>
    <xf numFmtId="0" fontId="0" fillId="19" borderId="0" xfId="0" applyFill="1" applyBorder="1" applyAlignment="1" applyProtection="1"/>
    <xf numFmtId="0" fontId="0" fillId="19" borderId="17" xfId="0" applyFill="1" applyBorder="1" applyAlignment="1" applyProtection="1"/>
    <xf numFmtId="0" fontId="50" fillId="0" borderId="13" xfId="0" applyNumberFormat="1" applyFont="1" applyFill="1" applyBorder="1" applyAlignment="1" applyProtection="1">
      <alignment horizontal="left" wrapText="1"/>
    </xf>
    <xf numFmtId="0" fontId="50" fillId="0" borderId="16" xfId="0" applyNumberFormat="1" applyFont="1" applyFill="1" applyBorder="1" applyAlignment="1" applyProtection="1">
      <alignment horizontal="left" wrapText="1"/>
    </xf>
    <xf numFmtId="0" fontId="50" fillId="0" borderId="18" xfId="0" applyNumberFormat="1" applyFont="1" applyFill="1" applyBorder="1" applyAlignment="1" applyProtection="1">
      <alignment horizontal="left" wrapText="1"/>
    </xf>
    <xf numFmtId="0" fontId="2" fillId="0" borderId="4" xfId="0" applyFont="1" applyBorder="1" applyAlignment="1">
      <alignment horizontal="left" wrapText="1"/>
    </xf>
    <xf numFmtId="0" fontId="2" fillId="0" borderId="25" xfId="0" applyFont="1" applyBorder="1" applyAlignment="1">
      <alignment horizontal="left" wrapText="1"/>
    </xf>
    <xf numFmtId="0" fontId="2" fillId="0" borderId="0" xfId="0" applyFont="1" applyBorder="1" applyAlignment="1">
      <alignment horizontal="left" wrapText="1"/>
    </xf>
    <xf numFmtId="0" fontId="2" fillId="0" borderId="17" xfId="0" applyFont="1" applyBorder="1" applyAlignment="1">
      <alignment horizontal="left" wrapText="1"/>
    </xf>
  </cellXfs>
  <cellStyles count="3">
    <cellStyle name="Link" xfId="1" builtinId="8"/>
    <cellStyle name="Prozent" xfId="2" builtinId="5"/>
    <cellStyle name="Standard" xfId="0" builtinId="0"/>
  </cellStyles>
  <dxfs count="101">
    <dxf>
      <font>
        <color rgb="FFFF0000"/>
      </font>
    </dxf>
    <dxf>
      <font>
        <color rgb="FFFF0000"/>
      </font>
    </dxf>
    <dxf>
      <font>
        <color rgb="FFFF0000"/>
      </font>
    </dxf>
    <dxf>
      <font>
        <color rgb="FFFF0000"/>
      </font>
    </dxf>
    <dxf>
      <fill>
        <patternFill>
          <bgColor indexed="41"/>
        </patternFill>
      </fill>
    </dxf>
    <dxf>
      <fill>
        <patternFill>
          <bgColor indexed="4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0000"/>
      </font>
    </dxf>
    <dxf>
      <font>
        <color theme="0"/>
      </font>
    </dxf>
    <dxf>
      <font>
        <color theme="0"/>
      </font>
    </dxf>
    <dxf>
      <font>
        <color theme="0"/>
      </font>
    </dxf>
    <dxf>
      <font>
        <color theme="0"/>
      </font>
    </dxf>
    <dxf>
      <font>
        <color theme="0"/>
      </font>
    </dxf>
    <dxf>
      <font>
        <color theme="0"/>
      </font>
    </dxf>
    <dxf>
      <font>
        <color theme="0"/>
      </font>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0000"/>
      </font>
    </dxf>
    <dxf>
      <font>
        <color rgb="FFFF0000"/>
      </font>
    </dxf>
    <dxf>
      <font>
        <color theme="0"/>
      </font>
    </dxf>
    <dxf>
      <font>
        <color theme="0"/>
      </font>
    </dxf>
    <dxf>
      <font>
        <color rgb="FFFF0000"/>
      </font>
    </dxf>
    <dxf>
      <font>
        <color theme="0"/>
      </font>
    </dxf>
    <dxf>
      <font>
        <color theme="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0900C0"/>
      <color rgb="FFFF5050"/>
      <color rgb="FFFFFF99"/>
      <color rgb="FFCCFFCC"/>
      <color rgb="FFFFCC00"/>
      <color rgb="FF0033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BRBV_01"/>
  <dimension ref="A1:J31"/>
  <sheetViews>
    <sheetView tabSelected="1" zoomScaleNormal="100" workbookViewId="0">
      <pane xSplit="1" ySplit="1" topLeftCell="B2" activePane="bottomRight" state="frozen"/>
      <selection pane="topRight" activeCell="B1" sqref="B1"/>
      <selection pane="bottomLeft" activeCell="A2" sqref="A2"/>
      <selection pane="bottomRight" activeCell="G12" sqref="G12"/>
    </sheetView>
  </sheetViews>
  <sheetFormatPr baseColWidth="10" defaultColWidth="10.85546875" defaultRowHeight="12.75"/>
  <cols>
    <col min="1" max="1" width="29.42578125" customWidth="1"/>
    <col min="2" max="2" width="4.7109375" customWidth="1"/>
    <col min="3" max="3" width="23" customWidth="1"/>
    <col min="4" max="4" width="4" customWidth="1"/>
    <col min="5" max="5" width="17.140625" customWidth="1"/>
    <col min="6" max="6" width="14.7109375" customWidth="1"/>
    <col min="7" max="7" width="20.28515625" customWidth="1"/>
    <col min="8" max="8" width="3.42578125" customWidth="1"/>
    <col min="9" max="9" width="15.5703125" customWidth="1"/>
    <col min="10" max="10" width="17.140625" customWidth="1"/>
  </cols>
  <sheetData>
    <row r="1" spans="1:10" ht="19.5" customHeight="1">
      <c r="A1" s="9" t="str">
        <f>VLOOKUP("Ü01a",TEXTDF,SPRCODE+1,FALSE)</f>
        <v>Betriebsrechnung der beruflichen Vorsorge des Schweizergeschäfts</v>
      </c>
      <c r="B1" s="1"/>
      <c r="C1" s="1"/>
      <c r="D1" s="1"/>
      <c r="E1" s="1"/>
      <c r="F1" s="1"/>
      <c r="G1" s="1"/>
      <c r="H1" s="1"/>
      <c r="I1" s="1"/>
      <c r="J1" s="1"/>
    </row>
    <row r="2" spans="1:10" ht="7.5" customHeight="1">
      <c r="A2" s="7"/>
      <c r="B2" s="1"/>
      <c r="C2" s="1"/>
      <c r="D2" s="1"/>
      <c r="E2" s="1"/>
      <c r="F2" s="1"/>
      <c r="G2" s="1"/>
      <c r="H2" s="1"/>
      <c r="I2" s="1"/>
      <c r="J2" s="1"/>
    </row>
    <row r="3" spans="1:10" ht="19.5" customHeight="1">
      <c r="A3" s="8" t="str">
        <f>VLOOKUP("Ü02a",TEXTDF,SPRCODE+1,FALSE)</f>
        <v>Lebensversicherungsunternehmen:</v>
      </c>
      <c r="B3" s="3"/>
      <c r="C3" s="3"/>
      <c r="D3" s="3"/>
      <c r="E3" s="40"/>
      <c r="F3" s="4"/>
      <c r="G3" s="4"/>
      <c r="H3" s="4"/>
      <c r="I3" s="4"/>
      <c r="J3" s="5"/>
    </row>
    <row r="4" spans="1:10" ht="19.5" customHeight="1">
      <c r="A4" s="8" t="str">
        <f>VLOOKUP("Ü03a",TEXTDF,SPRCODE+1,FALSE)</f>
        <v>Kurzname:</v>
      </c>
      <c r="B4" s="3"/>
      <c r="C4" s="3"/>
      <c r="D4" s="3"/>
      <c r="E4" s="40"/>
      <c r="F4" s="4"/>
      <c r="G4" s="4"/>
      <c r="H4" s="4"/>
      <c r="I4" s="5"/>
      <c r="J4" s="13"/>
    </row>
    <row r="5" spans="1:10" ht="19.5" customHeight="1">
      <c r="A5" s="8" t="str">
        <f>VLOOKUP("Ü04a",TEXTDF,SPRCODE+1,FALSE)</f>
        <v>Verantwortliche Person (mit E-Mail):</v>
      </c>
      <c r="B5" s="3"/>
      <c r="C5" s="3"/>
      <c r="D5" s="3"/>
      <c r="E5" s="74"/>
      <c r="F5" s="4"/>
      <c r="G5" s="4"/>
      <c r="H5" s="4"/>
      <c r="I5" s="5"/>
      <c r="J5" s="3"/>
    </row>
    <row r="6" spans="1:10" ht="19.5" customHeight="1">
      <c r="A6" s="8" t="str">
        <f>VLOOKUP("Ü05a",TEXTDF,SPRCODE+1,FALSE)</f>
        <v>Registraturnummer:</v>
      </c>
      <c r="B6" s="3"/>
      <c r="C6" s="3"/>
      <c r="D6" s="3"/>
      <c r="E6" s="12"/>
      <c r="F6" s="11"/>
      <c r="G6" s="10"/>
      <c r="H6" s="10"/>
      <c r="I6" s="10"/>
      <c r="J6" s="3"/>
    </row>
    <row r="7" spans="1:10" ht="11.25" customHeight="1">
      <c r="A7" s="7"/>
      <c r="B7" s="1"/>
      <c r="C7" s="1"/>
      <c r="D7" s="1"/>
      <c r="E7" s="1"/>
      <c r="F7" s="1"/>
      <c r="G7" s="1"/>
      <c r="H7" s="1"/>
      <c r="I7" s="1"/>
      <c r="J7" s="3"/>
    </row>
    <row r="8" spans="1:10" ht="19.5" customHeight="1">
      <c r="A8" s="8" t="str">
        <f>VLOOKUP("Ü08a",TEXTDF,SPRCODE+1,FALSE)</f>
        <v>Berichtsjahr (BJ):</v>
      </c>
      <c r="B8" s="1"/>
      <c r="C8" s="1"/>
      <c r="D8" s="6"/>
      <c r="E8" s="35">
        <v>2023</v>
      </c>
      <c r="F8" s="6"/>
      <c r="H8" s="6"/>
      <c r="I8" s="1"/>
      <c r="J8" s="3"/>
    </row>
    <row r="9" spans="1:10">
      <c r="A9" s="1"/>
      <c r="B9" s="1"/>
      <c r="C9" s="1"/>
      <c r="D9" s="1"/>
      <c r="E9" s="1"/>
      <c r="F9" s="1"/>
      <c r="G9" s="1"/>
      <c r="H9" s="1"/>
      <c r="I9" s="1"/>
      <c r="J9" s="3"/>
    </row>
    <row r="10" spans="1:10" ht="13.5" thickBot="1">
      <c r="A10" s="2" t="str">
        <f>VLOOKUP("Ü10a",TEXTDF,SPRCODE+1,FALSE)</f>
        <v>Excel-Tabelle</v>
      </c>
      <c r="B10" s="2"/>
      <c r="C10" s="1"/>
      <c r="D10" s="1"/>
      <c r="E10" s="1"/>
      <c r="F10" s="1"/>
      <c r="G10" s="1"/>
      <c r="H10" s="1"/>
      <c r="I10" s="1"/>
      <c r="J10" s="3"/>
    </row>
    <row r="11" spans="1:10" ht="13.5" thickTop="1">
      <c r="A11" s="841" t="str">
        <f>VLOOKUP("Ü11a",TEXTDF,SPRCODE+1,FALSE)</f>
        <v>ER</v>
      </c>
      <c r="B11" s="66"/>
      <c r="C11" s="1"/>
      <c r="D11" s="1"/>
      <c r="E11" s="1"/>
      <c r="F11" s="1"/>
      <c r="G11" s="51" t="s">
        <v>4228</v>
      </c>
      <c r="H11" s="1"/>
      <c r="I11" s="1"/>
      <c r="J11" s="3"/>
    </row>
    <row r="12" spans="1:10" ht="13.5" thickBot="1">
      <c r="A12" s="842"/>
      <c r="B12" s="66"/>
      <c r="C12" s="1"/>
      <c r="D12" s="1"/>
      <c r="E12" s="1"/>
      <c r="F12" s="1"/>
      <c r="G12" s="838" t="s">
        <v>4229</v>
      </c>
      <c r="H12" s="1"/>
      <c r="I12" s="1"/>
      <c r="J12" s="3"/>
    </row>
    <row r="13" spans="1:10" ht="13.5" thickTop="1">
      <c r="A13" s="845" t="str">
        <f>VLOOKUP("Ü13a",TEXTDF,SPRCODE+1,FALSE)</f>
        <v>BILANZ</v>
      </c>
      <c r="B13" s="66"/>
      <c r="C13" s="1"/>
      <c r="D13" s="1"/>
      <c r="E13" s="1"/>
      <c r="F13" s="1"/>
      <c r="G13" s="837">
        <f>IF(G12="DEUTSCH",1,2)</f>
        <v>1</v>
      </c>
      <c r="H13" s="1"/>
      <c r="I13" s="1"/>
      <c r="J13" s="3"/>
    </row>
    <row r="14" spans="1:10">
      <c r="A14" s="843"/>
      <c r="B14" s="66"/>
      <c r="C14" s="1"/>
      <c r="D14" s="1"/>
      <c r="E14" s="1"/>
      <c r="F14" s="1"/>
      <c r="G14" s="1"/>
      <c r="H14" s="1"/>
      <c r="I14" s="1"/>
      <c r="J14" s="3"/>
    </row>
    <row r="15" spans="1:10">
      <c r="A15" s="843"/>
      <c r="B15" s="66"/>
      <c r="C15" s="1"/>
      <c r="D15" s="1"/>
      <c r="E15" s="1"/>
      <c r="F15" s="1"/>
      <c r="G15" s="1"/>
      <c r="H15" s="1"/>
      <c r="I15" s="1"/>
      <c r="J15" s="3"/>
    </row>
    <row r="16" spans="1:10">
      <c r="A16" s="846" t="str">
        <f>VLOOKUP("Ü16a",TEXTDF,SPRCODE+1,FALSE)</f>
        <v>TECHN ZERLEGUNG</v>
      </c>
      <c r="B16" s="66"/>
      <c r="C16" s="1"/>
      <c r="D16" s="1"/>
      <c r="E16" s="1"/>
      <c r="F16" s="1"/>
      <c r="G16" s="44"/>
      <c r="H16" s="1"/>
      <c r="I16" s="1"/>
      <c r="J16" s="3"/>
    </row>
    <row r="17" spans="1:10">
      <c r="A17" s="34"/>
      <c r="B17" s="66"/>
      <c r="C17" s="1"/>
      <c r="D17" s="1"/>
      <c r="E17" s="1"/>
      <c r="F17" s="1"/>
      <c r="G17" s="44"/>
      <c r="H17" s="1"/>
      <c r="I17" s="1"/>
      <c r="J17" s="3"/>
    </row>
    <row r="18" spans="1:10">
      <c r="A18" s="34"/>
      <c r="B18" s="66"/>
      <c r="C18" s="1"/>
      <c r="D18" s="1"/>
      <c r="E18" s="1"/>
      <c r="F18" s="1"/>
      <c r="G18" s="44"/>
      <c r="H18" s="1"/>
      <c r="I18" s="1"/>
      <c r="J18" s="3"/>
    </row>
    <row r="19" spans="1:10">
      <c r="A19" s="34"/>
      <c r="B19" s="66"/>
      <c r="C19" s="1"/>
      <c r="D19" s="1"/>
      <c r="E19" s="1"/>
      <c r="F19" s="1"/>
      <c r="G19" s="44"/>
      <c r="H19" s="64"/>
      <c r="I19" s="44"/>
      <c r="J19" s="3"/>
    </row>
    <row r="20" spans="1:10">
      <c r="A20" s="34"/>
      <c r="B20" s="66"/>
      <c r="C20" s="1"/>
      <c r="D20" s="1"/>
      <c r="E20" s="1"/>
      <c r="F20" s="1"/>
      <c r="G20" s="1"/>
      <c r="H20" s="44"/>
      <c r="I20" s="49"/>
      <c r="J20" s="3"/>
    </row>
    <row r="21" spans="1:10">
      <c r="A21" s="850" t="str">
        <f>VLOOKUP("Ü21a",TEXTDF,SPRCODE+1,FALSE)</f>
        <v>BESTANDESSTATISTIK</v>
      </c>
      <c r="B21" s="66"/>
      <c r="C21" s="1"/>
      <c r="D21" s="1"/>
      <c r="E21" s="1"/>
      <c r="F21" s="1"/>
      <c r="G21" s="44"/>
      <c r="H21" s="44"/>
      <c r="I21" s="44"/>
      <c r="J21" s="3"/>
    </row>
    <row r="22" spans="1:10">
      <c r="A22" s="33"/>
      <c r="B22" s="166"/>
      <c r="C22" s="1"/>
      <c r="D22" s="1"/>
      <c r="E22" s="1"/>
      <c r="F22" s="1"/>
      <c r="G22" s="44"/>
      <c r="H22" s="44"/>
      <c r="I22" s="44"/>
      <c r="J22" s="3"/>
    </row>
    <row r="23" spans="1:10">
      <c r="A23" s="33"/>
      <c r="B23" s="66"/>
      <c r="C23" s="1"/>
      <c r="D23" s="1"/>
      <c r="E23" s="1"/>
      <c r="F23" s="1"/>
      <c r="G23" s="44"/>
      <c r="H23" s="1"/>
      <c r="I23" s="1"/>
      <c r="J23" s="3"/>
    </row>
    <row r="24" spans="1:10">
      <c r="A24" s="33"/>
      <c r="B24" s="66"/>
      <c r="C24" s="1"/>
      <c r="D24" s="1"/>
      <c r="E24" s="1"/>
      <c r="F24" s="1"/>
      <c r="G24" s="44"/>
      <c r="H24" s="44"/>
      <c r="I24" s="44"/>
      <c r="J24" s="44"/>
    </row>
    <row r="25" spans="1:10">
      <c r="A25" s="33"/>
      <c r="B25" s="66"/>
      <c r="C25" s="1"/>
      <c r="D25" s="1"/>
      <c r="E25" s="1"/>
      <c r="F25" s="1"/>
      <c r="G25" s="44"/>
      <c r="H25" s="44"/>
      <c r="I25" s="44"/>
      <c r="J25" s="44"/>
    </row>
    <row r="26" spans="1:10">
      <c r="A26" s="33"/>
      <c r="B26" s="67"/>
      <c r="C26" s="1"/>
      <c r="D26" s="1"/>
      <c r="E26" s="1"/>
      <c r="F26" s="1"/>
      <c r="G26" s="44"/>
      <c r="H26" s="44"/>
      <c r="I26" s="44"/>
      <c r="J26" s="44"/>
    </row>
    <row r="27" spans="1:10">
      <c r="A27" s="847" t="str">
        <f>VLOOKUP("Ü26a",TEXTDF,SPRCODE+1,FALSE)</f>
        <v>BILANZIERUNGSGRUNDSAETZE</v>
      </c>
      <c r="B27" s="66"/>
      <c r="C27" s="1"/>
      <c r="D27" s="1"/>
      <c r="E27" s="1"/>
      <c r="F27" s="1"/>
      <c r="G27" s="1"/>
      <c r="H27" s="1"/>
      <c r="I27" s="1"/>
      <c r="J27" s="1"/>
    </row>
    <row r="28" spans="1:10">
      <c r="A28" s="848" t="str">
        <f>VLOOKUP("Ü27a",TEXTDF,SPRCODE+1,FALSE)</f>
        <v>BEWERTUNGSRESERVEN</v>
      </c>
      <c r="B28" s="66"/>
      <c r="C28" s="1"/>
      <c r="D28" s="1"/>
      <c r="E28" s="1"/>
      <c r="F28" s="1"/>
      <c r="G28" s="1"/>
      <c r="H28" s="1"/>
      <c r="I28" s="1"/>
      <c r="J28" s="1"/>
    </row>
    <row r="29" spans="1:10">
      <c r="A29" s="844"/>
      <c r="B29" s="66"/>
      <c r="C29" s="1"/>
      <c r="D29" s="1"/>
      <c r="E29" s="1"/>
      <c r="F29" s="1"/>
      <c r="G29" s="1"/>
      <c r="H29" s="1"/>
      <c r="I29" s="1"/>
      <c r="J29" s="1"/>
    </row>
    <row r="30" spans="1:10">
      <c r="A30" s="849" t="str">
        <f>VLOOKUP("Ü29a",TEXTDF,SPRCODE+1,FALSE)</f>
        <v>OFFENLEGUNGSSCHEMA</v>
      </c>
      <c r="B30" s="66"/>
      <c r="C30" s="1"/>
      <c r="D30" s="1"/>
      <c r="E30" s="1"/>
      <c r="F30" s="1"/>
      <c r="G30" s="1"/>
      <c r="H30" s="1"/>
      <c r="I30" s="1"/>
      <c r="J30" s="1"/>
    </row>
    <row r="31" spans="1:10">
      <c r="A31" s="41"/>
      <c r="B31" s="42"/>
      <c r="C31" s="42"/>
      <c r="D31" s="42"/>
      <c r="E31" s="42"/>
      <c r="F31" s="42"/>
      <c r="G31" s="42"/>
      <c r="H31" s="42"/>
      <c r="I31" s="42"/>
      <c r="J31" s="42"/>
    </row>
  </sheetData>
  <sheetProtection algorithmName="SHA-512" hashValue="0iBBtxAMOeYihJN+2iyXUd8SqsXpp6R7UUKTSOxD7Mdxr0NfCar5W1OG09UTm0IJbHT42buP6n3CuJb6M2t9rw==" saltValue="/EoYNiJozeweHBTHRZJTLg==" spinCount="100000" sheet="1" objects="1" scenarios="1"/>
  <phoneticPr fontId="9" type="noConversion"/>
  <dataValidations count="2">
    <dataValidation type="list" allowBlank="1" showInputMessage="1" showErrorMessage="1" sqref="G12" xr:uid="{38E69A5F-3631-4287-A59B-387BFCBB81FB}">
      <formula1>"DEUTSCH,FRANÇAIS"</formula1>
    </dataValidation>
    <dataValidation type="list" allowBlank="1" showInputMessage="1" showErrorMessage="1" sqref="E4" xr:uid="{B4E732A2-C13F-40DE-9677-335F0E24E7BF}">
      <formula1>"Allianz,Axa,Basler,Generali,Helvetia,Mobiliar,Pax,Swiss Life,Youplus,VZRück,Youplus,Zuerich,Other"</formula1>
    </dataValidation>
  </dataValidations>
  <hyperlinks>
    <hyperlink ref="A11" location="ER!F5" display="ER!F5" xr:uid="{4D8F88E4-7F5E-4038-8EBE-EBEC8B336EA5}"/>
    <hyperlink ref="A13" location="BILANZ!F5" display="BILANZ!F5" xr:uid="{F7CD677F-BD7C-4193-B4AE-221FD338F3BE}"/>
    <hyperlink ref="A16" location="'TECHN ZERLEGUNG'!H7" display="'TECHN ZERLEGUNG'!H7" xr:uid="{44ECBEBD-3749-48C1-B6B2-28BDF88D87C2}"/>
    <hyperlink ref="A21" location="BESTANDESSTATISTIK!I7" display="BESTANDESSTATISTIK!I7" xr:uid="{37E23C17-397A-4CC8-B710-E252ED5264A2}"/>
    <hyperlink ref="A27" location="BILANZIERUNGSGRUNDSAETZE!C7" display="BILANZIERUNGSGRUNDSAETZE!C7" xr:uid="{4318A51B-64C6-4835-9729-14343F451684}"/>
    <hyperlink ref="A28" location="BEWERTUNGSRESERVEN!E7" display="BEWERTUNGSRESERVEN!E7" xr:uid="{3898B242-84FA-4998-B845-4B569608666A}"/>
    <hyperlink ref="A30" location="OFFENLEGUNGSSCHEMA!F6" display="OFFENLEGUNGSSCHEMA!F6" xr:uid="{B9C738D4-A55A-4A47-B44A-50E95EF25AA5}"/>
  </hyperlinks>
  <printOptions headings="1" gridLines="1"/>
  <pageMargins left="0.39370078740157483" right="0.35433070866141736" top="0.98425196850393704" bottom="0.47244094488188981" header="0.51181102362204722" footer="0.23622047244094491"/>
  <pageSetup paperSize="9" scale="75" orientation="landscape"/>
  <headerFooter alignWithMargins="0">
    <oddFooter>&amp;L&amp;D   &amp;T&amp;C&amp;A&amp;R&amp;P / &amp;N</oddFooter>
  </headerFooter>
  <ignoredErrors>
    <ignoredError sqref="A4"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BRBV_10">
    <tabColor theme="0" tint="-0.14999847407452621"/>
  </sheetPr>
  <dimension ref="A1:G42"/>
  <sheetViews>
    <sheetView zoomScaleNormal="100" workbookViewId="0">
      <selection activeCell="L20" sqref="L20"/>
    </sheetView>
  </sheetViews>
  <sheetFormatPr baseColWidth="10" defaultColWidth="9.140625" defaultRowHeight="12.75"/>
  <cols>
    <col min="1" max="16384" width="9.140625" style="45"/>
  </cols>
  <sheetData>
    <row r="1" spans="1:7">
      <c r="A1" s="48" t="s">
        <v>309</v>
      </c>
      <c r="E1" s="48" t="s">
        <v>3788</v>
      </c>
    </row>
    <row r="2" spans="1:7">
      <c r="D2" s="47"/>
      <c r="F2" s="167" t="s">
        <v>3790</v>
      </c>
      <c r="G2" s="167" t="s">
        <v>3789</v>
      </c>
    </row>
    <row r="3" spans="1:7">
      <c r="A3" s="45">
        <v>1985</v>
      </c>
      <c r="B3" s="46">
        <v>0.04</v>
      </c>
      <c r="E3" s="45">
        <v>1985</v>
      </c>
      <c r="F3" s="46">
        <v>7.1999999999999995E-2</v>
      </c>
      <c r="G3" s="46">
        <v>7.1999999999999995E-2</v>
      </c>
    </row>
    <row r="4" spans="1:7">
      <c r="A4" s="45">
        <v>1986</v>
      </c>
      <c r="B4" s="46">
        <v>0.04</v>
      </c>
      <c r="E4" s="45">
        <v>1986</v>
      </c>
      <c r="F4" s="46">
        <v>7.1999999999999995E-2</v>
      </c>
      <c r="G4" s="46">
        <v>7.1999999999999995E-2</v>
      </c>
    </row>
    <row r="5" spans="1:7">
      <c r="A5" s="45">
        <v>1987</v>
      </c>
      <c r="B5" s="46">
        <v>0.04</v>
      </c>
      <c r="E5" s="45">
        <v>1987</v>
      </c>
      <c r="F5" s="46">
        <v>7.1999999999999995E-2</v>
      </c>
      <c r="G5" s="46">
        <v>7.1999999999999995E-2</v>
      </c>
    </row>
    <row r="6" spans="1:7">
      <c r="A6" s="45">
        <v>1988</v>
      </c>
      <c r="B6" s="46">
        <v>0.04</v>
      </c>
      <c r="E6" s="45">
        <v>1988</v>
      </c>
      <c r="F6" s="46">
        <v>7.1999999999999995E-2</v>
      </c>
      <c r="G6" s="46">
        <v>7.1999999999999995E-2</v>
      </c>
    </row>
    <row r="7" spans="1:7">
      <c r="A7" s="45">
        <v>1989</v>
      </c>
      <c r="B7" s="46">
        <v>0.04</v>
      </c>
      <c r="E7" s="45">
        <v>1989</v>
      </c>
      <c r="F7" s="46">
        <v>7.1999999999999995E-2</v>
      </c>
      <c r="G7" s="46">
        <v>7.1999999999999995E-2</v>
      </c>
    </row>
    <row r="8" spans="1:7">
      <c r="A8" s="45">
        <v>1990</v>
      </c>
      <c r="B8" s="46">
        <v>0.04</v>
      </c>
      <c r="E8" s="45">
        <v>1990</v>
      </c>
      <c r="F8" s="46">
        <v>7.1999999999999995E-2</v>
      </c>
      <c r="G8" s="46">
        <v>7.1999999999999995E-2</v>
      </c>
    </row>
    <row r="9" spans="1:7">
      <c r="A9" s="45">
        <v>1991</v>
      </c>
      <c r="B9" s="46">
        <v>0.04</v>
      </c>
      <c r="E9" s="45">
        <v>1991</v>
      </c>
      <c r="F9" s="46">
        <v>7.1999999999999995E-2</v>
      </c>
      <c r="G9" s="46">
        <v>7.1999999999999995E-2</v>
      </c>
    </row>
    <row r="10" spans="1:7">
      <c r="A10" s="45">
        <v>1992</v>
      </c>
      <c r="B10" s="46">
        <v>0.04</v>
      </c>
      <c r="E10" s="45">
        <v>1992</v>
      </c>
      <c r="F10" s="46">
        <v>7.1999999999999995E-2</v>
      </c>
      <c r="G10" s="46">
        <v>7.1999999999999995E-2</v>
      </c>
    </row>
    <row r="11" spans="1:7">
      <c r="A11" s="45">
        <v>1993</v>
      </c>
      <c r="B11" s="46">
        <v>0.04</v>
      </c>
      <c r="E11" s="45">
        <v>1993</v>
      </c>
      <c r="F11" s="46">
        <v>7.1999999999999995E-2</v>
      </c>
      <c r="G11" s="46">
        <v>7.1999999999999995E-2</v>
      </c>
    </row>
    <row r="12" spans="1:7">
      <c r="A12" s="45">
        <v>1994</v>
      </c>
      <c r="B12" s="46">
        <v>0.04</v>
      </c>
      <c r="E12" s="45">
        <v>1994</v>
      </c>
      <c r="F12" s="46">
        <v>7.1999999999999995E-2</v>
      </c>
      <c r="G12" s="46">
        <v>7.1999999999999995E-2</v>
      </c>
    </row>
    <row r="13" spans="1:7">
      <c r="A13" s="45">
        <v>1995</v>
      </c>
      <c r="B13" s="46">
        <v>0.04</v>
      </c>
      <c r="E13" s="45">
        <v>1995</v>
      </c>
      <c r="F13" s="46">
        <v>7.1999999999999995E-2</v>
      </c>
      <c r="G13" s="46">
        <v>7.1999999999999995E-2</v>
      </c>
    </row>
    <row r="14" spans="1:7">
      <c r="A14" s="45">
        <v>1996</v>
      </c>
      <c r="B14" s="46">
        <v>0.04</v>
      </c>
      <c r="E14" s="45">
        <v>1996</v>
      </c>
      <c r="F14" s="46">
        <v>7.1999999999999995E-2</v>
      </c>
      <c r="G14" s="46">
        <v>7.1999999999999995E-2</v>
      </c>
    </row>
    <row r="15" spans="1:7">
      <c r="A15" s="45">
        <v>1997</v>
      </c>
      <c r="B15" s="46">
        <v>0.04</v>
      </c>
      <c r="E15" s="45">
        <v>1997</v>
      </c>
      <c r="F15" s="46">
        <v>7.1999999999999995E-2</v>
      </c>
      <c r="G15" s="46">
        <v>7.1999999999999995E-2</v>
      </c>
    </row>
    <row r="16" spans="1:7">
      <c r="A16" s="45">
        <v>1998</v>
      </c>
      <c r="B16" s="46">
        <v>0.04</v>
      </c>
      <c r="E16" s="45">
        <v>1998</v>
      </c>
      <c r="F16" s="46">
        <v>7.1999999999999995E-2</v>
      </c>
      <c r="G16" s="46">
        <v>7.1999999999999995E-2</v>
      </c>
    </row>
    <row r="17" spans="1:7">
      <c r="A17" s="45">
        <v>1999</v>
      </c>
      <c r="B17" s="46">
        <v>0.04</v>
      </c>
      <c r="E17" s="45">
        <v>1999</v>
      </c>
      <c r="F17" s="46">
        <v>7.1999999999999995E-2</v>
      </c>
      <c r="G17" s="46">
        <v>7.1999999999999995E-2</v>
      </c>
    </row>
    <row r="18" spans="1:7">
      <c r="A18" s="45">
        <v>2000</v>
      </c>
      <c r="B18" s="46">
        <v>0.04</v>
      </c>
      <c r="E18" s="45">
        <v>2000</v>
      </c>
      <c r="F18" s="46">
        <v>7.1999999999999995E-2</v>
      </c>
      <c r="G18" s="46">
        <v>7.1999999999999995E-2</v>
      </c>
    </row>
    <row r="19" spans="1:7">
      <c r="A19" s="45">
        <v>2001</v>
      </c>
      <c r="B19" s="46">
        <v>0.04</v>
      </c>
      <c r="E19" s="45">
        <v>2001</v>
      </c>
      <c r="F19" s="46">
        <v>7.1999999999999995E-2</v>
      </c>
      <c r="G19" s="46">
        <v>7.1999999999999995E-2</v>
      </c>
    </row>
    <row r="20" spans="1:7">
      <c r="A20" s="45">
        <v>2002</v>
      </c>
      <c r="B20" s="46">
        <v>0.04</v>
      </c>
      <c r="E20" s="45">
        <v>2002</v>
      </c>
      <c r="F20" s="46">
        <v>7.1999999999999995E-2</v>
      </c>
      <c r="G20" s="46">
        <v>7.1999999999999995E-2</v>
      </c>
    </row>
    <row r="21" spans="1:7">
      <c r="A21" s="45">
        <v>2003</v>
      </c>
      <c r="B21" s="46">
        <v>3.2500000000000001E-2</v>
      </c>
      <c r="E21" s="45">
        <v>2003</v>
      </c>
      <c r="F21" s="46">
        <v>7.1999999999999995E-2</v>
      </c>
      <c r="G21" s="46">
        <v>7.1999999999999995E-2</v>
      </c>
    </row>
    <row r="22" spans="1:7">
      <c r="A22" s="45">
        <v>2004</v>
      </c>
      <c r="B22" s="46">
        <v>2.2499999999999999E-2</v>
      </c>
      <c r="E22" s="45">
        <v>2004</v>
      </c>
      <c r="F22" s="46">
        <v>7.1999999999999995E-2</v>
      </c>
      <c r="G22" s="46">
        <v>7.1999999999999995E-2</v>
      </c>
    </row>
    <row r="23" spans="1:7">
      <c r="A23" s="45">
        <v>2005</v>
      </c>
      <c r="B23" s="46">
        <v>2.5000000000000001E-2</v>
      </c>
      <c r="E23" s="45">
        <v>2005</v>
      </c>
      <c r="F23" s="46">
        <v>7.1499999999999994E-2</v>
      </c>
      <c r="G23" s="46">
        <v>7.1999999999999995E-2</v>
      </c>
    </row>
    <row r="24" spans="1:7">
      <c r="A24" s="45">
        <v>2006</v>
      </c>
      <c r="B24" s="46">
        <v>2.5000000000000001E-2</v>
      </c>
      <c r="E24" s="45">
        <v>2006</v>
      </c>
      <c r="F24" s="46">
        <v>7.0999999999999994E-2</v>
      </c>
      <c r="G24" s="46">
        <v>7.1999999999999995E-2</v>
      </c>
    </row>
    <row r="25" spans="1:7">
      <c r="A25" s="45">
        <v>2007</v>
      </c>
      <c r="B25" s="46">
        <v>2.5000000000000001E-2</v>
      </c>
      <c r="E25" s="45">
        <v>2007</v>
      </c>
      <c r="F25" s="46">
        <v>7.0999999999999994E-2</v>
      </c>
      <c r="G25" s="46">
        <v>7.1499999999999994E-2</v>
      </c>
    </row>
    <row r="26" spans="1:7">
      <c r="A26" s="45">
        <v>2008</v>
      </c>
      <c r="B26" s="46">
        <v>2.75E-2</v>
      </c>
      <c r="E26" s="45">
        <v>2008</v>
      </c>
      <c r="F26" s="46">
        <v>7.0499999999999993E-2</v>
      </c>
      <c r="G26" s="46">
        <v>7.0999999999999994E-2</v>
      </c>
    </row>
    <row r="27" spans="1:7">
      <c r="A27" s="45">
        <v>2009</v>
      </c>
      <c r="B27" s="46">
        <v>0.02</v>
      </c>
      <c r="E27" s="45">
        <v>2009</v>
      </c>
      <c r="F27" s="46">
        <v>7.0499999999999993E-2</v>
      </c>
      <c r="G27" s="46">
        <v>7.0000000000000007E-2</v>
      </c>
    </row>
    <row r="28" spans="1:7">
      <c r="A28" s="45">
        <v>2010</v>
      </c>
      <c r="B28" s="46">
        <v>0.02</v>
      </c>
      <c r="E28" s="45">
        <v>2010</v>
      </c>
      <c r="F28" s="46">
        <v>7.0000000000000007E-2</v>
      </c>
      <c r="G28" s="46">
        <v>6.9500000000000006E-2</v>
      </c>
    </row>
    <row r="29" spans="1:7">
      <c r="A29" s="45">
        <v>2011</v>
      </c>
      <c r="B29" s="46">
        <v>0.02</v>
      </c>
      <c r="E29" s="45">
        <v>2011</v>
      </c>
      <c r="F29" s="46">
        <v>6.9500000000000006E-2</v>
      </c>
      <c r="G29" s="46">
        <v>6.9000000000000006E-2</v>
      </c>
    </row>
    <row r="30" spans="1:7">
      <c r="A30" s="45">
        <v>2012</v>
      </c>
      <c r="B30" s="46">
        <v>1.4999999999999999E-2</v>
      </c>
      <c r="E30" s="45">
        <v>2012</v>
      </c>
      <c r="F30" s="46">
        <v>6.9000000000000006E-2</v>
      </c>
      <c r="G30" s="46">
        <v>6.8500000000000005E-2</v>
      </c>
    </row>
    <row r="31" spans="1:7">
      <c r="A31" s="45">
        <v>2013</v>
      </c>
      <c r="B31" s="46">
        <v>1.4999999999999999E-2</v>
      </c>
      <c r="E31" s="45">
        <v>2013</v>
      </c>
      <c r="F31" s="46">
        <v>6.8500000000000005E-2</v>
      </c>
      <c r="G31" s="46">
        <v>6.8000000000000005E-2</v>
      </c>
    </row>
    <row r="32" spans="1:7">
      <c r="A32" s="45">
        <v>2014</v>
      </c>
      <c r="B32" s="46">
        <v>1.7500000000000002E-2</v>
      </c>
      <c r="E32" s="45">
        <v>2014</v>
      </c>
      <c r="F32" s="46">
        <v>6.8000000000000005E-2</v>
      </c>
      <c r="G32" s="46">
        <v>6.8000000000000005E-2</v>
      </c>
    </row>
    <row r="33" spans="1:7">
      <c r="A33" s="45">
        <v>2015</v>
      </c>
      <c r="B33" s="46">
        <v>1.7500000000000002E-2</v>
      </c>
      <c r="E33" s="45">
        <v>2015</v>
      </c>
      <c r="F33" s="46">
        <v>6.8000000000000005E-2</v>
      </c>
      <c r="G33" s="46">
        <v>6.8000000000000005E-2</v>
      </c>
    </row>
    <row r="34" spans="1:7">
      <c r="A34" s="45">
        <v>2016</v>
      </c>
      <c r="B34" s="46">
        <v>1.2500000000000001E-2</v>
      </c>
      <c r="E34" s="45">
        <v>2016</v>
      </c>
      <c r="F34" s="46">
        <v>6.8000000000000005E-2</v>
      </c>
      <c r="G34" s="46">
        <v>6.8000000000000005E-2</v>
      </c>
    </row>
    <row r="35" spans="1:7">
      <c r="A35" s="45">
        <v>2017</v>
      </c>
      <c r="B35" s="46">
        <v>0.01</v>
      </c>
      <c r="E35" s="45">
        <v>2017</v>
      </c>
      <c r="F35" s="46">
        <v>6.8000000000000005E-2</v>
      </c>
      <c r="G35" s="46">
        <v>6.8000000000000005E-2</v>
      </c>
    </row>
    <row r="36" spans="1:7">
      <c r="A36" s="45">
        <v>2018</v>
      </c>
      <c r="B36" s="46">
        <v>0.01</v>
      </c>
      <c r="E36" s="45">
        <v>2018</v>
      </c>
      <c r="F36" s="46">
        <v>6.8000000000000005E-2</v>
      </c>
      <c r="G36" s="46">
        <v>6.8000000000000005E-2</v>
      </c>
    </row>
    <row r="37" spans="1:7">
      <c r="A37" s="45">
        <v>2019</v>
      </c>
      <c r="B37" s="46">
        <v>0.01</v>
      </c>
      <c r="E37" s="45">
        <v>2019</v>
      </c>
      <c r="F37" s="46">
        <v>6.8000000000000005E-2</v>
      </c>
      <c r="G37" s="46">
        <v>6.8000000000000005E-2</v>
      </c>
    </row>
    <row r="38" spans="1:7">
      <c r="A38" s="45">
        <v>2020</v>
      </c>
      <c r="B38" s="46">
        <v>0.01</v>
      </c>
      <c r="E38" s="45">
        <v>2020</v>
      </c>
      <c r="F38" s="46">
        <v>6.8000000000000005E-2</v>
      </c>
      <c r="G38" s="46">
        <v>6.8000000000000005E-2</v>
      </c>
    </row>
    <row r="39" spans="1:7">
      <c r="A39" s="45">
        <v>2021</v>
      </c>
      <c r="B39" s="46">
        <v>0.01</v>
      </c>
      <c r="E39" s="45">
        <v>2021</v>
      </c>
      <c r="F39" s="46">
        <v>6.8000000000000005E-2</v>
      </c>
      <c r="G39" s="46">
        <v>6.8000000000000005E-2</v>
      </c>
    </row>
    <row r="40" spans="1:7">
      <c r="A40" s="45">
        <v>2022</v>
      </c>
      <c r="B40" s="46">
        <v>0.01</v>
      </c>
      <c r="E40" s="45">
        <v>2022</v>
      </c>
      <c r="F40" s="46">
        <v>6.8000000000000005E-2</v>
      </c>
      <c r="G40" s="46">
        <v>6.8000000000000005E-2</v>
      </c>
    </row>
    <row r="41" spans="1:7">
      <c r="A41" s="45">
        <v>2023</v>
      </c>
      <c r="B41" s="46">
        <v>0.01</v>
      </c>
      <c r="E41" s="45">
        <v>2023</v>
      </c>
      <c r="F41" s="46">
        <v>6.8000000000000005E-2</v>
      </c>
      <c r="G41" s="46">
        <v>6.8000000000000005E-2</v>
      </c>
    </row>
    <row r="42" spans="1:7">
      <c r="A42" s="45">
        <v>2024</v>
      </c>
      <c r="B42" s="46">
        <v>1.2500000000000001E-2</v>
      </c>
      <c r="E42" s="45">
        <v>2024</v>
      </c>
      <c r="F42" s="46">
        <v>6.8000000000000005E-2</v>
      </c>
      <c r="G42" s="46">
        <v>6.8000000000000005E-2</v>
      </c>
    </row>
  </sheetData>
  <pageMargins left="0.78740157499999996" right="0.78740157499999996" top="0.984251969" bottom="0.984251969" header="0.4921259845" footer="0.4921259845"/>
  <pageSetup paperSize="9" scale="75" orientation="landscape"/>
  <headerFooter alignWithMargins="0">
    <oddFooter>&amp;L&amp;D   &amp;T&amp;C&amp;A&amp;R&amp;P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BRBV_02">
    <tabColor indexed="12"/>
  </sheetPr>
  <dimension ref="A1:M94"/>
  <sheetViews>
    <sheetView zoomScaleNormal="100" workbookViewId="0">
      <pane xSplit="2" ySplit="4" topLeftCell="C5" activePane="bottomRight" state="frozen"/>
      <selection pane="topRight" activeCell="C1" sqref="C1"/>
      <selection pane="bottomLeft" activeCell="A5" sqref="A5"/>
      <selection pane="bottomRight" activeCell="F5" sqref="F5"/>
    </sheetView>
  </sheetViews>
  <sheetFormatPr baseColWidth="10" defaultColWidth="9.140625" defaultRowHeight="12.75"/>
  <cols>
    <col min="1" max="1" width="4.5703125" style="320" customWidth="1"/>
    <col min="2" max="2" width="62.7109375" style="320" customWidth="1"/>
    <col min="3" max="4" width="12.42578125" style="24" customWidth="1"/>
    <col min="5" max="5" width="8.140625" style="722" customWidth="1"/>
    <col min="6" max="7" width="12.42578125" style="24" customWidth="1"/>
    <col min="8" max="8" width="8.140625" style="24" customWidth="1"/>
    <col min="9" max="10" width="12.42578125" style="24" customWidth="1"/>
    <col min="11" max="11" width="8.140625" style="24" customWidth="1"/>
    <col min="12" max="12" width="2.28515625" style="24" customWidth="1"/>
    <col min="13" max="13" width="9.42578125" style="240" customWidth="1"/>
    <col min="14" max="16384" width="9.140625" style="24"/>
  </cols>
  <sheetData>
    <row r="1" spans="1:13" ht="17.25" customHeight="1">
      <c r="A1" s="567" t="s">
        <v>705</v>
      </c>
      <c r="B1" s="310" t="str">
        <f>VLOOKUP($A1&amp;B$2,TEXTDF,SPRCODE+1,FALSE)</f>
        <v>Erfolgsrechnung</v>
      </c>
      <c r="C1" s="320" t="str">
        <f>VLOOKUP($A1&amp;C$2,TEXTDF,SPRCODE+1,FALSE)</f>
        <v>Frankenbeträge in 1000 CHF</v>
      </c>
      <c r="D1" s="320"/>
      <c r="E1" s="321"/>
      <c r="F1" s="320"/>
      <c r="G1" s="320"/>
      <c r="H1" s="322"/>
      <c r="I1" s="323"/>
      <c r="J1" s="323" t="str">
        <f>VLOOKUP($A1&amp;J$2,TEXTDF,SPRCODE+1,FALSE)</f>
        <v>Berichtsjahr:</v>
      </c>
      <c r="K1" s="324">
        <f>jahr</f>
        <v>2023</v>
      </c>
      <c r="L1" s="324"/>
    </row>
    <row r="2" spans="1:13" ht="12.75" customHeight="1" thickBot="1">
      <c r="A2" s="174"/>
      <c r="B2" s="175" t="s">
        <v>66</v>
      </c>
      <c r="C2" s="169" t="s">
        <v>469</v>
      </c>
      <c r="D2" s="169" t="s">
        <v>470</v>
      </c>
      <c r="E2" s="199" t="s">
        <v>57</v>
      </c>
      <c r="F2" s="169" t="s" vm="1">
        <v>58</v>
      </c>
      <c r="G2" s="169" t="s" vm="2">
        <v>54</v>
      </c>
      <c r="H2" s="176" t="s">
        <v>238</v>
      </c>
      <c r="I2" s="169" t="s" vm="3">
        <v>239</v>
      </c>
      <c r="J2" s="169" t="s" vm="4">
        <v>240</v>
      </c>
      <c r="K2" s="169" t="s" vm="6">
        <v>241</v>
      </c>
      <c r="L2" s="169"/>
    </row>
    <row r="3" spans="1:13">
      <c r="A3" s="311" t="s">
        <v>818</v>
      </c>
      <c r="B3" s="312" t="str">
        <f>Vr&amp;"  "</f>
        <v xml:space="preserve">  </v>
      </c>
      <c r="C3" s="208" t="str">
        <f>VLOOKUP($A3&amp;C$2,TEXTDF,SPRCODE+1,FALSE)</f>
        <v>Schweizergeschäft</v>
      </c>
      <c r="D3" s="209"/>
      <c r="E3" s="213"/>
      <c r="F3" s="851" t="str">
        <f>VLOOKUP($A3&amp;F$2,TEXTDF,SPRCODE+1,FALSE)</f>
        <v>Berufliche Vorsorge</v>
      </c>
      <c r="G3" s="852"/>
      <c r="H3" s="853"/>
      <c r="I3" s="854" t="str">
        <f>VLOOKUP($A3&amp;I$2,TEXTDF,SPRCODE+1,FALSE)</f>
        <v>Übriges Geschäft</v>
      </c>
      <c r="J3" s="855"/>
      <c r="K3" s="856"/>
      <c r="L3" s="243"/>
      <c r="M3" s="241"/>
    </row>
    <row r="4" spans="1:13" ht="13.5" thickBot="1">
      <c r="A4" s="313" t="s">
        <v>819</v>
      </c>
      <c r="B4" s="179" t="str">
        <f>CHOOSE(SPRCODE,"D","F")&amp;"  "</f>
        <v xml:space="preserve">D  </v>
      </c>
      <c r="C4" s="271">
        <f>+jahr</f>
        <v>2023</v>
      </c>
      <c r="D4" s="272">
        <f>+C4-1</f>
        <v>2022</v>
      </c>
      <c r="E4" s="214" t="str">
        <f>VLOOKUP($A3&amp;E$2,TEXTDF,SPRCODE+1,FALSE)</f>
        <v>+/-</v>
      </c>
      <c r="F4" s="857">
        <f>+jahr</f>
        <v>2023</v>
      </c>
      <c r="G4" s="858">
        <f>+F4-1</f>
        <v>2022</v>
      </c>
      <c r="H4" s="859" t="str">
        <f>+E4</f>
        <v>+/-</v>
      </c>
      <c r="I4" s="860">
        <f>+jahr</f>
        <v>2023</v>
      </c>
      <c r="J4" s="861">
        <f>+I4-1</f>
        <v>2022</v>
      </c>
      <c r="K4" s="862" t="str">
        <f>+H4</f>
        <v>+/-</v>
      </c>
      <c r="L4" s="198"/>
      <c r="M4" s="242" t="s">
        <v>3955</v>
      </c>
    </row>
    <row r="5" spans="1:13" ht="17.25" customHeight="1">
      <c r="A5" s="314">
        <v>1</v>
      </c>
      <c r="B5" s="359" t="str">
        <f t="shared" ref="B5:B11" si="0">VLOOKUP($A5&amp;B$2,TEXTDF,SPRCODE+1,FALSE)</f>
        <v>Bruttoprämien gebucht</v>
      </c>
      <c r="C5" s="360">
        <f>SUM(F5,I5)</f>
        <v>0</v>
      </c>
      <c r="D5" s="361">
        <f t="shared" ref="C5:D10" si="1">G5+J5</f>
        <v>0</v>
      </c>
      <c r="E5" s="362" t="str">
        <f>+IFERROR(C5/D5-1,"")</f>
        <v/>
      </c>
      <c r="F5" s="863">
        <v>0</v>
      </c>
      <c r="G5" s="864">
        <v>0</v>
      </c>
      <c r="H5" s="363" t="str">
        <f>+IFERROR(F5/G5-1,"")</f>
        <v/>
      </c>
      <c r="I5" s="863">
        <v>0</v>
      </c>
      <c r="J5" s="864">
        <v>0</v>
      </c>
      <c r="K5" s="364" t="str">
        <f>+IFERROR(I5/J5-1,"")</f>
        <v/>
      </c>
      <c r="L5" s="325"/>
      <c r="M5" s="242"/>
    </row>
    <row r="6" spans="1:13">
      <c r="A6" s="315">
        <v>2</v>
      </c>
      <c r="B6" s="316" t="str">
        <f t="shared" si="0"/>
        <v>Veränderung Bruttoprämienüberträge (Zunahme = +)</v>
      </c>
      <c r="C6" s="326">
        <f t="shared" si="1"/>
        <v>0</v>
      </c>
      <c r="D6" s="327">
        <f t="shared" si="1"/>
        <v>0</v>
      </c>
      <c r="E6" s="328" t="str">
        <f t="shared" ref="E6:E57" si="2">+IFERROR(C6/D6-1,"")</f>
        <v/>
      </c>
      <c r="F6" s="788">
        <v>0</v>
      </c>
      <c r="G6" s="865">
        <v>0</v>
      </c>
      <c r="H6" s="329" t="str">
        <f t="shared" ref="H6:H57" si="3">+IFERROR(F6/G6-1,"")</f>
        <v/>
      </c>
      <c r="I6" s="788">
        <v>0</v>
      </c>
      <c r="J6" s="865">
        <v>0</v>
      </c>
      <c r="K6" s="330" t="str">
        <f t="shared" ref="K6:K57" si="4">+IFERROR(I6/J6-1,"")</f>
        <v/>
      </c>
      <c r="L6" s="331"/>
      <c r="M6" s="242"/>
    </row>
    <row r="7" spans="1:13">
      <c r="A7" s="315">
        <v>3</v>
      </c>
      <c r="B7" s="317" t="str">
        <f t="shared" si="0"/>
        <v>Bruttoprämien verdient  = 1 - 2</v>
      </c>
      <c r="C7" s="326">
        <f t="shared" si="1"/>
        <v>0</v>
      </c>
      <c r="D7" s="327">
        <f t="shared" si="1"/>
        <v>0</v>
      </c>
      <c r="E7" s="328" t="str">
        <f t="shared" si="2"/>
        <v/>
      </c>
      <c r="F7" s="415">
        <f>F5-F6</f>
        <v>0</v>
      </c>
      <c r="G7" s="866">
        <f>G5-G6</f>
        <v>0</v>
      </c>
      <c r="H7" s="329" t="str">
        <f t="shared" si="3"/>
        <v/>
      </c>
      <c r="I7" s="867">
        <f>I5-I6</f>
        <v>0</v>
      </c>
      <c r="J7" s="868">
        <f>J5-J6</f>
        <v>0</v>
      </c>
      <c r="K7" s="330" t="str">
        <f t="shared" si="4"/>
        <v/>
      </c>
      <c r="L7" s="331"/>
      <c r="M7" s="242"/>
    </row>
    <row r="8" spans="1:13">
      <c r="A8" s="195" t="s">
        <v>758</v>
      </c>
      <c r="B8" s="190" t="str">
        <f t="shared" si="0"/>
        <v xml:space="preserve">   Anteil Überobligatorium an Position 3  a)</v>
      </c>
      <c r="C8" s="333">
        <f t="shared" si="1"/>
        <v>0</v>
      </c>
      <c r="D8" s="334">
        <f t="shared" si="1"/>
        <v>0</v>
      </c>
      <c r="E8" s="335" t="str">
        <f t="shared" ref="E8" si="5">+IFERROR(C8/D8-1,"")</f>
        <v/>
      </c>
      <c r="F8" s="869">
        <v>0</v>
      </c>
      <c r="G8" s="865">
        <v>0</v>
      </c>
      <c r="H8" s="336" t="str">
        <f t="shared" ref="H8" si="6">+IFERROR(F8/G8-1,"")</f>
        <v/>
      </c>
      <c r="I8" s="867"/>
      <c r="J8" s="868"/>
      <c r="K8" s="330"/>
      <c r="L8" s="331"/>
      <c r="M8" s="242"/>
    </row>
    <row r="9" spans="1:13">
      <c r="A9" s="315">
        <v>4</v>
      </c>
      <c r="B9" s="317" t="str">
        <f t="shared" si="0"/>
        <v>Anteil Rückversicherer an den verdienten Prämien</v>
      </c>
      <c r="C9" s="326">
        <f t="shared" si="1"/>
        <v>0</v>
      </c>
      <c r="D9" s="327">
        <f t="shared" si="1"/>
        <v>0</v>
      </c>
      <c r="E9" s="328" t="str">
        <f t="shared" si="2"/>
        <v/>
      </c>
      <c r="F9" s="788">
        <v>0</v>
      </c>
      <c r="G9" s="865">
        <v>0</v>
      </c>
      <c r="H9" s="329" t="str">
        <f t="shared" si="3"/>
        <v/>
      </c>
      <c r="I9" s="788">
        <v>0</v>
      </c>
      <c r="J9" s="865">
        <v>0</v>
      </c>
      <c r="K9" s="330" t="str">
        <f t="shared" si="4"/>
        <v/>
      </c>
      <c r="L9" s="331"/>
      <c r="M9" s="242"/>
    </row>
    <row r="10" spans="1:13">
      <c r="A10" s="315">
        <v>5</v>
      </c>
      <c r="B10" s="317" t="str">
        <f t="shared" si="0"/>
        <v>Verdiente Prämien für eigene Rechnung  = 3 - 4</v>
      </c>
      <c r="C10" s="326">
        <f t="shared" si="1"/>
        <v>0</v>
      </c>
      <c r="D10" s="327">
        <f t="shared" si="1"/>
        <v>0</v>
      </c>
      <c r="E10" s="328" t="str">
        <f t="shared" si="2"/>
        <v/>
      </c>
      <c r="F10" s="415">
        <f>F$7-F$9</f>
        <v>0</v>
      </c>
      <c r="G10" s="866">
        <f>G$7-G$9</f>
        <v>0</v>
      </c>
      <c r="H10" s="329" t="str">
        <f t="shared" si="3"/>
        <v/>
      </c>
      <c r="I10" s="867">
        <f>I$7-I$9</f>
        <v>0</v>
      </c>
      <c r="J10" s="868">
        <f>J$7-J$9</f>
        <v>0</v>
      </c>
      <c r="K10" s="330" t="str">
        <f t="shared" si="4"/>
        <v/>
      </c>
      <c r="L10" s="331"/>
      <c r="M10" s="242"/>
    </row>
    <row r="11" spans="1:13" ht="18.75" customHeight="1">
      <c r="A11" s="195" t="s">
        <v>761</v>
      </c>
      <c r="B11" s="316" t="str">
        <f t="shared" si="0"/>
        <v>Sonstige versicherungstechnische Erträge</v>
      </c>
      <c r="C11" s="326">
        <f>F11+I11</f>
        <v>0</v>
      </c>
      <c r="D11" s="327">
        <f>G11+J11</f>
        <v>0</v>
      </c>
      <c r="E11" s="328" t="str">
        <f t="shared" si="2"/>
        <v/>
      </c>
      <c r="F11" s="788">
        <v>0</v>
      </c>
      <c r="G11" s="865">
        <v>0</v>
      </c>
      <c r="H11" s="329" t="str">
        <f t="shared" si="3"/>
        <v/>
      </c>
      <c r="I11" s="788">
        <v>0</v>
      </c>
      <c r="J11" s="865">
        <v>0</v>
      </c>
      <c r="K11" s="330" t="str">
        <f t="shared" si="4"/>
        <v/>
      </c>
      <c r="L11" s="331"/>
      <c r="M11" s="242"/>
    </row>
    <row r="12" spans="1:13" ht="19.5" customHeight="1">
      <c r="A12" s="315">
        <v>7</v>
      </c>
      <c r="B12" s="316" t="str">
        <f t="shared" ref="B12:B21" si="7">VLOOKUP($A12&amp;B$2,TEXTDF,SPRCODE+1,FALSE)</f>
        <v>Leistungen infolge Alter, Tod und Invalidität</v>
      </c>
      <c r="C12" s="326">
        <f t="shared" ref="C12:D21" si="8">F12+I12</f>
        <v>0</v>
      </c>
      <c r="D12" s="327">
        <f t="shared" si="8"/>
        <v>0</v>
      </c>
      <c r="E12" s="328" t="str">
        <f t="shared" si="2"/>
        <v/>
      </c>
      <c r="F12" s="788">
        <v>0</v>
      </c>
      <c r="G12" s="865">
        <v>0</v>
      </c>
      <c r="H12" s="329" t="str">
        <f t="shared" si="3"/>
        <v/>
      </c>
      <c r="I12" s="788">
        <v>0</v>
      </c>
      <c r="J12" s="865">
        <v>0</v>
      </c>
      <c r="K12" s="330" t="str">
        <f t="shared" si="4"/>
        <v/>
      </c>
      <c r="L12" s="331"/>
      <c r="M12" s="242"/>
    </row>
    <row r="13" spans="1:13">
      <c r="A13" s="195" t="s">
        <v>762</v>
      </c>
      <c r="B13" s="190" t="str">
        <f>VLOOKUP($A13&amp;B$2,TEXTDF,SPRCODE+1,FALSE)</f>
        <v xml:space="preserve">   Anteil Überobligatorium an Position 7   a)</v>
      </c>
      <c r="C13" s="333">
        <f t="shared" si="8"/>
        <v>0</v>
      </c>
      <c r="D13" s="334">
        <f t="shared" si="8"/>
        <v>0</v>
      </c>
      <c r="E13" s="335" t="str">
        <f t="shared" si="2"/>
        <v/>
      </c>
      <c r="F13" s="869">
        <v>0</v>
      </c>
      <c r="G13" s="870">
        <v>0</v>
      </c>
      <c r="H13" s="336" t="str">
        <f t="shared" si="3"/>
        <v/>
      </c>
      <c r="I13" s="867"/>
      <c r="J13" s="868"/>
      <c r="K13" s="330"/>
      <c r="L13" s="331"/>
      <c r="M13" s="242"/>
    </row>
    <row r="14" spans="1:13">
      <c r="A14" s="315">
        <v>8</v>
      </c>
      <c r="B14" s="316" t="str">
        <f t="shared" si="7"/>
        <v>Freizügigkeitsleistungen</v>
      </c>
      <c r="C14" s="326">
        <f t="shared" si="8"/>
        <v>0</v>
      </c>
      <c r="D14" s="327">
        <f t="shared" si="8"/>
        <v>0</v>
      </c>
      <c r="E14" s="328" t="str">
        <f t="shared" si="2"/>
        <v/>
      </c>
      <c r="F14" s="788">
        <v>0</v>
      </c>
      <c r="G14" s="865">
        <v>0</v>
      </c>
      <c r="H14" s="329" t="str">
        <f t="shared" si="3"/>
        <v/>
      </c>
      <c r="I14" s="788">
        <v>0</v>
      </c>
      <c r="J14" s="865">
        <v>0</v>
      </c>
      <c r="K14" s="330" t="str">
        <f t="shared" si="4"/>
        <v/>
      </c>
      <c r="L14" s="331"/>
      <c r="M14" s="242"/>
    </row>
    <row r="15" spans="1:13">
      <c r="A15" s="315">
        <v>9</v>
      </c>
      <c r="B15" s="316" t="str">
        <f t="shared" si="7"/>
        <v>Rückkaufswerte zufolge Vertragsauflösungen</v>
      </c>
      <c r="C15" s="326">
        <f t="shared" si="8"/>
        <v>0</v>
      </c>
      <c r="D15" s="327">
        <f t="shared" si="8"/>
        <v>0</v>
      </c>
      <c r="E15" s="328" t="str">
        <f t="shared" si="2"/>
        <v/>
      </c>
      <c r="F15" s="788">
        <v>0</v>
      </c>
      <c r="G15" s="865">
        <v>0</v>
      </c>
      <c r="H15" s="329" t="str">
        <f t="shared" si="3"/>
        <v/>
      </c>
      <c r="I15" s="788">
        <v>0</v>
      </c>
      <c r="J15" s="865">
        <v>0</v>
      </c>
      <c r="K15" s="330" t="str">
        <f t="shared" si="4"/>
        <v/>
      </c>
      <c r="L15" s="331"/>
      <c r="M15" s="242"/>
    </row>
    <row r="16" spans="1:13">
      <c r="A16" s="315">
        <v>10</v>
      </c>
      <c r="B16" s="317" t="str">
        <f t="shared" si="7"/>
        <v>Versicherungsleistungen total  = 7 + 8 + 9</v>
      </c>
      <c r="C16" s="326">
        <f t="shared" si="8"/>
        <v>0</v>
      </c>
      <c r="D16" s="327">
        <f t="shared" si="8"/>
        <v>0</v>
      </c>
      <c r="E16" s="328" t="str">
        <f t="shared" si="2"/>
        <v/>
      </c>
      <c r="F16" s="415">
        <f>F$12+F$14+F$15</f>
        <v>0</v>
      </c>
      <c r="G16" s="866">
        <f>G$12+G$14+G$15</f>
        <v>0</v>
      </c>
      <c r="H16" s="329" t="str">
        <f t="shared" si="3"/>
        <v/>
      </c>
      <c r="I16" s="867">
        <f>I$12+I$14+I$15</f>
        <v>0</v>
      </c>
      <c r="J16" s="868">
        <f>J$12+J$14+J$15</f>
        <v>0</v>
      </c>
      <c r="K16" s="330" t="str">
        <f t="shared" si="4"/>
        <v/>
      </c>
      <c r="L16" s="331"/>
      <c r="M16" s="242"/>
    </row>
    <row r="17" spans="1:13">
      <c r="A17" s="195" t="s">
        <v>3950</v>
      </c>
      <c r="B17" s="190" t="str">
        <f>VLOOKUP($A17&amp;B$2,TEXTDF,SPRCODE+1,FALSE)</f>
        <v xml:space="preserve">   Anteil Überobligatorium an Position 10  a)</v>
      </c>
      <c r="C17" s="333">
        <f t="shared" ref="C17" si="9">F17+I17</f>
        <v>0</v>
      </c>
      <c r="D17" s="334">
        <f t="shared" ref="D17" si="10">G17+J17</f>
        <v>0</v>
      </c>
      <c r="E17" s="335" t="str">
        <f t="shared" ref="E17" si="11">+IFERROR(C17/D17-1,"")</f>
        <v/>
      </c>
      <c r="F17" s="869">
        <v>0</v>
      </c>
      <c r="G17" s="870">
        <v>0</v>
      </c>
      <c r="H17" s="336" t="str">
        <f t="shared" ref="H17" si="12">+IFERROR(F17/G17-1,"")</f>
        <v/>
      </c>
      <c r="I17" s="867"/>
      <c r="J17" s="868"/>
      <c r="K17" s="330"/>
      <c r="L17" s="331"/>
      <c r="M17" s="242"/>
    </row>
    <row r="18" spans="1:13">
      <c r="A18" s="195" t="s">
        <v>574</v>
      </c>
      <c r="B18" s="316" t="str">
        <f t="shared" si="7"/>
        <v>Anteil Rückversicherer an den Versicherungsleistungen</v>
      </c>
      <c r="C18" s="326">
        <f>F18+I18</f>
        <v>0</v>
      </c>
      <c r="D18" s="327">
        <f t="shared" si="8"/>
        <v>0</v>
      </c>
      <c r="E18" s="328" t="str">
        <f t="shared" si="2"/>
        <v/>
      </c>
      <c r="F18" s="788">
        <v>0</v>
      </c>
      <c r="G18" s="865">
        <v>0</v>
      </c>
      <c r="H18" s="329" t="str">
        <f t="shared" si="3"/>
        <v/>
      </c>
      <c r="I18" s="788">
        <v>0</v>
      </c>
      <c r="J18" s="865">
        <v>0</v>
      </c>
      <c r="K18" s="330" t="str">
        <f t="shared" si="4"/>
        <v/>
      </c>
      <c r="L18" s="331"/>
      <c r="M18" s="242"/>
    </row>
    <row r="19" spans="1:13">
      <c r="A19" s="315">
        <v>11</v>
      </c>
      <c r="B19" s="316" t="str">
        <f t="shared" si="7"/>
        <v>Leistungsbearbeitungsaufwendungen</v>
      </c>
      <c r="C19" s="326">
        <f t="shared" si="8"/>
        <v>0</v>
      </c>
      <c r="D19" s="327">
        <f t="shared" si="8"/>
        <v>0</v>
      </c>
      <c r="E19" s="328" t="str">
        <f t="shared" si="2"/>
        <v/>
      </c>
      <c r="F19" s="788">
        <v>0</v>
      </c>
      <c r="G19" s="865">
        <v>0</v>
      </c>
      <c r="H19" s="329" t="str">
        <f t="shared" si="3"/>
        <v/>
      </c>
      <c r="I19" s="788">
        <v>0</v>
      </c>
      <c r="J19" s="865">
        <v>0</v>
      </c>
      <c r="K19" s="330" t="str">
        <f t="shared" si="4"/>
        <v/>
      </c>
      <c r="L19" s="331"/>
      <c r="M19" s="242"/>
    </row>
    <row r="20" spans="1:13">
      <c r="A20" s="195" t="s">
        <v>575</v>
      </c>
      <c r="B20" s="316" t="str">
        <f t="shared" si="7"/>
        <v>Anteil Rückversicherer an den Leistungsbearbeitungsaufw.</v>
      </c>
      <c r="C20" s="326">
        <f>F20+I20</f>
        <v>0</v>
      </c>
      <c r="D20" s="327">
        <f t="shared" si="8"/>
        <v>0</v>
      </c>
      <c r="E20" s="328" t="str">
        <f t="shared" si="2"/>
        <v/>
      </c>
      <c r="F20" s="788">
        <v>0</v>
      </c>
      <c r="G20" s="865">
        <v>0</v>
      </c>
      <c r="H20" s="329" t="str">
        <f t="shared" si="3"/>
        <v/>
      </c>
      <c r="I20" s="788">
        <v>0</v>
      </c>
      <c r="J20" s="865">
        <v>0</v>
      </c>
      <c r="K20" s="330" t="str">
        <f t="shared" si="4"/>
        <v/>
      </c>
      <c r="L20" s="331"/>
      <c r="M20" s="242"/>
    </row>
    <row r="21" spans="1:13" ht="27" customHeight="1">
      <c r="A21" s="315">
        <v>13</v>
      </c>
      <c r="B21" s="346" t="str">
        <f t="shared" si="7"/>
        <v>Total Aufwendungen netto für Versicherungsfälle  
= 10 - 10a + 11 - 11a</v>
      </c>
      <c r="C21" s="347">
        <f t="shared" si="8"/>
        <v>0</v>
      </c>
      <c r="D21" s="348">
        <f t="shared" si="8"/>
        <v>0</v>
      </c>
      <c r="E21" s="349" t="str">
        <f t="shared" si="2"/>
        <v/>
      </c>
      <c r="F21" s="871">
        <f>F$16-F$18+F$19-F$20</f>
        <v>0</v>
      </c>
      <c r="G21" s="872">
        <f>G$16-G$18+G$19-G$20</f>
        <v>0</v>
      </c>
      <c r="H21" s="350" t="str">
        <f t="shared" si="3"/>
        <v/>
      </c>
      <c r="I21" s="369">
        <f>I$16-I$18+I$19-I$20</f>
        <v>0</v>
      </c>
      <c r="J21" s="285">
        <f>J$16-J$18+J$19-J$20</f>
        <v>0</v>
      </c>
      <c r="K21" s="351" t="str">
        <f t="shared" si="4"/>
        <v/>
      </c>
      <c r="L21" s="325"/>
      <c r="M21" s="242"/>
    </row>
    <row r="22" spans="1:13" ht="18" customHeight="1">
      <c r="A22" s="195" t="s">
        <v>767</v>
      </c>
      <c r="B22" s="190" t="str">
        <f t="shared" ref="B22:B27" si="13">VLOOKUP($A22&amp;B$2,TEXTDF,SPRCODE+1,FALSE)</f>
        <v xml:space="preserve">   Anteil der Leistungen unter Position 7 in Kapitalform</v>
      </c>
      <c r="C22" s="333">
        <f t="shared" ref="C22:D27" si="14">F22+I22</f>
        <v>0</v>
      </c>
      <c r="D22" s="334">
        <f t="shared" si="14"/>
        <v>0</v>
      </c>
      <c r="E22" s="335" t="str">
        <f t="shared" si="2"/>
        <v/>
      </c>
      <c r="F22" s="869">
        <v>0</v>
      </c>
      <c r="G22" s="870">
        <v>0</v>
      </c>
      <c r="H22" s="336" t="str">
        <f t="shared" si="3"/>
        <v/>
      </c>
      <c r="I22" s="869">
        <v>0</v>
      </c>
      <c r="J22" s="870">
        <v>0</v>
      </c>
      <c r="K22" s="338" t="str">
        <f t="shared" si="4"/>
        <v/>
      </c>
      <c r="L22" s="339"/>
      <c r="M22" s="242"/>
    </row>
    <row r="23" spans="1:13">
      <c r="A23" s="195" t="s">
        <v>2818</v>
      </c>
      <c r="B23" s="190" t="str">
        <f t="shared" si="13"/>
        <v xml:space="preserve">      Anteil Überobligatorium an Position 13a  a)</v>
      </c>
      <c r="C23" s="333">
        <f t="shared" si="14"/>
        <v>0</v>
      </c>
      <c r="D23" s="334">
        <f t="shared" si="14"/>
        <v>0</v>
      </c>
      <c r="E23" s="335" t="str">
        <f t="shared" si="2"/>
        <v/>
      </c>
      <c r="F23" s="869">
        <v>0</v>
      </c>
      <c r="G23" s="870">
        <v>0</v>
      </c>
      <c r="H23" s="336" t="str">
        <f t="shared" si="3"/>
        <v/>
      </c>
      <c r="I23" s="867"/>
      <c r="J23" s="868"/>
      <c r="K23" s="330"/>
      <c r="L23" s="331"/>
      <c r="M23" s="242"/>
    </row>
    <row r="24" spans="1:13" ht="12.75" customHeight="1">
      <c r="A24" s="195" t="s">
        <v>3124</v>
      </c>
      <c r="B24" s="190" t="str">
        <f t="shared" si="13"/>
        <v xml:space="preserve">   Anteil der Altersleistungen unter Position 7 in Kapitalform</v>
      </c>
      <c r="C24" s="333">
        <f>F24+I24</f>
        <v>0</v>
      </c>
      <c r="D24" s="334">
        <f>G24+J24</f>
        <v>0</v>
      </c>
      <c r="E24" s="335" t="str">
        <f t="shared" si="2"/>
        <v/>
      </c>
      <c r="F24" s="869">
        <v>0</v>
      </c>
      <c r="G24" s="870">
        <v>0</v>
      </c>
      <c r="H24" s="336" t="str">
        <f t="shared" si="3"/>
        <v/>
      </c>
      <c r="I24" s="869">
        <v>0</v>
      </c>
      <c r="J24" s="870">
        <v>0</v>
      </c>
      <c r="K24" s="338" t="str">
        <f t="shared" si="4"/>
        <v/>
      </c>
      <c r="L24" s="339"/>
      <c r="M24" s="242"/>
    </row>
    <row r="25" spans="1:13">
      <c r="A25" s="195" t="s">
        <v>3123</v>
      </c>
      <c r="B25" s="190" t="str">
        <f t="shared" si="13"/>
        <v xml:space="preserve">      Anteil Überobligatorium an Position 13d  a)</v>
      </c>
      <c r="C25" s="333">
        <f t="shared" ref="C25" si="15">F25+I25</f>
        <v>0</v>
      </c>
      <c r="D25" s="334">
        <f t="shared" ref="D25" si="16">G25+J25</f>
        <v>0</v>
      </c>
      <c r="E25" s="335" t="str">
        <f t="shared" si="2"/>
        <v/>
      </c>
      <c r="F25" s="869">
        <v>0</v>
      </c>
      <c r="G25" s="870">
        <v>0</v>
      </c>
      <c r="H25" s="336" t="str">
        <f t="shared" si="3"/>
        <v/>
      </c>
      <c r="I25" s="867"/>
      <c r="J25" s="868"/>
      <c r="K25" s="330"/>
      <c r="L25" s="331"/>
      <c r="M25" s="242"/>
    </row>
    <row r="26" spans="1:13" ht="12.75" customHeight="1">
      <c r="A26" s="195" t="s">
        <v>2816</v>
      </c>
      <c r="B26" s="190" t="str">
        <f t="shared" si="13"/>
        <v xml:space="preserve">   Anteil der Leistungen unter Position 7 im Todesfall</v>
      </c>
      <c r="C26" s="333">
        <f t="shared" si="14"/>
        <v>0</v>
      </c>
      <c r="D26" s="334">
        <f t="shared" si="14"/>
        <v>0</v>
      </c>
      <c r="E26" s="335" t="str">
        <f t="shared" si="2"/>
        <v/>
      </c>
      <c r="F26" s="869">
        <v>0</v>
      </c>
      <c r="G26" s="870">
        <v>0</v>
      </c>
      <c r="H26" s="336" t="str">
        <f t="shared" si="3"/>
        <v/>
      </c>
      <c r="I26" s="869">
        <v>0</v>
      </c>
      <c r="J26" s="870">
        <v>0</v>
      </c>
      <c r="K26" s="338" t="str">
        <f t="shared" si="4"/>
        <v/>
      </c>
      <c r="L26" s="339"/>
      <c r="M26" s="242"/>
    </row>
    <row r="27" spans="1:13" ht="12.75" customHeight="1">
      <c r="A27" s="195" t="s">
        <v>2817</v>
      </c>
      <c r="B27" s="190" t="str">
        <f t="shared" si="13"/>
        <v xml:space="preserve">   Anteil der Leistungen unter Position 7 im Invaliditätsfall</v>
      </c>
      <c r="C27" s="333">
        <f t="shared" si="14"/>
        <v>0</v>
      </c>
      <c r="D27" s="334">
        <f t="shared" si="14"/>
        <v>0</v>
      </c>
      <c r="E27" s="335" t="str">
        <f t="shared" si="2"/>
        <v/>
      </c>
      <c r="F27" s="869">
        <v>0</v>
      </c>
      <c r="G27" s="870">
        <v>0</v>
      </c>
      <c r="H27" s="336" t="str">
        <f t="shared" si="3"/>
        <v/>
      </c>
      <c r="I27" s="869">
        <v>0</v>
      </c>
      <c r="J27" s="870">
        <v>0</v>
      </c>
      <c r="K27" s="338" t="str">
        <f t="shared" si="4"/>
        <v/>
      </c>
      <c r="L27" s="339"/>
      <c r="M27" s="242"/>
    </row>
    <row r="28" spans="1:13" ht="18" customHeight="1">
      <c r="A28" s="195" t="s">
        <v>543</v>
      </c>
      <c r="B28" s="316" t="str">
        <f t="shared" ref="B28:B43" si="17">VLOOKUP($A28&amp;B$2,TEXTDF,SPRCODE+1,FALSE)</f>
        <v>Veränd. Altersguthaben brutto durch Zu- und Abgang von Verträgen</v>
      </c>
      <c r="C28" s="326">
        <f t="shared" ref="C28:C43" si="18">F28+I28</f>
        <v>0</v>
      </c>
      <c r="D28" s="327">
        <f t="shared" ref="D28:D33" si="19">G28+J28</f>
        <v>0</v>
      </c>
      <c r="E28" s="328" t="str">
        <f t="shared" si="2"/>
        <v/>
      </c>
      <c r="F28" s="788">
        <v>0</v>
      </c>
      <c r="G28" s="865">
        <v>0</v>
      </c>
      <c r="H28" s="329" t="str">
        <f t="shared" si="3"/>
        <v/>
      </c>
      <c r="I28" s="788">
        <v>0</v>
      </c>
      <c r="J28" s="865">
        <v>0</v>
      </c>
      <c r="K28" s="330" t="str">
        <f t="shared" si="4"/>
        <v/>
      </c>
      <c r="L28" s="331"/>
      <c r="M28" s="242" t="str">
        <f xml:space="preserve"> IF(OR(BILANZ!C$48=0,ABS((F28+F29+F30)-(BILANZ!F$48-BILANZ!G$48))+ABS((I28+I29+I30)-(BILANZ!I$48-BILANZ!J$48))&lt;6),"ok",IF(SPRCODE=1,"Bitte Pos. 14a, 14b und 14c mit Fortschreibung in BILANZ, Pos. "&amp;BILANZ!$A$48&amp;" abstimmen ! Sonst im Begleitbericht begründen.","SVP accorder pos. 14a, 14b et 14c avec l'actualisation au BILAN, pos. "&amp;BILANZ!$A$48&amp;" ! Sinon, justifier dans le rapport explicatif."))</f>
        <v>ok</v>
      </c>
    </row>
    <row r="29" spans="1:13">
      <c r="A29" s="195" t="s">
        <v>544</v>
      </c>
      <c r="B29" s="316" t="str">
        <f t="shared" si="17"/>
        <v>Veränd. Altersguthaben brutto, nur Verzinsung  b)</v>
      </c>
      <c r="C29" s="326">
        <f t="shared" si="18"/>
        <v>0</v>
      </c>
      <c r="D29" s="327">
        <f t="shared" si="19"/>
        <v>0</v>
      </c>
      <c r="E29" s="328" t="str">
        <f t="shared" si="2"/>
        <v/>
      </c>
      <c r="F29" s="788">
        <v>0</v>
      </c>
      <c r="G29" s="865">
        <v>0</v>
      </c>
      <c r="H29" s="329" t="str">
        <f t="shared" si="3"/>
        <v/>
      </c>
      <c r="I29" s="788">
        <v>0</v>
      </c>
      <c r="J29" s="865">
        <v>0</v>
      </c>
      <c r="K29" s="330" t="str">
        <f t="shared" si="4"/>
        <v/>
      </c>
      <c r="L29" s="331"/>
      <c r="M29" s="242"/>
    </row>
    <row r="30" spans="1:13">
      <c r="A30" s="195" t="s">
        <v>545</v>
      </c>
      <c r="B30" s="316" t="str">
        <f t="shared" si="17"/>
        <v>Veränd. Altersguthaben brutto, ord. Beiträge und übr. Mutationen</v>
      </c>
      <c r="C30" s="326">
        <f t="shared" si="18"/>
        <v>0</v>
      </c>
      <c r="D30" s="327">
        <f t="shared" si="19"/>
        <v>0</v>
      </c>
      <c r="E30" s="328" t="str">
        <f t="shared" si="2"/>
        <v/>
      </c>
      <c r="F30" s="788">
        <v>0</v>
      </c>
      <c r="G30" s="865">
        <v>0</v>
      </c>
      <c r="H30" s="329" t="str">
        <f t="shared" si="3"/>
        <v/>
      </c>
      <c r="I30" s="788">
        <v>0</v>
      </c>
      <c r="J30" s="865">
        <v>0</v>
      </c>
      <c r="K30" s="330" t="str">
        <f t="shared" si="4"/>
        <v/>
      </c>
      <c r="L30" s="331"/>
      <c r="M30" s="242"/>
    </row>
    <row r="31" spans="1:13">
      <c r="A31" s="195" t="s">
        <v>546</v>
      </c>
      <c r="B31" s="316" t="str">
        <f t="shared" si="17"/>
        <v>Veränderung DK laufende Alters-Renten brutto (Zunahme = +)</v>
      </c>
      <c r="C31" s="326">
        <f t="shared" si="18"/>
        <v>0</v>
      </c>
      <c r="D31" s="327">
        <f t="shared" si="19"/>
        <v>0</v>
      </c>
      <c r="E31" s="328" t="str">
        <f t="shared" si="2"/>
        <v/>
      </c>
      <c r="F31" s="788">
        <v>0</v>
      </c>
      <c r="G31" s="865">
        <v>0</v>
      </c>
      <c r="H31" s="329" t="str">
        <f t="shared" si="3"/>
        <v/>
      </c>
      <c r="I31" s="788">
        <v>0</v>
      </c>
      <c r="J31" s="865">
        <v>0</v>
      </c>
      <c r="K31" s="330" t="str">
        <f t="shared" si="4"/>
        <v/>
      </c>
      <c r="L31" s="331"/>
      <c r="M31" s="242" t="str">
        <f>IF(OR(BILANZ!C$52=0,ABS(F31-(BILANZ!F$52-BILANZ!G$52))+ABS(I31-(BILANZ!I$52-BILANZ!J$52))&lt;6),"ok",IF(SPRCODE=1,"Bitte Pos. "&amp;$A31&amp;" mit Fortschreibung in BILANZ, Pos. "&amp;BILANZ!$A$52&amp;" abstimmen ! Sonst im Begleitbericht begründen.","SVP accorder pos. "&amp;$A31&amp;" avec l'actualisation au BILAN, pos. "&amp;BILANZ!$A$52&amp;" ! Sinon, justifier dans le rapport explicatif."))</f>
        <v>ok</v>
      </c>
    </row>
    <row r="32" spans="1:13">
      <c r="A32" s="195" t="s">
        <v>547</v>
      </c>
      <c r="B32" s="316" t="str">
        <f t="shared" si="17"/>
        <v>Veränderung DK lauf. Hinterbliebenen-Renten brutto (Zunahme = +)</v>
      </c>
      <c r="C32" s="326">
        <f t="shared" si="18"/>
        <v>0</v>
      </c>
      <c r="D32" s="327">
        <f t="shared" si="19"/>
        <v>0</v>
      </c>
      <c r="E32" s="328" t="str">
        <f t="shared" si="2"/>
        <v/>
      </c>
      <c r="F32" s="788">
        <v>0</v>
      </c>
      <c r="G32" s="865">
        <v>0</v>
      </c>
      <c r="H32" s="329" t="str">
        <f t="shared" si="3"/>
        <v/>
      </c>
      <c r="I32" s="788">
        <v>0</v>
      </c>
      <c r="J32" s="865">
        <v>0</v>
      </c>
      <c r="K32" s="330" t="str">
        <f t="shared" si="4"/>
        <v/>
      </c>
      <c r="L32" s="331"/>
      <c r="M32" s="242" t="str">
        <f>IF(OR(BILANZ!C$56=0,ABS(F32-(BILANZ!F$56-BILANZ!G$56))+ABS(I32-(BILANZ!I$56-BILANZ!J$56))&lt;6),"ok",IF(SPRCODE=1,"Bitte Pos. "&amp;$A32&amp;" mit Fortschreibung in BILANZ, Pos. "&amp;BILANZ!$A$56&amp;" abstimmen ! Sonst im Begleitbericht begründen.","SVP accorder pos. "&amp;$A32&amp;" avec l'actualisation au BILAN, pos. "&amp;BILANZ!$A$56&amp;" ! Sinon, justifier dans le rapport explicatif."))</f>
        <v>ok</v>
      </c>
    </row>
    <row r="33" spans="1:13">
      <c r="A33" s="195" t="s">
        <v>548</v>
      </c>
      <c r="B33" s="316" t="str">
        <f t="shared" si="17"/>
        <v>Veränderung DK laufende Invaliditäts-Renten brutto (Zunahme = +)</v>
      </c>
      <c r="C33" s="326">
        <f t="shared" si="18"/>
        <v>0</v>
      </c>
      <c r="D33" s="327">
        <f t="shared" si="19"/>
        <v>0</v>
      </c>
      <c r="E33" s="328" t="str">
        <f t="shared" si="2"/>
        <v/>
      </c>
      <c r="F33" s="788">
        <v>0</v>
      </c>
      <c r="G33" s="865">
        <v>0</v>
      </c>
      <c r="H33" s="329" t="str">
        <f t="shared" si="3"/>
        <v/>
      </c>
      <c r="I33" s="788">
        <v>0</v>
      </c>
      <c r="J33" s="865">
        <v>0</v>
      </c>
      <c r="K33" s="330" t="str">
        <f t="shared" si="4"/>
        <v/>
      </c>
      <c r="L33" s="331"/>
      <c r="M33" s="242" t="str">
        <f>IF(OR(BILANZ!C$60=0,ABS(F33-(BILANZ!F$60-BILANZ!G$60))+ABS(I33-(BILANZ!I$60-BILANZ!J$60))&lt;6),"ok",IF(SPRCODE=1,"Bitte Pos. "&amp;$A33&amp;" mit Fortschreibung in BILANZ, Pos. "&amp;BILANZ!$A$60&amp;" abstimmen ! Sonst im Begleitbericht begründen.","SVP accorder pos. "&amp;$A33&amp;" avec l'actualisation au BILAN, pos. "&amp;BILANZ!$A$60&amp;" ! Sinon, justifier dans le rapport explicatif."))</f>
        <v>ok</v>
      </c>
    </row>
    <row r="34" spans="1:13">
      <c r="A34" s="315">
        <v>15</v>
      </c>
      <c r="B34" s="316" t="str">
        <f t="shared" si="17"/>
        <v>Veränd. Verstärkungen Rentendeckungskapital brutto (Zunahme = +)</v>
      </c>
      <c r="C34" s="326">
        <f t="shared" si="18"/>
        <v>0</v>
      </c>
      <c r="D34" s="327">
        <f t="shared" ref="D34:D43" si="20">G34+J34</f>
        <v>0</v>
      </c>
      <c r="E34" s="328" t="str">
        <f t="shared" si="2"/>
        <v/>
      </c>
      <c r="F34" s="788">
        <v>0</v>
      </c>
      <c r="G34" s="865">
        <v>0</v>
      </c>
      <c r="H34" s="329" t="str">
        <f t="shared" si="3"/>
        <v/>
      </c>
      <c r="I34" s="788">
        <v>0</v>
      </c>
      <c r="J34" s="865">
        <v>0</v>
      </c>
      <c r="K34" s="330" t="str">
        <f t="shared" si="4"/>
        <v/>
      </c>
      <c r="L34" s="331"/>
      <c r="M34" s="242" t="str">
        <f>IF(OR(BILANZ!C$54+BILANZ!C$58+BILANZ!C$62=0,ABS(F34-((BILANZ!F$54-BILANZ!G$54)+(BILANZ!F$58-BILANZ!G$58)+(BILANZ!F$62-BILANZ!G$62)))+ABS(I34-((BILANZ!I$54-BILANZ!J$54)+(BILANZ!I$58-BILANZ!J$58)+(BILANZ!I$62-BILANZ!J$62)))&lt;6),"ok",IF(SPRCODE=1,"Bitte Pos. "&amp;$A34&amp;" mit Fortschreibung in BILANZ, Pos. "&amp;BILANZ!$A$54&amp;" + "&amp;BILANZ!$A$58&amp;" + "&amp;BILANZ!$A$62&amp;" abstimmen ! Sonst im Begleitbericht begründen.","SVP accorder pos. "&amp;$A34&amp;" avec l'actualisation au BILAN, pos. "&amp;BILANZ!$A$54&amp;" + "&amp;BILANZ!$A$58&amp;" + "&amp;BILANZ!$A$62&amp;" ! Sinon, justifier dans le rapport explicatif."))</f>
        <v>ok</v>
      </c>
    </row>
    <row r="35" spans="1:13">
      <c r="A35" s="195" t="s">
        <v>551</v>
      </c>
      <c r="B35" s="316" t="str">
        <f t="shared" si="17"/>
        <v>Veränd. zus. Rückst. für zuk. Rentenumw. brutto (Zunahme = +)</v>
      </c>
      <c r="C35" s="326">
        <f t="shared" ref="C35" si="21">F35+I35</f>
        <v>0</v>
      </c>
      <c r="D35" s="327">
        <f t="shared" ref="D35" si="22">G35+J35</f>
        <v>0</v>
      </c>
      <c r="E35" s="328" t="str">
        <f t="shared" si="2"/>
        <v/>
      </c>
      <c r="F35" s="788">
        <v>0</v>
      </c>
      <c r="G35" s="865">
        <v>0</v>
      </c>
      <c r="H35" s="329" t="str">
        <f t="shared" si="3"/>
        <v/>
      </c>
      <c r="I35" s="788">
        <v>0</v>
      </c>
      <c r="J35" s="865">
        <v>0</v>
      </c>
      <c r="K35" s="330" t="str">
        <f t="shared" ref="K35" si="23">+IFERROR(I35/J35-1,"")</f>
        <v/>
      </c>
      <c r="L35" s="331"/>
      <c r="M35" s="242" t="str">
        <f>IF(OR(BILANZ!F$50=0,ABS(F35-(BILANZ!F$50-BILANZ!G$50))&lt;6),"ok",IF(SPRCODE=1,"Bitte Pos. "&amp;$A35&amp;" mit Fortschreibung in BILANZ, Pos. "&amp;BILANZ!$A$50&amp;" abstimmen ! Sonst im Begleitbericht begründen.","SVP accorder pos. "&amp;$A35&amp;" avec l'actualisation au BILAN, pos. "&amp;BILANZ!$A$50&amp;" ! Sinon, justifier dans le rapport explicatif."))</f>
        <v>ok</v>
      </c>
    </row>
    <row r="36" spans="1:13">
      <c r="A36" s="195" t="s">
        <v>3130</v>
      </c>
      <c r="B36" s="317" t="str">
        <f t="shared" si="17"/>
        <v>Veränderung Teuerungsrückstellungen (Zunahme = +)</v>
      </c>
      <c r="C36" s="326">
        <f>F36</f>
        <v>0</v>
      </c>
      <c r="D36" s="327">
        <f>G36</f>
        <v>0</v>
      </c>
      <c r="E36" s="328" t="str">
        <f t="shared" si="2"/>
        <v/>
      </c>
      <c r="F36" s="788">
        <v>0</v>
      </c>
      <c r="G36" s="865">
        <v>0</v>
      </c>
      <c r="H36" s="329" t="str">
        <f t="shared" si="3"/>
        <v/>
      </c>
      <c r="I36" s="867"/>
      <c r="J36" s="868"/>
      <c r="K36" s="330"/>
      <c r="L36" s="331"/>
      <c r="M36" s="242" t="str">
        <f>IF(OR(BILANZ!F$69=0,ABS(F36-(BILANZ!F$69-BILANZ!G69))&lt;6),"ok",IF(SPRCODE=1,"Bitte Pos. "&amp;$A36&amp;" mit Fortschreibung in BILANZ, Pos. "&amp;BILANZ!$A69&amp;" abstimmen ! Sonst im Begleitbericht begründen.","SVP accorder pos. "&amp;$A36&amp;" avec l'actualisation au BILAN, pos. "&amp;BILANZ!$A69&amp;" ! Sinon, justifier dans le rapport explicatif."))</f>
        <v>ok</v>
      </c>
    </row>
    <row r="37" spans="1:13">
      <c r="A37" s="195" t="s">
        <v>2435</v>
      </c>
      <c r="B37" s="316" t="str">
        <f t="shared" si="17"/>
        <v>Veränderung DK Freizügigkeitspolicen brutto (Zunahme = +)</v>
      </c>
      <c r="C37" s="326">
        <f t="shared" si="18"/>
        <v>0</v>
      </c>
      <c r="D37" s="327">
        <f t="shared" si="20"/>
        <v>0</v>
      </c>
      <c r="E37" s="328" t="str">
        <f t="shared" si="2"/>
        <v/>
      </c>
      <c r="F37" s="788">
        <v>0</v>
      </c>
      <c r="G37" s="865">
        <v>0</v>
      </c>
      <c r="H37" s="329" t="str">
        <f t="shared" si="3"/>
        <v/>
      </c>
      <c r="I37" s="788">
        <v>0</v>
      </c>
      <c r="J37" s="865">
        <v>0</v>
      </c>
      <c r="K37" s="330" t="str">
        <f t="shared" si="4"/>
        <v/>
      </c>
      <c r="L37" s="331"/>
      <c r="M37" s="242" t="str">
        <f>IF(OR(BILANZ!C$64=0,ABS(F37-(BILANZ!F$64-BILANZ!G$64))+ABS(I37-(BILANZ!I$64-BILANZ!J$64))&lt;6),"ok",IF(SPRCODE=1,"Bitte Pos. "&amp;$A37&amp;" mit Fortschreibung in BILANZ, Pos. "&amp;BILANZ!$A$64&amp;" abstimmen ! Sonst im Begleitbericht begründen.","SVP accorder pos. "&amp;$A37&amp;" avec l'actualisation au BILAN, pos. "&amp;BILANZ!$A$64&amp;" ! Sinon, justifier dans le rapport explicatif."))</f>
        <v>ok</v>
      </c>
    </row>
    <row r="38" spans="1:13">
      <c r="A38" s="195" t="s">
        <v>2436</v>
      </c>
      <c r="B38" s="317" t="str">
        <f t="shared" si="17"/>
        <v>Veränderung DK übrige Deckungen brutto (Zunahme = +)</v>
      </c>
      <c r="C38" s="326">
        <f t="shared" si="18"/>
        <v>0</v>
      </c>
      <c r="D38" s="327">
        <f t="shared" si="20"/>
        <v>0</v>
      </c>
      <c r="E38" s="328" t="str">
        <f t="shared" si="2"/>
        <v/>
      </c>
      <c r="F38" s="788">
        <v>0</v>
      </c>
      <c r="G38" s="865">
        <v>0</v>
      </c>
      <c r="H38" s="329" t="str">
        <f t="shared" si="3"/>
        <v/>
      </c>
      <c r="I38" s="788">
        <v>0</v>
      </c>
      <c r="J38" s="865">
        <v>0</v>
      </c>
      <c r="K38" s="330" t="str">
        <f t="shared" si="4"/>
        <v/>
      </c>
      <c r="L38" s="331"/>
      <c r="M38" s="242" t="str">
        <f>IF(OR(BILANZ!C$65+BILANZ!C$66=0,ABS(F38-((BILANZ!F$65-BILANZ!G$65)+(BILANZ!F$66-BILANZ!G$66)))&lt;6),"ok",IF(SPRCODE=1,"NUR FÜR BV: Bitte Pos. "&amp;$A38&amp;" mit Fortschreibung in BILANZ, Pos. "&amp;BILANZ!$A$66&amp;" abstimmen ! Sonst im Begleitbericht begründen.","PP SEULE: SVP accorder pos. "&amp;$A38&amp;" avec l'actualisation au BILAN, pos. "&amp;BILANZ!$A$66&amp;" ! Sinon, justifier dans le rapport explicatif."))</f>
        <v>ok</v>
      </c>
    </row>
    <row r="39" spans="1:13" ht="25.5">
      <c r="A39" s="315">
        <v>16</v>
      </c>
      <c r="B39" s="191" t="str">
        <f t="shared" si="17"/>
        <v>Veränderung der Rückstellung für eingetretene, noch
nicht erledigte Versicherungsfälle brutto (Zunahme = +)</v>
      </c>
      <c r="C39" s="326">
        <f t="shared" si="18"/>
        <v>0</v>
      </c>
      <c r="D39" s="327">
        <f t="shared" si="20"/>
        <v>0</v>
      </c>
      <c r="E39" s="328" t="str">
        <f t="shared" si="2"/>
        <v/>
      </c>
      <c r="F39" s="788">
        <v>0</v>
      </c>
      <c r="G39" s="865">
        <v>0</v>
      </c>
      <c r="H39" s="329" t="str">
        <f t="shared" si="3"/>
        <v/>
      </c>
      <c r="I39" s="788">
        <v>0</v>
      </c>
      <c r="J39" s="865">
        <v>0</v>
      </c>
      <c r="K39" s="330" t="str">
        <f t="shared" si="4"/>
        <v/>
      </c>
      <c r="L39" s="331"/>
      <c r="M39" s="242" t="str">
        <f>IF(OR(BILANZ!C$67+BILANZ!C$68=0,ABS(F39-((BILANZ!F$67+BILANZ!F$68)-(BILANZ!G$67+BILANZ!G$68)))+ABS(I39-((BILANZ!I$67+BILANZ!I$68)-(BILANZ!J$67+BILANZ!J$68)))&lt;6),"ok",IF(SPRCODE=1,"Bitte Pos. "&amp;$A39&amp;" mit Fortschreibung in BILANZ, Pos. "&amp;BILANZ!$A$67&amp;" + "&amp;BILANZ!$A$68&amp;" (Bj - Vj) abstimmen ! Sonst im Begleitbericht begründen.","SVP accorder pos. "&amp;$A39&amp;" avec l'actualisation au BILAN, pos. "&amp;BILANZ!$A$67&amp;" + "&amp;BILANZ!$A$68&amp;" (AE - AE-1) ! Sinon, justifier dans le rapport explicatif."))</f>
        <v>ok</v>
      </c>
    </row>
    <row r="40" spans="1:13" ht="24" customHeight="1">
      <c r="A40" s="195" t="s">
        <v>2778</v>
      </c>
      <c r="B40" s="192" t="str">
        <f>VLOOKUP($A40&amp;B$2,TEXTDF,SPRCODE+1,FALSE)</f>
        <v>Bildung (+) und Auflösung (-) von
Wertschwankungs- und Zinsgarantierückstellungen</v>
      </c>
      <c r="C40" s="326">
        <f>F40+I40</f>
        <v>0</v>
      </c>
      <c r="D40" s="327">
        <f>G40+J40</f>
        <v>0</v>
      </c>
      <c r="E40" s="328" t="str">
        <f t="shared" si="2"/>
        <v/>
      </c>
      <c r="F40" s="788">
        <v>0</v>
      </c>
      <c r="G40" s="865">
        <v>0</v>
      </c>
      <c r="H40" s="329" t="str">
        <f t="shared" si="3"/>
        <v/>
      </c>
      <c r="I40" s="788">
        <v>0</v>
      </c>
      <c r="J40" s="865">
        <v>0</v>
      </c>
      <c r="K40" s="330" t="str">
        <f t="shared" si="4"/>
        <v/>
      </c>
      <c r="L40" s="331"/>
      <c r="M40" s="242"/>
    </row>
    <row r="41" spans="1:13">
      <c r="A41" s="315">
        <v>17</v>
      </c>
      <c r="B41" s="316" t="str">
        <f t="shared" si="17"/>
        <v>Veränd. sonstige verstechn. Rückstellungen brutto (Zunahme = +)</v>
      </c>
      <c r="C41" s="326">
        <f t="shared" si="18"/>
        <v>0</v>
      </c>
      <c r="D41" s="327">
        <f t="shared" si="20"/>
        <v>0</v>
      </c>
      <c r="E41" s="328" t="str">
        <f t="shared" si="2"/>
        <v/>
      </c>
      <c r="F41" s="788">
        <v>0</v>
      </c>
      <c r="G41" s="865">
        <v>0</v>
      </c>
      <c r="H41" s="329" t="str">
        <f t="shared" si="3"/>
        <v/>
      </c>
      <c r="I41" s="788">
        <v>0</v>
      </c>
      <c r="J41" s="865">
        <v>0</v>
      </c>
      <c r="K41" s="330" t="str">
        <f t="shared" si="4"/>
        <v/>
      </c>
      <c r="L41" s="331"/>
      <c r="M41" s="242" t="str">
        <f>IF(OR(BILANZ!C$70+BILANZ!C$71+BILANZ!C$72+BILANZ!C$73=0,ABS(F40+F41-((BILANZ!F$70-BILANZ!G$70)+(BILANZ!F$71-BILANZ!G$71)+(BILANZ!F$72-BILANZ!G$72)+(BILANZ!F$73-BILANZ!G$73)))+ABS(I40+I41-((BILANZ!I$70-BILANZ!J$70)+(BILANZ!I$71-BILANZ!J$71)+(BILANZ!I$72-BILANZ!J$72)+(BILANZ!I$73-BILANZ!J$73)))&lt;6),"ok",IF(SPRCODE=1,"Bitte Pos. "&amp;$A40&amp;" und "&amp;$A41&amp;" mit Fortschreibung in BILANZ, Pos. "&amp;BILANZ!$A$70&amp;" + "&amp;BILANZ!$A$71&amp;" + "&amp;BILANZ!$A$72&amp;" + "&amp;BILANZ!$A$73&amp; " abstimmen ! Sonst im Begleitbericht begründen.","SVP accorder pos. "&amp;$A40&amp;" und "&amp;$A41&amp;" avec l'actualisation au BILAN, pos. "&amp;BILANZ!$A$70&amp;" + "&amp;BILANZ!$A$71&amp;" + "&amp;BILANZ!$A$72&amp;" + "&amp;BILANZ!$A$73&amp;" ! Sinon, justifier dans le rapport explicatif."))</f>
        <v>ok</v>
      </c>
    </row>
    <row r="42" spans="1:13">
      <c r="A42" s="315">
        <v>18</v>
      </c>
      <c r="B42" s="316" t="str">
        <f t="shared" si="17"/>
        <v>Anteil Rückversicherer an Veränd. der vt. Rückstellungen</v>
      </c>
      <c r="C42" s="326">
        <f t="shared" si="18"/>
        <v>0</v>
      </c>
      <c r="D42" s="327">
        <f t="shared" si="20"/>
        <v>0</v>
      </c>
      <c r="E42" s="328" t="str">
        <f t="shared" si="2"/>
        <v/>
      </c>
      <c r="F42" s="788">
        <v>0</v>
      </c>
      <c r="G42" s="865">
        <v>0</v>
      </c>
      <c r="H42" s="329" t="str">
        <f t="shared" si="3"/>
        <v/>
      </c>
      <c r="I42" s="788">
        <v>0</v>
      </c>
      <c r="J42" s="865">
        <v>0</v>
      </c>
      <c r="K42" s="330" t="str">
        <f t="shared" si="4"/>
        <v/>
      </c>
      <c r="L42" s="331"/>
      <c r="M42" s="242"/>
    </row>
    <row r="43" spans="1:13" ht="25.5">
      <c r="A43" s="315">
        <v>19</v>
      </c>
      <c r="B43" s="346" t="str">
        <f t="shared" si="17"/>
        <v>Veränderung der versicherungstechn. Rückstellungen 
(netto)  = 14a bis 17 + 42c - 18</v>
      </c>
      <c r="C43" s="347">
        <f t="shared" si="18"/>
        <v>0</v>
      </c>
      <c r="D43" s="348">
        <f t="shared" si="20"/>
        <v>0</v>
      </c>
      <c r="E43" s="349" t="str">
        <f t="shared" si="2"/>
        <v/>
      </c>
      <c r="F43" s="871">
        <f>+SUM(F28:F41)-F42</f>
        <v>0</v>
      </c>
      <c r="G43" s="872">
        <f>+SUM(G28:G41)-G42</f>
        <v>0</v>
      </c>
      <c r="H43" s="350" t="str">
        <f t="shared" si="3"/>
        <v/>
      </c>
      <c r="I43" s="369">
        <f>+SUM(I28:I41)-I42</f>
        <v>0</v>
      </c>
      <c r="J43" s="285">
        <f>+SUM(J28:J41)-J42</f>
        <v>0</v>
      </c>
      <c r="K43" s="351" t="str">
        <f t="shared" si="4"/>
        <v/>
      </c>
      <c r="L43" s="325"/>
      <c r="M43" s="242"/>
    </row>
    <row r="44" spans="1:13" ht="15" customHeight="1">
      <c r="A44" s="315">
        <v>20</v>
      </c>
      <c r="B44" s="316" t="str">
        <f t="shared" ref="B44:B50" si="24">VLOOKUP($A44&amp;B$2,TEXTDF,SPRCODE+1,FALSE)</f>
        <v>Abschlussaufwendungen (brutto)</v>
      </c>
      <c r="C44" s="326">
        <f>F44+I44</f>
        <v>0</v>
      </c>
      <c r="D44" s="327">
        <f>G44+J44</f>
        <v>0</v>
      </c>
      <c r="E44" s="328" t="str">
        <f t="shared" si="2"/>
        <v/>
      </c>
      <c r="F44" s="788">
        <v>0</v>
      </c>
      <c r="G44" s="865">
        <v>0</v>
      </c>
      <c r="H44" s="329" t="str">
        <f t="shared" si="3"/>
        <v/>
      </c>
      <c r="I44" s="788">
        <v>0</v>
      </c>
      <c r="J44" s="865">
        <v>0</v>
      </c>
      <c r="K44" s="330" t="str">
        <f t="shared" si="4"/>
        <v/>
      </c>
      <c r="L44" s="331"/>
      <c r="M44" s="242"/>
    </row>
    <row r="45" spans="1:13">
      <c r="A45" s="315">
        <v>21</v>
      </c>
      <c r="B45" s="316" t="str">
        <f t="shared" si="24"/>
        <v>Veränderung aktivierte Abschlusskosten (brutto; Zunahme = +)</v>
      </c>
      <c r="C45" s="326">
        <f>I45</f>
        <v>0</v>
      </c>
      <c r="D45" s="327">
        <f>J45</f>
        <v>0</v>
      </c>
      <c r="E45" s="328" t="str">
        <f t="shared" si="2"/>
        <v/>
      </c>
      <c r="F45" s="415"/>
      <c r="G45" s="866"/>
      <c r="H45" s="329"/>
      <c r="I45" s="788">
        <v>0</v>
      </c>
      <c r="J45" s="865">
        <v>0</v>
      </c>
      <c r="K45" s="330" t="str">
        <f t="shared" si="4"/>
        <v/>
      </c>
      <c r="L45" s="331"/>
      <c r="M45" s="242" t="str">
        <f>IF(OR(BILANZ!C$36=0,ABS(I45-(BILANZ!I$36-BILANZ!J$36))&lt;6),"ok",IF(SPRCODE=1,"Bitte Pos. "&amp;$A45&amp;" mit Fortschreibung in BILANZ, Pos. "&amp;BILANZ!$A$36&amp;" abstimmen ! Sonst im Begleitbericht begründen.","SVP accorder pos. "&amp;$A45&amp;" avec l'actualisation au BILAN, pos. "&amp;BILANZ!$A$36 &amp;" ! Sinon, justifier dans le rapport explicatif."))</f>
        <v>ok</v>
      </c>
    </row>
    <row r="46" spans="1:13">
      <c r="A46" s="195" t="s">
        <v>512</v>
      </c>
      <c r="B46" s="316" t="str">
        <f t="shared" si="24"/>
        <v>Aufwendungen für Marketing und Werbung (brutto)</v>
      </c>
      <c r="C46" s="326">
        <f>F46+I46</f>
        <v>0</v>
      </c>
      <c r="D46" s="327">
        <f>G46+J46</f>
        <v>0</v>
      </c>
      <c r="E46" s="328" t="str">
        <f t="shared" si="2"/>
        <v/>
      </c>
      <c r="F46" s="788">
        <v>0</v>
      </c>
      <c r="G46" s="865">
        <v>0</v>
      </c>
      <c r="H46" s="329" t="str">
        <f t="shared" si="3"/>
        <v/>
      </c>
      <c r="I46" s="788">
        <v>0</v>
      </c>
      <c r="J46" s="865">
        <v>0</v>
      </c>
      <c r="K46" s="330" t="str">
        <f t="shared" si="4"/>
        <v/>
      </c>
      <c r="L46" s="331"/>
      <c r="M46" s="242"/>
    </row>
    <row r="47" spans="1:13">
      <c r="A47" s="315">
        <v>22</v>
      </c>
      <c r="B47" s="316" t="str">
        <f t="shared" si="24"/>
        <v>Übrige Aufwendungen für die allg. Verwaltung (brutto)</v>
      </c>
      <c r="C47" s="326">
        <f t="shared" ref="C47:D49" si="25">F47+I47</f>
        <v>0</v>
      </c>
      <c r="D47" s="327">
        <f t="shared" si="25"/>
        <v>0</v>
      </c>
      <c r="E47" s="328" t="str">
        <f t="shared" si="2"/>
        <v/>
      </c>
      <c r="F47" s="788">
        <v>0</v>
      </c>
      <c r="G47" s="865">
        <v>0</v>
      </c>
      <c r="H47" s="329" t="str">
        <f t="shared" si="3"/>
        <v/>
      </c>
      <c r="I47" s="788">
        <v>0</v>
      </c>
      <c r="J47" s="865">
        <v>0</v>
      </c>
      <c r="K47" s="330" t="str">
        <f t="shared" si="4"/>
        <v/>
      </c>
      <c r="L47" s="331"/>
      <c r="M47" s="242"/>
    </row>
    <row r="48" spans="1:13">
      <c r="A48" s="195" t="s">
        <v>472</v>
      </c>
      <c r="B48" s="316" t="str">
        <f t="shared" si="24"/>
        <v>Anteil Rückversicherer an Abschluss- und Verwaltungsaufw.</v>
      </c>
      <c r="C48" s="326">
        <f t="shared" si="25"/>
        <v>0</v>
      </c>
      <c r="D48" s="327">
        <f t="shared" si="25"/>
        <v>0</v>
      </c>
      <c r="E48" s="328" t="str">
        <f t="shared" si="2"/>
        <v/>
      </c>
      <c r="F48" s="788">
        <v>0</v>
      </c>
      <c r="G48" s="865">
        <v>0</v>
      </c>
      <c r="H48" s="329" t="str">
        <f t="shared" si="3"/>
        <v/>
      </c>
      <c r="I48" s="788">
        <v>0</v>
      </c>
      <c r="J48" s="865">
        <v>0</v>
      </c>
      <c r="K48" s="330" t="str">
        <f t="shared" si="4"/>
        <v/>
      </c>
      <c r="L48" s="331"/>
      <c r="M48" s="242"/>
    </row>
    <row r="49" spans="1:13" ht="25.5">
      <c r="A49" s="315">
        <v>23</v>
      </c>
      <c r="B49" s="346" t="str">
        <f t="shared" si="24"/>
        <v>Aufwendungen für den Versicherungsbetrieb  
= 20 - 21 + 21a + 22 - 22a</v>
      </c>
      <c r="C49" s="347">
        <f t="shared" si="25"/>
        <v>0</v>
      </c>
      <c r="D49" s="348">
        <f t="shared" si="25"/>
        <v>0</v>
      </c>
      <c r="E49" s="349" t="str">
        <f t="shared" si="2"/>
        <v/>
      </c>
      <c r="F49" s="871">
        <f>F$44+F$46+F$47-F$48</f>
        <v>0</v>
      </c>
      <c r="G49" s="872">
        <f>G$44+G$46+G$47-G$48</f>
        <v>0</v>
      </c>
      <c r="H49" s="350" t="str">
        <f t="shared" si="3"/>
        <v/>
      </c>
      <c r="I49" s="369">
        <f>I$44-I$45+I$46+I$47-I$48</f>
        <v>0</v>
      </c>
      <c r="J49" s="285">
        <f>J$44-J$45+J$46+J$47-J$48</f>
        <v>0</v>
      </c>
      <c r="K49" s="351" t="str">
        <f t="shared" si="4"/>
        <v/>
      </c>
      <c r="L49" s="325"/>
      <c r="M49" s="242"/>
    </row>
    <row r="50" spans="1:13" ht="17.25" customHeight="1">
      <c r="A50" s="195" t="s">
        <v>782</v>
      </c>
      <c r="B50" s="316" t="str">
        <f t="shared" si="24"/>
        <v>Sonstige versicherungstechnische Aufwendungen</v>
      </c>
      <c r="C50" s="326">
        <f>F50+I50</f>
        <v>0</v>
      </c>
      <c r="D50" s="327">
        <f>G50+J50</f>
        <v>0</v>
      </c>
      <c r="E50" s="328" t="str">
        <f t="shared" si="2"/>
        <v/>
      </c>
      <c r="F50" s="788">
        <v>0</v>
      </c>
      <c r="G50" s="865">
        <v>0</v>
      </c>
      <c r="H50" s="329" t="str">
        <f t="shared" si="3"/>
        <v/>
      </c>
      <c r="I50" s="788">
        <v>0</v>
      </c>
      <c r="J50" s="865">
        <v>0</v>
      </c>
      <c r="K50" s="330" t="str">
        <f t="shared" si="4"/>
        <v/>
      </c>
      <c r="L50" s="331"/>
      <c r="M50" s="242"/>
    </row>
    <row r="51" spans="1:13" ht="15.75" customHeight="1">
      <c r="A51" s="315">
        <v>26</v>
      </c>
      <c r="B51" s="193" t="str">
        <f t="shared" ref="B51:B57" si="26">VLOOKUP($A51&amp;B$2,TEXTDF,SPRCODE+1,FALSE)</f>
        <v>Zuweisung an den Überschussfonds   d)</v>
      </c>
      <c r="C51" s="326">
        <f t="shared" ref="C51:D56" si="27">F51+I51</f>
        <v>0</v>
      </c>
      <c r="D51" s="327">
        <f t="shared" si="27"/>
        <v>0</v>
      </c>
      <c r="E51" s="328" t="str">
        <f t="shared" si="2"/>
        <v/>
      </c>
      <c r="F51" s="788">
        <v>0</v>
      </c>
      <c r="G51" s="865">
        <v>0</v>
      </c>
      <c r="H51" s="329" t="str">
        <f t="shared" si="3"/>
        <v/>
      </c>
      <c r="I51" s="788">
        <v>0</v>
      </c>
      <c r="J51" s="865">
        <v>0</v>
      </c>
      <c r="K51" s="330" t="str">
        <f t="shared" si="4"/>
        <v/>
      </c>
      <c r="L51" s="331"/>
      <c r="M51" s="242"/>
    </row>
    <row r="52" spans="1:13">
      <c r="A52" s="315">
        <v>27</v>
      </c>
      <c r="B52" s="194" t="str">
        <f t="shared" si="26"/>
        <v>Entnahme aus dem Überschussfonds   e)</v>
      </c>
      <c r="C52" s="326">
        <f t="shared" si="27"/>
        <v>0</v>
      </c>
      <c r="D52" s="327">
        <f t="shared" si="27"/>
        <v>0</v>
      </c>
      <c r="E52" s="328" t="str">
        <f t="shared" si="2"/>
        <v/>
      </c>
      <c r="F52" s="415">
        <f>F$53</f>
        <v>0</v>
      </c>
      <c r="G52" s="866">
        <f>G$53</f>
        <v>0</v>
      </c>
      <c r="H52" s="329" t="str">
        <f t="shared" si="3"/>
        <v/>
      </c>
      <c r="I52" s="867">
        <f>I$53</f>
        <v>0</v>
      </c>
      <c r="J52" s="868">
        <f>J$53</f>
        <v>0</v>
      </c>
      <c r="K52" s="330" t="str">
        <f t="shared" si="4"/>
        <v/>
      </c>
      <c r="L52" s="331"/>
      <c r="M52" s="242"/>
    </row>
    <row r="53" spans="1:13">
      <c r="A53" s="315">
        <v>28</v>
      </c>
      <c r="B53" s="194" t="str">
        <f t="shared" si="26"/>
        <v>Den Versicherungsnehmern zugeteilte Überschussanteile</v>
      </c>
      <c r="C53" s="326">
        <f t="shared" si="27"/>
        <v>0</v>
      </c>
      <c r="D53" s="327">
        <f t="shared" si="27"/>
        <v>0</v>
      </c>
      <c r="E53" s="328" t="str">
        <f t="shared" si="2"/>
        <v/>
      </c>
      <c r="F53" s="788">
        <v>0</v>
      </c>
      <c r="G53" s="865">
        <v>0</v>
      </c>
      <c r="H53" s="329" t="str">
        <f t="shared" si="3"/>
        <v/>
      </c>
      <c r="I53" s="788">
        <v>0</v>
      </c>
      <c r="J53" s="865">
        <v>0</v>
      </c>
      <c r="K53" s="330" t="str">
        <f t="shared" si="4"/>
        <v/>
      </c>
      <c r="L53" s="331"/>
      <c r="M53" s="242"/>
    </row>
    <row r="54" spans="1:13">
      <c r="A54" s="195" t="s">
        <v>786</v>
      </c>
      <c r="B54" s="190" t="str">
        <f>VLOOKUP($A54&amp;B$2,TEXTDF,SPRCODE+1,FALSE)</f>
        <v xml:space="preserve">   Anteil Überobligatorium an Position 28  a)</v>
      </c>
      <c r="C54" s="333">
        <f t="shared" si="27"/>
        <v>0</v>
      </c>
      <c r="D54" s="334">
        <f t="shared" si="27"/>
        <v>0</v>
      </c>
      <c r="E54" s="335" t="str">
        <f t="shared" ref="E54" si="28">+IFERROR(C54/D54-1,"")</f>
        <v/>
      </c>
      <c r="F54" s="869">
        <v>0</v>
      </c>
      <c r="G54" s="870">
        <v>0</v>
      </c>
      <c r="H54" s="336" t="str">
        <f t="shared" ref="H54" si="29">+IFERROR(F54/G54-1,"")</f>
        <v/>
      </c>
      <c r="I54" s="867"/>
      <c r="J54" s="868"/>
      <c r="K54" s="330"/>
      <c r="L54" s="331"/>
      <c r="M54" s="242"/>
    </row>
    <row r="55" spans="1:13">
      <c r="A55" s="315">
        <v>29</v>
      </c>
      <c r="B55" s="194" t="str">
        <f t="shared" si="26"/>
        <v>Verwendung zur Deckung des Defizits des Vorjahrs   f)</v>
      </c>
      <c r="C55" s="326">
        <f>F55</f>
        <v>0</v>
      </c>
      <c r="D55" s="327">
        <f>G55</f>
        <v>0</v>
      </c>
      <c r="E55" s="328" t="str">
        <f t="shared" si="2"/>
        <v/>
      </c>
      <c r="F55" s="788">
        <v>0</v>
      </c>
      <c r="G55" s="865">
        <v>0</v>
      </c>
      <c r="H55" s="329" t="str">
        <f t="shared" si="3"/>
        <v/>
      </c>
      <c r="I55" s="867"/>
      <c r="J55" s="868"/>
      <c r="K55" s="330"/>
      <c r="L55" s="331"/>
      <c r="M55" s="242" t="str">
        <f xml:space="preserve"> IF( ABS( F55 - ( - BILANZ!$G$79 ) ) &gt;= 5, IF( SPRCODE = 1, " Fehlerhafter Eintrag ! Fussnote f beachten.", " Enregistrement erroné ! Attention à la note de bas de page f." ), "" )</f>
        <v/>
      </c>
    </row>
    <row r="56" spans="1:13" ht="25.5">
      <c r="A56" s="315">
        <v>30</v>
      </c>
      <c r="B56" s="221" t="str">
        <f t="shared" si="26"/>
        <v>Aufwendungen für Überschussbeteiligung der 
Versicherten  = 26</v>
      </c>
      <c r="C56" s="326">
        <f t="shared" si="27"/>
        <v>0</v>
      </c>
      <c r="D56" s="327">
        <f t="shared" si="27"/>
        <v>0</v>
      </c>
      <c r="E56" s="328" t="str">
        <f t="shared" si="2"/>
        <v/>
      </c>
      <c r="F56" s="415">
        <f>F$51</f>
        <v>0</v>
      </c>
      <c r="G56" s="866">
        <f>G$51</f>
        <v>0</v>
      </c>
      <c r="H56" s="329" t="str">
        <f t="shared" si="3"/>
        <v/>
      </c>
      <c r="I56" s="867">
        <f>I$51</f>
        <v>0</v>
      </c>
      <c r="J56" s="868">
        <f>J$51</f>
        <v>0</v>
      </c>
      <c r="K56" s="330" t="str">
        <f t="shared" si="4"/>
        <v/>
      </c>
      <c r="L56" s="331"/>
      <c r="M56" s="242"/>
    </row>
    <row r="57" spans="1:13" ht="17.25" customHeight="1" thickBot="1">
      <c r="A57" s="315">
        <v>31</v>
      </c>
      <c r="B57" s="352" t="str">
        <f t="shared" si="26"/>
        <v>Vt Ergebnis  = 5 + 6a - 13 - 19 - 23 - 24a - 30</v>
      </c>
      <c r="C57" s="353">
        <f>F57+I57</f>
        <v>0</v>
      </c>
      <c r="D57" s="354">
        <f>G57+J57</f>
        <v>0</v>
      </c>
      <c r="E57" s="355" t="str">
        <f t="shared" si="2"/>
        <v/>
      </c>
      <c r="F57" s="873">
        <f>+F$10+F$11-F$21-F$43-F$49-F$50-F$56</f>
        <v>0</v>
      </c>
      <c r="G57" s="874">
        <f>+G$10+G$11-G$21-G$43-G$49-G$50-G$56</f>
        <v>0</v>
      </c>
      <c r="H57" s="356" t="str">
        <f t="shared" si="3"/>
        <v/>
      </c>
      <c r="I57" s="875">
        <f>+I$10+I$11-I$21-I$43-I$49-I$50-I$56</f>
        <v>0</v>
      </c>
      <c r="J57" s="876">
        <f>+J$10+J$11-J$21-J$43-J$49-J$50-J$56</f>
        <v>0</v>
      </c>
      <c r="K57" s="357" t="str">
        <f t="shared" si="4"/>
        <v/>
      </c>
      <c r="L57" s="325"/>
      <c r="M57" s="242"/>
    </row>
    <row r="58" spans="1:13" ht="18.75" customHeight="1" thickTop="1">
      <c r="A58" s="195" t="s">
        <v>791</v>
      </c>
      <c r="B58" s="317" t="str">
        <f t="shared" ref="B58:B63" si="30">VLOOKUP($A58&amp;B$2,TEXTDF,SPRCODE+1,FALSE)</f>
        <v>Direkte Erträge aus Liegenschaften brutto</v>
      </c>
      <c r="C58" s="326">
        <f t="shared" ref="C58:D60" si="31">F58+I58</f>
        <v>0</v>
      </c>
      <c r="D58" s="327">
        <f t="shared" si="31"/>
        <v>0</v>
      </c>
      <c r="E58" s="328" t="str">
        <f t="shared" ref="E58:E70" si="32">+IFERROR(C58/D58-1,"")</f>
        <v/>
      </c>
      <c r="F58" s="788">
        <v>0</v>
      </c>
      <c r="G58" s="865">
        <v>0</v>
      </c>
      <c r="H58" s="329" t="str">
        <f t="shared" ref="H58:H70" si="33">+IFERROR(F58/G58-1,"")</f>
        <v/>
      </c>
      <c r="I58" s="788">
        <v>0</v>
      </c>
      <c r="J58" s="865">
        <v>0</v>
      </c>
      <c r="K58" s="330" t="str">
        <f t="shared" ref="K58:K70" si="34">+IFERROR(I58/J58-1,"")</f>
        <v/>
      </c>
      <c r="L58" s="331"/>
      <c r="M58" s="242"/>
    </row>
    <row r="59" spans="1:13">
      <c r="A59" s="195" t="s">
        <v>2658</v>
      </c>
      <c r="B59" s="317" t="str">
        <f t="shared" si="30"/>
        <v>Abzüglich Unterhaltskosten der Liegenschaften</v>
      </c>
      <c r="C59" s="326">
        <f t="shared" si="31"/>
        <v>0</v>
      </c>
      <c r="D59" s="327">
        <f t="shared" si="31"/>
        <v>0</v>
      </c>
      <c r="E59" s="328" t="str">
        <f t="shared" si="32"/>
        <v/>
      </c>
      <c r="F59" s="788">
        <v>0</v>
      </c>
      <c r="G59" s="865">
        <v>0</v>
      </c>
      <c r="H59" s="329" t="str">
        <f t="shared" si="33"/>
        <v/>
      </c>
      <c r="I59" s="788">
        <v>0</v>
      </c>
      <c r="J59" s="865">
        <v>0</v>
      </c>
      <c r="K59" s="330" t="str">
        <f t="shared" si="34"/>
        <v/>
      </c>
      <c r="L59" s="331"/>
      <c r="M59" s="242"/>
    </row>
    <row r="60" spans="1:13">
      <c r="A60" s="195" t="s">
        <v>2659</v>
      </c>
      <c r="B60" s="317" t="str">
        <f t="shared" si="30"/>
        <v>Direkte Erträge aus Obligationen</v>
      </c>
      <c r="C60" s="326">
        <f t="shared" si="31"/>
        <v>0</v>
      </c>
      <c r="D60" s="327">
        <f t="shared" si="31"/>
        <v>0</v>
      </c>
      <c r="E60" s="328" t="str">
        <f t="shared" si="32"/>
        <v/>
      </c>
      <c r="F60" s="788">
        <v>0</v>
      </c>
      <c r="G60" s="865">
        <v>0</v>
      </c>
      <c r="H60" s="329" t="str">
        <f t="shared" si="33"/>
        <v/>
      </c>
      <c r="I60" s="788">
        <v>0</v>
      </c>
      <c r="J60" s="865">
        <v>0</v>
      </c>
      <c r="K60" s="330" t="str">
        <f t="shared" si="34"/>
        <v/>
      </c>
      <c r="L60" s="331"/>
      <c r="M60" s="242"/>
    </row>
    <row r="61" spans="1:13">
      <c r="A61" s="195" t="s">
        <v>3099</v>
      </c>
      <c r="B61" s="317" t="str">
        <f t="shared" si="30"/>
        <v>Direkte Erträge aus Hypotheken</v>
      </c>
      <c r="C61" s="326">
        <f t="shared" ref="C61:D63" si="35">F61+I61</f>
        <v>0</v>
      </c>
      <c r="D61" s="327">
        <f t="shared" si="35"/>
        <v>0</v>
      </c>
      <c r="E61" s="328" t="str">
        <f t="shared" si="32"/>
        <v/>
      </c>
      <c r="F61" s="788">
        <v>0</v>
      </c>
      <c r="G61" s="865">
        <v>0</v>
      </c>
      <c r="H61" s="329" t="str">
        <f t="shared" si="33"/>
        <v/>
      </c>
      <c r="I61" s="788">
        <v>0</v>
      </c>
      <c r="J61" s="865">
        <v>0</v>
      </c>
      <c r="K61" s="330" t="str">
        <f t="shared" si="34"/>
        <v/>
      </c>
      <c r="L61" s="331"/>
      <c r="M61" s="242"/>
    </row>
    <row r="62" spans="1:13">
      <c r="A62" s="195" t="s">
        <v>2661</v>
      </c>
      <c r="B62" s="317" t="str">
        <f t="shared" si="30"/>
        <v>Direkte Erträge aus flüssigen Mitteln</v>
      </c>
      <c r="C62" s="326">
        <f t="shared" si="35"/>
        <v>0</v>
      </c>
      <c r="D62" s="327">
        <f t="shared" si="35"/>
        <v>0</v>
      </c>
      <c r="E62" s="328" t="str">
        <f t="shared" si="32"/>
        <v/>
      </c>
      <c r="F62" s="788">
        <v>0</v>
      </c>
      <c r="G62" s="865">
        <v>0</v>
      </c>
      <c r="H62" s="329" t="str">
        <f t="shared" si="33"/>
        <v/>
      </c>
      <c r="I62" s="788">
        <v>0</v>
      </c>
      <c r="J62" s="865">
        <v>0</v>
      </c>
      <c r="K62" s="330" t="str">
        <f t="shared" si="34"/>
        <v/>
      </c>
      <c r="L62" s="331"/>
      <c r="M62" s="242"/>
    </row>
    <row r="63" spans="1:13">
      <c r="A63" s="195" t="s">
        <v>2660</v>
      </c>
      <c r="B63" s="317" t="str">
        <f t="shared" si="30"/>
        <v>Direkte Erträge aus den übrigen Kapitalanlagen</v>
      </c>
      <c r="C63" s="326">
        <f t="shared" si="35"/>
        <v>0</v>
      </c>
      <c r="D63" s="327">
        <f t="shared" si="35"/>
        <v>0</v>
      </c>
      <c r="E63" s="328" t="str">
        <f t="shared" si="32"/>
        <v/>
      </c>
      <c r="F63" s="788">
        <v>0</v>
      </c>
      <c r="G63" s="865">
        <v>0</v>
      </c>
      <c r="H63" s="329" t="str">
        <f t="shared" si="33"/>
        <v/>
      </c>
      <c r="I63" s="788">
        <v>0</v>
      </c>
      <c r="J63" s="865">
        <v>0</v>
      </c>
      <c r="K63" s="330" t="str">
        <f t="shared" si="34"/>
        <v/>
      </c>
      <c r="L63" s="331"/>
      <c r="M63" s="242"/>
    </row>
    <row r="64" spans="1:13" ht="25.5">
      <c r="A64" s="315">
        <v>33</v>
      </c>
      <c r="B64" s="192" t="str">
        <f t="shared" ref="B64:B70" si="36">VLOOKUP($A64&amp;B$2,TEXTDF,SPRCODE+1,FALSE)</f>
        <v>Total direkte Erträge aus Kapitalanlagen = 33a - 33b + 33c + 33d + 33e + 33f</v>
      </c>
      <c r="C64" s="326">
        <f t="shared" ref="C64:D71" si="37">F64+I64</f>
        <v>0</v>
      </c>
      <c r="D64" s="327">
        <f t="shared" si="37"/>
        <v>0</v>
      </c>
      <c r="E64" s="328" t="str">
        <f t="shared" si="32"/>
        <v/>
      </c>
      <c r="F64" s="415">
        <f xml:space="preserve"> F$58 - F$59 + F$60 + F$61 + F$62 + F$63</f>
        <v>0</v>
      </c>
      <c r="G64" s="866">
        <f xml:space="preserve"> G$58 - G$59 + G$60 + G$61 + G$62 + G$63</f>
        <v>0</v>
      </c>
      <c r="H64" s="329" t="str">
        <f t="shared" si="33"/>
        <v/>
      </c>
      <c r="I64" s="867">
        <f xml:space="preserve"> I$58 - I$59 + I$60 + I$61 + I$62 + I$63</f>
        <v>0</v>
      </c>
      <c r="J64" s="868">
        <f xml:space="preserve"> J$58 - J$59 + J$60 + J$61 + J$62 + J$63</f>
        <v>0</v>
      </c>
      <c r="K64" s="330" t="str">
        <f t="shared" si="34"/>
        <v/>
      </c>
      <c r="L64" s="331"/>
      <c r="M64" s="242"/>
    </row>
    <row r="65" spans="1:13">
      <c r="A65" s="315">
        <v>34</v>
      </c>
      <c r="B65" s="317" t="str">
        <f t="shared" si="36"/>
        <v>Gewinn aus Veräusserungen</v>
      </c>
      <c r="C65" s="326">
        <f t="shared" si="37"/>
        <v>0</v>
      </c>
      <c r="D65" s="327">
        <f t="shared" si="37"/>
        <v>0</v>
      </c>
      <c r="E65" s="328" t="str">
        <f t="shared" si="32"/>
        <v/>
      </c>
      <c r="F65" s="788">
        <v>0</v>
      </c>
      <c r="G65" s="865">
        <v>0</v>
      </c>
      <c r="H65" s="329" t="str">
        <f t="shared" si="33"/>
        <v/>
      </c>
      <c r="I65" s="788">
        <v>0</v>
      </c>
      <c r="J65" s="865">
        <v>0</v>
      </c>
      <c r="K65" s="330" t="str">
        <f t="shared" si="34"/>
        <v/>
      </c>
      <c r="L65" s="331"/>
      <c r="M65" s="242"/>
    </row>
    <row r="66" spans="1:13">
      <c r="A66" s="315">
        <v>35</v>
      </c>
      <c r="B66" s="317" t="str">
        <f t="shared" si="36"/>
        <v>Verlust aus Veräusserungen</v>
      </c>
      <c r="C66" s="326">
        <f t="shared" si="37"/>
        <v>0</v>
      </c>
      <c r="D66" s="327">
        <f t="shared" si="37"/>
        <v>0</v>
      </c>
      <c r="E66" s="328" t="str">
        <f t="shared" si="32"/>
        <v/>
      </c>
      <c r="F66" s="788">
        <v>0</v>
      </c>
      <c r="G66" s="865">
        <v>0</v>
      </c>
      <c r="H66" s="329" t="str">
        <f t="shared" si="33"/>
        <v/>
      </c>
      <c r="I66" s="788">
        <v>0</v>
      </c>
      <c r="J66" s="865">
        <v>0</v>
      </c>
      <c r="K66" s="330" t="str">
        <f t="shared" si="34"/>
        <v/>
      </c>
      <c r="L66" s="331"/>
      <c r="M66" s="242"/>
    </row>
    <row r="67" spans="1:13">
      <c r="A67" s="315">
        <v>36</v>
      </c>
      <c r="B67" s="317" t="str">
        <f t="shared" si="36"/>
        <v>Zuschreibungen</v>
      </c>
      <c r="C67" s="326">
        <f t="shared" si="37"/>
        <v>0</v>
      </c>
      <c r="D67" s="327">
        <f t="shared" si="37"/>
        <v>0</v>
      </c>
      <c r="E67" s="328" t="str">
        <f t="shared" si="32"/>
        <v/>
      </c>
      <c r="F67" s="788">
        <v>0</v>
      </c>
      <c r="G67" s="865">
        <v>0</v>
      </c>
      <c r="H67" s="329" t="str">
        <f t="shared" si="33"/>
        <v/>
      </c>
      <c r="I67" s="788">
        <v>0</v>
      </c>
      <c r="J67" s="865">
        <v>0</v>
      </c>
      <c r="K67" s="330" t="str">
        <f t="shared" si="34"/>
        <v/>
      </c>
      <c r="L67" s="331"/>
      <c r="M67" s="242"/>
    </row>
    <row r="68" spans="1:13">
      <c r="A68" s="315">
        <v>37</v>
      </c>
      <c r="B68" s="317" t="str">
        <f t="shared" si="36"/>
        <v>Abschreibungen</v>
      </c>
      <c r="C68" s="326">
        <f t="shared" si="37"/>
        <v>0</v>
      </c>
      <c r="D68" s="327">
        <f t="shared" si="37"/>
        <v>0</v>
      </c>
      <c r="E68" s="328" t="str">
        <f t="shared" si="32"/>
        <v/>
      </c>
      <c r="F68" s="788">
        <v>0</v>
      </c>
      <c r="G68" s="865">
        <v>0</v>
      </c>
      <c r="H68" s="329" t="str">
        <f t="shared" si="33"/>
        <v/>
      </c>
      <c r="I68" s="788">
        <v>0</v>
      </c>
      <c r="J68" s="865">
        <v>0</v>
      </c>
      <c r="K68" s="330" t="str">
        <f t="shared" si="34"/>
        <v/>
      </c>
      <c r="L68" s="331"/>
      <c r="M68" s="242"/>
    </row>
    <row r="69" spans="1:13">
      <c r="A69" s="315">
        <v>38</v>
      </c>
      <c r="B69" s="317" t="str">
        <f t="shared" si="36"/>
        <v>Währungsergebnis auf Kapitalanlagen (+ = Gewinn)</v>
      </c>
      <c r="C69" s="326">
        <f t="shared" si="37"/>
        <v>0</v>
      </c>
      <c r="D69" s="327">
        <f t="shared" si="37"/>
        <v>0</v>
      </c>
      <c r="E69" s="328" t="str">
        <f t="shared" si="32"/>
        <v/>
      </c>
      <c r="F69" s="788">
        <v>0</v>
      </c>
      <c r="G69" s="865">
        <v>0</v>
      </c>
      <c r="H69" s="329" t="str">
        <f t="shared" si="33"/>
        <v/>
      </c>
      <c r="I69" s="788">
        <v>0</v>
      </c>
      <c r="J69" s="865">
        <v>0</v>
      </c>
      <c r="K69" s="330" t="str">
        <f t="shared" si="34"/>
        <v/>
      </c>
      <c r="L69" s="331"/>
      <c r="M69" s="242"/>
    </row>
    <row r="70" spans="1:13" ht="27" customHeight="1">
      <c r="A70" s="315">
        <v>39</v>
      </c>
      <c r="B70" s="221" t="str">
        <f t="shared" si="36"/>
        <v>Erfolg aus Kapitalanlagen für eigene Rechnung  
= 33 + 34 - 35 + 36 - 37 + 38</v>
      </c>
      <c r="C70" s="326">
        <f t="shared" si="37"/>
        <v>0</v>
      </c>
      <c r="D70" s="327">
        <f t="shared" si="37"/>
        <v>0</v>
      </c>
      <c r="E70" s="328" t="str">
        <f t="shared" si="32"/>
        <v/>
      </c>
      <c r="F70" s="415">
        <f>F$64+F$65-F$66+F$67-F$68+F$69</f>
        <v>0</v>
      </c>
      <c r="G70" s="866">
        <f>G$64+G$65-G$66+G$67-G$68+G$69</f>
        <v>0</v>
      </c>
      <c r="H70" s="329" t="str">
        <f t="shared" si="33"/>
        <v/>
      </c>
      <c r="I70" s="867">
        <f>I$64+I$65-I$66+I$67-I$68+I$69</f>
        <v>0</v>
      </c>
      <c r="J70" s="868">
        <f>J$64+J$65-J$66+J$67-J$68+J$69</f>
        <v>0</v>
      </c>
      <c r="K70" s="330" t="str">
        <f t="shared" si="34"/>
        <v/>
      </c>
      <c r="L70" s="331"/>
      <c r="M70" s="242"/>
    </row>
    <row r="71" spans="1:13" ht="30.75" customHeight="1">
      <c r="A71" s="195" t="s">
        <v>798</v>
      </c>
      <c r="B71" s="190" t="str">
        <f>VLOOKUP($A71&amp;B$2,TEXTDF,SPRCODE+1,FALSE)</f>
        <v xml:space="preserve">   Im Berichtsjahr vorgenommene Abschreibungen auf neu 
erworbenen Liegenschaften</v>
      </c>
      <c r="C71" s="333">
        <f>F71+I71</f>
        <v>0</v>
      </c>
      <c r="D71" s="334">
        <f t="shared" si="37"/>
        <v>0</v>
      </c>
      <c r="E71" s="335" t="str">
        <f t="shared" ref="E71" si="38">+IFERROR(C71/D71-1,"")</f>
        <v/>
      </c>
      <c r="F71" s="869">
        <v>0</v>
      </c>
      <c r="G71" s="870">
        <v>0</v>
      </c>
      <c r="H71" s="336" t="str">
        <f t="shared" ref="H71" si="39">+IFERROR(F71/G71-1,"")</f>
        <v/>
      </c>
      <c r="I71" s="869">
        <v>0</v>
      </c>
      <c r="J71" s="870">
        <v>0</v>
      </c>
      <c r="K71" s="338" t="str">
        <f t="shared" ref="K71" si="40">+IFERROR(I71/J71-1,"")</f>
        <v/>
      </c>
      <c r="L71" s="331"/>
      <c r="M71" s="242"/>
    </row>
    <row r="72" spans="1:13" ht="28.5" customHeight="1">
      <c r="A72" s="315">
        <v>41</v>
      </c>
      <c r="B72" s="192" t="str">
        <f>VLOOKUP($A72&amp;B$2,TEXTDF,SPRCODE+1,FALSE)</f>
        <v>Erfolg aus Kapitalanlagen für fremde Rechnung:
Erfolg aus Kapitalanlagen für anteilgebundene Verträge</v>
      </c>
      <c r="C72" s="326">
        <f>I72</f>
        <v>0</v>
      </c>
      <c r="D72" s="327">
        <f>J72</f>
        <v>0</v>
      </c>
      <c r="E72" s="328" t="str">
        <f t="shared" ref="E72" si="41">+IFERROR(C72/D72-1,"")</f>
        <v/>
      </c>
      <c r="F72" s="415"/>
      <c r="G72" s="866"/>
      <c r="H72" s="329"/>
      <c r="I72" s="788">
        <v>0</v>
      </c>
      <c r="J72" s="865">
        <v>0</v>
      </c>
      <c r="K72" s="330" t="str">
        <f t="shared" ref="K72" si="42">+IFERROR(I72/J72-1,"")</f>
        <v/>
      </c>
      <c r="L72" s="331"/>
      <c r="M72" s="242"/>
    </row>
    <row r="73" spans="1:13" ht="15" customHeight="1">
      <c r="A73" s="315">
        <v>42</v>
      </c>
      <c r="B73" s="316" t="str">
        <f>VLOOKUP($A73&amp;B$2,TEXTDF,SPRCODE+1,FALSE)</f>
        <v>Den Kapitalanlagen zugeordneter Zinsaufwand</v>
      </c>
      <c r="C73" s="326">
        <f t="shared" ref="C73:D75" si="43">F73+I73</f>
        <v>0</v>
      </c>
      <c r="D73" s="327">
        <f t="shared" si="43"/>
        <v>0</v>
      </c>
      <c r="E73" s="328" t="str">
        <f t="shared" ref="E73:E75" si="44">+IFERROR(C73/D73-1,"")</f>
        <v/>
      </c>
      <c r="F73" s="788">
        <v>0</v>
      </c>
      <c r="G73" s="865">
        <v>0</v>
      </c>
      <c r="H73" s="329" t="str">
        <f t="shared" ref="H73:H75" si="45">+IFERROR(F73/G73-1,"")</f>
        <v/>
      </c>
      <c r="I73" s="788">
        <v>0</v>
      </c>
      <c r="J73" s="865">
        <v>0</v>
      </c>
      <c r="K73" s="330" t="str">
        <f t="shared" ref="K73:K75" si="46">+IFERROR(I73/J73-1,"")</f>
        <v/>
      </c>
      <c r="L73" s="331"/>
      <c r="M73" s="242"/>
    </row>
    <row r="74" spans="1:13">
      <c r="A74" s="195" t="s">
        <v>800</v>
      </c>
      <c r="B74" s="316" t="str">
        <f>VLOOKUP($A74&amp;B$2,TEXTDF,SPRCODE+1,FALSE)</f>
        <v>Übriger Zinsaufwand</v>
      </c>
      <c r="C74" s="326">
        <f t="shared" si="43"/>
        <v>0</v>
      </c>
      <c r="D74" s="327">
        <f>G74+J74</f>
        <v>0</v>
      </c>
      <c r="E74" s="328" t="str">
        <f t="shared" si="44"/>
        <v/>
      </c>
      <c r="F74" s="788">
        <v>0</v>
      </c>
      <c r="G74" s="865">
        <v>0</v>
      </c>
      <c r="H74" s="329" t="str">
        <f t="shared" si="45"/>
        <v/>
      </c>
      <c r="I74" s="788">
        <v>0</v>
      </c>
      <c r="J74" s="865">
        <v>0</v>
      </c>
      <c r="K74" s="330" t="str">
        <f t="shared" si="46"/>
        <v/>
      </c>
      <c r="L74" s="331"/>
      <c r="M74" s="242"/>
    </row>
    <row r="75" spans="1:13" ht="16.5" customHeight="1">
      <c r="A75" s="195" t="s">
        <v>2769</v>
      </c>
      <c r="B75" s="222" t="str">
        <f>VLOOKUP($A75&amp;B$2,TEXTDF,SPRCODE+1,FALSE)</f>
        <v>Zinsaufwand total  = 42 + 42a</v>
      </c>
      <c r="C75" s="326">
        <f t="shared" si="43"/>
        <v>0</v>
      </c>
      <c r="D75" s="327">
        <f t="shared" si="43"/>
        <v>0</v>
      </c>
      <c r="E75" s="328" t="str">
        <f t="shared" si="44"/>
        <v/>
      </c>
      <c r="F75" s="415">
        <f>F$73+F$74</f>
        <v>0</v>
      </c>
      <c r="G75" s="866">
        <f>G$73+G$74</f>
        <v>0</v>
      </c>
      <c r="H75" s="329" t="str">
        <f t="shared" si="45"/>
        <v/>
      </c>
      <c r="I75" s="867">
        <f>I$73+I$74</f>
        <v>0</v>
      </c>
      <c r="J75" s="868">
        <f>J$73+J$74</f>
        <v>0</v>
      </c>
      <c r="K75" s="330" t="str">
        <f t="shared" si="46"/>
        <v/>
      </c>
      <c r="L75" s="331"/>
      <c r="M75" s="242"/>
    </row>
    <row r="76" spans="1:13" ht="15.75" customHeight="1">
      <c r="A76" s="315">
        <v>43</v>
      </c>
      <c r="B76" s="317" t="str">
        <f t="shared" ref="B76:B82" si="47">VLOOKUP($A76&amp;B$2,TEXTDF,SPRCODE+1,FALSE)</f>
        <v>Aufwendungen für Liegenschaften</v>
      </c>
      <c r="C76" s="326">
        <f t="shared" ref="C76:D81" si="48">F76+I76</f>
        <v>0</v>
      </c>
      <c r="D76" s="327">
        <f t="shared" si="48"/>
        <v>0</v>
      </c>
      <c r="E76" s="328" t="str">
        <f t="shared" ref="E76:E82" si="49">+IFERROR(C76/D76-1,"")</f>
        <v/>
      </c>
      <c r="F76" s="788">
        <v>0</v>
      </c>
      <c r="G76" s="865">
        <v>0</v>
      </c>
      <c r="H76" s="329" t="str">
        <f t="shared" ref="H76:H82" si="50">+IFERROR(F76/G76-1,"")</f>
        <v/>
      </c>
      <c r="I76" s="788">
        <v>0</v>
      </c>
      <c r="J76" s="865">
        <v>0</v>
      </c>
      <c r="K76" s="330" t="str">
        <f t="shared" ref="K76:K82" si="51">+IFERROR(I76/J76-1,"")</f>
        <v/>
      </c>
      <c r="L76" s="331"/>
      <c r="M76" s="242"/>
    </row>
    <row r="77" spans="1:13">
      <c r="A77" s="195" t="s">
        <v>802</v>
      </c>
      <c r="B77" s="317" t="str">
        <f t="shared" si="47"/>
        <v>Aufwendungen für Obligationen</v>
      </c>
      <c r="C77" s="326">
        <f t="shared" si="48"/>
        <v>0</v>
      </c>
      <c r="D77" s="327">
        <f t="shared" si="48"/>
        <v>0</v>
      </c>
      <c r="E77" s="328" t="str">
        <f t="shared" si="49"/>
        <v/>
      </c>
      <c r="F77" s="788">
        <v>0</v>
      </c>
      <c r="G77" s="865">
        <v>0</v>
      </c>
      <c r="H77" s="329" t="str">
        <f t="shared" si="50"/>
        <v/>
      </c>
      <c r="I77" s="788">
        <v>0</v>
      </c>
      <c r="J77" s="865">
        <v>0</v>
      </c>
      <c r="K77" s="330" t="str">
        <f t="shared" si="51"/>
        <v/>
      </c>
      <c r="L77" s="331"/>
      <c r="M77" s="242"/>
    </row>
    <row r="78" spans="1:13">
      <c r="A78" s="195" t="s">
        <v>3117</v>
      </c>
      <c r="B78" s="317" t="str">
        <f t="shared" si="47"/>
        <v>Aufwendungen für Hypotheken</v>
      </c>
      <c r="C78" s="326">
        <f>F78+I78</f>
        <v>0</v>
      </c>
      <c r="D78" s="327">
        <f>G78+J78</f>
        <v>0</v>
      </c>
      <c r="E78" s="328" t="str">
        <f t="shared" si="49"/>
        <v/>
      </c>
      <c r="F78" s="788">
        <v>0</v>
      </c>
      <c r="G78" s="865">
        <v>0</v>
      </c>
      <c r="H78" s="329" t="str">
        <f t="shared" si="50"/>
        <v/>
      </c>
      <c r="I78" s="788">
        <v>0</v>
      </c>
      <c r="J78" s="865">
        <v>0</v>
      </c>
      <c r="K78" s="330" t="str">
        <f t="shared" si="51"/>
        <v/>
      </c>
      <c r="L78" s="331"/>
      <c r="M78" s="242"/>
    </row>
    <row r="79" spans="1:13">
      <c r="A79" s="195" t="s">
        <v>3118</v>
      </c>
      <c r="B79" s="317" t="str">
        <f t="shared" si="47"/>
        <v>Aufwendungen für flüssige Mittel</v>
      </c>
      <c r="C79" s="326">
        <f>F79+I79</f>
        <v>0</v>
      </c>
      <c r="D79" s="327">
        <f>G79+J79</f>
        <v>0</v>
      </c>
      <c r="E79" s="328" t="str">
        <f t="shared" si="49"/>
        <v/>
      </c>
      <c r="F79" s="788">
        <v>0</v>
      </c>
      <c r="G79" s="865">
        <v>0</v>
      </c>
      <c r="H79" s="329" t="str">
        <f t="shared" si="50"/>
        <v/>
      </c>
      <c r="I79" s="788">
        <v>0</v>
      </c>
      <c r="J79" s="865">
        <v>0</v>
      </c>
      <c r="K79" s="330" t="str">
        <f t="shared" si="51"/>
        <v/>
      </c>
      <c r="L79" s="331"/>
      <c r="M79" s="242"/>
    </row>
    <row r="80" spans="1:13">
      <c r="A80" s="195" t="s">
        <v>2662</v>
      </c>
      <c r="B80" s="317" t="str">
        <f t="shared" si="47"/>
        <v>Aufwendungen für übrige Kapitalanlagen</v>
      </c>
      <c r="C80" s="326">
        <f t="shared" si="48"/>
        <v>0</v>
      </c>
      <c r="D80" s="327">
        <f t="shared" si="48"/>
        <v>0</v>
      </c>
      <c r="E80" s="328" t="str">
        <f t="shared" si="49"/>
        <v/>
      </c>
      <c r="F80" s="788">
        <v>0</v>
      </c>
      <c r="G80" s="865">
        <v>0</v>
      </c>
      <c r="H80" s="329" t="str">
        <f t="shared" si="50"/>
        <v/>
      </c>
      <c r="I80" s="788">
        <v>0</v>
      </c>
      <c r="J80" s="865">
        <v>0</v>
      </c>
      <c r="K80" s="330" t="str">
        <f t="shared" si="51"/>
        <v/>
      </c>
      <c r="L80" s="331"/>
      <c r="M80" s="242"/>
    </row>
    <row r="81" spans="1:13" ht="16.5" customHeight="1">
      <c r="A81" s="315">
        <v>45</v>
      </c>
      <c r="B81" s="222" t="str">
        <f t="shared" si="47"/>
        <v>Aufwendungen für Kapitalanlagen  = 43 + 44a + 44b + 44c + 44d</v>
      </c>
      <c r="C81" s="326">
        <f t="shared" si="48"/>
        <v>0</v>
      </c>
      <c r="D81" s="327">
        <f t="shared" si="48"/>
        <v>0</v>
      </c>
      <c r="E81" s="328" t="str">
        <f t="shared" si="49"/>
        <v/>
      </c>
      <c r="F81" s="415">
        <f>+SUM(F76:F80)</f>
        <v>0</v>
      </c>
      <c r="G81" s="866">
        <f>+SUM(G76:G80)</f>
        <v>0</v>
      </c>
      <c r="H81" s="329" t="str">
        <f t="shared" si="50"/>
        <v/>
      </c>
      <c r="I81" s="867">
        <f>+SUM(I76:I80)</f>
        <v>0</v>
      </c>
      <c r="J81" s="868">
        <f>+SUM(J76:J80)</f>
        <v>0</v>
      </c>
      <c r="K81" s="330" t="str">
        <f t="shared" si="51"/>
        <v/>
      </c>
      <c r="L81" s="331"/>
      <c r="M81" s="242"/>
    </row>
    <row r="82" spans="1:13" ht="18.75" customHeight="1">
      <c r="A82" s="315">
        <v>46</v>
      </c>
      <c r="B82" s="358" t="str">
        <f t="shared" si="47"/>
        <v>Nettoertrag aus Kapitalanlagen  = 39 + 41 - 42b - 45</v>
      </c>
      <c r="C82" s="347">
        <f t="shared" ref="C82:D86" si="52">F82+I82</f>
        <v>0</v>
      </c>
      <c r="D82" s="348">
        <f t="shared" si="52"/>
        <v>0</v>
      </c>
      <c r="E82" s="349" t="str">
        <f t="shared" si="49"/>
        <v/>
      </c>
      <c r="F82" s="871">
        <f>F$70-F$75-F$81</f>
        <v>0</v>
      </c>
      <c r="G82" s="872">
        <f>G$70-G$75-G$81</f>
        <v>0</v>
      </c>
      <c r="H82" s="350" t="str">
        <f t="shared" si="50"/>
        <v/>
      </c>
      <c r="I82" s="369">
        <f>I$70+I72-I$75-I$81</f>
        <v>0</v>
      </c>
      <c r="J82" s="285">
        <f>J$70+J72-J$75-J$81</f>
        <v>0</v>
      </c>
      <c r="K82" s="351" t="str">
        <f t="shared" si="51"/>
        <v/>
      </c>
      <c r="L82" s="325"/>
      <c r="M82" s="242"/>
    </row>
    <row r="83" spans="1:13" ht="15" customHeight="1">
      <c r="A83" s="315">
        <v>47</v>
      </c>
      <c r="B83" s="317" t="str">
        <f t="shared" ref="B83:B88" si="53">VLOOKUP($A83&amp;B$2,TEXTDF,SPRCODE+1,FALSE)</f>
        <v>Sonstige Erträge (+)</v>
      </c>
      <c r="C83" s="326">
        <f t="shared" si="52"/>
        <v>0</v>
      </c>
      <c r="D83" s="327">
        <f t="shared" si="52"/>
        <v>0</v>
      </c>
      <c r="E83" s="328" t="str">
        <f t="shared" ref="E83:E84" si="54">+IFERROR(C83/D83-1,"")</f>
        <v/>
      </c>
      <c r="F83" s="788">
        <v>0</v>
      </c>
      <c r="G83" s="865">
        <v>0</v>
      </c>
      <c r="H83" s="329" t="str">
        <f t="shared" ref="H83:H84" si="55">+IFERROR(F83/G83-1,"")</f>
        <v/>
      </c>
      <c r="I83" s="788">
        <v>0</v>
      </c>
      <c r="J83" s="865">
        <v>0</v>
      </c>
      <c r="K83" s="330" t="str">
        <f t="shared" ref="K83:K84" si="56">+IFERROR(I83/J83-1,"")</f>
        <v/>
      </c>
      <c r="L83" s="331"/>
      <c r="M83" s="242"/>
    </row>
    <row r="84" spans="1:13">
      <c r="A84" s="195" t="s">
        <v>35</v>
      </c>
      <c r="B84" s="316" t="str">
        <f t="shared" si="53"/>
        <v>Sonstige Aufwendungen (-)</v>
      </c>
      <c r="C84" s="326">
        <f t="shared" si="52"/>
        <v>0</v>
      </c>
      <c r="D84" s="327">
        <f t="shared" si="52"/>
        <v>0</v>
      </c>
      <c r="E84" s="328" t="str">
        <f t="shared" si="54"/>
        <v/>
      </c>
      <c r="F84" s="788">
        <v>0</v>
      </c>
      <c r="G84" s="865">
        <v>0</v>
      </c>
      <c r="H84" s="329" t="str">
        <f t="shared" si="55"/>
        <v/>
      </c>
      <c r="I84" s="788">
        <v>0</v>
      </c>
      <c r="J84" s="865">
        <v>0</v>
      </c>
      <c r="K84" s="330" t="str">
        <f t="shared" si="56"/>
        <v/>
      </c>
      <c r="L84" s="331"/>
      <c r="M84" s="242"/>
    </row>
    <row r="85" spans="1:13" ht="16.5" customHeight="1">
      <c r="A85" s="195" t="s">
        <v>804</v>
      </c>
      <c r="B85" s="316" t="str">
        <f t="shared" si="53"/>
        <v>Gebühren, Abgaben und sonstige Steuern</v>
      </c>
      <c r="C85" s="326">
        <f t="shared" si="52"/>
        <v>0</v>
      </c>
      <c r="D85" s="327">
        <f t="shared" si="52"/>
        <v>0</v>
      </c>
      <c r="E85" s="328" t="str">
        <f t="shared" ref="E85" si="57">+IFERROR(C85/D85-1,"")</f>
        <v/>
      </c>
      <c r="F85" s="788">
        <v>0</v>
      </c>
      <c r="G85" s="865">
        <v>0</v>
      </c>
      <c r="H85" s="329" t="str">
        <f t="shared" ref="H85" si="58">+IFERROR(F85/G85-1,"")</f>
        <v/>
      </c>
      <c r="I85" s="788">
        <v>0</v>
      </c>
      <c r="J85" s="865">
        <v>0</v>
      </c>
      <c r="K85" s="330" t="str">
        <f t="shared" ref="K85" si="59">+IFERROR(I85/J85-1,"")</f>
        <v/>
      </c>
      <c r="L85" s="331"/>
      <c r="M85" s="242"/>
    </row>
    <row r="86" spans="1:13" ht="25.5">
      <c r="A86" s="315">
        <v>49</v>
      </c>
      <c r="B86" s="352" t="str">
        <f t="shared" si="53"/>
        <v>Ergebnis vor Ertrags- und Kapitalsteuern
=  31 + 46 + 47 - 47a - 48a</v>
      </c>
      <c r="C86" s="347">
        <f t="shared" si="52"/>
        <v>0</v>
      </c>
      <c r="D86" s="348">
        <f t="shared" si="52"/>
        <v>0</v>
      </c>
      <c r="E86" s="349" t="str">
        <f t="shared" ref="E86" si="60">+IFERROR(C86/D86-1,"")</f>
        <v/>
      </c>
      <c r="F86" s="871">
        <f>F$57+F$82+F$83-F$84-F$85</f>
        <v>0</v>
      </c>
      <c r="G86" s="872">
        <f>G$57+G$82+G$83-G$84-G$85</f>
        <v>0</v>
      </c>
      <c r="H86" s="350" t="str">
        <f t="shared" ref="H86" si="61">+IFERROR(F86/G86-1,"")</f>
        <v/>
      </c>
      <c r="I86" s="369">
        <f>I$57+I$82+I$83-I$84-I$85</f>
        <v>0</v>
      </c>
      <c r="J86" s="285">
        <f>J$57+J$82+J$83-J$84-J$85</f>
        <v>0</v>
      </c>
      <c r="K86" s="351" t="str">
        <f t="shared" ref="K86" si="62">+IFERROR(I86/J86-1,"")</f>
        <v/>
      </c>
      <c r="L86" s="325"/>
      <c r="M86" s="242"/>
    </row>
    <row r="87" spans="1:13" ht="15" customHeight="1">
      <c r="A87" s="315">
        <v>50</v>
      </c>
      <c r="B87" s="316" t="str">
        <f t="shared" si="53"/>
        <v>Ertrags- und Kapitalsteuern</v>
      </c>
      <c r="C87" s="326">
        <f>I87</f>
        <v>0</v>
      </c>
      <c r="D87" s="327">
        <f>J87</f>
        <v>0</v>
      </c>
      <c r="E87" s="328" t="str">
        <f t="shared" ref="E87" si="63">+IFERROR(C87/D87-1,"")</f>
        <v/>
      </c>
      <c r="F87" s="415"/>
      <c r="G87" s="866"/>
      <c r="H87" s="329"/>
      <c r="I87" s="788">
        <v>0</v>
      </c>
      <c r="J87" s="865">
        <v>0</v>
      </c>
      <c r="K87" s="330" t="str">
        <f t="shared" ref="K87" si="64">+IFERROR(I87/J87-1,"")</f>
        <v/>
      </c>
      <c r="L87" s="331"/>
      <c r="M87" s="242"/>
    </row>
    <row r="88" spans="1:13" ht="20.25" customHeight="1" thickBot="1">
      <c r="A88" s="318">
        <v>51</v>
      </c>
      <c r="B88" s="223" t="str">
        <f t="shared" si="53"/>
        <v>Jahresergebnis  = 49 - 50</v>
      </c>
      <c r="C88" s="340">
        <f>F88+I88</f>
        <v>0</v>
      </c>
      <c r="D88" s="341">
        <f>G88+J88</f>
        <v>0</v>
      </c>
      <c r="E88" s="342" t="str">
        <f t="shared" ref="E88" si="65">+IFERROR(C88/D88-1,"")</f>
        <v/>
      </c>
      <c r="F88" s="877">
        <f>F$86</f>
        <v>0</v>
      </c>
      <c r="G88" s="878">
        <f>G$86</f>
        <v>0</v>
      </c>
      <c r="H88" s="343" t="str">
        <f t="shared" ref="H88" si="66">+IFERROR(F88/G88-1,"")</f>
        <v/>
      </c>
      <c r="I88" s="879">
        <f>I$86-I$87</f>
        <v>0</v>
      </c>
      <c r="J88" s="880">
        <f>J$86-J$87</f>
        <v>0</v>
      </c>
      <c r="K88" s="344" t="str">
        <f t="shared" ref="K88" si="67">+IFERROR(I88/J88-1,"")</f>
        <v/>
      </c>
      <c r="L88" s="325"/>
      <c r="M88" s="242"/>
    </row>
    <row r="89" spans="1:13" ht="17.25" customHeight="1">
      <c r="A89" s="184" t="s">
        <v>2477</v>
      </c>
      <c r="B89" s="185" t="str">
        <f t="shared" ref="B89:B94" si="68">VLOOKUP($A89&amp;B$2,TEXTDF,SPRCODE+1,FALSE)</f>
        <v>a)  Schätzungen zulässig bei fehlenden exakten Daten. Schätzungen bitte im Begleitbericht angeben.</v>
      </c>
      <c r="C89" s="319"/>
      <c r="D89" s="319"/>
      <c r="E89" s="345"/>
      <c r="F89" s="319"/>
      <c r="G89" s="319"/>
      <c r="H89" s="337"/>
      <c r="I89" s="319"/>
      <c r="J89" s="319"/>
      <c r="K89" s="337"/>
      <c r="L89" s="337"/>
      <c r="M89" s="242"/>
    </row>
    <row r="90" spans="1:13">
      <c r="A90" s="184" t="s">
        <v>2476</v>
      </c>
      <c r="B90" s="185" t="str">
        <f t="shared" si="68"/>
        <v>b)  Einschliesslich Verzinsung des Altersguthabens zum Mindestzins in der beruflichen Vorsorge</v>
      </c>
      <c r="C90" s="319"/>
      <c r="D90" s="319"/>
      <c r="E90" s="345"/>
      <c r="F90" s="319"/>
      <c r="G90" s="319"/>
      <c r="H90" s="337"/>
      <c r="I90" s="319"/>
      <c r="J90" s="319"/>
      <c r="K90" s="337"/>
      <c r="L90" s="337"/>
      <c r="M90" s="242"/>
    </row>
    <row r="91" spans="1:13">
      <c r="A91" s="184" t="s">
        <v>2478</v>
      </c>
      <c r="B91" s="185" t="str">
        <f t="shared" si="68"/>
        <v>d)  Individuelle Vorsorge:  Überschüsse dürfen nur über den Überschussfonds abgewickelt werden (neue AVO Art. 136).</v>
      </c>
      <c r="C91" s="319"/>
      <c r="D91" s="319"/>
      <c r="E91" s="345"/>
      <c r="F91" s="319"/>
      <c r="G91" s="319"/>
      <c r="H91" s="337"/>
      <c r="I91" s="319"/>
      <c r="J91" s="319"/>
      <c r="K91" s="337"/>
      <c r="L91" s="337"/>
      <c r="M91" s="242"/>
    </row>
    <row r="92" spans="1:13">
      <c r="A92" s="184" t="s">
        <v>2479</v>
      </c>
      <c r="B92" s="185" t="str">
        <f t="shared" si="68"/>
        <v xml:space="preserve">     Berufliche Vorsorge:   Überschüsse dürfen nur über den Überschussfonds abgewickelt werden (neue AVO Art. 152), sofern es sich nicht um die vertragliche Verpflichtung zur Ausrichtung der Überrendite handelt.</v>
      </c>
      <c r="C92" s="319"/>
      <c r="D92" s="319"/>
      <c r="E92" s="345"/>
      <c r="F92" s="319"/>
      <c r="G92" s="319"/>
      <c r="H92" s="337"/>
      <c r="I92" s="319"/>
      <c r="J92" s="319"/>
      <c r="K92" s="337"/>
      <c r="L92" s="337"/>
      <c r="M92" s="242"/>
    </row>
    <row r="93" spans="1:13">
      <c r="A93" s="184" t="s">
        <v>2480</v>
      </c>
      <c r="B93" s="185" t="str">
        <f t="shared" si="68"/>
        <v>e)  Die Entnahme aus dem Überschussfonds muss genau mit der Summe aus Zuteilung an die Versicherungsnehmer und aus Verwendung für die Defizitdeckung übereinstimmen, das heisst 27 = 28 + 29.</v>
      </c>
      <c r="C93" s="319"/>
      <c r="D93" s="319"/>
      <c r="E93" s="345"/>
      <c r="F93" s="319"/>
      <c r="G93" s="319"/>
      <c r="H93" s="337"/>
      <c r="I93" s="319"/>
      <c r="J93" s="319"/>
      <c r="K93" s="337"/>
      <c r="L93" s="337"/>
      <c r="M93" s="242"/>
    </row>
    <row r="94" spans="1:13">
      <c r="A94" s="184" t="s">
        <v>2481</v>
      </c>
      <c r="B94" s="185" t="str">
        <f t="shared" si="68"/>
        <v>f)  Das Defizit des Vorjahrs ist aus der Pos. 114f (BJ-1) zu übertragen, jedoch hier mit positivem Vorzeichen.</v>
      </c>
      <c r="C94" s="319"/>
      <c r="D94" s="319"/>
      <c r="E94" s="345"/>
      <c r="F94" s="319"/>
      <c r="G94" s="319"/>
      <c r="H94" s="337"/>
      <c r="I94" s="319"/>
      <c r="J94" s="319"/>
      <c r="K94" s="337"/>
      <c r="L94" s="337"/>
      <c r="M94" s="242"/>
    </row>
  </sheetData>
  <sheetProtection algorithmName="SHA-512" hashValue="ItB0nK8rLkJHJkJaj4F+C//dHFCiFa6wFe/lpz0l75bq/3vlwE//70btICCIVeV9LRGyK+vLi6pMzoPX7R4/rA==" saltValue="E/ZYhzYJZbFvZuirzIUEgA==" spinCount="100000" sheet="1" objects="1" scenarios="1"/>
  <customSheetViews>
    <customSheetView guid="{ECF4189F-4624-4725-BD5A-98214EF42022}" scale="85" showRuler="0">
      <pane xSplit="2" ySplit="5" topLeftCell="C6" activePane="bottomRight" state="frozen"/>
      <selection pane="bottomRight" activeCell="A4" sqref="A4"/>
      <rowBreaks count="2" manualBreakCount="2">
        <brk id="53" max="16383" man="1"/>
        <brk id="91" max="16383" man="1"/>
      </rowBreaks>
      <pageMargins left="0.23" right="0.21" top="0.27" bottom="0.18" header="0.17" footer="0.16"/>
      <printOptions headings="1"/>
      <pageSetup paperSize="9" scale="75" orientation="landscape" horizontalDpi="4294967295"/>
      <headerFooter alignWithMargins="0">
        <oddFooter>&amp;L&amp;D   &amp;T&amp;C&amp;A&amp;R&amp;P / &amp;N</oddFooter>
      </headerFooter>
    </customSheetView>
  </customSheetViews>
  <phoneticPr fontId="9" type="noConversion"/>
  <conditionalFormatting sqref="M28">
    <cfRule type="cellIs" dxfId="100" priority="6" operator="notEqual">
      <formula>"ok"</formula>
    </cfRule>
  </conditionalFormatting>
  <conditionalFormatting sqref="M32">
    <cfRule type="cellIs" dxfId="99" priority="5" operator="notEqual">
      <formula>"ok"</formula>
    </cfRule>
  </conditionalFormatting>
  <conditionalFormatting sqref="M31">
    <cfRule type="cellIs" dxfId="98" priority="4" operator="notEqual">
      <formula>"ok"</formula>
    </cfRule>
  </conditionalFormatting>
  <conditionalFormatting sqref="M33:M39">
    <cfRule type="cellIs" dxfId="97" priority="3" operator="notEqual">
      <formula>"ok"</formula>
    </cfRule>
  </conditionalFormatting>
  <conditionalFormatting sqref="M41">
    <cfRule type="cellIs" dxfId="96" priority="2" operator="notEqual">
      <formula>"ok"</formula>
    </cfRule>
  </conditionalFormatting>
  <conditionalFormatting sqref="M45">
    <cfRule type="cellIs" dxfId="95" priority="1" operator="notEqual">
      <formula>"ok"</formula>
    </cfRule>
  </conditionalFormatting>
  <hyperlinks>
    <hyperlink ref="B1" location="UEBERSICHT!G12" display="UEBERSICHT!G12" xr:uid="{A49C5604-4843-40F6-8297-E9A83EA108C7}"/>
  </hyperlinks>
  <printOptions headings="1" gridLines="1"/>
  <pageMargins left="0.39370078740157483" right="0.35433070866141736" top="0.35" bottom="0.47244094488188981" header="0.16" footer="0.23622047244094491"/>
  <pageSetup paperSize="9" scale="70" orientation="landscape"/>
  <headerFooter alignWithMargins="0">
    <oddFooter>&amp;L&amp;D   &amp;T&amp;C&amp;A&amp;R&amp;P / &amp;N</oddFooter>
  </headerFooter>
  <ignoredErrors>
    <ignoredError sqref="C45:D45 C55:D55 C72:E88" formula="1"/>
    <ignoredError sqref="H6 I7:I8 H5 K5 K6 K9 K7:K8" unlockedFormula="1"/>
    <ignoredError sqref="F7 I10 H7:H88 I36 F10 F16 I13 K11 K12 I16:I17 K14 K15 F21:G21 I21 K18 K19 K20 F43 I23 K22 I25 K24 K34 K26 K27 K28 K29 K30 K31 K32 K33 I43 K37 K38 K39 K40 K41 K42 F45:G45 I49 K44 K45 F49:G49 K46 K47 K48 F52 I52 K50 K51 F56:G57 I54:I57 K53 F64:G64 I64 K58 K59 K60 K61 K62 K63 F70:G70 I70 K65 K66 K67 K68 K69 F72:G72 I75 K71 K72 F75 K73 K74 F81:F82 I81:I82 K76 K77 K78 K79 K80 F86:G88 I86 K83 K84 K85 I88:K88 K87 K10 K36 K13 K16:K17 K21 K23 K25 K43 K49 K52 K54:K57 K64 K70 K75 K81:K82 K86" formula="1" unlockedFormula="1"/>
    <ignoredError sqref="A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BRBV_03">
    <tabColor rgb="FF003300"/>
  </sheetPr>
  <dimension ref="A1:M98"/>
  <sheetViews>
    <sheetView zoomScaleNormal="100" workbookViewId="0">
      <pane xSplit="2" ySplit="4" topLeftCell="C5" activePane="bottomRight" state="frozen"/>
      <selection pane="topRight" activeCell="C1" sqref="C1"/>
      <selection pane="bottomLeft" activeCell="A5" sqref="A5"/>
      <selection pane="bottomRight" activeCell="F5" sqref="F5"/>
    </sheetView>
  </sheetViews>
  <sheetFormatPr baseColWidth="10" defaultColWidth="9.140625" defaultRowHeight="12.75"/>
  <cols>
    <col min="1" max="1" width="5.28515625" customWidth="1"/>
    <col min="2" max="2" width="57" customWidth="1"/>
    <col min="3" max="4" width="12.42578125" customWidth="1"/>
    <col min="5" max="5" width="8.140625" customWidth="1"/>
    <col min="6" max="7" width="12.42578125" customWidth="1"/>
    <col min="8" max="8" width="8.140625" customWidth="1"/>
    <col min="9" max="10" width="12.42578125" customWidth="1"/>
    <col min="11" max="11" width="8.140625" customWidth="1"/>
    <col min="12" max="12" width="2.28515625" style="50" customWidth="1"/>
    <col min="13" max="13" width="8.140625" style="50" customWidth="1"/>
  </cols>
  <sheetData>
    <row r="1" spans="1:13" ht="17.25" customHeight="1">
      <c r="A1" s="568" t="s">
        <v>706</v>
      </c>
      <c r="B1" s="310" t="str">
        <f>VLOOKUP($A1&amp;B$2,TEXTDF,SPRCODE+1,FALSE)</f>
        <v>Bilanz  -  Aktiven</v>
      </c>
      <c r="C1" s="171" t="str">
        <f>VLOOKUP($A1&amp;C$2,TEXTDF,SPRCODE+1,FALSE)</f>
        <v>Frankenbeträge in 1000 CHF</v>
      </c>
      <c r="D1" s="171"/>
      <c r="E1" s="172"/>
      <c r="F1" s="171"/>
      <c r="G1" s="171"/>
      <c r="H1" s="172"/>
      <c r="I1" s="173"/>
      <c r="J1" s="173" t="str">
        <f>VLOOKUP($A1&amp;J$2,TEXTDF,SPRCODE+1,FALSE)</f>
        <v>Berichtsjahr:</v>
      </c>
      <c r="K1" s="168">
        <f>jahr</f>
        <v>2023</v>
      </c>
      <c r="L1" s="168"/>
      <c r="M1" s="168"/>
    </row>
    <row r="2" spans="1:13" ht="13.5" customHeight="1" thickBot="1">
      <c r="A2" s="169"/>
      <c r="B2" s="175" t="s">
        <v>66</v>
      </c>
      <c r="C2" s="169" t="s">
        <v>469</v>
      </c>
      <c r="D2" s="169" t="s">
        <v>470</v>
      </c>
      <c r="E2" s="176" t="s">
        <v>57</v>
      </c>
      <c r="F2" s="169" t="s" vm="1">
        <v>58</v>
      </c>
      <c r="G2" s="169" t="s" vm="2">
        <v>54</v>
      </c>
      <c r="H2" s="176" t="s">
        <v>238</v>
      </c>
      <c r="I2" s="169" t="s" vm="3">
        <v>239</v>
      </c>
      <c r="J2" s="169" t="s" vm="4">
        <v>240</v>
      </c>
      <c r="K2" s="261" t="s">
        <v>241</v>
      </c>
      <c r="L2" s="261"/>
      <c r="M2" s="261"/>
    </row>
    <row r="3" spans="1:13">
      <c r="A3" s="53" t="s">
        <v>863</v>
      </c>
      <c r="B3" s="177" t="str">
        <f>Vr&amp;"  "</f>
        <v xml:space="preserve">  </v>
      </c>
      <c r="C3" s="208" t="str">
        <f>+ER!C3</f>
        <v>Schweizergeschäft</v>
      </c>
      <c r="D3" s="209"/>
      <c r="E3" s="213"/>
      <c r="F3" s="851" t="str">
        <f>+ER!F3</f>
        <v>Berufliche Vorsorge</v>
      </c>
      <c r="G3" s="852"/>
      <c r="H3" s="853"/>
      <c r="I3" s="854" t="str">
        <f>+ER!I3</f>
        <v>Übriges Geschäft</v>
      </c>
      <c r="J3" s="855"/>
      <c r="K3" s="856"/>
      <c r="L3" s="243"/>
      <c r="M3" s="243"/>
    </row>
    <row r="4" spans="1:13" ht="13.5" thickBot="1">
      <c r="A4" s="178" t="s">
        <v>864</v>
      </c>
      <c r="B4" s="179" t="str">
        <f>CHOOSE(SPRCODE,"D","F")&amp;"  "</f>
        <v xml:space="preserve">D  </v>
      </c>
      <c r="C4" s="271">
        <f>+jahr</f>
        <v>2023</v>
      </c>
      <c r="D4" s="272">
        <f>+C4-1</f>
        <v>2022</v>
      </c>
      <c r="E4" s="214" t="str">
        <f>+ER!E4</f>
        <v>+/-</v>
      </c>
      <c r="F4" s="857">
        <f>+jahr</f>
        <v>2023</v>
      </c>
      <c r="G4" s="858">
        <f>+F4-1</f>
        <v>2022</v>
      </c>
      <c r="H4" s="859" t="str">
        <f>+E4</f>
        <v>+/-</v>
      </c>
      <c r="I4" s="860">
        <f>+jahr</f>
        <v>2023</v>
      </c>
      <c r="J4" s="861">
        <f>+I4-1</f>
        <v>2022</v>
      </c>
      <c r="K4" s="862" t="str">
        <f>+H4</f>
        <v>+/-</v>
      </c>
      <c r="L4" s="198"/>
      <c r="M4" s="242" t="s">
        <v>3955</v>
      </c>
    </row>
    <row r="5" spans="1:13" ht="20.100000000000001" customHeight="1">
      <c r="A5" s="647">
        <v>52</v>
      </c>
      <c r="B5" s="372" t="str">
        <f>VLOOKUP($A5&amp;B$2,TEXTDF,SPRCODE+1,FALSE)</f>
        <v>Immaterielle Aktiven</v>
      </c>
      <c r="C5" s="247">
        <f>F5+I5</f>
        <v>0</v>
      </c>
      <c r="D5" s="248">
        <f>G5+J5</f>
        <v>0</v>
      </c>
      <c r="E5" s="249" t="str">
        <f>+IFERROR(C5/D5-1,"")</f>
        <v/>
      </c>
      <c r="F5" s="881">
        <v>0</v>
      </c>
      <c r="G5" s="882">
        <v>0</v>
      </c>
      <c r="H5" s="250" t="str">
        <f>+IFERROR(F5/G5-1,"")</f>
        <v/>
      </c>
      <c r="I5" s="881">
        <v>0</v>
      </c>
      <c r="J5" s="882">
        <v>0</v>
      </c>
      <c r="K5" s="251" t="str">
        <f>+IFERROR(I5/J5-1,"")</f>
        <v/>
      </c>
      <c r="L5" s="245"/>
      <c r="M5" s="245"/>
    </row>
    <row r="6" spans="1:13" ht="18.75" customHeight="1">
      <c r="A6" s="195">
        <v>53</v>
      </c>
      <c r="B6" s="256" t="str">
        <f t="shared" ref="B6:B28" si="0">VLOOKUP($A6&amp;B$2,TEXTDF,SPRCODE+1,FALSE)</f>
        <v>Grundstücke, Bauten (inkl. selbstgenutzte Liegenschaften)</v>
      </c>
      <c r="C6" s="211">
        <f t="shared" ref="C6:C28" si="1">F6+I6</f>
        <v>0</v>
      </c>
      <c r="D6" s="212">
        <f t="shared" ref="D6:D28" si="2">G6+J6</f>
        <v>0</v>
      </c>
      <c r="E6" s="210" t="str">
        <f t="shared" ref="E6:E41" si="3">+IFERROR(C6/D6-1,"")</f>
        <v/>
      </c>
      <c r="F6" s="788">
        <v>0</v>
      </c>
      <c r="G6" s="865">
        <v>0</v>
      </c>
      <c r="H6" s="205" t="str">
        <f t="shared" ref="H6:H28" si="4">+IFERROR(F6/G6-1,"")</f>
        <v/>
      </c>
      <c r="I6" s="788">
        <v>0</v>
      </c>
      <c r="J6" s="865">
        <v>0</v>
      </c>
      <c r="K6" s="201" t="str">
        <f t="shared" ref="K6:K29" si="5">+IFERROR(I6/J6-1,"")</f>
        <v/>
      </c>
      <c r="L6" s="245"/>
      <c r="M6" s="245"/>
    </row>
    <row r="7" spans="1:13">
      <c r="A7" s="195">
        <v>54</v>
      </c>
      <c r="B7" s="373" t="str">
        <f t="shared" si="0"/>
        <v>Anteile an Immobiliengesellschaften</v>
      </c>
      <c r="C7" s="234">
        <f t="shared" si="1"/>
        <v>0</v>
      </c>
      <c r="D7" s="235">
        <f t="shared" si="2"/>
        <v>0</v>
      </c>
      <c r="E7" s="236" t="str">
        <f t="shared" si="3"/>
        <v/>
      </c>
      <c r="F7" s="788">
        <v>0</v>
      </c>
      <c r="G7" s="865">
        <v>0</v>
      </c>
      <c r="H7" s="237" t="str">
        <f t="shared" si="4"/>
        <v/>
      </c>
      <c r="I7" s="788">
        <v>0</v>
      </c>
      <c r="J7" s="865">
        <v>0</v>
      </c>
      <c r="K7" s="201" t="str">
        <f t="shared" si="5"/>
        <v/>
      </c>
      <c r="L7" s="245"/>
      <c r="M7" s="245"/>
    </row>
    <row r="8" spans="1:13">
      <c r="A8" s="195">
        <v>55</v>
      </c>
      <c r="B8" s="256" t="str">
        <f t="shared" si="0"/>
        <v>Anteile an verbundenen Unternehmen</v>
      </c>
      <c r="C8" s="211">
        <f t="shared" si="1"/>
        <v>0</v>
      </c>
      <c r="D8" s="212">
        <f t="shared" si="2"/>
        <v>0</v>
      </c>
      <c r="E8" s="210" t="str">
        <f t="shared" si="3"/>
        <v/>
      </c>
      <c r="F8" s="788">
        <v>0</v>
      </c>
      <c r="G8" s="865">
        <v>0</v>
      </c>
      <c r="H8" s="205" t="str">
        <f t="shared" si="4"/>
        <v/>
      </c>
      <c r="I8" s="788">
        <v>0</v>
      </c>
      <c r="J8" s="865">
        <v>0</v>
      </c>
      <c r="K8" s="201" t="str">
        <f t="shared" si="5"/>
        <v/>
      </c>
      <c r="L8" s="245"/>
      <c r="M8" s="245"/>
    </row>
    <row r="9" spans="1:13">
      <c r="A9" s="195">
        <v>56</v>
      </c>
      <c r="B9" s="256" t="str">
        <f t="shared" si="0"/>
        <v>Darlehen an verbundene Unternehmen</v>
      </c>
      <c r="C9" s="211">
        <f t="shared" si="1"/>
        <v>0</v>
      </c>
      <c r="D9" s="212">
        <f t="shared" si="2"/>
        <v>0</v>
      </c>
      <c r="E9" s="210" t="str">
        <f t="shared" si="3"/>
        <v/>
      </c>
      <c r="F9" s="788">
        <v>0</v>
      </c>
      <c r="G9" s="865">
        <v>0</v>
      </c>
      <c r="H9" s="205" t="str">
        <f t="shared" si="4"/>
        <v/>
      </c>
      <c r="I9" s="788">
        <v>0</v>
      </c>
      <c r="J9" s="865">
        <v>0</v>
      </c>
      <c r="K9" s="201" t="str">
        <f t="shared" si="5"/>
        <v/>
      </c>
      <c r="L9" s="245"/>
      <c r="M9" s="245"/>
    </row>
    <row r="10" spans="1:13">
      <c r="A10" s="195">
        <v>57</v>
      </c>
      <c r="B10" s="257" t="str">
        <f t="shared" si="0"/>
        <v>Beteiligungen</v>
      </c>
      <c r="C10" s="211">
        <f t="shared" si="1"/>
        <v>0</v>
      </c>
      <c r="D10" s="212">
        <f t="shared" si="2"/>
        <v>0</v>
      </c>
      <c r="E10" s="210" t="str">
        <f t="shared" si="3"/>
        <v/>
      </c>
      <c r="F10" s="788">
        <v>0</v>
      </c>
      <c r="G10" s="865">
        <v>0</v>
      </c>
      <c r="H10" s="205" t="str">
        <f t="shared" si="4"/>
        <v/>
      </c>
      <c r="I10" s="788">
        <v>0</v>
      </c>
      <c r="J10" s="865">
        <v>0</v>
      </c>
      <c r="K10" s="201" t="str">
        <f t="shared" si="5"/>
        <v/>
      </c>
      <c r="L10" s="245"/>
      <c r="M10" s="245"/>
    </row>
    <row r="11" spans="1:13">
      <c r="A11" s="195">
        <v>58</v>
      </c>
      <c r="B11" s="257" t="str">
        <f t="shared" si="0"/>
        <v>Darl. an Unternehmen mit denen ein Beteiligungsverhältnis besteht</v>
      </c>
      <c r="C11" s="211">
        <f t="shared" si="1"/>
        <v>0</v>
      </c>
      <c r="D11" s="212">
        <f t="shared" si="2"/>
        <v>0</v>
      </c>
      <c r="E11" s="210" t="str">
        <f t="shared" si="3"/>
        <v/>
      </c>
      <c r="F11" s="788">
        <v>0</v>
      </c>
      <c r="G11" s="865">
        <v>0</v>
      </c>
      <c r="H11" s="205" t="str">
        <f t="shared" si="4"/>
        <v/>
      </c>
      <c r="I11" s="788">
        <v>0</v>
      </c>
      <c r="J11" s="865">
        <v>0</v>
      </c>
      <c r="K11" s="201" t="str">
        <f t="shared" si="5"/>
        <v/>
      </c>
      <c r="L11" s="245"/>
      <c r="M11" s="245"/>
    </row>
    <row r="12" spans="1:13">
      <c r="A12" s="195">
        <v>59</v>
      </c>
      <c r="B12" s="257" t="str">
        <f t="shared" si="0"/>
        <v>Darlehen an Muttergesellschaft und Aktionäre</v>
      </c>
      <c r="C12" s="211">
        <f t="shared" si="1"/>
        <v>0</v>
      </c>
      <c r="D12" s="212">
        <f t="shared" si="2"/>
        <v>0</v>
      </c>
      <c r="E12" s="210" t="str">
        <f t="shared" si="3"/>
        <v/>
      </c>
      <c r="F12" s="788">
        <v>0</v>
      </c>
      <c r="G12" s="865">
        <v>0</v>
      </c>
      <c r="H12" s="205" t="str">
        <f t="shared" si="4"/>
        <v/>
      </c>
      <c r="I12" s="788">
        <v>0</v>
      </c>
      <c r="J12" s="865">
        <v>0</v>
      </c>
      <c r="K12" s="201" t="str">
        <f t="shared" si="5"/>
        <v/>
      </c>
      <c r="L12" s="245"/>
      <c r="M12" s="245"/>
    </row>
    <row r="13" spans="1:13">
      <c r="A13" s="195">
        <v>60</v>
      </c>
      <c r="B13" s="257" t="str">
        <f t="shared" si="0"/>
        <v>Schweizerische Aktien</v>
      </c>
      <c r="C13" s="211">
        <f t="shared" si="1"/>
        <v>0</v>
      </c>
      <c r="D13" s="212">
        <f t="shared" si="2"/>
        <v>0</v>
      </c>
      <c r="E13" s="210" t="str">
        <f t="shared" si="3"/>
        <v/>
      </c>
      <c r="F13" s="788">
        <v>0</v>
      </c>
      <c r="G13" s="865">
        <v>0</v>
      </c>
      <c r="H13" s="205" t="str">
        <f t="shared" si="4"/>
        <v/>
      </c>
      <c r="I13" s="788">
        <v>0</v>
      </c>
      <c r="J13" s="865">
        <v>0</v>
      </c>
      <c r="K13" s="201" t="str">
        <f t="shared" si="5"/>
        <v/>
      </c>
      <c r="L13" s="245"/>
      <c r="M13" s="245"/>
    </row>
    <row r="14" spans="1:13">
      <c r="A14" s="195">
        <v>61</v>
      </c>
      <c r="B14" s="257" t="str">
        <f t="shared" si="0"/>
        <v>Ausländische Aktien</v>
      </c>
      <c r="C14" s="234">
        <f t="shared" si="1"/>
        <v>0</v>
      </c>
      <c r="D14" s="235">
        <f t="shared" si="2"/>
        <v>0</v>
      </c>
      <c r="E14" s="236" t="str">
        <f t="shared" si="3"/>
        <v/>
      </c>
      <c r="F14" s="788">
        <v>0</v>
      </c>
      <c r="G14" s="865">
        <v>0</v>
      </c>
      <c r="H14" s="237" t="str">
        <f t="shared" si="4"/>
        <v/>
      </c>
      <c r="I14" s="788">
        <v>0</v>
      </c>
      <c r="J14" s="865">
        <v>0</v>
      </c>
      <c r="K14" s="201" t="str">
        <f t="shared" si="5"/>
        <v/>
      </c>
      <c r="L14" s="245"/>
      <c r="M14" s="245"/>
    </row>
    <row r="15" spans="1:13">
      <c r="A15" s="195">
        <v>62</v>
      </c>
      <c r="B15" s="257" t="str">
        <f t="shared" si="0"/>
        <v>Anteile an Anlagefonds</v>
      </c>
      <c r="C15" s="211">
        <f t="shared" si="1"/>
        <v>0</v>
      </c>
      <c r="D15" s="212">
        <f t="shared" si="2"/>
        <v>0</v>
      </c>
      <c r="E15" s="210" t="str">
        <f t="shared" si="3"/>
        <v/>
      </c>
      <c r="F15" s="788">
        <v>0</v>
      </c>
      <c r="G15" s="865">
        <v>0</v>
      </c>
      <c r="H15" s="205" t="str">
        <f t="shared" si="4"/>
        <v/>
      </c>
      <c r="I15" s="788">
        <v>0</v>
      </c>
      <c r="J15" s="865">
        <v>0</v>
      </c>
      <c r="K15" s="201" t="str">
        <f t="shared" si="5"/>
        <v/>
      </c>
      <c r="L15" s="245"/>
      <c r="M15" s="245"/>
    </row>
    <row r="16" spans="1:13">
      <c r="A16" s="195">
        <v>64</v>
      </c>
      <c r="B16" s="257" t="str">
        <f t="shared" si="0"/>
        <v>Eigene Aktien</v>
      </c>
      <c r="C16" s="211">
        <f t="shared" si="1"/>
        <v>0</v>
      </c>
      <c r="D16" s="212">
        <f t="shared" si="2"/>
        <v>0</v>
      </c>
      <c r="E16" s="210" t="str">
        <f t="shared" si="3"/>
        <v/>
      </c>
      <c r="F16" s="788">
        <v>0</v>
      </c>
      <c r="G16" s="865">
        <v>0</v>
      </c>
      <c r="H16" s="205" t="str">
        <f t="shared" si="4"/>
        <v/>
      </c>
      <c r="I16" s="788">
        <v>0</v>
      </c>
      <c r="J16" s="865">
        <v>0</v>
      </c>
      <c r="K16" s="201" t="str">
        <f t="shared" si="5"/>
        <v/>
      </c>
      <c r="L16" s="245"/>
      <c r="M16" s="245"/>
    </row>
    <row r="17" spans="1:13">
      <c r="A17" s="195">
        <v>65</v>
      </c>
      <c r="B17" s="257" t="str">
        <f t="shared" si="0"/>
        <v>Festverzinsliche Wertpapiere inländischer Schuldner</v>
      </c>
      <c r="C17" s="211">
        <f t="shared" si="1"/>
        <v>0</v>
      </c>
      <c r="D17" s="212">
        <f t="shared" si="2"/>
        <v>0</v>
      </c>
      <c r="E17" s="210" t="str">
        <f t="shared" si="3"/>
        <v/>
      </c>
      <c r="F17" s="788">
        <v>0</v>
      </c>
      <c r="G17" s="865">
        <v>0</v>
      </c>
      <c r="H17" s="205" t="str">
        <f t="shared" si="4"/>
        <v/>
      </c>
      <c r="I17" s="788">
        <v>0</v>
      </c>
      <c r="J17" s="865">
        <v>0</v>
      </c>
      <c r="K17" s="201" t="str">
        <f t="shared" si="5"/>
        <v/>
      </c>
      <c r="L17" s="245"/>
      <c r="M17" s="245"/>
    </row>
    <row r="18" spans="1:13">
      <c r="A18" s="195">
        <v>66</v>
      </c>
      <c r="B18" s="257" t="str">
        <f t="shared" si="0"/>
        <v>Festverzinsliche Wertpapiere ausländischer Schuldner in CHF</v>
      </c>
      <c r="C18" s="234">
        <f t="shared" si="1"/>
        <v>0</v>
      </c>
      <c r="D18" s="235">
        <f t="shared" si="2"/>
        <v>0</v>
      </c>
      <c r="E18" s="236" t="str">
        <f t="shared" si="3"/>
        <v/>
      </c>
      <c r="F18" s="788">
        <v>0</v>
      </c>
      <c r="G18" s="865">
        <v>0</v>
      </c>
      <c r="H18" s="237" t="str">
        <f t="shared" si="4"/>
        <v/>
      </c>
      <c r="I18" s="788">
        <v>0</v>
      </c>
      <c r="J18" s="865">
        <v>0</v>
      </c>
      <c r="K18" s="201" t="str">
        <f t="shared" si="5"/>
        <v/>
      </c>
      <c r="L18" s="245"/>
      <c r="M18" s="245"/>
    </row>
    <row r="19" spans="1:13">
      <c r="A19" s="195">
        <v>67</v>
      </c>
      <c r="B19" s="257" t="str">
        <f t="shared" si="0"/>
        <v>Festverzinsliche Wertpapiere in Fremdwährungen</v>
      </c>
      <c r="C19" s="211">
        <f t="shared" si="1"/>
        <v>0</v>
      </c>
      <c r="D19" s="212">
        <f t="shared" si="2"/>
        <v>0</v>
      </c>
      <c r="E19" s="210" t="str">
        <f t="shared" si="3"/>
        <v/>
      </c>
      <c r="F19" s="788">
        <v>0</v>
      </c>
      <c r="G19" s="865">
        <v>0</v>
      </c>
      <c r="H19" s="205" t="str">
        <f t="shared" si="4"/>
        <v/>
      </c>
      <c r="I19" s="788">
        <v>0</v>
      </c>
      <c r="J19" s="865">
        <v>0</v>
      </c>
      <c r="K19" s="201" t="str">
        <f t="shared" si="5"/>
        <v/>
      </c>
      <c r="L19" s="245"/>
      <c r="M19" s="245"/>
    </row>
    <row r="20" spans="1:13">
      <c r="A20" s="195">
        <v>68</v>
      </c>
      <c r="B20" s="257" t="str">
        <f t="shared" si="0"/>
        <v>Schuldscheindarlehen und Schuldbuchforderungen</v>
      </c>
      <c r="C20" s="211">
        <f t="shared" si="1"/>
        <v>0</v>
      </c>
      <c r="D20" s="212">
        <f>G20+J20</f>
        <v>0</v>
      </c>
      <c r="E20" s="210" t="str">
        <f t="shared" si="3"/>
        <v/>
      </c>
      <c r="F20" s="788">
        <v>0</v>
      </c>
      <c r="G20" s="865">
        <v>0</v>
      </c>
      <c r="H20" s="205" t="str">
        <f t="shared" si="4"/>
        <v/>
      </c>
      <c r="I20" s="788">
        <v>0</v>
      </c>
      <c r="J20" s="865">
        <v>0</v>
      </c>
      <c r="K20" s="201" t="str">
        <f t="shared" si="5"/>
        <v/>
      </c>
      <c r="L20" s="245"/>
      <c r="M20" s="245"/>
    </row>
    <row r="21" spans="1:13">
      <c r="A21" s="195">
        <v>69</v>
      </c>
      <c r="B21" s="257" t="str">
        <f t="shared" si="0"/>
        <v>Hypothekenforderungen</v>
      </c>
      <c r="C21" s="211">
        <f t="shared" si="1"/>
        <v>0</v>
      </c>
      <c r="D21" s="212">
        <f>G21+J21</f>
        <v>0</v>
      </c>
      <c r="E21" s="210" t="str">
        <f t="shared" si="3"/>
        <v/>
      </c>
      <c r="F21" s="788">
        <v>0</v>
      </c>
      <c r="G21" s="865">
        <v>0</v>
      </c>
      <c r="H21" s="205" t="str">
        <f t="shared" si="4"/>
        <v/>
      </c>
      <c r="I21" s="788">
        <v>0</v>
      </c>
      <c r="J21" s="865">
        <v>0</v>
      </c>
      <c r="K21" s="201" t="str">
        <f t="shared" si="5"/>
        <v/>
      </c>
      <c r="L21" s="245"/>
      <c r="M21" s="245"/>
    </row>
    <row r="22" spans="1:13">
      <c r="A22" s="195">
        <v>70</v>
      </c>
      <c r="B22" s="257" t="str">
        <f t="shared" si="0"/>
        <v xml:space="preserve">Policendarlehen </v>
      </c>
      <c r="C22" s="211">
        <f t="shared" si="1"/>
        <v>0</v>
      </c>
      <c r="D22" s="212">
        <f>G22+J22</f>
        <v>0</v>
      </c>
      <c r="E22" s="210" t="str">
        <f t="shared" si="3"/>
        <v/>
      </c>
      <c r="F22" s="788">
        <v>0</v>
      </c>
      <c r="G22" s="865">
        <v>0</v>
      </c>
      <c r="H22" s="205" t="str">
        <f t="shared" si="4"/>
        <v/>
      </c>
      <c r="I22" s="788">
        <v>0</v>
      </c>
      <c r="J22" s="865">
        <v>0</v>
      </c>
      <c r="K22" s="201" t="str">
        <f t="shared" si="5"/>
        <v/>
      </c>
      <c r="L22" s="245"/>
      <c r="M22" s="245"/>
    </row>
    <row r="23" spans="1:13">
      <c r="A23" s="195">
        <v>72</v>
      </c>
      <c r="B23" s="257" t="str">
        <f t="shared" si="0"/>
        <v>Hedge Funds</v>
      </c>
      <c r="C23" s="211">
        <f t="shared" si="1"/>
        <v>0</v>
      </c>
      <c r="D23" s="212">
        <f t="shared" si="2"/>
        <v>0</v>
      </c>
      <c r="E23" s="210" t="str">
        <f t="shared" si="3"/>
        <v/>
      </c>
      <c r="F23" s="788">
        <v>0</v>
      </c>
      <c r="G23" s="865">
        <v>0</v>
      </c>
      <c r="H23" s="205" t="str">
        <f t="shared" si="4"/>
        <v/>
      </c>
      <c r="I23" s="788">
        <v>0</v>
      </c>
      <c r="J23" s="865">
        <v>0</v>
      </c>
      <c r="K23" s="201" t="str">
        <f t="shared" si="5"/>
        <v/>
      </c>
      <c r="L23" s="245"/>
      <c r="M23" s="245"/>
    </row>
    <row r="24" spans="1:13">
      <c r="A24" s="195">
        <v>73</v>
      </c>
      <c r="B24" s="257" t="str">
        <f t="shared" si="0"/>
        <v>Private Equity</v>
      </c>
      <c r="C24" s="234">
        <f t="shared" si="1"/>
        <v>0</v>
      </c>
      <c r="D24" s="235">
        <f t="shared" si="2"/>
        <v>0</v>
      </c>
      <c r="E24" s="236" t="str">
        <f t="shared" si="3"/>
        <v/>
      </c>
      <c r="F24" s="788">
        <v>0</v>
      </c>
      <c r="G24" s="865">
        <v>0</v>
      </c>
      <c r="H24" s="237" t="str">
        <f t="shared" si="4"/>
        <v/>
      </c>
      <c r="I24" s="788">
        <v>0</v>
      </c>
      <c r="J24" s="865">
        <v>0</v>
      </c>
      <c r="K24" s="238" t="str">
        <f t="shared" si="5"/>
        <v/>
      </c>
      <c r="L24" s="246"/>
      <c r="M24" s="246"/>
    </row>
    <row r="25" spans="1:13">
      <c r="A25" s="195" t="s">
        <v>526</v>
      </c>
      <c r="B25" s="257" t="str">
        <f t="shared" si="0"/>
        <v>Guthaben aus derivaten Finanzinstrumenten</v>
      </c>
      <c r="C25" s="234">
        <f>F25+I25</f>
        <v>0</v>
      </c>
      <c r="D25" s="235">
        <f t="shared" si="2"/>
        <v>0</v>
      </c>
      <c r="E25" s="236" t="str">
        <f t="shared" si="3"/>
        <v/>
      </c>
      <c r="F25" s="788">
        <v>0</v>
      </c>
      <c r="G25" s="865">
        <v>0</v>
      </c>
      <c r="H25" s="237" t="str">
        <f t="shared" si="4"/>
        <v/>
      </c>
      <c r="I25" s="788">
        <v>0</v>
      </c>
      <c r="J25" s="865">
        <v>0</v>
      </c>
      <c r="K25" s="201" t="str">
        <f t="shared" si="5"/>
        <v/>
      </c>
      <c r="L25" s="245"/>
      <c r="M25" s="245"/>
    </row>
    <row r="26" spans="1:13">
      <c r="A26" s="195" t="s" vm="5">
        <v>4227</v>
      </c>
      <c r="B26" s="257" t="str">
        <f t="shared" si="0"/>
        <v>Flüssige Mittel</v>
      </c>
      <c r="C26" s="234">
        <f t="shared" si="1"/>
        <v>0</v>
      </c>
      <c r="D26" s="235">
        <f t="shared" si="2"/>
        <v>0</v>
      </c>
      <c r="E26" s="236" t="str">
        <f t="shared" si="3"/>
        <v/>
      </c>
      <c r="F26" s="788">
        <v>0</v>
      </c>
      <c r="G26" s="865">
        <v>0</v>
      </c>
      <c r="H26" s="237" t="str">
        <f t="shared" si="4"/>
        <v/>
      </c>
      <c r="I26" s="788">
        <v>0</v>
      </c>
      <c r="J26" s="865">
        <v>0</v>
      </c>
      <c r="K26" s="238" t="str">
        <f t="shared" si="5"/>
        <v/>
      </c>
      <c r="L26" s="246"/>
      <c r="M26" s="246"/>
    </row>
    <row r="27" spans="1:13">
      <c r="A27" s="195">
        <v>75</v>
      </c>
      <c r="B27" s="257" t="str">
        <f t="shared" si="0"/>
        <v>Sonstige Kapitalanlagen</v>
      </c>
      <c r="C27" s="234">
        <f t="shared" si="1"/>
        <v>0</v>
      </c>
      <c r="D27" s="235">
        <f t="shared" si="2"/>
        <v>0</v>
      </c>
      <c r="E27" s="236" t="str">
        <f t="shared" si="3"/>
        <v/>
      </c>
      <c r="F27" s="788">
        <v>0</v>
      </c>
      <c r="G27" s="865">
        <v>0</v>
      </c>
      <c r="H27" s="237" t="str">
        <f t="shared" si="4"/>
        <v/>
      </c>
      <c r="I27" s="788">
        <v>0</v>
      </c>
      <c r="J27" s="865">
        <v>0</v>
      </c>
      <c r="K27" s="201" t="str">
        <f t="shared" si="5"/>
        <v/>
      </c>
      <c r="L27" s="245"/>
      <c r="M27" s="245"/>
    </row>
    <row r="28" spans="1:13" ht="30" customHeight="1">
      <c r="A28" s="196">
        <v>76</v>
      </c>
      <c r="B28" s="374" t="str">
        <f t="shared" si="0"/>
        <v>Total Kapitalanlagen für eigene Rechnung 
 = Summe von 53 bis 75</v>
      </c>
      <c r="C28" s="365">
        <f t="shared" si="1"/>
        <v>0</v>
      </c>
      <c r="D28" s="282">
        <f t="shared" si="2"/>
        <v>0</v>
      </c>
      <c r="E28" s="366" t="str">
        <f t="shared" si="3"/>
        <v/>
      </c>
      <c r="F28" s="871">
        <f>SUM(F$6:F$27)</f>
        <v>0</v>
      </c>
      <c r="G28" s="872">
        <f>SUM(G$6:G$27)</f>
        <v>0</v>
      </c>
      <c r="H28" s="368" t="str">
        <f t="shared" si="4"/>
        <v/>
      </c>
      <c r="I28" s="369">
        <f>SUM(I$6:I$27)</f>
        <v>0</v>
      </c>
      <c r="J28" s="285">
        <f>SUM(J$6:J$27)</f>
        <v>0</v>
      </c>
      <c r="K28" s="370" t="str">
        <f t="shared" si="5"/>
        <v/>
      </c>
      <c r="L28" s="244"/>
      <c r="M28" s="244"/>
    </row>
    <row r="29" spans="1:13" ht="27.75" customHeight="1">
      <c r="A29" s="195">
        <v>78</v>
      </c>
      <c r="B29" s="258" t="str">
        <f>VLOOKUP($A29&amp;B$2,TEXTDF,SPRCODE+1,FALSE)</f>
        <v>Kapitalanlagen für fremde Rechnung:
Kapitalanlagen für anteilgebundene Lebensversicherung</v>
      </c>
      <c r="C29" s="211">
        <f>I29</f>
        <v>0</v>
      </c>
      <c r="D29" s="212">
        <f>J29</f>
        <v>0</v>
      </c>
      <c r="E29" s="210" t="str">
        <f t="shared" si="3"/>
        <v/>
      </c>
      <c r="F29" s="415"/>
      <c r="G29" s="866"/>
      <c r="H29" s="205"/>
      <c r="I29" s="788">
        <v>0</v>
      </c>
      <c r="J29" s="865">
        <v>0</v>
      </c>
      <c r="K29" s="201" t="str">
        <f t="shared" si="5"/>
        <v/>
      </c>
      <c r="L29" s="245"/>
      <c r="M29" s="245"/>
    </row>
    <row r="30" spans="1:13" ht="17.25" customHeight="1">
      <c r="A30" s="195">
        <v>79</v>
      </c>
      <c r="B30" s="721" t="str">
        <f>VLOOKUP($A30&amp;B$2,TEXTDF,SPRCODE+1,FALSE)</f>
        <v>Total Kapitalanlagen für eigene und fremde Rechnung 
 = 76 + 78</v>
      </c>
      <c r="C30" s="365">
        <f>F30+I30</f>
        <v>0</v>
      </c>
      <c r="D30" s="282">
        <f>G30+J30</f>
        <v>0</v>
      </c>
      <c r="E30" s="366" t="str">
        <f t="shared" si="3"/>
        <v/>
      </c>
      <c r="F30" s="871">
        <f>+F28+F29</f>
        <v>0</v>
      </c>
      <c r="G30" s="872">
        <f>+G28+G29</f>
        <v>0</v>
      </c>
      <c r="H30" s="368" t="str">
        <f t="shared" ref="H30" si="6">+IFERROR(F30/G30-1,"")</f>
        <v/>
      </c>
      <c r="I30" s="369">
        <f>+I28+I29</f>
        <v>0</v>
      </c>
      <c r="J30" s="285">
        <f>+J28+J29</f>
        <v>0</v>
      </c>
      <c r="K30" s="370" t="str">
        <f t="shared" ref="K30" si="7">+IFERROR(I30/J30-1,"")</f>
        <v/>
      </c>
      <c r="L30" s="245"/>
      <c r="M30" s="245"/>
    </row>
    <row r="31" spans="1:13" ht="30" customHeight="1">
      <c r="A31" s="195">
        <v>80</v>
      </c>
      <c r="B31" s="258" t="str">
        <f t="shared" ref="B31:B38" si="8">VLOOKUP($A31&amp;B$2,TEXTDF,SPRCODE+1,FALSE)</f>
        <v>Depotforderungen aus dem in Rückdeckung 
  übernommenen Versicherungsgeschäft</v>
      </c>
      <c r="C31" s="211">
        <f t="shared" ref="C31:D35" si="9">F31+I31</f>
        <v>0</v>
      </c>
      <c r="D31" s="212">
        <f t="shared" si="9"/>
        <v>0</v>
      </c>
      <c r="E31" s="210" t="str">
        <f t="shared" si="3"/>
        <v/>
      </c>
      <c r="F31" s="788">
        <v>0</v>
      </c>
      <c r="G31" s="865">
        <v>0</v>
      </c>
      <c r="H31" s="205" t="str">
        <f t="shared" ref="H31:H41" si="10">+IFERROR(F31/G31-1,"")</f>
        <v/>
      </c>
      <c r="I31" s="788">
        <v>0</v>
      </c>
      <c r="J31" s="865">
        <v>0</v>
      </c>
      <c r="K31" s="201" t="str">
        <f t="shared" ref="K31:K41" si="11">+IFERROR(I31/J31-1,"")</f>
        <v/>
      </c>
      <c r="L31" s="245"/>
      <c r="M31" s="245"/>
    </row>
    <row r="32" spans="1:13">
      <c r="A32" s="195">
        <v>81</v>
      </c>
      <c r="B32" s="258" t="str">
        <f t="shared" si="8"/>
        <v>Forderungen gegenüber verb. Unternehmen und Beteiligungen</v>
      </c>
      <c r="C32" s="211">
        <f t="shared" si="9"/>
        <v>0</v>
      </c>
      <c r="D32" s="212">
        <f t="shared" si="9"/>
        <v>0</v>
      </c>
      <c r="E32" s="210" t="str">
        <f t="shared" si="3"/>
        <v/>
      </c>
      <c r="F32" s="788">
        <v>0</v>
      </c>
      <c r="G32" s="865">
        <v>0</v>
      </c>
      <c r="H32" s="205" t="str">
        <f t="shared" si="10"/>
        <v/>
      </c>
      <c r="I32" s="788">
        <v>0</v>
      </c>
      <c r="J32" s="865">
        <v>0</v>
      </c>
      <c r="K32" s="201" t="str">
        <f t="shared" si="11"/>
        <v/>
      </c>
      <c r="L32" s="245"/>
      <c r="M32" s="245"/>
    </row>
    <row r="33" spans="1:13">
      <c r="A33" s="195">
        <v>82</v>
      </c>
      <c r="B33" s="258" t="str">
        <f t="shared" si="8"/>
        <v>Andere Forderungen</v>
      </c>
      <c r="C33" s="211">
        <f t="shared" si="9"/>
        <v>0</v>
      </c>
      <c r="D33" s="212">
        <f t="shared" si="9"/>
        <v>0</v>
      </c>
      <c r="E33" s="210" t="str">
        <f t="shared" si="3"/>
        <v/>
      </c>
      <c r="F33" s="788">
        <v>0</v>
      </c>
      <c r="G33" s="865">
        <v>0</v>
      </c>
      <c r="H33" s="205" t="str">
        <f t="shared" si="10"/>
        <v/>
      </c>
      <c r="I33" s="788">
        <v>0</v>
      </c>
      <c r="J33" s="865">
        <v>0</v>
      </c>
      <c r="K33" s="201" t="str">
        <f t="shared" si="11"/>
        <v/>
      </c>
      <c r="L33" s="245"/>
      <c r="M33" s="245"/>
    </row>
    <row r="34" spans="1:13">
      <c r="A34" s="195">
        <v>83</v>
      </c>
      <c r="B34" s="258" t="str">
        <f t="shared" si="8"/>
        <v>Sachanlagen (ausser Grundstücken und Bauten)</v>
      </c>
      <c r="C34" s="211">
        <f t="shared" si="9"/>
        <v>0</v>
      </c>
      <c r="D34" s="212">
        <f t="shared" si="9"/>
        <v>0</v>
      </c>
      <c r="E34" s="210" t="str">
        <f t="shared" si="3"/>
        <v/>
      </c>
      <c r="F34" s="788">
        <v>0</v>
      </c>
      <c r="G34" s="865">
        <v>0</v>
      </c>
      <c r="H34" s="205" t="str">
        <f t="shared" si="10"/>
        <v/>
      </c>
      <c r="I34" s="788">
        <v>0</v>
      </c>
      <c r="J34" s="865">
        <v>0</v>
      </c>
      <c r="K34" s="201" t="str">
        <f t="shared" si="11"/>
        <v/>
      </c>
      <c r="L34" s="245"/>
      <c r="M34" s="245"/>
    </row>
    <row r="35" spans="1:13">
      <c r="A35" s="195">
        <v>84</v>
      </c>
      <c r="B35" s="258" t="str">
        <f t="shared" si="8"/>
        <v>Sonstige Vermögensgegenstände</v>
      </c>
      <c r="C35" s="211">
        <f t="shared" si="9"/>
        <v>0</v>
      </c>
      <c r="D35" s="212">
        <f t="shared" si="9"/>
        <v>0</v>
      </c>
      <c r="E35" s="210" t="str">
        <f t="shared" si="3"/>
        <v/>
      </c>
      <c r="F35" s="788">
        <v>0</v>
      </c>
      <c r="G35" s="865">
        <v>0</v>
      </c>
      <c r="H35" s="205" t="str">
        <f t="shared" si="10"/>
        <v/>
      </c>
      <c r="I35" s="788">
        <v>0</v>
      </c>
      <c r="J35" s="865">
        <v>0</v>
      </c>
      <c r="K35" s="201" t="str">
        <f t="shared" si="11"/>
        <v/>
      </c>
      <c r="L35" s="245"/>
      <c r="M35" s="245"/>
    </row>
    <row r="36" spans="1:13">
      <c r="A36" s="195">
        <v>85</v>
      </c>
      <c r="B36" s="258" t="str">
        <f t="shared" si="8"/>
        <v>Aktivierte Abschlusskosten</v>
      </c>
      <c r="C36" s="211">
        <f t="shared" ref="C36:D38" si="12">F36+I36</f>
        <v>0</v>
      </c>
      <c r="D36" s="212">
        <f t="shared" si="12"/>
        <v>0</v>
      </c>
      <c r="E36" s="210" t="str">
        <f t="shared" si="3"/>
        <v/>
      </c>
      <c r="F36" s="883"/>
      <c r="G36" s="884"/>
      <c r="H36" s="205"/>
      <c r="I36" s="788">
        <v>0</v>
      </c>
      <c r="J36" s="865">
        <v>0</v>
      </c>
      <c r="K36" s="201" t="str">
        <f t="shared" si="11"/>
        <v/>
      </c>
      <c r="L36" s="245"/>
      <c r="M36" s="245"/>
    </row>
    <row r="37" spans="1:13" ht="25.5">
      <c r="A37" s="195">
        <v>86</v>
      </c>
      <c r="B37" s="258" t="str">
        <f t="shared" si="8"/>
        <v>Sonstige Rechnungsabgrenzungsposten (inkl.
vorausbezahlte Versicherungsleistungen)</v>
      </c>
      <c r="C37" s="211">
        <f t="shared" si="12"/>
        <v>0</v>
      </c>
      <c r="D37" s="212">
        <f t="shared" si="12"/>
        <v>0</v>
      </c>
      <c r="E37" s="210" t="str">
        <f t="shared" si="3"/>
        <v/>
      </c>
      <c r="F37" s="788">
        <v>0</v>
      </c>
      <c r="G37" s="865">
        <v>0</v>
      </c>
      <c r="H37" s="205" t="str">
        <f t="shared" si="10"/>
        <v/>
      </c>
      <c r="I37" s="788">
        <v>0</v>
      </c>
      <c r="J37" s="865">
        <v>0</v>
      </c>
      <c r="K37" s="201" t="str">
        <f t="shared" si="11"/>
        <v/>
      </c>
      <c r="L37" s="245"/>
      <c r="M37" s="245"/>
    </row>
    <row r="38" spans="1:13">
      <c r="A38" s="195">
        <v>87</v>
      </c>
      <c r="B38" s="258" t="str">
        <f t="shared" si="8"/>
        <v>Total übrige Aktiven  = Summe von 80 bis 86</v>
      </c>
      <c r="C38" s="211">
        <f t="shared" si="12"/>
        <v>0</v>
      </c>
      <c r="D38" s="212">
        <f t="shared" si="12"/>
        <v>0</v>
      </c>
      <c r="E38" s="210" t="str">
        <f t="shared" si="3"/>
        <v/>
      </c>
      <c r="F38" s="415">
        <f>+SUM(F31:F37)</f>
        <v>0</v>
      </c>
      <c r="G38" s="866">
        <f>+SUM(G31:G37)</f>
        <v>0</v>
      </c>
      <c r="H38" s="205" t="str">
        <f t="shared" si="10"/>
        <v/>
      </c>
      <c r="I38" s="867">
        <f>+SUM(I31:I37)</f>
        <v>0</v>
      </c>
      <c r="J38" s="868">
        <f>+SUM(J31:J37)</f>
        <v>0</v>
      </c>
      <c r="K38" s="201" t="str">
        <f t="shared" si="11"/>
        <v/>
      </c>
      <c r="L38" s="245"/>
      <c r="M38" s="245"/>
    </row>
    <row r="39" spans="1:13" ht="15.75" customHeight="1">
      <c r="A39" s="195" t="s" vm="15">
        <v>1001</v>
      </c>
      <c r="B39" s="258" t="str">
        <f>VLOOKUP($A39&amp;B$2,TEXTDF,SPRCODE+1,FALSE)</f>
        <v>Anteil Rückversicherer an Pos. 116, Total VT-Rückst. Brutto</v>
      </c>
      <c r="C39" s="211">
        <f t="shared" ref="C39:D41" si="13">F39+I39</f>
        <v>0</v>
      </c>
      <c r="D39" s="212">
        <f t="shared" si="13"/>
        <v>0</v>
      </c>
      <c r="E39" s="210" t="str">
        <f t="shared" si="3"/>
        <v/>
      </c>
      <c r="F39" s="788">
        <v>0</v>
      </c>
      <c r="G39" s="865">
        <v>0</v>
      </c>
      <c r="H39" s="205" t="str">
        <f t="shared" si="10"/>
        <v/>
      </c>
      <c r="I39" s="788">
        <v>0</v>
      </c>
      <c r="J39" s="865">
        <v>0</v>
      </c>
      <c r="K39" s="201" t="str">
        <f t="shared" si="11"/>
        <v/>
      </c>
      <c r="L39" s="245"/>
      <c r="M39" s="245"/>
    </row>
    <row r="40" spans="1:13" ht="25.5">
      <c r="A40" s="259" t="s">
        <v>1054</v>
      </c>
      <c r="B40" s="371" t="str">
        <f>VLOOKUP($A40&amp;B$2,TEXTDF,SPRCODE+1,FALSE)</f>
        <v>Anteil Rückversicherung an Pos. 133, Total sonstige Verbindlichkeiten</v>
      </c>
      <c r="C40" s="211">
        <f t="shared" si="13"/>
        <v>0</v>
      </c>
      <c r="D40" s="212">
        <f t="shared" si="13"/>
        <v>0</v>
      </c>
      <c r="E40" s="210" t="str">
        <f t="shared" si="3"/>
        <v/>
      </c>
      <c r="F40" s="788">
        <v>0</v>
      </c>
      <c r="G40" s="865">
        <v>0</v>
      </c>
      <c r="H40" s="205" t="str">
        <f t="shared" si="10"/>
        <v/>
      </c>
      <c r="I40" s="788">
        <v>0</v>
      </c>
      <c r="J40" s="865">
        <v>0</v>
      </c>
      <c r="K40" s="201" t="str">
        <f t="shared" si="11"/>
        <v/>
      </c>
      <c r="L40" s="245"/>
      <c r="M40" s="245"/>
    </row>
    <row r="41" spans="1:13" ht="18" customHeight="1" thickBot="1">
      <c r="A41" s="254">
        <v>88</v>
      </c>
      <c r="B41" s="375" t="str">
        <f>VLOOKUP($A41&amp;B$2,TEXTDF,SPRCODE+1,FALSE)</f>
        <v>Total Aktiven  = 52 + 79 + 87 + 105 + 110a + 115a</v>
      </c>
      <c r="C41" s="224">
        <f t="shared" si="13"/>
        <v>0</v>
      </c>
      <c r="D41" s="225">
        <f t="shared" si="13"/>
        <v>0</v>
      </c>
      <c r="E41" s="226" t="str">
        <f t="shared" si="3"/>
        <v/>
      </c>
      <c r="F41" s="877">
        <f>+F5+F30+F38+SUM(F39:F40)</f>
        <v>0</v>
      </c>
      <c r="G41" s="878">
        <f>+G5+G30+G38+SUM(G39:G40)</f>
        <v>0</v>
      </c>
      <c r="H41" s="228" t="str">
        <f t="shared" si="10"/>
        <v/>
      </c>
      <c r="I41" s="879">
        <f>+I5+I30+I38+SUM(I39:I40)</f>
        <v>0</v>
      </c>
      <c r="J41" s="880">
        <f>+J5+J30+J38+SUM(J39:J40)</f>
        <v>0</v>
      </c>
      <c r="K41" s="230" t="str">
        <f t="shared" si="11"/>
        <v/>
      </c>
      <c r="L41" s="244"/>
      <c r="M41" s="244"/>
    </row>
    <row r="42" spans="1:13" ht="9" customHeight="1">
      <c r="A42" s="24"/>
      <c r="B42" s="24"/>
      <c r="C42" s="24"/>
      <c r="D42" s="24"/>
      <c r="E42" s="262"/>
      <c r="F42" s="45"/>
      <c r="G42" s="45"/>
      <c r="H42" s="885"/>
      <c r="I42" s="45"/>
      <c r="J42" s="45"/>
      <c r="K42" s="885"/>
      <c r="L42" s="262"/>
      <c r="M42" s="262"/>
    </row>
    <row r="43" spans="1:13" ht="17.25" customHeight="1" thickBot="1">
      <c r="A43" s="568" t="s">
        <v>868</v>
      </c>
      <c r="B43" s="170" t="str">
        <f>VLOOKUP($A43&amp;B$2,TEXTDF,SPRCODE+1,FALSE)</f>
        <v>Bilanz  -  Passiven</v>
      </c>
      <c r="C43" s="171"/>
      <c r="D43" s="171"/>
      <c r="E43" s="172"/>
      <c r="F43" s="886"/>
      <c r="G43" s="886"/>
      <c r="H43" s="887"/>
      <c r="I43" s="888"/>
      <c r="J43" s="888"/>
      <c r="K43" s="889"/>
      <c r="L43" s="168"/>
      <c r="M43" s="168"/>
    </row>
    <row r="44" spans="1:13">
      <c r="A44" s="53" t="s">
        <v>944</v>
      </c>
      <c r="B44" s="177"/>
      <c r="C44" s="208" t="str">
        <f>+C3</f>
        <v>Schweizergeschäft</v>
      </c>
      <c r="D44" s="209"/>
      <c r="E44" s="213"/>
      <c r="F44" s="851" t="str">
        <f>+F3</f>
        <v>Berufliche Vorsorge</v>
      </c>
      <c r="G44" s="852"/>
      <c r="H44" s="853"/>
      <c r="I44" s="854" t="str">
        <f>+I3</f>
        <v>Übriges Geschäft</v>
      </c>
      <c r="J44" s="855"/>
      <c r="K44" s="856"/>
      <c r="L44" s="243"/>
      <c r="M44" s="243"/>
    </row>
    <row r="45" spans="1:13" ht="13.5" thickBot="1">
      <c r="A45" s="178" t="s">
        <v>945</v>
      </c>
      <c r="B45" s="179"/>
      <c r="C45" s="376">
        <f>+jahr</f>
        <v>2023</v>
      </c>
      <c r="D45" s="276">
        <f>+C45-1</f>
        <v>2022</v>
      </c>
      <c r="E45" s="377" t="str">
        <f>+E4</f>
        <v>+/-</v>
      </c>
      <c r="F45" s="890">
        <f>+jahr</f>
        <v>2023</v>
      </c>
      <c r="G45" s="891">
        <f>+F45-1</f>
        <v>2022</v>
      </c>
      <c r="H45" s="892" t="str">
        <f>+H4</f>
        <v>+/-</v>
      </c>
      <c r="I45" s="893">
        <f>+jahr</f>
        <v>2023</v>
      </c>
      <c r="J45" s="894">
        <f>+I45-1</f>
        <v>2022</v>
      </c>
      <c r="K45" s="895" t="str">
        <f>+K4</f>
        <v>+/-</v>
      </c>
      <c r="L45" s="198"/>
      <c r="M45" s="198"/>
    </row>
    <row r="46" spans="1:13" ht="30.75" customHeight="1" thickBot="1">
      <c r="A46" s="646">
        <v>89</v>
      </c>
      <c r="B46" s="379" t="str">
        <f>VLOOKUP($A46&amp;B$2,TEXTDF,SPRCODE+1,FALSE)</f>
        <v>Ausgewiesenes Eigenkapital (Differenzposten gemäss Richtlinie)</v>
      </c>
      <c r="C46" s="224">
        <f>F46+I46</f>
        <v>0</v>
      </c>
      <c r="D46" s="225">
        <f>G46+J46</f>
        <v>0</v>
      </c>
      <c r="E46" s="226" t="str">
        <f t="shared" ref="E46:E93" si="14">+IFERROR(C46/D46-1,"")</f>
        <v/>
      </c>
      <c r="F46" s="896">
        <v>0</v>
      </c>
      <c r="G46" s="897">
        <v>0</v>
      </c>
      <c r="H46" s="228" t="str">
        <f t="shared" ref="H46:H93" si="15">+IFERROR(F46/G46-1,"")</f>
        <v/>
      </c>
      <c r="I46" s="896">
        <v>0</v>
      </c>
      <c r="J46" s="897">
        <v>0</v>
      </c>
      <c r="K46" s="230" t="str">
        <f t="shared" ref="K46:K93" si="16">+IFERROR(I46/J46-1,"")</f>
        <v/>
      </c>
      <c r="L46" s="244"/>
      <c r="M46" s="244"/>
    </row>
    <row r="47" spans="1:13" ht="18.75" customHeight="1" thickTop="1">
      <c r="A47" s="259">
        <v>90</v>
      </c>
      <c r="B47" s="189" t="str">
        <f>VLOOKUP($A47&amp;B$2,TEXTDF,SPRCODE+1,FALSE)</f>
        <v>Nachrangige Verbindlichkeiten und hybrides Kapital</v>
      </c>
      <c r="C47" s="211">
        <f>F47+I47</f>
        <v>0</v>
      </c>
      <c r="D47" s="212">
        <f>G47+J47</f>
        <v>0</v>
      </c>
      <c r="E47" s="210" t="str">
        <f t="shared" si="14"/>
        <v/>
      </c>
      <c r="F47" s="788">
        <v>0</v>
      </c>
      <c r="G47" s="865">
        <v>0</v>
      </c>
      <c r="H47" s="205" t="str">
        <f t="shared" si="15"/>
        <v/>
      </c>
      <c r="I47" s="788">
        <v>0</v>
      </c>
      <c r="J47" s="865">
        <v>0</v>
      </c>
      <c r="K47" s="201" t="str">
        <f t="shared" si="16"/>
        <v/>
      </c>
      <c r="L47" s="245"/>
      <c r="M47" s="245"/>
    </row>
    <row r="48" spans="1:13" ht="18" customHeight="1">
      <c r="A48" s="259">
        <v>91</v>
      </c>
      <c r="B48" s="189" t="str">
        <f t="shared" ref="B48:B74" si="17">VLOOKUP($A48&amp;B$2,TEXTDF,SPRCODE+1,FALSE)</f>
        <v>DK (brutto) - Altersguthaben  d)</v>
      </c>
      <c r="C48" s="211">
        <f t="shared" ref="C48:C62" si="18">F48+I48</f>
        <v>0</v>
      </c>
      <c r="D48" s="212">
        <f t="shared" ref="D48:D62" si="19">G48+J48</f>
        <v>0</v>
      </c>
      <c r="E48" s="210" t="str">
        <f t="shared" si="14"/>
        <v/>
      </c>
      <c r="F48" s="788">
        <v>0</v>
      </c>
      <c r="G48" s="865">
        <v>0</v>
      </c>
      <c r="H48" s="205" t="str">
        <f t="shared" si="15"/>
        <v/>
      </c>
      <c r="I48" s="788">
        <v>0</v>
      </c>
      <c r="J48" s="865">
        <v>0</v>
      </c>
      <c r="K48" s="201" t="str">
        <f t="shared" si="16"/>
        <v/>
      </c>
      <c r="L48" s="245"/>
      <c r="M48" s="245"/>
    </row>
    <row r="49" spans="1:13">
      <c r="A49" s="259" t="s">
        <v>3957</v>
      </c>
      <c r="B49" s="826" t="str">
        <f>VLOOKUP($A49&amp;B$2,TEXTDF,SPRCODE+1,FALSE)</f>
        <v xml:space="preserve">   Anteil Überobligatorium an Position 91  e)</v>
      </c>
      <c r="C49" s="234">
        <f t="shared" ref="C49" si="20">F49+I49</f>
        <v>0</v>
      </c>
      <c r="D49" s="235">
        <f t="shared" ref="D49" si="21">G49+J49</f>
        <v>0</v>
      </c>
      <c r="E49" s="236" t="str">
        <f t="shared" ref="E49" si="22">+IFERROR(C49/D49-1,"")</f>
        <v/>
      </c>
      <c r="F49" s="869">
        <v>0</v>
      </c>
      <c r="G49" s="870">
        <v>0</v>
      </c>
      <c r="H49" s="237" t="str">
        <f t="shared" ref="H49" si="23">+IFERROR(F49/G49-1,"")</f>
        <v/>
      </c>
      <c r="I49" s="898"/>
      <c r="J49" s="899"/>
      <c r="K49" s="201"/>
      <c r="L49" s="245"/>
      <c r="M49" s="245"/>
    </row>
    <row r="50" spans="1:13">
      <c r="A50" s="259" t="s">
        <v>981</v>
      </c>
      <c r="B50" s="187" t="str">
        <f t="shared" si="17"/>
        <v>DK (brutto) - Zus. Rückst. für zukünftige Rentenumwandlungen</v>
      </c>
      <c r="C50" s="211">
        <f>F50+I50</f>
        <v>0</v>
      </c>
      <c r="D50" s="212">
        <f>G50+J50</f>
        <v>0</v>
      </c>
      <c r="E50" s="210" t="str">
        <f t="shared" si="14"/>
        <v/>
      </c>
      <c r="F50" s="788">
        <v>0</v>
      </c>
      <c r="G50" s="865">
        <v>0</v>
      </c>
      <c r="H50" s="205" t="str">
        <f t="shared" si="15"/>
        <v/>
      </c>
      <c r="I50" s="788">
        <v>0</v>
      </c>
      <c r="J50" s="865">
        <v>0</v>
      </c>
      <c r="K50" s="201" t="str">
        <f t="shared" ref="K50" si="24">+IFERROR(I50/J50-1,"")</f>
        <v/>
      </c>
      <c r="L50" s="245"/>
      <c r="M50" s="245"/>
    </row>
    <row r="51" spans="1:13">
      <c r="A51" s="259" t="s">
        <v>3966</v>
      </c>
      <c r="B51" s="826" t="str">
        <f>VLOOKUP($A51&amp;B$2,TEXTDF,SPRCODE+1,FALSE)</f>
        <v xml:space="preserve">   Anteil Überobligatorium an Position 91a  e)</v>
      </c>
      <c r="C51" s="234">
        <f t="shared" ref="C51" si="25">F51+I51</f>
        <v>0</v>
      </c>
      <c r="D51" s="235">
        <f t="shared" ref="D51" si="26">G51+J51</f>
        <v>0</v>
      </c>
      <c r="E51" s="236" t="str">
        <f t="shared" si="14"/>
        <v/>
      </c>
      <c r="F51" s="869">
        <v>0</v>
      </c>
      <c r="G51" s="870">
        <v>0</v>
      </c>
      <c r="H51" s="237" t="str">
        <f t="shared" si="15"/>
        <v/>
      </c>
      <c r="I51" s="898"/>
      <c r="J51" s="899"/>
      <c r="K51" s="201"/>
      <c r="L51" s="245"/>
      <c r="M51" s="245"/>
    </row>
    <row r="52" spans="1:13">
      <c r="A52" s="259">
        <v>92</v>
      </c>
      <c r="B52" s="187" t="str">
        <f t="shared" si="17"/>
        <v>DK (brutto) - Laufende Alters-Renten  d)</v>
      </c>
      <c r="C52" s="211">
        <f t="shared" si="18"/>
        <v>0</v>
      </c>
      <c r="D52" s="212">
        <f t="shared" si="19"/>
        <v>0</v>
      </c>
      <c r="E52" s="210" t="str">
        <f t="shared" si="14"/>
        <v/>
      </c>
      <c r="F52" s="788">
        <v>0</v>
      </c>
      <c r="G52" s="865">
        <v>0</v>
      </c>
      <c r="H52" s="205" t="str">
        <f t="shared" si="15"/>
        <v/>
      </c>
      <c r="I52" s="788">
        <v>0</v>
      </c>
      <c r="J52" s="865">
        <v>0</v>
      </c>
      <c r="K52" s="201" t="str">
        <f t="shared" si="16"/>
        <v/>
      </c>
      <c r="L52" s="245"/>
      <c r="M52" s="245"/>
    </row>
    <row r="53" spans="1:13">
      <c r="A53" s="259" t="s">
        <v>982</v>
      </c>
      <c r="B53" s="826" t="str">
        <f>VLOOKUP($A53&amp;B$2,TEXTDF,SPRCODE+1,FALSE)</f>
        <v xml:space="preserve">   Anteil Überobligatorium an Position 92  e)</v>
      </c>
      <c r="C53" s="234">
        <f t="shared" si="18"/>
        <v>0</v>
      </c>
      <c r="D53" s="235">
        <f t="shared" si="19"/>
        <v>0</v>
      </c>
      <c r="E53" s="236" t="str">
        <f t="shared" ref="E53" si="27">+IFERROR(C53/D53-1,"")</f>
        <v/>
      </c>
      <c r="F53" s="869">
        <v>0</v>
      </c>
      <c r="G53" s="870">
        <v>0</v>
      </c>
      <c r="H53" s="237" t="str">
        <f t="shared" ref="H53" si="28">+IFERROR(F53/G53-1,"")</f>
        <v/>
      </c>
      <c r="I53" s="898"/>
      <c r="J53" s="899"/>
      <c r="K53" s="201"/>
      <c r="L53" s="245"/>
      <c r="M53" s="245"/>
    </row>
    <row r="54" spans="1:13">
      <c r="A54" s="259">
        <v>93</v>
      </c>
      <c r="B54" s="187" t="str">
        <f t="shared" si="17"/>
        <v>DK (brutto) - Laufende Alters-Renten (Verstärkungen)  c)</v>
      </c>
      <c r="C54" s="211">
        <f t="shared" si="18"/>
        <v>0</v>
      </c>
      <c r="D54" s="212">
        <f t="shared" si="19"/>
        <v>0</v>
      </c>
      <c r="E54" s="210" t="str">
        <f t="shared" si="14"/>
        <v/>
      </c>
      <c r="F54" s="788">
        <v>0</v>
      </c>
      <c r="G54" s="865">
        <v>0</v>
      </c>
      <c r="H54" s="205" t="str">
        <f t="shared" si="15"/>
        <v/>
      </c>
      <c r="I54" s="788">
        <v>0</v>
      </c>
      <c r="J54" s="865">
        <v>0</v>
      </c>
      <c r="K54" s="201" t="str">
        <f t="shared" si="16"/>
        <v/>
      </c>
      <c r="L54" s="245"/>
      <c r="M54" s="245"/>
    </row>
    <row r="55" spans="1:13">
      <c r="A55" s="259" t="s">
        <v>983</v>
      </c>
      <c r="B55" s="826" t="str">
        <f>VLOOKUP($A55&amp;B$2,TEXTDF,SPRCODE+1,FALSE)</f>
        <v xml:space="preserve">   Anteil Überobligatorium an Position 93  e)</v>
      </c>
      <c r="C55" s="234">
        <f t="shared" ref="C55" si="29">F55+I55</f>
        <v>0</v>
      </c>
      <c r="D55" s="235">
        <f t="shared" ref="D55" si="30">G55+J55</f>
        <v>0</v>
      </c>
      <c r="E55" s="236" t="str">
        <f t="shared" si="14"/>
        <v/>
      </c>
      <c r="F55" s="869">
        <v>0</v>
      </c>
      <c r="G55" s="870">
        <v>0</v>
      </c>
      <c r="H55" s="237" t="str">
        <f t="shared" si="15"/>
        <v/>
      </c>
      <c r="I55" s="898"/>
      <c r="J55" s="899"/>
      <c r="K55" s="201"/>
      <c r="L55" s="245"/>
      <c r="M55" s="245"/>
    </row>
    <row r="56" spans="1:13">
      <c r="A56" s="259">
        <v>94</v>
      </c>
      <c r="B56" s="187" t="str">
        <f t="shared" si="17"/>
        <v>DK (brutto) - Laufende Hinterbliebenen-Renten  d)</v>
      </c>
      <c r="C56" s="211">
        <f t="shared" si="18"/>
        <v>0</v>
      </c>
      <c r="D56" s="212">
        <f t="shared" si="19"/>
        <v>0</v>
      </c>
      <c r="E56" s="210" t="str">
        <f t="shared" si="14"/>
        <v/>
      </c>
      <c r="F56" s="788">
        <v>0</v>
      </c>
      <c r="G56" s="865">
        <v>0</v>
      </c>
      <c r="H56" s="205" t="str">
        <f t="shared" si="15"/>
        <v/>
      </c>
      <c r="I56" s="788">
        <v>0</v>
      </c>
      <c r="J56" s="865">
        <v>0</v>
      </c>
      <c r="K56" s="201" t="str">
        <f t="shared" si="16"/>
        <v/>
      </c>
      <c r="L56" s="245"/>
      <c r="M56" s="245"/>
    </row>
    <row r="57" spans="1:13">
      <c r="A57" s="259" t="s">
        <v>984</v>
      </c>
      <c r="B57" s="826" t="str">
        <f>VLOOKUP($A57&amp;B$2,TEXTDF,SPRCODE+1,FALSE)</f>
        <v xml:space="preserve">   Anteil Überobligatorium an Position 94  e)</v>
      </c>
      <c r="C57" s="234">
        <f t="shared" si="18"/>
        <v>0</v>
      </c>
      <c r="D57" s="235">
        <f t="shared" si="19"/>
        <v>0</v>
      </c>
      <c r="E57" s="236" t="str">
        <f t="shared" ref="E57" si="31">+IFERROR(C57/D57-1,"")</f>
        <v/>
      </c>
      <c r="F57" s="869">
        <v>0</v>
      </c>
      <c r="G57" s="870">
        <v>0</v>
      </c>
      <c r="H57" s="237" t="str">
        <f t="shared" ref="H57" si="32">+IFERROR(F57/G57-1,"")</f>
        <v/>
      </c>
      <c r="I57" s="898"/>
      <c r="J57" s="899"/>
      <c r="K57" s="201"/>
      <c r="L57" s="245"/>
      <c r="M57" s="245"/>
    </row>
    <row r="58" spans="1:13">
      <c r="A58" s="259">
        <v>95</v>
      </c>
      <c r="B58" s="187" t="str">
        <f t="shared" si="17"/>
        <v>DK (brutto) - Laufende Hinterbliebenen-Renten (Verstärkungen)</v>
      </c>
      <c r="C58" s="234">
        <f t="shared" si="18"/>
        <v>0</v>
      </c>
      <c r="D58" s="235">
        <f t="shared" si="19"/>
        <v>0</v>
      </c>
      <c r="E58" s="236" t="str">
        <f t="shared" si="14"/>
        <v/>
      </c>
      <c r="F58" s="788">
        <v>0</v>
      </c>
      <c r="G58" s="865">
        <v>0</v>
      </c>
      <c r="H58" s="237" t="str">
        <f t="shared" si="15"/>
        <v/>
      </c>
      <c r="I58" s="788">
        <v>0</v>
      </c>
      <c r="J58" s="865">
        <v>0</v>
      </c>
      <c r="K58" s="201" t="str">
        <f t="shared" si="16"/>
        <v/>
      </c>
      <c r="L58" s="245"/>
      <c r="M58" s="245"/>
    </row>
    <row r="59" spans="1:13">
      <c r="A59" s="259" t="s">
        <v>985</v>
      </c>
      <c r="B59" s="826" t="str">
        <f>VLOOKUP($A59&amp;B$2,TEXTDF,SPRCODE+1,FALSE)</f>
        <v xml:space="preserve">   Anteil Überobligatorium an Position 95  e)</v>
      </c>
      <c r="C59" s="234">
        <f t="shared" ref="C59" si="33">F59+I59</f>
        <v>0</v>
      </c>
      <c r="D59" s="235">
        <f t="shared" ref="D59" si="34">G59+J59</f>
        <v>0</v>
      </c>
      <c r="E59" s="236" t="str">
        <f t="shared" si="14"/>
        <v/>
      </c>
      <c r="F59" s="869">
        <v>0</v>
      </c>
      <c r="G59" s="870">
        <v>0</v>
      </c>
      <c r="H59" s="237" t="str">
        <f t="shared" si="15"/>
        <v/>
      </c>
      <c r="I59" s="898"/>
      <c r="J59" s="899"/>
      <c r="K59" s="201"/>
      <c r="L59" s="245"/>
      <c r="M59" s="245"/>
    </row>
    <row r="60" spans="1:13">
      <c r="A60" s="259">
        <v>96</v>
      </c>
      <c r="B60" s="187" t="str">
        <f t="shared" si="17"/>
        <v>DK (brutto) - Laufende Invaliditäts-Renten  d)</v>
      </c>
      <c r="C60" s="211">
        <f t="shared" si="18"/>
        <v>0</v>
      </c>
      <c r="D60" s="212">
        <f t="shared" si="19"/>
        <v>0</v>
      </c>
      <c r="E60" s="210" t="str">
        <f t="shared" si="14"/>
        <v/>
      </c>
      <c r="F60" s="788">
        <v>0</v>
      </c>
      <c r="G60" s="865">
        <v>0</v>
      </c>
      <c r="H60" s="205" t="str">
        <f t="shared" si="15"/>
        <v/>
      </c>
      <c r="I60" s="788">
        <v>0</v>
      </c>
      <c r="J60" s="865">
        <v>0</v>
      </c>
      <c r="K60" s="201" t="str">
        <f t="shared" si="16"/>
        <v/>
      </c>
      <c r="L60" s="245"/>
      <c r="M60" s="245"/>
    </row>
    <row r="61" spans="1:13">
      <c r="A61" s="259" t="s">
        <v>986</v>
      </c>
      <c r="B61" s="826" t="str">
        <f>VLOOKUP($A61&amp;B$2,TEXTDF,SPRCODE+1,FALSE)</f>
        <v xml:space="preserve">   Anteil Überobligatorium an Position 96  e)</v>
      </c>
      <c r="C61" s="234">
        <f t="shared" si="18"/>
        <v>0</v>
      </c>
      <c r="D61" s="235">
        <f t="shared" si="19"/>
        <v>0</v>
      </c>
      <c r="E61" s="236" t="str">
        <f t="shared" ref="E61" si="35">+IFERROR(C61/D61-1,"")</f>
        <v/>
      </c>
      <c r="F61" s="869">
        <v>0</v>
      </c>
      <c r="G61" s="870">
        <v>0</v>
      </c>
      <c r="H61" s="237" t="str">
        <f t="shared" ref="H61" si="36">+IFERROR(F61/G61-1,"")</f>
        <v/>
      </c>
      <c r="I61" s="898"/>
      <c r="J61" s="899"/>
      <c r="K61" s="201"/>
      <c r="L61" s="245"/>
      <c r="M61" s="245"/>
    </row>
    <row r="62" spans="1:13">
      <c r="A62" s="259">
        <v>97</v>
      </c>
      <c r="B62" s="187" t="str">
        <f t="shared" si="17"/>
        <v>DK (brutto) - Laufende Invaliditäts-Renten (Verstärkungen)</v>
      </c>
      <c r="C62" s="211">
        <f t="shared" si="18"/>
        <v>0</v>
      </c>
      <c r="D62" s="212">
        <f t="shared" si="19"/>
        <v>0</v>
      </c>
      <c r="E62" s="210" t="str">
        <f t="shared" si="14"/>
        <v/>
      </c>
      <c r="F62" s="788">
        <v>0</v>
      </c>
      <c r="G62" s="865">
        <v>0</v>
      </c>
      <c r="H62" s="205" t="str">
        <f t="shared" si="15"/>
        <v/>
      </c>
      <c r="I62" s="788">
        <v>0</v>
      </c>
      <c r="J62" s="865">
        <v>0</v>
      </c>
      <c r="K62" s="201" t="str">
        <f t="shared" si="16"/>
        <v/>
      </c>
      <c r="L62" s="245"/>
      <c r="M62" s="245"/>
    </row>
    <row r="63" spans="1:13">
      <c r="A63" s="259" t="s">
        <v>987</v>
      </c>
      <c r="B63" s="826" t="str">
        <f>VLOOKUP($A63&amp;B$2,TEXTDF,SPRCODE+1,FALSE)</f>
        <v xml:space="preserve">   Anteil Überobligatorium an Position 97  e)</v>
      </c>
      <c r="C63" s="234">
        <f t="shared" ref="C63" si="37">F63+I63</f>
        <v>0</v>
      </c>
      <c r="D63" s="235">
        <f t="shared" ref="D63" si="38">G63+J63</f>
        <v>0</v>
      </c>
      <c r="E63" s="236" t="str">
        <f t="shared" si="14"/>
        <v/>
      </c>
      <c r="F63" s="869">
        <v>0</v>
      </c>
      <c r="G63" s="870">
        <v>0</v>
      </c>
      <c r="H63" s="237" t="str">
        <f t="shared" si="15"/>
        <v/>
      </c>
      <c r="I63" s="898"/>
      <c r="J63" s="899"/>
      <c r="K63" s="201"/>
      <c r="L63" s="245"/>
      <c r="M63" s="245"/>
    </row>
    <row r="64" spans="1:13">
      <c r="A64" s="259">
        <v>98</v>
      </c>
      <c r="B64" s="187" t="str">
        <f t="shared" si="17"/>
        <v>DK (brutto) - Freizügigkeitspolicen  (inkl. Verst.)</v>
      </c>
      <c r="C64" s="211">
        <f>F64</f>
        <v>0</v>
      </c>
      <c r="D64" s="212">
        <f>G64</f>
        <v>0</v>
      </c>
      <c r="E64" s="210" t="str">
        <f t="shared" si="14"/>
        <v/>
      </c>
      <c r="F64" s="788">
        <v>0</v>
      </c>
      <c r="G64" s="865">
        <v>0</v>
      </c>
      <c r="H64" s="205" t="str">
        <f t="shared" si="15"/>
        <v/>
      </c>
      <c r="I64" s="898"/>
      <c r="J64" s="899"/>
      <c r="K64" s="201"/>
      <c r="L64" s="245"/>
      <c r="M64" s="245"/>
    </row>
    <row r="65" spans="1:13" ht="25.5">
      <c r="A65" s="259">
        <v>99</v>
      </c>
      <c r="B65" s="253" t="str">
        <f t="shared" si="17"/>
        <v>Versicherungstechnische Rückstellungen für den Sparteil 
anteilgebundener Lebensversicherungen (brutto)  d)</v>
      </c>
      <c r="C65" s="211">
        <f>I65</f>
        <v>0</v>
      </c>
      <c r="D65" s="824">
        <f>J65</f>
        <v>0</v>
      </c>
      <c r="E65" s="210" t="str">
        <f t="shared" si="14"/>
        <v/>
      </c>
      <c r="F65" s="883"/>
      <c r="G65" s="884"/>
      <c r="H65" s="205"/>
      <c r="I65" s="788">
        <v>0</v>
      </c>
      <c r="J65" s="865">
        <v>0</v>
      </c>
      <c r="K65" s="201" t="str">
        <f t="shared" si="16"/>
        <v/>
      </c>
      <c r="L65" s="245"/>
      <c r="M65" s="245"/>
    </row>
    <row r="66" spans="1:13" ht="15.75" customHeight="1">
      <c r="A66" s="259">
        <v>100</v>
      </c>
      <c r="B66" s="189" t="str">
        <f t="shared" si="17"/>
        <v>DK (brutto) für übrige Deckungen und Versicherungszweige</v>
      </c>
      <c r="C66" s="211">
        <f t="shared" ref="C66:D68" si="39">F66+I66</f>
        <v>0</v>
      </c>
      <c r="D66" s="212">
        <f t="shared" si="39"/>
        <v>0</v>
      </c>
      <c r="E66" s="210" t="str">
        <f t="shared" si="14"/>
        <v/>
      </c>
      <c r="F66" s="788">
        <v>0</v>
      </c>
      <c r="G66" s="865">
        <v>0</v>
      </c>
      <c r="H66" s="205" t="str">
        <f t="shared" si="15"/>
        <v/>
      </c>
      <c r="I66" s="788">
        <v>0</v>
      </c>
      <c r="J66" s="865">
        <v>0</v>
      </c>
      <c r="K66" s="201" t="str">
        <f t="shared" si="16"/>
        <v/>
      </c>
      <c r="L66" s="245"/>
      <c r="M66" s="245"/>
    </row>
    <row r="67" spans="1:13" ht="25.5">
      <c r="A67" s="259" t="s">
        <v>530</v>
      </c>
      <c r="B67" s="192" t="str">
        <f t="shared" si="17"/>
        <v>Rückstellung für gemeldete, noch nicht erledigte
Versicherungsfälle (brutto)</v>
      </c>
      <c r="C67" s="211">
        <f t="shared" si="39"/>
        <v>0</v>
      </c>
      <c r="D67" s="212">
        <f t="shared" si="39"/>
        <v>0</v>
      </c>
      <c r="E67" s="210" t="str">
        <f t="shared" si="14"/>
        <v/>
      </c>
      <c r="F67" s="788">
        <v>0</v>
      </c>
      <c r="G67" s="865">
        <v>0</v>
      </c>
      <c r="H67" s="205" t="str">
        <f t="shared" si="15"/>
        <v/>
      </c>
      <c r="I67" s="788">
        <v>0</v>
      </c>
      <c r="J67" s="865">
        <v>0</v>
      </c>
      <c r="K67" s="201" t="str">
        <f t="shared" si="16"/>
        <v/>
      </c>
      <c r="L67" s="245"/>
      <c r="M67" s="245"/>
    </row>
    <row r="68" spans="1:13" ht="25.5">
      <c r="A68" s="259" t="s">
        <v>531</v>
      </c>
      <c r="B68" s="192" t="str">
        <f t="shared" si="17"/>
        <v>Rückstellung für eingetretene, noch nicht gemeldete
Versicherungsfälle (IBNR, brutto)</v>
      </c>
      <c r="C68" s="211">
        <f t="shared" si="39"/>
        <v>0</v>
      </c>
      <c r="D68" s="212">
        <f t="shared" si="39"/>
        <v>0</v>
      </c>
      <c r="E68" s="210" t="str">
        <f t="shared" si="14"/>
        <v/>
      </c>
      <c r="F68" s="788">
        <v>0</v>
      </c>
      <c r="G68" s="865">
        <v>0</v>
      </c>
      <c r="H68" s="205" t="str">
        <f t="shared" si="15"/>
        <v/>
      </c>
      <c r="I68" s="788">
        <v>0</v>
      </c>
      <c r="J68" s="865">
        <v>0</v>
      </c>
      <c r="K68" s="201" t="str">
        <f t="shared" si="16"/>
        <v/>
      </c>
      <c r="L68" s="245"/>
      <c r="M68" s="245"/>
    </row>
    <row r="69" spans="1:13">
      <c r="A69" s="259">
        <v>106</v>
      </c>
      <c r="B69" s="189" t="str">
        <f t="shared" si="17"/>
        <v>Teuerungsrückstellungen (brutto)</v>
      </c>
      <c r="C69" s="211">
        <f t="shared" ref="C69:D74" si="40">F69+I69</f>
        <v>0</v>
      </c>
      <c r="D69" s="212">
        <f t="shared" si="40"/>
        <v>0</v>
      </c>
      <c r="E69" s="210" t="str">
        <f t="shared" si="14"/>
        <v/>
      </c>
      <c r="F69" s="788">
        <v>0</v>
      </c>
      <c r="G69" s="865">
        <v>0</v>
      </c>
      <c r="H69" s="205" t="str">
        <f t="shared" si="15"/>
        <v/>
      </c>
      <c r="I69" s="898"/>
      <c r="J69" s="899"/>
      <c r="K69" s="201"/>
      <c r="L69" s="245"/>
      <c r="M69" s="245"/>
    </row>
    <row r="70" spans="1:13">
      <c r="A70" s="259">
        <v>107</v>
      </c>
      <c r="B70" s="189" t="str">
        <f t="shared" si="17"/>
        <v>DK (brutto) - Sonstige Verstärkungen</v>
      </c>
      <c r="C70" s="211">
        <f t="shared" si="40"/>
        <v>0</v>
      </c>
      <c r="D70" s="212">
        <f t="shared" si="40"/>
        <v>0</v>
      </c>
      <c r="E70" s="210" t="str">
        <f t="shared" si="14"/>
        <v/>
      </c>
      <c r="F70" s="788">
        <v>0</v>
      </c>
      <c r="G70" s="865">
        <v>0</v>
      </c>
      <c r="H70" s="205" t="str">
        <f t="shared" si="15"/>
        <v/>
      </c>
      <c r="I70" s="788">
        <v>0</v>
      </c>
      <c r="J70" s="865">
        <v>0</v>
      </c>
      <c r="K70" s="201" t="str">
        <f t="shared" si="16"/>
        <v/>
      </c>
      <c r="L70" s="245"/>
      <c r="M70" s="245"/>
    </row>
    <row r="71" spans="1:13">
      <c r="A71" s="259">
        <v>108</v>
      </c>
      <c r="B71" s="189" t="str">
        <f t="shared" si="17"/>
        <v>Gesetzlich vorgeschriebene Schwankungsrückstellungen (brutto)</v>
      </c>
      <c r="C71" s="211">
        <f t="shared" si="40"/>
        <v>0</v>
      </c>
      <c r="D71" s="212">
        <f t="shared" si="40"/>
        <v>0</v>
      </c>
      <c r="E71" s="210" t="str">
        <f t="shared" si="14"/>
        <v/>
      </c>
      <c r="F71" s="788">
        <v>0</v>
      </c>
      <c r="G71" s="865">
        <v>0</v>
      </c>
      <c r="H71" s="205" t="str">
        <f t="shared" si="15"/>
        <v/>
      </c>
      <c r="I71" s="788">
        <v>0</v>
      </c>
      <c r="J71" s="865">
        <v>0</v>
      </c>
      <c r="K71" s="201" t="str">
        <f t="shared" si="16"/>
        <v/>
      </c>
      <c r="L71" s="245"/>
      <c r="M71" s="245"/>
    </row>
    <row r="72" spans="1:13">
      <c r="A72" s="259" t="s">
        <v>47</v>
      </c>
      <c r="B72" s="189" t="str">
        <f>VLOOKUP($A72&amp;B$2,TEXTDF,SPRCODE+1,FALSE)</f>
        <v>Freie Schwankungsrückstellungen (brutto)</v>
      </c>
      <c r="C72" s="211">
        <f t="shared" si="40"/>
        <v>0</v>
      </c>
      <c r="D72" s="212">
        <f t="shared" si="40"/>
        <v>0</v>
      </c>
      <c r="E72" s="210" t="str">
        <f t="shared" si="14"/>
        <v/>
      </c>
      <c r="F72" s="788">
        <v>0</v>
      </c>
      <c r="G72" s="865">
        <v>0</v>
      </c>
      <c r="H72" s="205" t="str">
        <f t="shared" si="15"/>
        <v/>
      </c>
      <c r="I72" s="788">
        <v>0</v>
      </c>
      <c r="J72" s="865">
        <v>0</v>
      </c>
      <c r="K72" s="201" t="str">
        <f t="shared" si="16"/>
        <v/>
      </c>
      <c r="L72" s="245"/>
      <c r="M72" s="245"/>
    </row>
    <row r="73" spans="1:13">
      <c r="A73" s="259">
        <v>109</v>
      </c>
      <c r="B73" s="189" t="str">
        <f t="shared" si="17"/>
        <v>Sonstige versicherungstechnische Rückstellungen (brutto)</v>
      </c>
      <c r="C73" s="211">
        <f t="shared" si="40"/>
        <v>0</v>
      </c>
      <c r="D73" s="212">
        <f t="shared" si="40"/>
        <v>0</v>
      </c>
      <c r="E73" s="210" t="str">
        <f t="shared" si="14"/>
        <v/>
      </c>
      <c r="F73" s="788">
        <v>0</v>
      </c>
      <c r="G73" s="865">
        <v>0</v>
      </c>
      <c r="H73" s="205" t="str">
        <f t="shared" si="15"/>
        <v/>
      </c>
      <c r="I73" s="788">
        <v>0</v>
      </c>
      <c r="J73" s="865">
        <v>0</v>
      </c>
      <c r="K73" s="201" t="str">
        <f t="shared" si="16"/>
        <v/>
      </c>
      <c r="L73" s="245"/>
      <c r="M73" s="245"/>
    </row>
    <row r="74" spans="1:13" ht="20.25" customHeight="1">
      <c r="A74" s="259">
        <v>116</v>
      </c>
      <c r="B74" s="380" t="str">
        <f t="shared" si="17"/>
        <v>Total versicherungstechnische Rückstellungen (brutto)</v>
      </c>
      <c r="C74" s="365">
        <f t="shared" si="40"/>
        <v>0</v>
      </c>
      <c r="D74" s="282">
        <f t="shared" si="40"/>
        <v>0</v>
      </c>
      <c r="E74" s="366" t="str">
        <f t="shared" si="14"/>
        <v/>
      </c>
      <c r="F74" s="871">
        <f>+SUM(F48,F50,F52,F54,F56,F58,F60,F62,F64:F73)</f>
        <v>0</v>
      </c>
      <c r="G74" s="872">
        <f>+SUM(G48,G50,G52,G54,G56,G58,G60,G62,G64:G73)</f>
        <v>0</v>
      </c>
      <c r="H74" s="368" t="str">
        <f t="shared" si="15"/>
        <v/>
      </c>
      <c r="I74" s="369">
        <f>+SUM(I48,I50,I52,I54,I56,I58,I60,I62,I64:I73)</f>
        <v>0</v>
      </c>
      <c r="J74" s="285">
        <f>+SUM(J48,J50,J52,J54,J56,J58,J60,J62,J64:J73)</f>
        <v>0</v>
      </c>
      <c r="K74" s="370" t="str">
        <f t="shared" si="16"/>
        <v/>
      </c>
      <c r="L74" s="244"/>
      <c r="M74" s="244"/>
    </row>
    <row r="75" spans="1:13" ht="18" customHeight="1">
      <c r="A75" s="259">
        <v>104</v>
      </c>
      <c r="B75" s="189" t="str">
        <f>VLOOKUP($A75&amp;B$2,TEXTDF,SPRCODE+1,FALSE)</f>
        <v>Prämienüberträge (brutto)</v>
      </c>
      <c r="C75" s="211">
        <f t="shared" ref="C75:D78" si="41">F75+I75</f>
        <v>0</v>
      </c>
      <c r="D75" s="212">
        <f t="shared" si="41"/>
        <v>0</v>
      </c>
      <c r="E75" s="210" t="str">
        <f t="shared" si="14"/>
        <v/>
      </c>
      <c r="F75" s="788">
        <v>0</v>
      </c>
      <c r="G75" s="865">
        <v>0</v>
      </c>
      <c r="H75" s="205" t="str">
        <f t="shared" si="15"/>
        <v/>
      </c>
      <c r="I75" s="788">
        <v>0</v>
      </c>
      <c r="J75" s="865">
        <v>0</v>
      </c>
      <c r="K75" s="201" t="str">
        <f t="shared" si="16"/>
        <v/>
      </c>
      <c r="L75" s="245"/>
      <c r="M75" s="245"/>
    </row>
    <row r="76" spans="1:13">
      <c r="A76" s="259">
        <v>111</v>
      </c>
      <c r="B76" s="189" t="str">
        <f>VLOOKUP($A76&amp;B$2,TEXTDF,SPRCODE+1,FALSE)</f>
        <v>Gutgeschriebene Überschussanteile der Versicherten (brutto)</v>
      </c>
      <c r="C76" s="211">
        <f t="shared" si="41"/>
        <v>0</v>
      </c>
      <c r="D76" s="212">
        <f t="shared" si="41"/>
        <v>0</v>
      </c>
      <c r="E76" s="210" t="str">
        <f t="shared" si="14"/>
        <v/>
      </c>
      <c r="F76" s="788">
        <v>0</v>
      </c>
      <c r="G76" s="865">
        <v>0</v>
      </c>
      <c r="H76" s="205" t="str">
        <f t="shared" si="15"/>
        <v/>
      </c>
      <c r="I76" s="788">
        <v>0</v>
      </c>
      <c r="J76" s="865">
        <v>0</v>
      </c>
      <c r="K76" s="201" t="str">
        <f t="shared" si="16"/>
        <v/>
      </c>
      <c r="L76" s="245"/>
      <c r="M76" s="245"/>
    </row>
    <row r="77" spans="1:13">
      <c r="A77" s="259">
        <v>112</v>
      </c>
      <c r="B77" s="189" t="str">
        <f t="shared" ref="B77:B92" si="42">VLOOKUP($A77&amp;B$2,TEXTDF,SPRCODE+1,FALSE)</f>
        <v>Überschussfonds (brutto): fest zugeteilt</v>
      </c>
      <c r="C77" s="211">
        <f t="shared" si="41"/>
        <v>0</v>
      </c>
      <c r="D77" s="212">
        <f t="shared" si="41"/>
        <v>0</v>
      </c>
      <c r="E77" s="210" t="str">
        <f t="shared" si="14"/>
        <v/>
      </c>
      <c r="F77" s="788">
        <v>0</v>
      </c>
      <c r="G77" s="865">
        <v>0</v>
      </c>
      <c r="H77" s="205" t="str">
        <f t="shared" si="15"/>
        <v/>
      </c>
      <c r="I77" s="788">
        <v>0</v>
      </c>
      <c r="J77" s="865">
        <v>0</v>
      </c>
      <c r="K77" s="201" t="str">
        <f t="shared" si="16"/>
        <v/>
      </c>
      <c r="L77" s="245"/>
      <c r="M77" s="245"/>
    </row>
    <row r="78" spans="1:13">
      <c r="A78" s="259">
        <v>113</v>
      </c>
      <c r="B78" s="189" t="str">
        <f t="shared" si="42"/>
        <v>Überschussfonds (brutto): freier Teil</v>
      </c>
      <c r="C78" s="211">
        <f t="shared" si="41"/>
        <v>0</v>
      </c>
      <c r="D78" s="212">
        <f t="shared" si="41"/>
        <v>0</v>
      </c>
      <c r="E78" s="210" t="str">
        <f t="shared" si="14"/>
        <v/>
      </c>
      <c r="F78" s="788">
        <v>0</v>
      </c>
      <c r="G78" s="865">
        <v>0</v>
      </c>
      <c r="H78" s="205" t="str">
        <f t="shared" si="15"/>
        <v/>
      </c>
      <c r="I78" s="788">
        <v>0</v>
      </c>
      <c r="J78" s="865">
        <v>0</v>
      </c>
      <c r="K78" s="201" t="str">
        <f t="shared" si="16"/>
        <v/>
      </c>
      <c r="L78" s="245"/>
      <c r="M78" s="245"/>
    </row>
    <row r="79" spans="1:13">
      <c r="A79" s="259">
        <v>114</v>
      </c>
      <c r="B79" s="189" t="str">
        <f t="shared" si="42"/>
        <v>Verlustvortrag zu Lasten der Überschussbeteiligung  f)</v>
      </c>
      <c r="C79" s="211">
        <f>F79</f>
        <v>0</v>
      </c>
      <c r="D79" s="212">
        <f>G79</f>
        <v>0</v>
      </c>
      <c r="E79" s="210" t="str">
        <f t="shared" si="14"/>
        <v/>
      </c>
      <c r="F79" s="788">
        <v>0</v>
      </c>
      <c r="G79" s="865">
        <v>0</v>
      </c>
      <c r="H79" s="205" t="str">
        <f t="shared" si="15"/>
        <v/>
      </c>
      <c r="I79" s="898"/>
      <c r="J79" s="899"/>
      <c r="K79" s="201"/>
      <c r="L79" s="245"/>
      <c r="M79" s="245"/>
    </row>
    <row r="80" spans="1:13">
      <c r="A80" s="259">
        <v>122</v>
      </c>
      <c r="B80" s="189" t="str">
        <f t="shared" si="42"/>
        <v>Steuerrückstellungen</v>
      </c>
      <c r="C80" s="211">
        <f>I80</f>
        <v>0</v>
      </c>
      <c r="D80" s="212">
        <f>J80</f>
        <v>0</v>
      </c>
      <c r="E80" s="210" t="str">
        <f t="shared" si="14"/>
        <v/>
      </c>
      <c r="F80" s="883"/>
      <c r="G80" s="884"/>
      <c r="H80" s="205"/>
      <c r="I80" s="788">
        <v>0</v>
      </c>
      <c r="J80" s="865">
        <v>0</v>
      </c>
      <c r="K80" s="201" t="str">
        <f t="shared" si="16"/>
        <v/>
      </c>
      <c r="L80" s="245"/>
      <c r="M80" s="245"/>
    </row>
    <row r="81" spans="1:13">
      <c r="A81" s="259">
        <v>123</v>
      </c>
      <c r="B81" s="189" t="str">
        <f t="shared" si="42"/>
        <v>Übrige Rückstellungen</v>
      </c>
      <c r="C81" s="211">
        <f t="shared" ref="C81:C92" si="43">F81+I81</f>
        <v>0</v>
      </c>
      <c r="D81" s="212">
        <f t="shared" ref="D81:D92" si="44">G81+J81</f>
        <v>0</v>
      </c>
      <c r="E81" s="210" t="str">
        <f t="shared" si="14"/>
        <v/>
      </c>
      <c r="F81" s="788">
        <v>0</v>
      </c>
      <c r="G81" s="865">
        <v>0</v>
      </c>
      <c r="H81" s="205" t="str">
        <f t="shared" si="15"/>
        <v/>
      </c>
      <c r="I81" s="788">
        <v>0</v>
      </c>
      <c r="J81" s="865">
        <v>0</v>
      </c>
      <c r="K81" s="201" t="str">
        <f t="shared" si="16"/>
        <v/>
      </c>
      <c r="L81" s="245"/>
      <c r="M81" s="245"/>
    </row>
    <row r="82" spans="1:13" ht="25.5">
      <c r="A82" s="259">
        <v>124</v>
      </c>
      <c r="B82" s="192" t="str">
        <f t="shared" si="42"/>
        <v>Depotverbindlichkeiten aus dem in Rückdeckung 
gegebenen Versicherungsgeschäft</v>
      </c>
      <c r="C82" s="211">
        <f t="shared" si="43"/>
        <v>0</v>
      </c>
      <c r="D82" s="212">
        <f t="shared" si="44"/>
        <v>0</v>
      </c>
      <c r="E82" s="210" t="str">
        <f t="shared" si="14"/>
        <v/>
      </c>
      <c r="F82" s="788">
        <v>0</v>
      </c>
      <c r="G82" s="865">
        <v>0</v>
      </c>
      <c r="H82" s="205" t="str">
        <f t="shared" si="15"/>
        <v/>
      </c>
      <c r="I82" s="788">
        <v>0</v>
      </c>
      <c r="J82" s="865">
        <v>0</v>
      </c>
      <c r="K82" s="201" t="str">
        <f t="shared" si="16"/>
        <v/>
      </c>
      <c r="L82" s="245"/>
      <c r="M82" s="245"/>
    </row>
    <row r="83" spans="1:13">
      <c r="A83" s="259">
        <v>125</v>
      </c>
      <c r="B83" s="189" t="str">
        <f t="shared" si="42"/>
        <v>Verbindlichkeiten gegenüber Versicherungsnehmern</v>
      </c>
      <c r="C83" s="211">
        <f t="shared" si="43"/>
        <v>0</v>
      </c>
      <c r="D83" s="212">
        <f t="shared" si="44"/>
        <v>0</v>
      </c>
      <c r="E83" s="210" t="str">
        <f t="shared" si="14"/>
        <v/>
      </c>
      <c r="F83" s="788">
        <v>0</v>
      </c>
      <c r="G83" s="865">
        <v>0</v>
      </c>
      <c r="H83" s="205" t="str">
        <f t="shared" si="15"/>
        <v/>
      </c>
      <c r="I83" s="788">
        <v>0</v>
      </c>
      <c r="J83" s="865">
        <v>0</v>
      </c>
      <c r="K83" s="201" t="str">
        <f t="shared" si="16"/>
        <v/>
      </c>
      <c r="L83" s="245"/>
      <c r="M83" s="245"/>
    </row>
    <row r="84" spans="1:13">
      <c r="A84" s="259">
        <v>126</v>
      </c>
      <c r="B84" s="189" t="str">
        <f t="shared" si="42"/>
        <v>Prämiendepots und vorausbezahle Prämien</v>
      </c>
      <c r="C84" s="211">
        <f t="shared" si="43"/>
        <v>0</v>
      </c>
      <c r="D84" s="212">
        <f t="shared" si="44"/>
        <v>0</v>
      </c>
      <c r="E84" s="210" t="str">
        <f t="shared" si="14"/>
        <v/>
      </c>
      <c r="F84" s="788">
        <v>0</v>
      </c>
      <c r="G84" s="865">
        <v>0</v>
      </c>
      <c r="H84" s="205" t="str">
        <f t="shared" si="15"/>
        <v/>
      </c>
      <c r="I84" s="788">
        <v>0</v>
      </c>
      <c r="J84" s="865">
        <v>0</v>
      </c>
      <c r="K84" s="201" t="str">
        <f t="shared" si="16"/>
        <v/>
      </c>
      <c r="L84" s="245"/>
      <c r="M84" s="245"/>
    </row>
    <row r="85" spans="1:13">
      <c r="A85" s="259">
        <v>127</v>
      </c>
      <c r="B85" s="189" t="str">
        <f t="shared" si="42"/>
        <v>Konvertible Anleihensverbindlichkeiten</v>
      </c>
      <c r="C85" s="211">
        <f t="shared" si="43"/>
        <v>0</v>
      </c>
      <c r="D85" s="212">
        <f t="shared" si="44"/>
        <v>0</v>
      </c>
      <c r="E85" s="210" t="str">
        <f t="shared" si="14"/>
        <v/>
      </c>
      <c r="F85" s="788">
        <v>0</v>
      </c>
      <c r="G85" s="865">
        <v>0</v>
      </c>
      <c r="H85" s="205" t="str">
        <f t="shared" si="15"/>
        <v/>
      </c>
      <c r="I85" s="788">
        <v>0</v>
      </c>
      <c r="J85" s="865">
        <v>0</v>
      </c>
      <c r="K85" s="201" t="str">
        <f t="shared" si="16"/>
        <v/>
      </c>
      <c r="L85" s="245"/>
      <c r="M85" s="245"/>
    </row>
    <row r="86" spans="1:13">
      <c r="A86" s="259">
        <v>128</v>
      </c>
      <c r="B86" s="189" t="str">
        <f t="shared" si="42"/>
        <v>Nicht konvertible Anleihensverbindlichkeiten</v>
      </c>
      <c r="C86" s="211">
        <f t="shared" si="43"/>
        <v>0</v>
      </c>
      <c r="D86" s="212">
        <f t="shared" si="44"/>
        <v>0</v>
      </c>
      <c r="E86" s="210" t="str">
        <f t="shared" si="14"/>
        <v/>
      </c>
      <c r="F86" s="788">
        <v>0</v>
      </c>
      <c r="G86" s="865">
        <v>0</v>
      </c>
      <c r="H86" s="205" t="str">
        <f t="shared" si="15"/>
        <v/>
      </c>
      <c r="I86" s="788">
        <v>0</v>
      </c>
      <c r="J86" s="865">
        <v>0</v>
      </c>
      <c r="K86" s="201" t="str">
        <f t="shared" si="16"/>
        <v/>
      </c>
      <c r="L86" s="245"/>
      <c r="M86" s="245"/>
    </row>
    <row r="87" spans="1:13">
      <c r="A87" s="259">
        <v>129</v>
      </c>
      <c r="B87" s="189" t="str">
        <f t="shared" si="42"/>
        <v>Darlehen von verbundenen Unternehmen und Beteiligungen</v>
      </c>
      <c r="C87" s="211">
        <f t="shared" si="43"/>
        <v>0</v>
      </c>
      <c r="D87" s="212">
        <f t="shared" si="44"/>
        <v>0</v>
      </c>
      <c r="E87" s="210" t="str">
        <f t="shared" si="14"/>
        <v/>
      </c>
      <c r="F87" s="788">
        <v>0</v>
      </c>
      <c r="G87" s="865">
        <v>0</v>
      </c>
      <c r="H87" s="205" t="str">
        <f t="shared" si="15"/>
        <v/>
      </c>
      <c r="I87" s="788">
        <v>0</v>
      </c>
      <c r="J87" s="865">
        <v>0</v>
      </c>
      <c r="K87" s="201" t="str">
        <f t="shared" si="16"/>
        <v/>
      </c>
      <c r="L87" s="245"/>
      <c r="M87" s="245"/>
    </row>
    <row r="88" spans="1:13" ht="25.5">
      <c r="A88" s="259">
        <v>130</v>
      </c>
      <c r="B88" s="192" t="str">
        <f t="shared" si="42"/>
        <v>Verbindlichkeiten gegenüber verbundenen Unternehmen
und Beteiligungen</v>
      </c>
      <c r="C88" s="211">
        <f t="shared" si="43"/>
        <v>0</v>
      </c>
      <c r="D88" s="212">
        <f t="shared" si="44"/>
        <v>0</v>
      </c>
      <c r="E88" s="210" t="str">
        <f t="shared" si="14"/>
        <v/>
      </c>
      <c r="F88" s="788">
        <v>0</v>
      </c>
      <c r="G88" s="865">
        <v>0</v>
      </c>
      <c r="H88" s="205" t="str">
        <f t="shared" si="15"/>
        <v/>
      </c>
      <c r="I88" s="788">
        <v>0</v>
      </c>
      <c r="J88" s="865">
        <v>0</v>
      </c>
      <c r="K88" s="201" t="str">
        <f t="shared" si="16"/>
        <v/>
      </c>
      <c r="L88" s="245"/>
      <c r="M88" s="245"/>
    </row>
    <row r="89" spans="1:13">
      <c r="A89" s="259" t="s">
        <v>528</v>
      </c>
      <c r="B89" s="189" t="str">
        <f t="shared" si="42"/>
        <v>Verpflichtungen aus derivaten Finanzinstrumenten</v>
      </c>
      <c r="C89" s="211">
        <f>F89+I89</f>
        <v>0</v>
      </c>
      <c r="D89" s="212">
        <f t="shared" si="44"/>
        <v>0</v>
      </c>
      <c r="E89" s="210" t="str">
        <f t="shared" si="14"/>
        <v/>
      </c>
      <c r="F89" s="788">
        <v>0</v>
      </c>
      <c r="G89" s="865">
        <v>0</v>
      </c>
      <c r="H89" s="205" t="str">
        <f t="shared" si="15"/>
        <v/>
      </c>
      <c r="I89" s="788">
        <v>0</v>
      </c>
      <c r="J89" s="865">
        <v>0</v>
      </c>
      <c r="K89" s="201" t="str">
        <f t="shared" si="16"/>
        <v/>
      </c>
      <c r="L89" s="245"/>
      <c r="M89" s="245"/>
    </row>
    <row r="90" spans="1:13">
      <c r="A90" s="259">
        <v>131</v>
      </c>
      <c r="B90" s="189" t="str">
        <f t="shared" si="42"/>
        <v xml:space="preserve">Andere Verbindlichkeiten </v>
      </c>
      <c r="C90" s="211">
        <f t="shared" si="43"/>
        <v>0</v>
      </c>
      <c r="D90" s="212">
        <f t="shared" si="44"/>
        <v>0</v>
      </c>
      <c r="E90" s="210" t="str">
        <f t="shared" si="14"/>
        <v/>
      </c>
      <c r="F90" s="788">
        <v>0</v>
      </c>
      <c r="G90" s="865">
        <v>0</v>
      </c>
      <c r="H90" s="205" t="str">
        <f t="shared" si="15"/>
        <v/>
      </c>
      <c r="I90" s="788">
        <v>0</v>
      </c>
      <c r="J90" s="865">
        <v>0</v>
      </c>
      <c r="K90" s="201" t="str">
        <f t="shared" si="16"/>
        <v/>
      </c>
      <c r="L90" s="245"/>
      <c r="M90" s="245"/>
    </row>
    <row r="91" spans="1:13">
      <c r="A91" s="259">
        <v>132</v>
      </c>
      <c r="B91" s="189" t="str">
        <f t="shared" si="42"/>
        <v>Rechnungsabgrenzungsposten</v>
      </c>
      <c r="C91" s="211">
        <f t="shared" si="43"/>
        <v>0</v>
      </c>
      <c r="D91" s="212">
        <f t="shared" si="44"/>
        <v>0</v>
      </c>
      <c r="E91" s="210" t="str">
        <f t="shared" si="14"/>
        <v/>
      </c>
      <c r="F91" s="788">
        <v>0</v>
      </c>
      <c r="G91" s="865">
        <v>0</v>
      </c>
      <c r="H91" s="205" t="str">
        <f t="shared" si="15"/>
        <v/>
      </c>
      <c r="I91" s="788">
        <v>0</v>
      </c>
      <c r="J91" s="865">
        <v>0</v>
      </c>
      <c r="K91" s="201" t="str">
        <f t="shared" si="16"/>
        <v/>
      </c>
      <c r="L91" s="245"/>
      <c r="M91" s="245"/>
    </row>
    <row r="92" spans="1:13" ht="18" customHeight="1">
      <c r="A92" s="259">
        <v>133</v>
      </c>
      <c r="B92" s="188" t="str">
        <f t="shared" si="42"/>
        <v>Total sonstige Verbindlichkeiten</v>
      </c>
      <c r="C92" s="215">
        <f t="shared" si="43"/>
        <v>0</v>
      </c>
      <c r="D92" s="216">
        <f t="shared" si="44"/>
        <v>0</v>
      </c>
      <c r="E92" s="217" t="str">
        <f t="shared" si="14"/>
        <v/>
      </c>
      <c r="F92" s="418">
        <f>+SUM(F75:F91)</f>
        <v>0</v>
      </c>
      <c r="G92" s="900">
        <f>+SUM(G75:G91)</f>
        <v>0</v>
      </c>
      <c r="H92" s="218" t="str">
        <f t="shared" si="15"/>
        <v/>
      </c>
      <c r="I92" s="901">
        <f>+SUM(I75:I91)</f>
        <v>0</v>
      </c>
      <c r="J92" s="902">
        <f>+SUM(J75:J91)</f>
        <v>0</v>
      </c>
      <c r="K92" s="219" t="str">
        <f t="shared" si="16"/>
        <v/>
      </c>
      <c r="L92" s="244"/>
      <c r="M92" s="244"/>
    </row>
    <row r="93" spans="1:13" ht="25.5" customHeight="1" thickBot="1">
      <c r="A93" s="260">
        <v>134</v>
      </c>
      <c r="B93" s="255" t="str">
        <f>VLOOKUP($A93&amp;B$2,TEXTDF,SPRCODE+1,FALSE)</f>
        <v>Total Passiven  = 89 + 90 + 116 + 133</v>
      </c>
      <c r="C93" s="224">
        <f>F93+I93</f>
        <v>0</v>
      </c>
      <c r="D93" s="225">
        <f>G93+J93</f>
        <v>0</v>
      </c>
      <c r="E93" s="226" t="str">
        <f t="shared" si="14"/>
        <v/>
      </c>
      <c r="F93" s="877">
        <f>+F46+F47+F74+F92</f>
        <v>0</v>
      </c>
      <c r="G93" s="878">
        <f>+G46+G47+G74+G92</f>
        <v>0</v>
      </c>
      <c r="H93" s="228" t="str">
        <f t="shared" si="15"/>
        <v/>
      </c>
      <c r="I93" s="879">
        <f>+I46+I47+I74+I92</f>
        <v>0</v>
      </c>
      <c r="J93" s="880">
        <f>+J46+J47+J74+J92</f>
        <v>0</v>
      </c>
      <c r="K93" s="230" t="str">
        <f t="shared" si="16"/>
        <v/>
      </c>
      <c r="L93" s="244"/>
      <c r="M93" s="244"/>
    </row>
    <row r="94" spans="1:13" ht="13.5" customHeight="1">
      <c r="A94" s="24"/>
      <c r="B94" s="263"/>
      <c r="C94" s="239"/>
      <c r="D94" s="239"/>
      <c r="E94" s="239"/>
      <c r="F94" s="239">
        <f>F$41-F$93</f>
        <v>0</v>
      </c>
      <c r="G94" s="239"/>
      <c r="H94" s="239"/>
      <c r="I94" s="239">
        <f>I$41-I$93</f>
        <v>0</v>
      </c>
      <c r="J94" s="239"/>
      <c r="K94" s="182"/>
      <c r="L94" s="263"/>
      <c r="M94" s="242" t="str">
        <f>IF(OR(ABS($F94)&gt;1,ABS($I94)&gt;1),IF(SPRCODE=1,"ACHTUNG: TOTAL AKTIVEN UND TOTAL PASSIVEN MÜSSEN ÜBEREINSTIMMEN !","ATTENTION: LE TOTAL DE L'ACTIF ET LE TOTAL DU PASSIF DOIVENT CORRESPONDRE !"),"ok")</f>
        <v>ok</v>
      </c>
    </row>
    <row r="95" spans="1:13" ht="12.75" customHeight="1">
      <c r="A95" s="53" t="s">
        <v>1005</v>
      </c>
      <c r="B95" s="265" t="str">
        <f>VLOOKUP($A95&amp;B$2,TEXTDF,SPRCODE+1,FALSE)</f>
        <v>c)  Unter Verstärkungen für laufende Altersrenten fällt der sich aus der Verbesserung der Rentnersterblichkeit ergebende Nachreservierungsbedarf. Die sich aus künftiger Rentenumwandlung ergebenden Deckungslücken sind unter Pos. 91a einzutragen.</v>
      </c>
      <c r="C95" s="70"/>
      <c r="D95" s="70"/>
      <c r="E95" s="70"/>
      <c r="F95" s="70"/>
      <c r="G95" s="70"/>
      <c r="H95" s="70"/>
      <c r="I95" s="70"/>
      <c r="J95" s="70"/>
      <c r="K95" s="70"/>
      <c r="L95" s="70"/>
      <c r="M95" s="70"/>
    </row>
    <row r="96" spans="1:13">
      <c r="A96" s="53" t="s">
        <v>1006</v>
      </c>
      <c r="B96" s="265" t="str">
        <f>VLOOKUP($A96&amp;B$2,TEXTDF,SPRCODE+1,FALSE)</f>
        <v>d)  Individuell berechnete technische Rückstellungen; miteinzuschliessen ist das Deckungskapital für Leistungsprimatpläne.</v>
      </c>
      <c r="C96" s="24"/>
      <c r="D96" s="24"/>
      <c r="E96" s="262"/>
      <c r="F96" s="24"/>
      <c r="G96" s="266"/>
      <c r="H96" s="180"/>
      <c r="I96" s="22"/>
      <c r="J96" s="266"/>
      <c r="K96" s="262"/>
      <c r="L96" s="262"/>
      <c r="M96" s="262"/>
    </row>
    <row r="97" spans="1:13">
      <c r="A97" s="53" t="s">
        <v>1007</v>
      </c>
      <c r="B97" s="265" t="str">
        <f>VLOOKUP($A97&amp;B$2,TEXTDF,SPRCODE+1,FALSE)</f>
        <v>e)  Schätzungen zulässig bei fehlenden exakten Daten. Schätzungen bitte im Begleitbericht angeben.</v>
      </c>
      <c r="C97" s="24"/>
      <c r="D97" s="24"/>
      <c r="E97" s="262"/>
      <c r="F97" s="24"/>
      <c r="G97" s="24"/>
      <c r="H97" s="262"/>
      <c r="I97" s="24"/>
      <c r="J97" s="24"/>
      <c r="K97" s="262"/>
      <c r="L97" s="262"/>
      <c r="M97" s="262"/>
    </row>
    <row r="98" spans="1:13">
      <c r="A98" s="267" t="s">
        <v>1048</v>
      </c>
      <c r="B98" s="268" t="str">
        <f>VLOOKUP($A98&amp;B$2,TEXTDF,SPRCODE+1,FALSE)</f>
        <v>f)  Im Sinne von Art. 150 Buchst. c AVO; dieser Verlustvortrag darf den Umfang des freien Teils des Überschussfonds nicht übersteigen und darf im Folgejahr mit dem Überschussfonds verrechnet werden; er ist stets negativ.</v>
      </c>
      <c r="C98" s="269"/>
      <c r="D98" s="269"/>
      <c r="E98" s="264"/>
      <c r="F98" s="17"/>
      <c r="G98" s="17"/>
      <c r="H98" s="264"/>
      <c r="I98" s="17"/>
      <c r="J98" s="17"/>
      <c r="K98" s="264"/>
      <c r="L98" s="264"/>
      <c r="M98" s="264"/>
    </row>
  </sheetData>
  <sheetProtection algorithmName="SHA-512" hashValue="crDZ3qQvDRurF6/RQvv9oEgf42gxBpF87qoAcmMz5vGvqjqW529P1fNdqTdKo+QTFVNvL2oWmHwMHuoB3BI6sg==" saltValue="pkWl9qh8Ob21IPCk1HDlkQ==" spinCount="100000" sheet="1" objects="1" scenarios="1"/>
  <customSheetViews>
    <customSheetView guid="{ECF4189F-4624-4725-BD5A-98214EF42022}" scale="85" showRuler="0">
      <pane xSplit="2" ySplit="5" topLeftCell="C6" activePane="bottomRight" state="frozen"/>
      <selection pane="bottomRight" activeCell="A4" sqref="A4"/>
      <rowBreaks count="3" manualBreakCount="3">
        <brk id="50" max="16383" man="1"/>
        <brk id="91" max="16383" man="1"/>
        <brk id="119" max="16383" man="1"/>
      </rowBreaks>
      <pageMargins left="0.24" right="0.19" top="0.27" bottom="0.18" header="0.17" footer="0.16"/>
      <printOptions headings="1"/>
      <pageSetup paperSize="9" scale="75" orientation="landscape" horizontalDpi="4294967295" verticalDpi="1200"/>
      <headerFooter alignWithMargins="0">
        <oddFooter>&amp;L&amp;D   &amp;T&amp;C&amp;A&amp;R&amp;P / &amp;N</oddFooter>
      </headerFooter>
    </customSheetView>
  </customSheetViews>
  <phoneticPr fontId="9" type="noConversion"/>
  <conditionalFormatting sqref="F94">
    <cfRule type="cellIs" dxfId="94" priority="4" operator="notBetween">
      <formula>-5</formula>
      <formula>5</formula>
    </cfRule>
  </conditionalFormatting>
  <conditionalFormatting sqref="G94">
    <cfRule type="cellIs" dxfId="93" priority="3" operator="notBetween">
      <formula>-5</formula>
      <formula>5</formula>
    </cfRule>
  </conditionalFormatting>
  <conditionalFormatting sqref="I94:J94">
    <cfRule type="cellIs" dxfId="92" priority="2" operator="notBetween">
      <formula>-5</formula>
      <formula>5</formula>
    </cfRule>
  </conditionalFormatting>
  <conditionalFormatting sqref="M94">
    <cfRule type="cellIs" dxfId="91" priority="1" operator="notEqual">
      <formula>"ok"</formula>
    </cfRule>
  </conditionalFormatting>
  <hyperlinks>
    <hyperlink ref="B1" location="UEBERSICHT!G12" display="UEBERSICHT!G12" xr:uid="{9F231016-F85C-4F93-91F7-957F3B6EE06B}"/>
  </hyperlinks>
  <printOptions headings="1" gridLines="1"/>
  <pageMargins left="0.39370078740157483" right="0.35433070866141736" top="0.24" bottom="0.35" header="0.16" footer="0.16"/>
  <pageSetup paperSize="9" scale="75" orientation="landscape"/>
  <headerFooter alignWithMargins="0">
    <oddFooter>&amp;L&amp;D   &amp;T&amp;C&amp;A&amp;R&amp;P / &amp;N</oddFooter>
  </headerFooter>
  <rowBreaks count="1" manualBreakCount="1">
    <brk id="42" max="16383" man="1"/>
  </rowBreaks>
  <ignoredErrors>
    <ignoredError sqref="C80 C29:E41 F28:K28 H26:H27 K26:K27 F30:K30 F29:H29 K29 F36:H36 H31:H35 F41:K45 H37:H40 K36 K31:K35 K37:K40 F94 H46:H93 K94 K46:K49 F74:G74 I74:J74 K51:K93 H94" formula="1"/>
    <ignoredError sqref="A1 A43" numberStoredAsText="1"/>
    <ignoredError sqref="F38:G38 I38:J38 F65:G65 I49:J49 I94 F80:G80 I79:J79 I51:J51 I53:J53 I55:J55 I57:J57 I59:J59 I61:J61 I63:J64 I69:J69 I92:J93 F92:G93" formula="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BRBV_04">
    <tabColor indexed="60"/>
  </sheetPr>
  <dimension ref="A1:O193"/>
  <sheetViews>
    <sheetView zoomScaleNormal="100" workbookViewId="0">
      <pane xSplit="4" ySplit="5" topLeftCell="E6" activePane="bottomRight" state="frozen"/>
      <selection pane="topRight" activeCell="E1" sqref="E1"/>
      <selection pane="bottomLeft" activeCell="A6" sqref="A6"/>
      <selection pane="bottomRight" activeCell="H7" sqref="H7"/>
    </sheetView>
  </sheetViews>
  <sheetFormatPr baseColWidth="10" defaultColWidth="9.140625" defaultRowHeight="12.75"/>
  <cols>
    <col min="1" max="1" width="7" style="785" bestFit="1" customWidth="1"/>
    <col min="2" max="2" width="56.140625" style="785" customWidth="1"/>
    <col min="3" max="3" width="19.140625" style="786" customWidth="1"/>
    <col min="4" max="4" width="9.5703125" style="787" customWidth="1"/>
    <col min="5" max="13" width="15.7109375" style="16" customWidth="1"/>
    <col min="14" max="14" width="2.140625" style="24" customWidth="1"/>
    <col min="15" max="15" width="15.7109375" style="302" customWidth="1"/>
    <col min="16" max="16384" width="9.140625" style="16"/>
  </cols>
  <sheetData>
    <row r="1" spans="1:15" ht="15.95" customHeight="1">
      <c r="A1" s="567" t="s">
        <v>1072</v>
      </c>
      <c r="B1" s="310" t="str">
        <f>VLOOKUP($A1&amp;B$2,TEXTDF,SPRCODE+1,FALSE)</f>
        <v>Techn. Zerlegung des Ergebnisses</v>
      </c>
      <c r="C1" s="422"/>
      <c r="D1" s="423"/>
      <c r="E1" s="171"/>
      <c r="F1" s="171" t="str">
        <f>VLOOKUP($A1&amp;F$2,TEXTDF,SPRCODE+1,FALSE)</f>
        <v>Frankenbeträge in 1000 CHF</v>
      </c>
      <c r="G1" s="171"/>
      <c r="H1" s="171"/>
      <c r="I1" s="171"/>
      <c r="J1" s="171"/>
      <c r="K1" s="173"/>
      <c r="L1" s="173" t="str">
        <f>VLOOKUP($A1&amp;L$2,TEXTDF,SPRCODE+1,FALSE)</f>
        <v>Berichtsjahr:</v>
      </c>
      <c r="M1" s="287">
        <f>jahr</f>
        <v>2023</v>
      </c>
      <c r="N1" s="287"/>
    </row>
    <row r="2" spans="1:15" ht="12" customHeight="1" thickBot="1">
      <c r="A2" s="310" t="s">
        <v>578</v>
      </c>
      <c r="B2" s="169" t="s">
        <v>66</v>
      </c>
      <c r="C2" s="424" t="s">
        <v>469</v>
      </c>
      <c r="D2" s="425"/>
      <c r="E2" s="288" t="s">
        <v>470</v>
      </c>
      <c r="F2" s="288" t="s">
        <v>57</v>
      </c>
      <c r="G2" s="288" t="s" vm="1">
        <v>58</v>
      </c>
      <c r="H2" s="288" t="s" vm="2">
        <v>54</v>
      </c>
      <c r="I2" s="288" t="s" vm="8">
        <v>238</v>
      </c>
      <c r="J2" s="288" t="s" vm="3">
        <v>239</v>
      </c>
      <c r="K2" s="288" t="s" vm="4">
        <v>240</v>
      </c>
      <c r="L2" s="288" t="s" vm="6">
        <v>241</v>
      </c>
      <c r="M2" s="288" t="s" vm="7">
        <v>293</v>
      </c>
      <c r="N2" s="288"/>
    </row>
    <row r="3" spans="1:15" ht="12.75" customHeight="1">
      <c r="A3" s="420" t="s">
        <v>1070</v>
      </c>
      <c r="B3" s="312" t="str">
        <f>Vr&amp;"  "</f>
        <v xml:space="preserve">  </v>
      </c>
      <c r="C3" s="426" t="str">
        <f>VLOOKUP($A3&amp;C$2,TEXTDF,SPRCODE+1,FALSE)</f>
        <v>Abstimmen</v>
      </c>
      <c r="D3" s="911">
        <f>IF(SUM(D6:D187)&gt;0,IF(SPRCODE = 1,"FEHLER
Bitte
bereinigen","FAUTE à corriger"),0)</f>
        <v>0</v>
      </c>
      <c r="E3" s="208" t="str">
        <f>VLOOKUP($A3&amp;E$2,TEXTDF,SPRCODE+1,FALSE)</f>
        <v>Berufliche Vorsorge</v>
      </c>
      <c r="F3" s="209"/>
      <c r="G3" s="213"/>
      <c r="H3" s="203" t="str">
        <f>VLOOKUP($A3&amp;H$2,TEXTDF,SPRCODE+1,FALSE)</f>
        <v>Berufliche Vorsorge</v>
      </c>
      <c r="I3" s="204"/>
      <c r="J3" s="409"/>
      <c r="K3" s="390" t="str">
        <f>VLOOKUP($A3&amp;K$2,TEXTDF,SPRCODE+1,FALSE)</f>
        <v>Berufliche Vorsorge</v>
      </c>
      <c r="L3" s="200"/>
      <c r="M3" s="391"/>
      <c r="N3" s="289"/>
      <c r="O3" s="303"/>
    </row>
    <row r="4" spans="1:15">
      <c r="A4" s="311" t="s">
        <v>1071</v>
      </c>
      <c r="B4" s="320"/>
      <c r="C4" s="427" t="str">
        <f>VLOOKUP($A4&amp;C$2,TEXTDF,SPRCODE+1,FALSE)</f>
        <v>mit Position</v>
      </c>
      <c r="D4" s="912"/>
      <c r="E4" s="392" t="str">
        <f>VLOOKUP($A4&amp;E$2,TEXTDF,SPRCODE+1,FALSE)</f>
        <v>Total</v>
      </c>
      <c r="F4" s="270"/>
      <c r="G4" s="399"/>
      <c r="H4" s="410" t="str">
        <f>VLOOKUP($A4&amp;H$2,TEXTDF,SPRCODE+1,FALSE)</f>
        <v>Der Mindestquote unsterstellt</v>
      </c>
      <c r="I4" s="279"/>
      <c r="J4" s="411"/>
      <c r="K4" s="277" t="str">
        <f>VLOOKUP($A4&amp;K$2,TEXTDF,SPRCODE+1,FALSE)</f>
        <v>Der Mindestquote nicht unterstellt</v>
      </c>
      <c r="L4" s="278"/>
      <c r="M4" s="393"/>
      <c r="N4" s="289"/>
      <c r="O4" s="303"/>
    </row>
    <row r="5" spans="1:15" ht="13.5" thickBot="1">
      <c r="A5" s="420" t="s">
        <v>1073</v>
      </c>
      <c r="B5" s="421" t="str">
        <f>CHOOSE(SPRCODE,"D","F")&amp;"  "</f>
        <v xml:space="preserve">D  </v>
      </c>
      <c r="C5" s="428"/>
      <c r="D5" s="913"/>
      <c r="E5" s="271">
        <f>+jahr</f>
        <v>2023</v>
      </c>
      <c r="F5" s="272">
        <f>+E5-1</f>
        <v>2022</v>
      </c>
      <c r="G5" s="573">
        <f>+F5-1</f>
        <v>2021</v>
      </c>
      <c r="H5" s="273">
        <f>+jahr</f>
        <v>2023</v>
      </c>
      <c r="I5" s="274">
        <f>+H5-1</f>
        <v>2022</v>
      </c>
      <c r="J5" s="574">
        <f>+I5-1</f>
        <v>2021</v>
      </c>
      <c r="K5" s="275">
        <f>+jahr</f>
        <v>2023</v>
      </c>
      <c r="L5" s="275">
        <f>+K5-1</f>
        <v>2022</v>
      </c>
      <c r="M5" s="575">
        <f>+L5-1</f>
        <v>2021</v>
      </c>
      <c r="N5" s="290"/>
      <c r="O5" s="304" t="s">
        <v>3955</v>
      </c>
    </row>
    <row r="6" spans="1:15">
      <c r="A6" s="648" t="s">
        <v>1098</v>
      </c>
      <c r="B6" s="429" t="str">
        <f>VLOOKUP($A6&amp;B$2,TEXTDF,SPRCODE+1,FALSE)</f>
        <v>Sparprozess (Art. 143 AVO)</v>
      </c>
      <c r="C6" s="430"/>
      <c r="D6" s="431"/>
      <c r="E6" s="211"/>
      <c r="F6" s="212"/>
      <c r="G6" s="210"/>
      <c r="H6" s="528"/>
      <c r="I6" s="501"/>
      <c r="J6" s="502"/>
      <c r="K6" s="497"/>
      <c r="L6" s="497"/>
      <c r="M6" s="527"/>
      <c r="N6" s="17"/>
      <c r="O6" s="304"/>
    </row>
    <row r="7" spans="1:15" ht="24">
      <c r="A7" s="195">
        <v>143</v>
      </c>
      <c r="B7" s="383" t="str">
        <f>VLOOKUP($A7&amp;B$2,TEXTDF,SPRCODE+1,FALSE)</f>
        <v>Rückstellungen für den Umlageschlüssel</v>
      </c>
      <c r="C7" s="453" t="s">
        <v>4071</v>
      </c>
      <c r="D7" s="389">
        <f>IF(ABS(E7-(H7+K7))&lt;5,0,jahr)</f>
        <v>0</v>
      </c>
      <c r="E7" s="211">
        <f>+BILANZ!F74-SUM(BILANZ!F69:F73)</f>
        <v>0</v>
      </c>
      <c r="F7" s="212">
        <f>+BILANZ!G74-SUM(BILANZ!G69:G73)</f>
        <v>0</v>
      </c>
      <c r="G7" s="400">
        <f>J7+M7</f>
        <v>0</v>
      </c>
      <c r="H7" s="788">
        <v>0</v>
      </c>
      <c r="I7" s="789">
        <v>0</v>
      </c>
      <c r="J7" s="790">
        <v>0</v>
      </c>
      <c r="K7" s="788">
        <v>0</v>
      </c>
      <c r="L7" s="789">
        <v>0</v>
      </c>
      <c r="M7" s="790">
        <v>0</v>
      </c>
      <c r="N7" s="182"/>
      <c r="O7" s="242" t="str">
        <f>IF($D7&lt;&gt;0,IF(SPRCODE=1,"Bitte Fehler im Berichtsjahr korrigieren","Corriger l'erreur pour l'année d'exercice, svp"),"ok")</f>
        <v>ok</v>
      </c>
    </row>
    <row r="8" spans="1:15">
      <c r="A8" s="195" t="s">
        <v>251</v>
      </c>
      <c r="B8" s="381" t="str">
        <f>VLOOKUP($A8&amp;B$2,TEXTDF,SPRCODE+1,FALSE)</f>
        <v>Teuerungsrückstellungen</v>
      </c>
      <c r="C8" s="385"/>
      <c r="D8" s="387"/>
      <c r="E8" s="211">
        <f>H8+K8</f>
        <v>0</v>
      </c>
      <c r="F8" s="212">
        <f>I8+L8</f>
        <v>0</v>
      </c>
      <c r="G8" s="400">
        <f>J8+M8</f>
        <v>0</v>
      </c>
      <c r="H8" s="206">
        <f t="shared" ref="H8:M8" si="0">H$163</f>
        <v>0</v>
      </c>
      <c r="I8" s="207">
        <f t="shared" si="0"/>
        <v>0</v>
      </c>
      <c r="J8" s="413">
        <f t="shared" si="0"/>
        <v>0</v>
      </c>
      <c r="K8" s="202">
        <f t="shared" si="0"/>
        <v>0</v>
      </c>
      <c r="L8" s="202">
        <f t="shared" si="0"/>
        <v>0</v>
      </c>
      <c r="M8" s="395">
        <f t="shared" si="0"/>
        <v>0</v>
      </c>
      <c r="N8" s="182"/>
      <c r="O8" s="242"/>
    </row>
    <row r="9" spans="1:15">
      <c r="A9" s="195">
        <v>146</v>
      </c>
      <c r="B9" s="434" t="str">
        <f>VLOOKUP($A9&amp;B$2,TEXTDF,SPRCODE+1,FALSE)</f>
        <v>Rückstellungen für den Umlageschlüssel</v>
      </c>
      <c r="C9" s="457"/>
      <c r="D9" s="486"/>
      <c r="E9" s="365">
        <f>H9+K9</f>
        <v>0</v>
      </c>
      <c r="F9" s="282">
        <f>I9+L9</f>
        <v>0</v>
      </c>
      <c r="G9" s="402">
        <f>J9+M9</f>
        <v>0</v>
      </c>
      <c r="H9" s="367">
        <f t="shared" ref="H9:M9" si="1">H$8+H$7</f>
        <v>0</v>
      </c>
      <c r="I9" s="283">
        <f t="shared" si="1"/>
        <v>0</v>
      </c>
      <c r="J9" s="414">
        <f t="shared" si="1"/>
        <v>0</v>
      </c>
      <c r="K9" s="284">
        <f t="shared" si="1"/>
        <v>0</v>
      </c>
      <c r="L9" s="284">
        <f t="shared" si="1"/>
        <v>0</v>
      </c>
      <c r="M9" s="397">
        <f t="shared" si="1"/>
        <v>0</v>
      </c>
      <c r="N9" s="182"/>
      <c r="O9" s="242"/>
    </row>
    <row r="10" spans="1:15" ht="20.25" customHeight="1">
      <c r="A10" s="195">
        <v>135</v>
      </c>
      <c r="B10" s="383" t="str">
        <f t="shared" ref="B10:C15" si="2">VLOOKUP($A10&amp;B$2,TEXTDF,SPRCODE+1,FALSE)</f>
        <v>Kapitalanlageerträge  a)</v>
      </c>
      <c r="C10" s="385" t="str">
        <f t="shared" si="2"/>
        <v>ER, 33</v>
      </c>
      <c r="D10" s="389">
        <f t="shared" ref="D10:D15" si="3">IF(ABS(E10-(H10+K10))&lt;5,0,jahr)</f>
        <v>0</v>
      </c>
      <c r="E10" s="211">
        <f>ER!$F$64</f>
        <v>0</v>
      </c>
      <c r="F10" s="212">
        <f>ER!$G$64</f>
        <v>0</v>
      </c>
      <c r="G10" s="400">
        <f t="shared" ref="G10:G16" si="4">J10+M10</f>
        <v>0</v>
      </c>
      <c r="H10" s="788">
        <v>0</v>
      </c>
      <c r="I10" s="789">
        <v>0</v>
      </c>
      <c r="J10" s="790">
        <v>0</v>
      </c>
      <c r="K10" s="789">
        <v>0</v>
      </c>
      <c r="L10" s="789">
        <v>0</v>
      </c>
      <c r="M10" s="790">
        <v>0</v>
      </c>
      <c r="N10" s="182"/>
      <c r="O10" s="242" t="str">
        <f t="shared" ref="O10:O15" si="5">IF($D10&lt;&gt;0,IF(SPRCODE=1,"Bitte Fehler im Berichtsjahr korrigieren","Corriger l'erreur pour l'année d'exercice, svp"),"ok")</f>
        <v>ok</v>
      </c>
    </row>
    <row r="11" spans="1:15">
      <c r="A11" s="195">
        <v>136</v>
      </c>
      <c r="B11" s="381" t="str">
        <f t="shared" si="2"/>
        <v>Gewinne minus Verluste aus Veräusserungen (+ = Gewinn)   a)</v>
      </c>
      <c r="C11" s="385" t="str">
        <f t="shared" si="2"/>
        <v>ER, 34 - 35</v>
      </c>
      <c r="D11" s="389">
        <f t="shared" si="3"/>
        <v>0</v>
      </c>
      <c r="E11" s="211">
        <f>ER!$F$65-ER!$F$66</f>
        <v>0</v>
      </c>
      <c r="F11" s="212">
        <f>ER!$G$65-ER!$G$66</f>
        <v>0</v>
      </c>
      <c r="G11" s="400">
        <f t="shared" si="4"/>
        <v>0</v>
      </c>
      <c r="H11" s="788">
        <v>0</v>
      </c>
      <c r="I11" s="789">
        <v>0</v>
      </c>
      <c r="J11" s="790">
        <v>0</v>
      </c>
      <c r="K11" s="789">
        <v>0</v>
      </c>
      <c r="L11" s="789">
        <v>0</v>
      </c>
      <c r="M11" s="790">
        <v>0</v>
      </c>
      <c r="N11" s="182"/>
      <c r="O11" s="242" t="str">
        <f t="shared" si="5"/>
        <v>ok</v>
      </c>
    </row>
    <row r="12" spans="1:15">
      <c r="A12" s="195">
        <v>137</v>
      </c>
      <c r="B12" s="381" t="str">
        <f t="shared" si="2"/>
        <v>Zuschreibungen (+)  minus Abschreibungen (-)   a)</v>
      </c>
      <c r="C12" s="385" t="str">
        <f t="shared" si="2"/>
        <v>ER, 36 - 37</v>
      </c>
      <c r="D12" s="389">
        <f t="shared" si="3"/>
        <v>0</v>
      </c>
      <c r="E12" s="211">
        <f>ER!$F$67-ER!$F$68</f>
        <v>0</v>
      </c>
      <c r="F12" s="212">
        <f>ER!$G$67-ER!$G$68</f>
        <v>0</v>
      </c>
      <c r="G12" s="400">
        <f t="shared" si="4"/>
        <v>0</v>
      </c>
      <c r="H12" s="788">
        <v>0</v>
      </c>
      <c r="I12" s="789">
        <v>0</v>
      </c>
      <c r="J12" s="790">
        <v>0</v>
      </c>
      <c r="K12" s="789">
        <v>0</v>
      </c>
      <c r="L12" s="789">
        <v>0</v>
      </c>
      <c r="M12" s="790">
        <v>0</v>
      </c>
      <c r="N12" s="182"/>
      <c r="O12" s="242" t="str">
        <f t="shared" si="5"/>
        <v>ok</v>
      </c>
    </row>
    <row r="13" spans="1:15">
      <c r="A13" s="195">
        <v>138</v>
      </c>
      <c r="B13" s="381" t="str">
        <f t="shared" si="2"/>
        <v>Währungsergebnis Kapitalanlagen (+ = Gewinn)   a)</v>
      </c>
      <c r="C13" s="385" t="str">
        <f t="shared" si="2"/>
        <v>ER, 38</v>
      </c>
      <c r="D13" s="389">
        <f t="shared" si="3"/>
        <v>0</v>
      </c>
      <c r="E13" s="211">
        <f>ER!$F$69</f>
        <v>0</v>
      </c>
      <c r="F13" s="212">
        <f>ER!$G$69</f>
        <v>0</v>
      </c>
      <c r="G13" s="400">
        <f t="shared" si="4"/>
        <v>0</v>
      </c>
      <c r="H13" s="788">
        <v>0</v>
      </c>
      <c r="I13" s="789">
        <v>0</v>
      </c>
      <c r="J13" s="790">
        <v>0</v>
      </c>
      <c r="K13" s="789">
        <v>0</v>
      </c>
      <c r="L13" s="789">
        <v>0</v>
      </c>
      <c r="M13" s="790">
        <v>0</v>
      </c>
      <c r="N13" s="182"/>
      <c r="O13" s="242" t="str">
        <f t="shared" si="5"/>
        <v>ok</v>
      </c>
    </row>
    <row r="14" spans="1:15">
      <c r="A14" s="195">
        <v>140</v>
      </c>
      <c r="B14" s="381" t="str">
        <f t="shared" si="2"/>
        <v>Aufwendungen für Bewirtschaftung Kapitalanlagen   a)</v>
      </c>
      <c r="C14" s="385" t="str">
        <f t="shared" si="2"/>
        <v>ER, 45</v>
      </c>
      <c r="D14" s="389">
        <f t="shared" si="3"/>
        <v>0</v>
      </c>
      <c r="E14" s="211">
        <f>ER!$F$81</f>
        <v>0</v>
      </c>
      <c r="F14" s="212">
        <f>ER!$G$81</f>
        <v>0</v>
      </c>
      <c r="G14" s="400">
        <f t="shared" si="4"/>
        <v>0</v>
      </c>
      <c r="H14" s="788">
        <v>0</v>
      </c>
      <c r="I14" s="789">
        <v>0</v>
      </c>
      <c r="J14" s="790">
        <v>0</v>
      </c>
      <c r="K14" s="789">
        <v>0</v>
      </c>
      <c r="L14" s="789">
        <v>0</v>
      </c>
      <c r="M14" s="790">
        <v>0</v>
      </c>
      <c r="N14" s="182"/>
      <c r="O14" s="242" t="str">
        <f t="shared" si="5"/>
        <v>ok</v>
      </c>
    </row>
    <row r="15" spans="1:15" ht="13.5" customHeight="1">
      <c r="A15" s="195">
        <v>141</v>
      </c>
      <c r="B15" s="381" t="str">
        <f t="shared" si="2"/>
        <v>Zinsaufwand   a)</v>
      </c>
      <c r="C15" s="385" t="str">
        <f t="shared" si="2"/>
        <v>ER, 42b</v>
      </c>
      <c r="D15" s="389">
        <f t="shared" si="3"/>
        <v>0</v>
      </c>
      <c r="E15" s="211">
        <f>ER!$F$75</f>
        <v>0</v>
      </c>
      <c r="F15" s="212">
        <f>ER!$G$75</f>
        <v>0</v>
      </c>
      <c r="G15" s="400">
        <f t="shared" si="4"/>
        <v>0</v>
      </c>
      <c r="H15" s="788">
        <v>0</v>
      </c>
      <c r="I15" s="789">
        <v>0</v>
      </c>
      <c r="J15" s="790">
        <v>0</v>
      </c>
      <c r="K15" s="789">
        <v>0</v>
      </c>
      <c r="L15" s="789">
        <v>0</v>
      </c>
      <c r="M15" s="790">
        <v>0</v>
      </c>
      <c r="N15" s="182"/>
      <c r="O15" s="242" t="str">
        <f t="shared" si="5"/>
        <v>ok</v>
      </c>
    </row>
    <row r="16" spans="1:15" ht="24.6" customHeight="1">
      <c r="A16" s="195">
        <v>142</v>
      </c>
      <c r="B16" s="437" t="str">
        <f>VLOOKUP($A16&amp;B$2,TEXTDF,SPRCODE+1,FALSE)</f>
        <v>Ertrag im Sparprozess (Sparkomponente) 
= 135 + 136 + 137 + 138 - 140 - 141</v>
      </c>
      <c r="C16" s="485"/>
      <c r="D16" s="443"/>
      <c r="E16" s="365">
        <f>H16+K16</f>
        <v>0</v>
      </c>
      <c r="F16" s="282">
        <f>I16+L16</f>
        <v>0</v>
      </c>
      <c r="G16" s="402">
        <f t="shared" si="4"/>
        <v>0</v>
      </c>
      <c r="H16" s="367">
        <f t="shared" ref="H16:M16" si="6">H$10+H$11+H$12+H$13-H$14-H$15</f>
        <v>0</v>
      </c>
      <c r="I16" s="283">
        <f t="shared" si="6"/>
        <v>0</v>
      </c>
      <c r="J16" s="414">
        <f t="shared" si="6"/>
        <v>0</v>
      </c>
      <c r="K16" s="284">
        <f t="shared" si="6"/>
        <v>0</v>
      </c>
      <c r="L16" s="284">
        <f t="shared" si="6"/>
        <v>0</v>
      </c>
      <c r="M16" s="397">
        <f t="shared" si="6"/>
        <v>0</v>
      </c>
      <c r="N16" s="183"/>
      <c r="O16" s="242" t="e">
        <f>IF(K16/E16&gt;K9/E9+0.5%,IF(SPRCODE=1,"Umlage nMQ überprop. zu den techn. Rückstellungen. Umlageschlüssel im Begleitbericht erläutern.","Répartition QPnM surprop. aux prov. techniques. Clé de rép. à expliquer au rapport explicatif."),"ok")</f>
        <v>#DIV/0!</v>
      </c>
    </row>
    <row r="17" spans="1:15" ht="7.15" customHeight="1">
      <c r="A17" s="649"/>
      <c r="B17" s="432"/>
      <c r="C17" s="433"/>
      <c r="D17" s="389"/>
      <c r="E17" s="504"/>
      <c r="F17" s="505"/>
      <c r="G17" s="506"/>
      <c r="H17" s="500"/>
      <c r="I17" s="501"/>
      <c r="J17" s="502"/>
      <c r="K17" s="496"/>
      <c r="L17" s="497"/>
      <c r="M17" s="498"/>
      <c r="N17" s="280"/>
      <c r="O17" s="304"/>
    </row>
    <row r="18" spans="1:15">
      <c r="A18" s="195">
        <v>147</v>
      </c>
      <c r="B18" s="476" t="str">
        <f>VLOOKUP($A18&amp;B$2,TEXTDF,SPRCODE+1,FALSE)</f>
        <v>Entscheidungsgrösse für ertrags- / ergebnisbasierte MQ (Art. 147 Abs. 2 AVO)</v>
      </c>
      <c r="C18" s="433"/>
      <c r="D18" s="389"/>
      <c r="E18" s="504"/>
      <c r="F18" s="505"/>
      <c r="G18" s="506"/>
      <c r="H18" s="544">
        <f>IF(H$9&gt;0,H$16/(H$9+I$9)*2,0)</f>
        <v>0</v>
      </c>
      <c r="I18" s="545">
        <f>IF(I$9&gt;0,I$16/(I$9+J$9)*2,0)</f>
        <v>0</v>
      </c>
      <c r="J18" s="546">
        <v>0</v>
      </c>
      <c r="K18" s="535"/>
      <c r="L18" s="536"/>
      <c r="M18" s="537"/>
      <c r="N18" s="291"/>
      <c r="O18" s="242"/>
    </row>
    <row r="19" spans="1:15" ht="15.75" customHeight="1">
      <c r="A19" s="195">
        <v>148</v>
      </c>
      <c r="B19" s="381" t="str">
        <f>VLOOKUP($A19&amp;B$2,TEXTDF,SPRCODE+1,FALSE)</f>
        <v>BVG-Mindestzinssatz</v>
      </c>
      <c r="C19" s="385"/>
      <c r="D19" s="387"/>
      <c r="E19" s="550"/>
      <c r="F19" s="508"/>
      <c r="G19" s="512"/>
      <c r="H19" s="551">
        <f>VLOOKUP(jahr,BVGMindestzinssatz,2)</f>
        <v>0.01</v>
      </c>
      <c r="I19" s="552">
        <f>VLOOKUP(jahr-1,BVGMindestzinssatz,2)</f>
        <v>0.01</v>
      </c>
      <c r="J19" s="553">
        <f>VLOOKUP(jahr-2,BVGMindestzinssatz,2)</f>
        <v>0.01</v>
      </c>
      <c r="K19" s="499"/>
      <c r="L19" s="499"/>
      <c r="M19" s="526"/>
      <c r="N19" s="292"/>
      <c r="O19" s="304"/>
    </row>
    <row r="20" spans="1:15" ht="27.75" customHeight="1">
      <c r="A20" s="195">
        <v>149</v>
      </c>
      <c r="B20" s="382" t="str">
        <f>VLOOKUP($A20&amp;B$2,TEXTDF,SPRCODE+1,FALSE)</f>
        <v>Wird Sonderregelung von Art. 147 Abs. 2 AVO aktiv? 
(Bedingung:  Zeile 147  &gt;=  6%  &amp;  Zeile 148  &lt;=  2/3 von Zeile 147)</v>
      </c>
      <c r="C20" s="253"/>
      <c r="D20" s="389"/>
      <c r="E20" s="507"/>
      <c r="F20" s="509"/>
      <c r="G20" s="510"/>
      <c r="H20" s="547" t="str">
        <f>IF(AND(H$18&gt;=0.06,H$19&lt;=2/3*H$18),IF(SPRCODE = 1,"Ja","Oui"),IF(SPRCODE = 1,"Nein","Non"))</f>
        <v>Nein</v>
      </c>
      <c r="I20" s="548" t="str">
        <f>IF(AND(I$18&gt;=0.06,I$19&lt;=2/3*I$18),IF(SPRCODE = 1,"Ja","Oui"),IF(SPRCODE = 1,"Nein","Non"))</f>
        <v>Nein</v>
      </c>
      <c r="J20" s="549" t="str">
        <f>IF(AND(J$18&gt;=0.06,J$19&lt;=2/3*J$18),IF(SPRCODE = 1,"Ja","Oui"),IF(SPRCODE = 1,"Nein","Non"))</f>
        <v>Nein</v>
      </c>
      <c r="K20" s="908" t="str">
        <f>VLOOKUP($A20&amp;K$2,TEXTDF,SPRCODE+1,FALSE)</f>
        <v xml:space="preserve">   Ja:     Ergebnisbasierte Mindestquote
   Nein:  Ertragsbasierte Mindestquote</v>
      </c>
      <c r="L20" s="909"/>
      <c r="M20" s="910"/>
      <c r="N20" s="293"/>
    </row>
    <row r="21" spans="1:15" ht="19.5" customHeight="1">
      <c r="A21" s="195">
        <v>150</v>
      </c>
      <c r="B21" s="381" t="str">
        <f t="shared" ref="B21:B33" si="7">VLOOKUP($A21&amp;B$2,TEXTDF,SPRCODE+1,FALSE)</f>
        <v>Garantierte technische Zinsen (einschl. techn. Zins im Risikoprozess)</v>
      </c>
      <c r="C21" s="385"/>
      <c r="D21" s="387"/>
      <c r="E21" s="211">
        <f>H21+K21</f>
        <v>0</v>
      </c>
      <c r="F21" s="212">
        <f>I21+L21</f>
        <v>0</v>
      </c>
      <c r="G21" s="400">
        <f>J21+M21</f>
        <v>0</v>
      </c>
      <c r="H21" s="788">
        <v>0</v>
      </c>
      <c r="I21" s="789">
        <v>0</v>
      </c>
      <c r="J21" s="790">
        <v>0</v>
      </c>
      <c r="K21" s="789">
        <v>0</v>
      </c>
      <c r="L21" s="789">
        <v>0</v>
      </c>
      <c r="M21" s="790">
        <v>0</v>
      </c>
      <c r="N21" s="182"/>
      <c r="O21" s="304"/>
    </row>
    <row r="22" spans="1:15">
      <c r="A22" s="195">
        <v>154</v>
      </c>
      <c r="B22" s="381" t="str">
        <f t="shared" si="7"/>
        <v>Gewinne minus Verluste aus Rückkäufen und Übernahmen (+ = Gewinn)</v>
      </c>
      <c r="C22" s="385"/>
      <c r="D22" s="387"/>
      <c r="E22" s="211">
        <f t="shared" ref="E22:G27" si="8">H22+K22</f>
        <v>0</v>
      </c>
      <c r="F22" s="212">
        <f t="shared" si="8"/>
        <v>0</v>
      </c>
      <c r="G22" s="400">
        <f t="shared" si="8"/>
        <v>0</v>
      </c>
      <c r="H22" s="788">
        <v>0</v>
      </c>
      <c r="I22" s="789">
        <v>0</v>
      </c>
      <c r="J22" s="790">
        <v>0</v>
      </c>
      <c r="K22" s="789">
        <v>0</v>
      </c>
      <c r="L22" s="789">
        <v>0</v>
      </c>
      <c r="M22" s="790">
        <v>0</v>
      </c>
      <c r="N22" s="182"/>
      <c r="O22" s="304"/>
    </row>
    <row r="23" spans="1:15">
      <c r="A23" s="195">
        <v>155</v>
      </c>
      <c r="B23" s="449" t="str">
        <f t="shared" si="7"/>
        <v>Aufwand für garantierte nicht ausfinanzierte Rentenanteile</v>
      </c>
      <c r="C23" s="453"/>
      <c r="D23" s="452"/>
      <c r="E23" s="211">
        <f t="shared" si="8"/>
        <v>0</v>
      </c>
      <c r="F23" s="212">
        <f t="shared" si="8"/>
        <v>0</v>
      </c>
      <c r="G23" s="400">
        <f t="shared" si="8"/>
        <v>0</v>
      </c>
      <c r="H23" s="788">
        <v>0</v>
      </c>
      <c r="I23" s="789">
        <v>0</v>
      </c>
      <c r="J23" s="790">
        <v>0</v>
      </c>
      <c r="K23" s="789">
        <v>0</v>
      </c>
      <c r="L23" s="789">
        <v>0</v>
      </c>
      <c r="M23" s="790">
        <v>0</v>
      </c>
      <c r="N23" s="182"/>
      <c r="O23" s="304"/>
    </row>
    <row r="24" spans="1:15" ht="24">
      <c r="A24" s="195" t="s">
        <v>1148</v>
      </c>
      <c r="B24" s="449" t="str">
        <f t="shared" si="7"/>
        <v>Veränderung der Rückstellung für eingetretene, noch nicht erledigte Leistungsfälle brutto (Zunahme = +)</v>
      </c>
      <c r="C24" s="453"/>
      <c r="D24" s="389">
        <f>D$35</f>
        <v>0</v>
      </c>
      <c r="E24" s="211">
        <f>H24+K24</f>
        <v>0</v>
      </c>
      <c r="F24" s="212">
        <f t="shared" si="8"/>
        <v>0</v>
      </c>
      <c r="G24" s="400">
        <f t="shared" si="8"/>
        <v>0</v>
      </c>
      <c r="H24" s="788">
        <v>0</v>
      </c>
      <c r="I24" s="789">
        <v>0</v>
      </c>
      <c r="J24" s="790">
        <v>0</v>
      </c>
      <c r="K24" s="789">
        <v>0</v>
      </c>
      <c r="L24" s="789">
        <v>0</v>
      </c>
      <c r="M24" s="790">
        <v>0</v>
      </c>
      <c r="N24" s="182"/>
      <c r="O24" s="242" t="str">
        <f>IF($D24&lt;&gt;0,IF(SPRCODE=1,"Siehe Meldung in Pos. 167a.","Voir message sous pos. 167a." ),"ok")</f>
        <v>ok</v>
      </c>
    </row>
    <row r="25" spans="1:15">
      <c r="A25" s="195">
        <v>156</v>
      </c>
      <c r="B25" s="449" t="str">
        <f t="shared" si="7"/>
        <v>Abwicklungsergebnis im Sparprozess (+ = Gewinn)  c)</v>
      </c>
      <c r="C25" s="453"/>
      <c r="D25" s="452"/>
      <c r="E25" s="211">
        <f t="shared" si="8"/>
        <v>0</v>
      </c>
      <c r="F25" s="212">
        <f t="shared" si="8"/>
        <v>0</v>
      </c>
      <c r="G25" s="400">
        <f t="shared" si="8"/>
        <v>0</v>
      </c>
      <c r="H25" s="788">
        <v>0</v>
      </c>
      <c r="I25" s="789">
        <v>0</v>
      </c>
      <c r="J25" s="790">
        <v>0</v>
      </c>
      <c r="K25" s="789">
        <v>0</v>
      </c>
      <c r="L25" s="789">
        <v>0</v>
      </c>
      <c r="M25" s="790">
        <v>0</v>
      </c>
      <c r="N25" s="182"/>
      <c r="O25" s="304"/>
    </row>
    <row r="26" spans="1:15" ht="12.75" customHeight="1">
      <c r="A26" s="195">
        <v>157</v>
      </c>
      <c r="B26" s="449" t="str">
        <f t="shared" si="7"/>
        <v>Leistungsbearbeitungsaufwendungen im Sparprozess  d)</v>
      </c>
      <c r="C26" s="385" t="str">
        <f>VLOOKUP($A26&amp;C$2,TEXTDF,SPRCODE+1,FALSE)</f>
        <v>157+172=ER, 11</v>
      </c>
      <c r="D26" s="389">
        <f>IF(ABS(ER!$F$19-($E$26+$E$43))&lt;5,0,jahr)</f>
        <v>0</v>
      </c>
      <c r="E26" s="211">
        <f t="shared" si="8"/>
        <v>0</v>
      </c>
      <c r="F26" s="212">
        <f t="shared" si="8"/>
        <v>0</v>
      </c>
      <c r="G26" s="400">
        <f t="shared" si="8"/>
        <v>0</v>
      </c>
      <c r="H26" s="788">
        <v>0</v>
      </c>
      <c r="I26" s="789">
        <v>0</v>
      </c>
      <c r="J26" s="790">
        <v>0</v>
      </c>
      <c r="K26" s="789">
        <v>0</v>
      </c>
      <c r="L26" s="789">
        <v>0</v>
      </c>
      <c r="M26" s="790">
        <v>0</v>
      </c>
      <c r="N26" s="182"/>
      <c r="O26" s="242" t="str">
        <f>IF($D26&lt;&gt;0,IF(SPRCODE=1,"Bitte Fehler im Berichtsjahr korrigieren","Corriger l'erreur pour l'année d'exercice, svp"),"ok")</f>
        <v>ok</v>
      </c>
    </row>
    <row r="27" spans="1:15" ht="27" customHeight="1">
      <c r="A27" s="195">
        <v>158</v>
      </c>
      <c r="B27" s="437" t="str">
        <f t="shared" si="7"/>
        <v>Aufwand im Sparprozess 
= 150 - 154 + 155 + 155a - 156 + 157</v>
      </c>
      <c r="C27" s="442"/>
      <c r="D27" s="443"/>
      <c r="E27" s="365">
        <f t="shared" si="8"/>
        <v>0</v>
      </c>
      <c r="F27" s="282">
        <f t="shared" si="8"/>
        <v>0</v>
      </c>
      <c r="G27" s="402">
        <f t="shared" si="8"/>
        <v>0</v>
      </c>
      <c r="H27" s="367">
        <f t="shared" ref="H27:M27" si="9">H$21-H$22+H$23+H$24-H$25+H$26</f>
        <v>0</v>
      </c>
      <c r="I27" s="283">
        <f t="shared" si="9"/>
        <v>0</v>
      </c>
      <c r="J27" s="414">
        <f t="shared" si="9"/>
        <v>0</v>
      </c>
      <c r="K27" s="284">
        <f t="shared" si="9"/>
        <v>0</v>
      </c>
      <c r="L27" s="284">
        <f t="shared" si="9"/>
        <v>0</v>
      </c>
      <c r="M27" s="397">
        <f t="shared" si="9"/>
        <v>0</v>
      </c>
      <c r="N27" s="182"/>
      <c r="O27" s="304"/>
    </row>
    <row r="28" spans="1:15" ht="19.5" customHeight="1" thickBot="1">
      <c r="A28" s="195">
        <v>159</v>
      </c>
      <c r="B28" s="434" t="str">
        <f t="shared" si="7"/>
        <v>Ergebnis im Sparprozess  = 142 - 158</v>
      </c>
      <c r="C28" s="435"/>
      <c r="D28" s="436"/>
      <c r="E28" s="224">
        <f>H28+K28</f>
        <v>0</v>
      </c>
      <c r="F28" s="225">
        <f>I28+L28</f>
        <v>0</v>
      </c>
      <c r="G28" s="403">
        <f>J28+M28</f>
        <v>0</v>
      </c>
      <c r="H28" s="416">
        <f t="shared" ref="H28:M28" si="10">H$16-H$27</f>
        <v>0</v>
      </c>
      <c r="I28" s="227">
        <f t="shared" si="10"/>
        <v>0</v>
      </c>
      <c r="J28" s="417">
        <f t="shared" si="10"/>
        <v>0</v>
      </c>
      <c r="K28" s="229">
        <f t="shared" si="10"/>
        <v>0</v>
      </c>
      <c r="L28" s="229">
        <f t="shared" si="10"/>
        <v>0</v>
      </c>
      <c r="M28" s="398">
        <f t="shared" si="10"/>
        <v>0</v>
      </c>
      <c r="N28" s="182"/>
      <c r="O28" s="304"/>
    </row>
    <row r="29" spans="1:15" ht="21.75" customHeight="1" thickTop="1">
      <c r="A29" s="441" t="s">
        <v>1102</v>
      </c>
      <c r="B29" s="432" t="str">
        <f t="shared" si="7"/>
        <v>Risikoprozess (Art. 144 AVO)</v>
      </c>
      <c r="C29" s="433"/>
      <c r="D29" s="389"/>
      <c r="E29" s="504"/>
      <c r="F29" s="505"/>
      <c r="G29" s="506"/>
      <c r="H29" s="500"/>
      <c r="I29" s="501"/>
      <c r="J29" s="502"/>
      <c r="K29" s="497"/>
      <c r="L29" s="497"/>
      <c r="M29" s="527"/>
      <c r="N29" s="17"/>
      <c r="O29" s="304"/>
    </row>
    <row r="30" spans="1:15">
      <c r="A30" s="195">
        <v>160</v>
      </c>
      <c r="B30" s="381" t="str">
        <f t="shared" si="7"/>
        <v>Risikoprämien Todesfall</v>
      </c>
      <c r="C30" s="385"/>
      <c r="D30" s="387"/>
      <c r="E30" s="211">
        <f t="shared" ref="E30:G33" si="11">H30+K30</f>
        <v>0</v>
      </c>
      <c r="F30" s="212">
        <f t="shared" si="11"/>
        <v>0</v>
      </c>
      <c r="G30" s="400">
        <f t="shared" si="11"/>
        <v>0</v>
      </c>
      <c r="H30" s="788">
        <v>0</v>
      </c>
      <c r="I30" s="789">
        <v>0</v>
      </c>
      <c r="J30" s="790">
        <v>0</v>
      </c>
      <c r="K30" s="789">
        <v>0</v>
      </c>
      <c r="L30" s="789">
        <v>0</v>
      </c>
      <c r="M30" s="790">
        <v>0</v>
      </c>
      <c r="N30" s="182"/>
      <c r="O30" s="304"/>
    </row>
    <row r="31" spans="1:15">
      <c r="A31" s="195">
        <v>161</v>
      </c>
      <c r="B31" s="482" t="str">
        <f t="shared" si="7"/>
        <v>Risikoprämien Invalidität</v>
      </c>
      <c r="C31" s="483"/>
      <c r="D31" s="484"/>
      <c r="E31" s="211">
        <f t="shared" si="11"/>
        <v>0</v>
      </c>
      <c r="F31" s="212">
        <f t="shared" si="11"/>
        <v>0</v>
      </c>
      <c r="G31" s="400">
        <f t="shared" si="11"/>
        <v>0</v>
      </c>
      <c r="H31" s="788">
        <v>0</v>
      </c>
      <c r="I31" s="789">
        <v>0</v>
      </c>
      <c r="J31" s="790">
        <v>0</v>
      </c>
      <c r="K31" s="789">
        <v>0</v>
      </c>
      <c r="L31" s="789">
        <v>0</v>
      </c>
      <c r="M31" s="790">
        <v>0</v>
      </c>
      <c r="N31" s="182"/>
      <c r="O31" s="304"/>
    </row>
    <row r="32" spans="1:15">
      <c r="A32" s="195">
        <v>162</v>
      </c>
      <c r="B32" s="381" t="str">
        <f t="shared" si="7"/>
        <v>Risikoprämien übrige versicherte Risiken  e)</v>
      </c>
      <c r="C32" s="385"/>
      <c r="D32" s="387"/>
      <c r="E32" s="211">
        <f t="shared" si="11"/>
        <v>0</v>
      </c>
      <c r="F32" s="212">
        <f t="shared" si="11"/>
        <v>0</v>
      </c>
      <c r="G32" s="400">
        <f t="shared" si="11"/>
        <v>0</v>
      </c>
      <c r="H32" s="788">
        <v>0</v>
      </c>
      <c r="I32" s="789">
        <v>0</v>
      </c>
      <c r="J32" s="790">
        <v>0</v>
      </c>
      <c r="K32" s="789">
        <v>0</v>
      </c>
      <c r="L32" s="789">
        <v>0</v>
      </c>
      <c r="M32" s="790">
        <v>0</v>
      </c>
      <c r="N32" s="182"/>
      <c r="O32" s="304"/>
    </row>
    <row r="33" spans="1:15" ht="24" customHeight="1">
      <c r="A33" s="195">
        <v>163</v>
      </c>
      <c r="B33" s="437" t="str">
        <f t="shared" si="7"/>
        <v>Ertrag im Risikoprozess (Risikokomponente)
= 160 + 161 + 162</v>
      </c>
      <c r="C33" s="442"/>
      <c r="D33" s="443"/>
      <c r="E33" s="365">
        <f t="shared" si="11"/>
        <v>0</v>
      </c>
      <c r="F33" s="282">
        <f t="shared" si="11"/>
        <v>0</v>
      </c>
      <c r="G33" s="402">
        <f t="shared" si="11"/>
        <v>0</v>
      </c>
      <c r="H33" s="367">
        <f t="shared" ref="H33:M33" si="12">H$30+H$31+H$32</f>
        <v>0</v>
      </c>
      <c r="I33" s="283">
        <f t="shared" si="12"/>
        <v>0</v>
      </c>
      <c r="J33" s="414">
        <f t="shared" si="12"/>
        <v>0</v>
      </c>
      <c r="K33" s="284">
        <f t="shared" si="12"/>
        <v>0</v>
      </c>
      <c r="L33" s="284">
        <f t="shared" si="12"/>
        <v>0</v>
      </c>
      <c r="M33" s="397">
        <f t="shared" si="12"/>
        <v>0</v>
      </c>
      <c r="N33" s="183"/>
      <c r="O33" s="304"/>
    </row>
    <row r="34" spans="1:15" ht="16.5" customHeight="1">
      <c r="A34" s="195">
        <v>164</v>
      </c>
      <c r="B34" s="383" t="str">
        <f t="shared" ref="B34:C45" si="13">VLOOKUP($A34&amp;B$2,TEXTDF,SPRCODE+1,FALSE)</f>
        <v>Versicherungsleistungen Todesfall</v>
      </c>
      <c r="C34" s="385"/>
      <c r="D34" s="387"/>
      <c r="E34" s="211">
        <f t="shared" ref="E34:G36" si="14">H34+K34</f>
        <v>0</v>
      </c>
      <c r="F34" s="212">
        <f t="shared" si="14"/>
        <v>0</v>
      </c>
      <c r="G34" s="400">
        <f t="shared" si="14"/>
        <v>0</v>
      </c>
      <c r="H34" s="788">
        <v>0</v>
      </c>
      <c r="I34" s="789">
        <v>0</v>
      </c>
      <c r="J34" s="790">
        <v>0</v>
      </c>
      <c r="K34" s="789">
        <v>0</v>
      </c>
      <c r="L34" s="789">
        <v>0</v>
      </c>
      <c r="M34" s="790">
        <v>0</v>
      </c>
      <c r="N34" s="182"/>
      <c r="O34" s="304"/>
    </row>
    <row r="35" spans="1:15">
      <c r="A35" s="195" t="s">
        <v>532</v>
      </c>
      <c r="B35" s="381" t="str">
        <f t="shared" si="13"/>
        <v>Veränd. Rückst. für gemeldete noch nicht erl. Todesfälle (+ = Zunahme)</v>
      </c>
      <c r="C35" s="385" t="str">
        <f t="shared" si="13"/>
        <v>Meldung &gt;&gt;&gt;</v>
      </c>
      <c r="D35" s="389">
        <f>IF(ABS(ER!$F$39-($E$24+($E$35+$E$36)+($E$38+$E$39)+($E$89+$E$91)))&lt;5,0,jahr)</f>
        <v>0</v>
      </c>
      <c r="E35" s="211">
        <f t="shared" si="14"/>
        <v>0</v>
      </c>
      <c r="F35" s="212">
        <f t="shared" si="14"/>
        <v>0</v>
      </c>
      <c r="G35" s="400">
        <f t="shared" si="14"/>
        <v>0</v>
      </c>
      <c r="H35" s="788">
        <v>0</v>
      </c>
      <c r="I35" s="789">
        <v>0</v>
      </c>
      <c r="J35" s="790">
        <v>0</v>
      </c>
      <c r="K35" s="789">
        <v>0</v>
      </c>
      <c r="L35" s="789">
        <v>0</v>
      </c>
      <c r="M35" s="790">
        <v>0</v>
      </c>
      <c r="N35" s="182"/>
      <c r="O35" s="242" t="str">
        <f>IF($D35&lt;&gt;0,IF(SPRCODE=1,"ER Pos. 16 &lt;&gt; Pos. 155a + 167a + 167b + 169a + 169b + 201a + 202: Bitte diese Positionen im Begleitbericht spezifizieren.","CR pos. 16 &lt;&gt; pos. 155a + 167a + 167b + 169a + 169b + 201a + 202: SVP préciser en détail ces positions dans le rapport explicatif."),"ok")</f>
        <v>ok</v>
      </c>
    </row>
    <row r="36" spans="1:15">
      <c r="A36" s="195" t="s">
        <v>533</v>
      </c>
      <c r="B36" s="381" t="str">
        <f t="shared" si="13"/>
        <v>Veränd. Rückst. für eingetr. noch nicht gem. Todesfälle (+ = Zunahme)</v>
      </c>
      <c r="C36" s="385"/>
      <c r="D36" s="389">
        <f>D$35</f>
        <v>0</v>
      </c>
      <c r="E36" s="211">
        <f t="shared" si="14"/>
        <v>0</v>
      </c>
      <c r="F36" s="212">
        <f t="shared" si="14"/>
        <v>0</v>
      </c>
      <c r="G36" s="400">
        <f t="shared" si="14"/>
        <v>0</v>
      </c>
      <c r="H36" s="788">
        <v>0</v>
      </c>
      <c r="I36" s="789">
        <v>0</v>
      </c>
      <c r="J36" s="790">
        <v>0</v>
      </c>
      <c r="K36" s="789">
        <v>0</v>
      </c>
      <c r="L36" s="789">
        <v>0</v>
      </c>
      <c r="M36" s="790">
        <v>0</v>
      </c>
      <c r="N36" s="182"/>
      <c r="O36" s="242" t="str">
        <f>IF($D36&lt;&gt;0,IF(SPRCODE=1,"Siehe Meldung in Pos. 167a.","Voir message sous pos. 167a."),"ok")</f>
        <v>ok</v>
      </c>
    </row>
    <row r="37" spans="1:15">
      <c r="A37" s="195">
        <v>168</v>
      </c>
      <c r="B37" s="381" t="str">
        <f t="shared" si="13"/>
        <v>Versicherungsleistungen Invalidität</v>
      </c>
      <c r="C37" s="385"/>
      <c r="D37" s="387"/>
      <c r="E37" s="211">
        <f t="shared" ref="E37:F39" si="15">H37+K37</f>
        <v>0</v>
      </c>
      <c r="F37" s="212">
        <f t="shared" si="15"/>
        <v>0</v>
      </c>
      <c r="G37" s="400">
        <f t="shared" ref="G37:G45" si="16">J37+M37</f>
        <v>0</v>
      </c>
      <c r="H37" s="788">
        <v>0</v>
      </c>
      <c r="I37" s="789">
        <v>0</v>
      </c>
      <c r="J37" s="790">
        <v>0</v>
      </c>
      <c r="K37" s="789">
        <v>0</v>
      </c>
      <c r="L37" s="789">
        <v>0</v>
      </c>
      <c r="M37" s="790">
        <v>0</v>
      </c>
      <c r="N37" s="182"/>
      <c r="O37" s="304"/>
    </row>
    <row r="38" spans="1:15">
      <c r="A38" s="195" t="s">
        <v>534</v>
      </c>
      <c r="B38" s="381" t="str">
        <f t="shared" si="13"/>
        <v>Veränd. Rückst. für gem. noch nicht erl. Invaliditätsfälle (+ = Zunahme)</v>
      </c>
      <c r="C38" s="385"/>
      <c r="D38" s="389">
        <f>D$35</f>
        <v>0</v>
      </c>
      <c r="E38" s="211">
        <f t="shared" si="15"/>
        <v>0</v>
      </c>
      <c r="F38" s="212">
        <f t="shared" si="15"/>
        <v>0</v>
      </c>
      <c r="G38" s="400">
        <f t="shared" si="16"/>
        <v>0</v>
      </c>
      <c r="H38" s="788">
        <v>0</v>
      </c>
      <c r="I38" s="789">
        <v>0</v>
      </c>
      <c r="J38" s="790">
        <v>0</v>
      </c>
      <c r="K38" s="789">
        <v>0</v>
      </c>
      <c r="L38" s="789">
        <v>0</v>
      </c>
      <c r="M38" s="790">
        <v>0</v>
      </c>
      <c r="N38" s="182"/>
      <c r="O38" s="242" t="str">
        <f>IF($D38&lt;&gt;0,IF(SPRCODE=1,"Siehe Meldung in Pos. 167a.","Voir message sous pos. 167a."),"ok")</f>
        <v>ok</v>
      </c>
    </row>
    <row r="39" spans="1:15">
      <c r="A39" s="195" t="s">
        <v>535</v>
      </c>
      <c r="B39" s="381" t="str">
        <f t="shared" si="13"/>
        <v>Veränd. Rückst. für eingetret. noch nicht gem. Invaliditätsfälle (+ = Zun.)</v>
      </c>
      <c r="C39" s="385"/>
      <c r="D39" s="389">
        <f>D$35</f>
        <v>0</v>
      </c>
      <c r="E39" s="211">
        <f t="shared" si="15"/>
        <v>0</v>
      </c>
      <c r="F39" s="212">
        <f t="shared" si="15"/>
        <v>0</v>
      </c>
      <c r="G39" s="400">
        <f t="shared" si="16"/>
        <v>0</v>
      </c>
      <c r="H39" s="788">
        <v>0</v>
      </c>
      <c r="I39" s="789">
        <v>0</v>
      </c>
      <c r="J39" s="790">
        <v>0</v>
      </c>
      <c r="K39" s="789">
        <v>0</v>
      </c>
      <c r="L39" s="789">
        <v>0</v>
      </c>
      <c r="M39" s="790">
        <v>0</v>
      </c>
      <c r="N39" s="182"/>
      <c r="O39" s="242" t="str">
        <f>IF($D39&lt;&gt;0,IF(SPRCODE=1,"Siehe Meldung in Pos. 167a.","Voir message sous pos. 167a."),"ok")</f>
        <v>ok</v>
      </c>
    </row>
    <row r="40" spans="1:15">
      <c r="A40" s="195" t="s">
        <v>2513</v>
      </c>
      <c r="B40" s="381" t="str">
        <f t="shared" si="13"/>
        <v>Gewinne minus Verluste aus Rückkäufen und Übernahmen (+ = Gewinn)</v>
      </c>
      <c r="C40" s="385"/>
      <c r="D40" s="389"/>
      <c r="E40" s="211">
        <f t="shared" ref="E40:F43" si="17">H40+K40</f>
        <v>0</v>
      </c>
      <c r="F40" s="212">
        <f>I40+L40</f>
        <v>0</v>
      </c>
      <c r="G40" s="400">
        <f t="shared" si="16"/>
        <v>0</v>
      </c>
      <c r="H40" s="788">
        <v>0</v>
      </c>
      <c r="I40" s="789">
        <v>0</v>
      </c>
      <c r="J40" s="790">
        <v>0</v>
      </c>
      <c r="K40" s="789">
        <v>0</v>
      </c>
      <c r="L40" s="789">
        <v>0</v>
      </c>
      <c r="M40" s="790">
        <v>0</v>
      </c>
      <c r="N40" s="182"/>
      <c r="O40" s="304"/>
    </row>
    <row r="41" spans="1:15" ht="13.15" customHeight="1">
      <c r="A41" s="195" t="s">
        <v>541</v>
      </c>
      <c r="B41" s="449" t="str">
        <f t="shared" si="13"/>
        <v>Abwicklungsergebnis im Risikoproz., nur Todesfälle (+ = Gewinn)  f)</v>
      </c>
      <c r="C41" s="385"/>
      <c r="D41" s="387"/>
      <c r="E41" s="211">
        <f t="shared" si="17"/>
        <v>0</v>
      </c>
      <c r="F41" s="212">
        <f t="shared" si="17"/>
        <v>0</v>
      </c>
      <c r="G41" s="400">
        <f t="shared" si="16"/>
        <v>0</v>
      </c>
      <c r="H41" s="788">
        <v>0</v>
      </c>
      <c r="I41" s="789">
        <v>0</v>
      </c>
      <c r="J41" s="790">
        <v>0</v>
      </c>
      <c r="K41" s="789">
        <v>0</v>
      </c>
      <c r="L41" s="789">
        <v>0</v>
      </c>
      <c r="M41" s="790">
        <v>0</v>
      </c>
      <c r="N41" s="182"/>
      <c r="O41" s="304"/>
    </row>
    <row r="42" spans="1:15" ht="13.15" customHeight="1">
      <c r="A42" s="195" t="s">
        <v>542</v>
      </c>
      <c r="B42" s="449" t="str">
        <f t="shared" si="13"/>
        <v>Abw.ergebnis im Risikoproz., nur Invaliditätsfälle (+ = Gewinn)  f)</v>
      </c>
      <c r="C42" s="385"/>
      <c r="D42" s="387"/>
      <c r="E42" s="211">
        <f t="shared" si="17"/>
        <v>0</v>
      </c>
      <c r="F42" s="212">
        <f t="shared" si="17"/>
        <v>0</v>
      </c>
      <c r="G42" s="400">
        <f t="shared" si="16"/>
        <v>0</v>
      </c>
      <c r="H42" s="788">
        <v>0</v>
      </c>
      <c r="I42" s="789">
        <v>0</v>
      </c>
      <c r="J42" s="790">
        <v>0</v>
      </c>
      <c r="K42" s="789">
        <v>0</v>
      </c>
      <c r="L42" s="789">
        <v>0</v>
      </c>
      <c r="M42" s="790">
        <v>0</v>
      </c>
      <c r="N42" s="182"/>
      <c r="O42" s="304"/>
    </row>
    <row r="43" spans="1:15">
      <c r="A43" s="195">
        <v>172</v>
      </c>
      <c r="B43" s="449" t="str">
        <f t="shared" si="13"/>
        <v>Leistungsbearbeitungsaufwendungen im Risikoprozess  g)</v>
      </c>
      <c r="C43" s="385" t="str">
        <f t="shared" si="13"/>
        <v>157+172=ER, 11</v>
      </c>
      <c r="D43" s="389">
        <f>IF(ABS(ER!$F$19-($E$26+$E$43))&lt;5,0,jahr)</f>
        <v>0</v>
      </c>
      <c r="E43" s="211">
        <f t="shared" si="17"/>
        <v>0</v>
      </c>
      <c r="F43" s="212">
        <f t="shared" si="17"/>
        <v>0</v>
      </c>
      <c r="G43" s="400">
        <f t="shared" si="16"/>
        <v>0</v>
      </c>
      <c r="H43" s="788">
        <v>0</v>
      </c>
      <c r="I43" s="789">
        <v>0</v>
      </c>
      <c r="J43" s="790">
        <v>0</v>
      </c>
      <c r="K43" s="789">
        <v>0</v>
      </c>
      <c r="L43" s="789">
        <v>0</v>
      </c>
      <c r="M43" s="790">
        <v>0</v>
      </c>
      <c r="N43" s="182"/>
      <c r="O43" s="242" t="str">
        <f>IF($D43&lt;&gt;0,IF(SPRCODE=1,"Bitte Fehler im Berichtsjahr korrigieren","Corriger l'erreur pour l'année d'exercice, svp"),"ok")</f>
        <v>ok</v>
      </c>
    </row>
    <row r="44" spans="1:15" ht="14.25" customHeight="1">
      <c r="A44" s="195">
        <v>173</v>
      </c>
      <c r="B44" s="449" t="str">
        <f t="shared" si="13"/>
        <v>Rückversicherungsergebnis (Gewinn = +, Verlust = -)</v>
      </c>
      <c r="C44" s="481" t="str">
        <f>VLOOKUP($A44&amp;C$2,TEXTDF,SPRCODE+1,FALSE)</f>
        <v>ER, -4+10a+11a+18</v>
      </c>
      <c r="D44" s="389">
        <f>IF(ABS(E44-(H44+K44))&lt;5,0,jahr)</f>
        <v>0</v>
      </c>
      <c r="E44" s="211">
        <f>(-ER!$F$9+ER!$F$18+ER!$F$20+ER!$F$42)</f>
        <v>0</v>
      </c>
      <c r="F44" s="212">
        <f>(-ER!$G$9+ER!$G$18+ER!$G$20+ER!$G$42)</f>
        <v>0</v>
      </c>
      <c r="G44" s="400">
        <f t="shared" si="16"/>
        <v>0</v>
      </c>
      <c r="H44" s="788">
        <v>0</v>
      </c>
      <c r="I44" s="789">
        <v>0</v>
      </c>
      <c r="J44" s="790">
        <v>0</v>
      </c>
      <c r="K44" s="789">
        <v>0</v>
      </c>
      <c r="L44" s="789">
        <v>0</v>
      </c>
      <c r="M44" s="790">
        <v>0</v>
      </c>
      <c r="N44" s="182"/>
      <c r="O44" s="242" t="str">
        <f>IF($D44&lt;&gt;0,IF(SPRCODE=1,"Bitte Fehler im Berichtsjahr korrigieren","Corriger l'erreur pour l'année d'exercice, svp"),"ok")</f>
        <v>ok</v>
      </c>
    </row>
    <row r="45" spans="1:15" ht="36.6" customHeight="1">
      <c r="A45" s="195">
        <v>174</v>
      </c>
      <c r="B45" s="437" t="str">
        <f t="shared" si="13"/>
        <v>Aufwand im Risikoprozess  
= 164 + 167a + 167b + 168 + 169a + 169b - 170a - 171a - 171b + 172 - 173</v>
      </c>
      <c r="C45" s="724"/>
      <c r="D45" s="725"/>
      <c r="E45" s="365">
        <f>H45+K45</f>
        <v>0</v>
      </c>
      <c r="F45" s="282">
        <f>I45+L45</f>
        <v>0</v>
      </c>
      <c r="G45" s="402">
        <f t="shared" si="16"/>
        <v>0</v>
      </c>
      <c r="H45" s="367">
        <f t="shared" ref="H45:M45" si="18">H$34+H$35+H$36+H$37+H$38+H$39-H$40-H$41-H$42+H$43-H$44</f>
        <v>0</v>
      </c>
      <c r="I45" s="283">
        <f t="shared" si="18"/>
        <v>0</v>
      </c>
      <c r="J45" s="414">
        <f t="shared" si="18"/>
        <v>0</v>
      </c>
      <c r="K45" s="284">
        <f t="shared" si="18"/>
        <v>0</v>
      </c>
      <c r="L45" s="284">
        <f t="shared" si="18"/>
        <v>0</v>
      </c>
      <c r="M45" s="397">
        <f t="shared" si="18"/>
        <v>0</v>
      </c>
      <c r="N45" s="183"/>
      <c r="O45" s="304"/>
    </row>
    <row r="46" spans="1:15" ht="25.5" customHeight="1" thickBot="1">
      <c r="A46" s="195">
        <v>175</v>
      </c>
      <c r="B46" s="434" t="str">
        <f>VLOOKUP($A46&amp;B$2,TEXTDF,SPRCODE+1,FALSE)</f>
        <v>Ergebnis im Risikoprozess  = 163 - 174</v>
      </c>
      <c r="C46" s="435"/>
      <c r="D46" s="436"/>
      <c r="E46" s="224">
        <f>H46+K46</f>
        <v>0</v>
      </c>
      <c r="F46" s="225">
        <f>I46+L46</f>
        <v>0</v>
      </c>
      <c r="G46" s="403">
        <f>J46+M46</f>
        <v>0</v>
      </c>
      <c r="H46" s="416">
        <f t="shared" ref="H46:M46" si="19">H$33-H$45</f>
        <v>0</v>
      </c>
      <c r="I46" s="227">
        <f t="shared" si="19"/>
        <v>0</v>
      </c>
      <c r="J46" s="417">
        <f t="shared" si="19"/>
        <v>0</v>
      </c>
      <c r="K46" s="229">
        <f t="shared" si="19"/>
        <v>0</v>
      </c>
      <c r="L46" s="229">
        <f t="shared" si="19"/>
        <v>0</v>
      </c>
      <c r="M46" s="398">
        <f t="shared" si="19"/>
        <v>0</v>
      </c>
      <c r="N46" s="183"/>
      <c r="O46" s="304"/>
    </row>
    <row r="47" spans="1:15" ht="25.5" customHeight="1" thickTop="1">
      <c r="A47" s="441" t="s">
        <v>1198</v>
      </c>
      <c r="B47" s="440" t="str">
        <f t="shared" ref="B47:B52" si="20">VLOOKUP($A47&amp;B$2,TEXTDF,SPRCODE+1,FALSE)</f>
        <v>Kostenprozess (Art. 145 AVO)</v>
      </c>
      <c r="C47" s="433"/>
      <c r="D47" s="389"/>
      <c r="E47" s="504"/>
      <c r="F47" s="505"/>
      <c r="G47" s="506"/>
      <c r="H47" s="500"/>
      <c r="I47" s="501"/>
      <c r="J47" s="502"/>
      <c r="K47" s="497"/>
      <c r="L47" s="497"/>
      <c r="M47" s="527"/>
      <c r="N47" s="17"/>
      <c r="O47" s="304"/>
    </row>
    <row r="48" spans="1:15">
      <c r="A48" s="195">
        <v>176</v>
      </c>
      <c r="B48" s="381" t="str">
        <f t="shared" si="20"/>
        <v>Kostenprämien (einschliesslich Kostenprämien für Teuerungsausgleich auf BVG-Risikorenten)</v>
      </c>
      <c r="C48" s="385"/>
      <c r="D48" s="387"/>
      <c r="E48" s="211">
        <f t="shared" ref="E48:G49" si="21">H48+K48</f>
        <v>0</v>
      </c>
      <c r="F48" s="212">
        <f t="shared" si="21"/>
        <v>0</v>
      </c>
      <c r="G48" s="400">
        <f t="shared" si="21"/>
        <v>0</v>
      </c>
      <c r="H48" s="788">
        <v>0</v>
      </c>
      <c r="I48" s="789">
        <v>0</v>
      </c>
      <c r="J48" s="790">
        <v>0</v>
      </c>
      <c r="K48" s="789">
        <v>0</v>
      </c>
      <c r="L48" s="789">
        <v>0</v>
      </c>
      <c r="M48" s="790">
        <v>0</v>
      </c>
      <c r="N48" s="182"/>
      <c r="O48" s="304"/>
    </row>
    <row r="49" spans="1:15" ht="24">
      <c r="A49" s="195">
        <v>177</v>
      </c>
      <c r="B49" s="437" t="str">
        <f t="shared" si="20"/>
        <v>Ertrag im Kostenprozess (Kostenkomponente)
= 176</v>
      </c>
      <c r="C49" s="442"/>
      <c r="D49" s="443"/>
      <c r="E49" s="365">
        <f t="shared" si="21"/>
        <v>0</v>
      </c>
      <c r="F49" s="282">
        <f t="shared" si="21"/>
        <v>0</v>
      </c>
      <c r="G49" s="402">
        <f t="shared" si="21"/>
        <v>0</v>
      </c>
      <c r="H49" s="367">
        <f t="shared" ref="H49:M49" si="22">H$48</f>
        <v>0</v>
      </c>
      <c r="I49" s="283">
        <f t="shared" si="22"/>
        <v>0</v>
      </c>
      <c r="J49" s="414">
        <f t="shared" si="22"/>
        <v>0</v>
      </c>
      <c r="K49" s="284">
        <f t="shared" si="22"/>
        <v>0</v>
      </c>
      <c r="L49" s="284">
        <f t="shared" si="22"/>
        <v>0</v>
      </c>
      <c r="M49" s="397">
        <f t="shared" si="22"/>
        <v>0</v>
      </c>
      <c r="N49" s="183"/>
      <c r="O49" s="304"/>
    </row>
    <row r="50" spans="1:15">
      <c r="A50" s="441" t="s">
        <v>1202</v>
      </c>
      <c r="B50" s="383" t="str">
        <f t="shared" si="20"/>
        <v>Aufteilung des Ertrags im Kostenprozess (Kostenprämien) nach Kostenträgern:  h)</v>
      </c>
      <c r="C50" s="386"/>
      <c r="D50" s="388"/>
      <c r="E50" s="511"/>
      <c r="F50" s="508"/>
      <c r="G50" s="512"/>
      <c r="H50" s="529"/>
      <c r="I50" s="503"/>
      <c r="J50" s="530"/>
      <c r="K50" s="499"/>
      <c r="L50" s="499"/>
      <c r="M50" s="538"/>
      <c r="N50" s="197"/>
      <c r="O50" s="304"/>
    </row>
    <row r="51" spans="1:15" ht="12.75" customHeight="1">
      <c r="A51" s="195" t="s">
        <v>567</v>
      </c>
      <c r="B51" s="446" t="str">
        <f t="shared" si="20"/>
        <v>Kostenprämien für aktive Versicherte</v>
      </c>
      <c r="C51" s="453"/>
      <c r="D51" s="452"/>
      <c r="E51" s="211">
        <f t="shared" ref="E51:G53" si="23">H51+K51</f>
        <v>0</v>
      </c>
      <c r="F51" s="212">
        <f t="shared" si="23"/>
        <v>0</v>
      </c>
      <c r="G51" s="400">
        <f t="shared" si="23"/>
        <v>0</v>
      </c>
      <c r="H51" s="788">
        <v>0</v>
      </c>
      <c r="I51" s="789">
        <v>0</v>
      </c>
      <c r="J51" s="790">
        <v>0</v>
      </c>
      <c r="K51" s="789">
        <v>0</v>
      </c>
      <c r="L51" s="789">
        <v>0</v>
      </c>
      <c r="M51" s="790">
        <v>0</v>
      </c>
      <c r="N51" s="182"/>
      <c r="O51" s="304"/>
    </row>
    <row r="52" spans="1:15" ht="12.75" customHeight="1">
      <c r="A52" s="195" t="s">
        <v>568</v>
      </c>
      <c r="B52" s="381" t="str">
        <f t="shared" si="20"/>
        <v>Kostenprämien für Freizügigkeitspolicen</v>
      </c>
      <c r="C52" s="385"/>
      <c r="D52" s="389"/>
      <c r="E52" s="211">
        <f t="shared" si="23"/>
        <v>0</v>
      </c>
      <c r="F52" s="212">
        <f t="shared" si="23"/>
        <v>0</v>
      </c>
      <c r="G52" s="400">
        <f t="shared" si="23"/>
        <v>0</v>
      </c>
      <c r="H52" s="788">
        <v>0</v>
      </c>
      <c r="I52" s="789">
        <v>0</v>
      </c>
      <c r="J52" s="790">
        <v>0</v>
      </c>
      <c r="K52" s="789">
        <v>0</v>
      </c>
      <c r="L52" s="789">
        <v>0</v>
      </c>
      <c r="M52" s="790">
        <v>0</v>
      </c>
      <c r="N52" s="182"/>
      <c r="O52" s="304"/>
    </row>
    <row r="53" spans="1:15">
      <c r="A53" s="195" t="s">
        <v>579</v>
      </c>
      <c r="B53" s="809" t="str">
        <f xml:space="preserve"> IF( SPRCODE = 1, "Kostenprämien für andere Kostenträger", "Primes de frais à la charge d'autres rép. des frais" ) &amp; IF( $E53 &gt; 1, IF( SPRCODE = 1, ": Bitte im Begleitbericht auflisten.", ": SVP lister dans le rapport explicatif." ), IF( $E53 &lt; -1, IF( SPRCODE = 1, ": Bitte keine negativen Werte in dieser Zeile.", ": SVP pas de valeurs négatives dans cette cellule." ), "" ) )</f>
        <v>Kostenprämien für andere Kostenträger</v>
      </c>
      <c r="C53" s="726"/>
      <c r="D53" s="727"/>
      <c r="E53" s="396">
        <f t="shared" si="23"/>
        <v>0</v>
      </c>
      <c r="F53" s="220">
        <f t="shared" si="23"/>
        <v>0</v>
      </c>
      <c r="G53" s="401">
        <f t="shared" si="23"/>
        <v>0</v>
      </c>
      <c r="H53" s="728">
        <f t="shared" ref="H53:M53" si="24">H$49 - H$51 - H$52</f>
        <v>0</v>
      </c>
      <c r="I53" s="729">
        <f t="shared" si="24"/>
        <v>0</v>
      </c>
      <c r="J53" s="730">
        <f t="shared" si="24"/>
        <v>0</v>
      </c>
      <c r="K53" s="731">
        <f t="shared" si="24"/>
        <v>0</v>
      </c>
      <c r="L53" s="731">
        <f t="shared" si="24"/>
        <v>0</v>
      </c>
      <c r="M53" s="732">
        <f t="shared" si="24"/>
        <v>0</v>
      </c>
      <c r="N53" s="183"/>
      <c r="O53" s="304"/>
    </row>
    <row r="54" spans="1:15" ht="21.75" customHeight="1">
      <c r="A54" s="195" t="s">
        <v>1248</v>
      </c>
      <c r="B54" s="383" t="str">
        <f t="shared" ref="B54:B65" si="25">VLOOKUP($A54&amp;B$2,TEXTDF,SPRCODE+1,FALSE)</f>
        <v>Provisionen für Broker und Makler</v>
      </c>
      <c r="C54" s="480" t="str">
        <f>VLOOKUP($A54&amp;C$2,TEXTDF,SPRCODE+1,FALSE)</f>
        <v>178aa-ac=ER, 20</v>
      </c>
      <c r="D54" s="389">
        <f>IF(ABS(ER!$F$44-($E$54+$E$55+$E$56))&lt;5,0,jahr)</f>
        <v>0</v>
      </c>
      <c r="E54" s="211">
        <f t="shared" ref="E54:F56" si="26">H54+K54</f>
        <v>0</v>
      </c>
      <c r="F54" s="212">
        <f t="shared" si="26"/>
        <v>0</v>
      </c>
      <c r="G54" s="400">
        <f t="shared" ref="G54:G61" si="27">J54+M54</f>
        <v>0</v>
      </c>
      <c r="H54" s="788">
        <v>0</v>
      </c>
      <c r="I54" s="789">
        <v>0</v>
      </c>
      <c r="J54" s="790">
        <v>0</v>
      </c>
      <c r="K54" s="789">
        <v>0</v>
      </c>
      <c r="L54" s="789">
        <v>0</v>
      </c>
      <c r="M54" s="790">
        <v>0</v>
      </c>
      <c r="N54" s="182"/>
      <c r="O54" s="242" t="str">
        <f>IF($D54&lt;&gt;0,IF(SPRCODE=1,"Bitte Fehler im Berichtsjahr korrigieren","Corriger l'erreur pour l'année d'exercice, svp"),"ok")</f>
        <v>ok</v>
      </c>
    </row>
    <row r="55" spans="1:15">
      <c r="A55" s="195" t="s">
        <v>1266</v>
      </c>
      <c r="B55" s="381" t="str">
        <f t="shared" si="25"/>
        <v>Provisionen für eigenen Aussendienst</v>
      </c>
      <c r="C55" s="385"/>
      <c r="D55" s="389"/>
      <c r="E55" s="211">
        <f t="shared" si="26"/>
        <v>0</v>
      </c>
      <c r="F55" s="212">
        <f t="shared" si="26"/>
        <v>0</v>
      </c>
      <c r="G55" s="400">
        <f t="shared" si="27"/>
        <v>0</v>
      </c>
      <c r="H55" s="788">
        <v>0</v>
      </c>
      <c r="I55" s="789">
        <v>0</v>
      </c>
      <c r="J55" s="790">
        <v>0</v>
      </c>
      <c r="K55" s="789">
        <v>0</v>
      </c>
      <c r="L55" s="789">
        <v>0</v>
      </c>
      <c r="M55" s="790">
        <v>0</v>
      </c>
      <c r="N55" s="182"/>
      <c r="O55" s="304"/>
    </row>
    <row r="56" spans="1:15">
      <c r="A56" s="195" t="s">
        <v>2515</v>
      </c>
      <c r="B56" s="381" t="str">
        <f t="shared" si="25"/>
        <v>Übrige Abschlussaufwendungen</v>
      </c>
      <c r="C56" s="385"/>
      <c r="D56" s="389"/>
      <c r="E56" s="211">
        <f t="shared" si="26"/>
        <v>0</v>
      </c>
      <c r="F56" s="212">
        <f t="shared" si="26"/>
        <v>0</v>
      </c>
      <c r="G56" s="400">
        <f t="shared" si="27"/>
        <v>0</v>
      </c>
      <c r="H56" s="788">
        <v>0</v>
      </c>
      <c r="I56" s="789">
        <v>0</v>
      </c>
      <c r="J56" s="790">
        <v>0</v>
      </c>
      <c r="K56" s="789">
        <v>0</v>
      </c>
      <c r="L56" s="789">
        <v>0</v>
      </c>
      <c r="M56" s="790">
        <v>0</v>
      </c>
      <c r="N56" s="182"/>
      <c r="O56" s="304"/>
    </row>
    <row r="57" spans="1:15">
      <c r="A57" s="195" t="s">
        <v>515</v>
      </c>
      <c r="B57" s="381" t="str">
        <f t="shared" si="25"/>
        <v>Aufwendungen für Marketing und Werbung</v>
      </c>
      <c r="C57" s="385" t="str">
        <f>VLOOKUP($A57&amp;C$2,TEXTDF,SPRCODE+1,FALSE)</f>
        <v>ER, 21a</v>
      </c>
      <c r="D57" s="389">
        <f>IF(ABS(E57-(H57+K57))&lt;5,0,jahr)</f>
        <v>0</v>
      </c>
      <c r="E57" s="211">
        <f>ER!$F$46</f>
        <v>0</v>
      </c>
      <c r="F57" s="212">
        <f>ER!$G$46</f>
        <v>0</v>
      </c>
      <c r="G57" s="400">
        <f t="shared" si="27"/>
        <v>0</v>
      </c>
      <c r="H57" s="788">
        <v>0</v>
      </c>
      <c r="I57" s="789">
        <v>0</v>
      </c>
      <c r="J57" s="790">
        <v>0</v>
      </c>
      <c r="K57" s="789">
        <v>0</v>
      </c>
      <c r="L57" s="789">
        <v>0</v>
      </c>
      <c r="M57" s="790">
        <v>0</v>
      </c>
      <c r="N57" s="182"/>
      <c r="O57" s="242" t="str">
        <f>IF($D57&lt;&gt;0,IF(SPRCODE=1,"Bitte Fehler im Berichtsjahr korrigieren","Corriger l'erreur pour l'année d'exercice, svp"),"ok")</f>
        <v>ok</v>
      </c>
    </row>
    <row r="58" spans="1:15" ht="12.75" customHeight="1">
      <c r="A58" s="195">
        <v>179</v>
      </c>
      <c r="B58" s="449" t="str">
        <f t="shared" si="25"/>
        <v>Übrige Aufwendungen für die allgemeine Verwaltung:  h1)</v>
      </c>
      <c r="C58" s="385" t="str">
        <f>VLOOKUP($A58&amp;C$2,TEXTDF,SPRCODE+1,FALSE)</f>
        <v>ER, 22</v>
      </c>
      <c r="D58" s="389">
        <f>IF(ABS(E58-(H58+K58))&lt;5,0,jahr)</f>
        <v>0</v>
      </c>
      <c r="E58" s="211">
        <f>ER!$F$47</f>
        <v>0</v>
      </c>
      <c r="F58" s="212">
        <f>ER!$G$47</f>
        <v>0</v>
      </c>
      <c r="G58" s="400">
        <f t="shared" si="27"/>
        <v>0</v>
      </c>
      <c r="H58" s="788">
        <v>0</v>
      </c>
      <c r="I58" s="789">
        <v>0</v>
      </c>
      <c r="J58" s="790">
        <v>0</v>
      </c>
      <c r="K58" s="789">
        <v>0</v>
      </c>
      <c r="L58" s="789">
        <v>0</v>
      </c>
      <c r="M58" s="790">
        <v>0</v>
      </c>
      <c r="N58" s="182"/>
      <c r="O58" s="242" t="str">
        <f>IF($D58&lt;&gt;0,IF(SPRCODE=1,"Bitte Fehler im Berichtsjahr korrigieren","Corriger l'erreur pour l'année d'exercice, svp"),"ok")</f>
        <v>ok</v>
      </c>
    </row>
    <row r="59" spans="1:15">
      <c r="A59" s="195">
        <v>181</v>
      </c>
      <c r="B59" s="449" t="str">
        <f t="shared" si="25"/>
        <v>Saldo aus den übrigen Erfolgsposten (Verlustsaldo = +)</v>
      </c>
      <c r="C59" s="385"/>
      <c r="D59" s="389"/>
      <c r="E59" s="211">
        <f>H59+K59</f>
        <v>0</v>
      </c>
      <c r="F59" s="212">
        <f>I59+L59</f>
        <v>0</v>
      </c>
      <c r="G59" s="400">
        <f t="shared" si="27"/>
        <v>0</v>
      </c>
      <c r="H59" s="788">
        <v>0</v>
      </c>
      <c r="I59" s="789">
        <v>0</v>
      </c>
      <c r="J59" s="790">
        <v>0</v>
      </c>
      <c r="K59" s="789">
        <v>0</v>
      </c>
      <c r="L59" s="789">
        <v>0</v>
      </c>
      <c r="M59" s="790">
        <v>0</v>
      </c>
      <c r="N59" s="182"/>
      <c r="O59" s="304"/>
    </row>
    <row r="60" spans="1:15">
      <c r="A60" s="195" t="s">
        <v>157</v>
      </c>
      <c r="B60" s="381" t="str">
        <f t="shared" si="25"/>
        <v>Rückversicherungsergebnis 
   (Gewinn = +, Verlust = -)</v>
      </c>
      <c r="C60" s="385" t="str">
        <f>VLOOKUP($A60&amp;C$2,TEXTDF,SPRCODE+1,FALSE)</f>
        <v>ER 22a</v>
      </c>
      <c r="D60" s="389">
        <f>IF(ABS(E60-(H60+K60))&lt;5,0,jahr)</f>
        <v>0</v>
      </c>
      <c r="E60" s="211">
        <f>ER!$F$48</f>
        <v>0</v>
      </c>
      <c r="F60" s="212">
        <f>ER!$G$48</f>
        <v>0</v>
      </c>
      <c r="G60" s="400">
        <f t="shared" si="27"/>
        <v>0</v>
      </c>
      <c r="H60" s="788">
        <v>0</v>
      </c>
      <c r="I60" s="789">
        <v>0</v>
      </c>
      <c r="J60" s="790">
        <v>0</v>
      </c>
      <c r="K60" s="789">
        <v>0</v>
      </c>
      <c r="L60" s="789">
        <v>0</v>
      </c>
      <c r="M60" s="790">
        <v>0</v>
      </c>
      <c r="N60" s="182"/>
      <c r="O60" s="242" t="str">
        <f>IF($D60&lt;&gt;0,IF(SPRCODE=1,"Bitte Fehler im Berichtsjahr korrigieren","Corriger l'erreur pour l'année d'exercice, svp"),"ok")</f>
        <v>ok</v>
      </c>
    </row>
    <row r="61" spans="1:15" ht="24.75" customHeight="1">
      <c r="A61" s="195">
        <v>182</v>
      </c>
      <c r="B61" s="437" t="str">
        <f t="shared" si="25"/>
        <v>Aufwand im Kostenprozess  
= 178aa + 178ab + 178ac + 178a + 179 + 181 - 181a</v>
      </c>
      <c r="C61" s="724"/>
      <c r="D61" s="443"/>
      <c r="E61" s="365">
        <f>H61+K61</f>
        <v>0</v>
      </c>
      <c r="F61" s="282">
        <f>I61+L61</f>
        <v>0</v>
      </c>
      <c r="G61" s="402">
        <f t="shared" si="27"/>
        <v>0</v>
      </c>
      <c r="H61" s="367">
        <f t="shared" ref="H61:M61" si="28">H$54+H$55+H$56+H$57+H$58+H$59-H$60</f>
        <v>0</v>
      </c>
      <c r="I61" s="283">
        <f t="shared" si="28"/>
        <v>0</v>
      </c>
      <c r="J61" s="414">
        <f t="shared" si="28"/>
        <v>0</v>
      </c>
      <c r="K61" s="284">
        <f t="shared" si="28"/>
        <v>0</v>
      </c>
      <c r="L61" s="284">
        <f t="shared" si="28"/>
        <v>0</v>
      </c>
      <c r="M61" s="397">
        <f t="shared" si="28"/>
        <v>0</v>
      </c>
      <c r="N61" s="183"/>
      <c r="O61" s="304"/>
    </row>
    <row r="62" spans="1:15" ht="24.75" customHeight="1" thickBot="1">
      <c r="A62" s="195">
        <v>183</v>
      </c>
      <c r="B62" s="434" t="str">
        <f>VLOOKUP($A62&amp;B$2,TEXTDF,SPRCODE+1,FALSE)</f>
        <v>Ergebnis aus Kostenprozess  = 177 - 182</v>
      </c>
      <c r="C62" s="435"/>
      <c r="D62" s="436"/>
      <c r="E62" s="224">
        <f>H62+K62</f>
        <v>0</v>
      </c>
      <c r="F62" s="225">
        <f>I62+L62</f>
        <v>0</v>
      </c>
      <c r="G62" s="403">
        <f>J62+M62</f>
        <v>0</v>
      </c>
      <c r="H62" s="416">
        <f t="shared" ref="H62:M62" si="29">H$49-H$61</f>
        <v>0</v>
      </c>
      <c r="I62" s="227">
        <f t="shared" si="29"/>
        <v>0</v>
      </c>
      <c r="J62" s="417">
        <f t="shared" si="29"/>
        <v>0</v>
      </c>
      <c r="K62" s="229">
        <f t="shared" si="29"/>
        <v>0</v>
      </c>
      <c r="L62" s="229">
        <f t="shared" si="29"/>
        <v>0</v>
      </c>
      <c r="M62" s="398">
        <f t="shared" si="29"/>
        <v>0</v>
      </c>
      <c r="N62" s="183"/>
      <c r="O62" s="304"/>
    </row>
    <row r="63" spans="1:15" ht="23.25" customHeight="1" thickTop="1">
      <c r="A63" s="441" t="s">
        <v>1200</v>
      </c>
      <c r="B63" s="383" t="str">
        <f t="shared" si="25"/>
        <v>Aufteilung des Aufwands im Kostenprozess nach Kostenträgern:  i)</v>
      </c>
      <c r="C63" s="386"/>
      <c r="D63" s="388"/>
      <c r="E63" s="511"/>
      <c r="F63" s="508"/>
      <c r="G63" s="512"/>
      <c r="H63" s="529"/>
      <c r="I63" s="503"/>
      <c r="J63" s="530"/>
      <c r="K63" s="499"/>
      <c r="L63" s="499"/>
      <c r="M63" s="538"/>
      <c r="N63" s="197"/>
      <c r="O63" s="304"/>
    </row>
    <row r="64" spans="1:15" ht="13.15" customHeight="1">
      <c r="A64" s="195" t="s">
        <v>523</v>
      </c>
      <c r="B64" s="446" t="str">
        <f t="shared" si="25"/>
        <v>Kostenaufwand für aktive Versicherte</v>
      </c>
      <c r="C64" s="453"/>
      <c r="D64" s="452"/>
      <c r="E64" s="211">
        <f t="shared" ref="E64:G68" si="30">H64+K64</f>
        <v>0</v>
      </c>
      <c r="F64" s="212">
        <f t="shared" si="30"/>
        <v>0</v>
      </c>
      <c r="G64" s="400">
        <f>J64+M64</f>
        <v>0</v>
      </c>
      <c r="H64" s="788">
        <v>0</v>
      </c>
      <c r="I64" s="789">
        <v>0</v>
      </c>
      <c r="J64" s="790">
        <v>0</v>
      </c>
      <c r="K64" s="789">
        <v>0</v>
      </c>
      <c r="L64" s="789">
        <v>0</v>
      </c>
      <c r="M64" s="790">
        <v>0</v>
      </c>
      <c r="N64" s="182"/>
      <c r="O64" s="304"/>
    </row>
    <row r="65" spans="1:15" ht="13.9" customHeight="1">
      <c r="A65" s="195" t="s">
        <v>524</v>
      </c>
      <c r="B65" s="449" t="str">
        <f t="shared" si="25"/>
        <v>Kostenaufwand für Rentenbezüger (siehe Fussnote j)</v>
      </c>
      <c r="C65" s="385"/>
      <c r="D65" s="479"/>
      <c r="E65" s="211">
        <f t="shared" si="30"/>
        <v>0</v>
      </c>
      <c r="F65" s="212">
        <f t="shared" si="30"/>
        <v>0</v>
      </c>
      <c r="G65" s="400">
        <f>J65+M65</f>
        <v>0</v>
      </c>
      <c r="H65" s="788">
        <v>0</v>
      </c>
      <c r="I65" s="789">
        <v>0</v>
      </c>
      <c r="J65" s="790">
        <v>0</v>
      </c>
      <c r="K65" s="789">
        <v>0</v>
      </c>
      <c r="L65" s="789">
        <v>0</v>
      </c>
      <c r="M65" s="790">
        <v>0</v>
      </c>
      <c r="N65" s="182"/>
      <c r="O65" s="304"/>
    </row>
    <row r="66" spans="1:15" ht="13.15" customHeight="1">
      <c r="A66" s="195" t="s">
        <v>525</v>
      </c>
      <c r="B66" s="449" t="str">
        <f>VLOOKUP($A66&amp;B$2,TEXTDF,SPRCODE+1,FALSE)</f>
        <v>Kostenaufwand für Freizügigkeitspolicen</v>
      </c>
      <c r="C66" s="385"/>
      <c r="D66" s="389"/>
      <c r="E66" s="211">
        <f t="shared" si="30"/>
        <v>0</v>
      </c>
      <c r="F66" s="212">
        <f t="shared" si="30"/>
        <v>0</v>
      </c>
      <c r="G66" s="400">
        <f>J66+M66</f>
        <v>0</v>
      </c>
      <c r="H66" s="788">
        <v>0</v>
      </c>
      <c r="I66" s="789">
        <v>0</v>
      </c>
      <c r="J66" s="790">
        <v>0</v>
      </c>
      <c r="K66" s="789">
        <v>0</v>
      </c>
      <c r="L66" s="789">
        <v>0</v>
      </c>
      <c r="M66" s="790">
        <v>0</v>
      </c>
      <c r="N66" s="182"/>
      <c r="O66" s="304"/>
    </row>
    <row r="67" spans="1:15">
      <c r="A67" s="195" t="s">
        <v>577</v>
      </c>
      <c r="B67" s="449" t="str">
        <f xml:space="preserve"> IF( SPRCODE = 1, "Kostenaufwand für andere Kostenträger", "Charges de frais imputées à d'autres rép. des frais" ) &amp; IF( $E67 &gt; 0, IF( SPRCODE = 1, ": Bitte im Begleitbericht auflisten.", ": SVP lister dans le rapport explicatif." ), IF( $E67 &lt; 0,  IF( SPRCODE = 1, ": Bitte keine negativen Werte in dieser Zeile.", ": SVP pas de valeurs négatives dans cette cellule." ), "" ) )</f>
        <v>Kostenaufwand für andere Kostenträger</v>
      </c>
      <c r="C67" s="385" t="str">
        <f>VLOOKUP($A67&amp;C$2,TEXTDF,SPRCODE+1,FALSE)</f>
        <v>Plausibilität &gt;&gt;&gt;</v>
      </c>
      <c r="D67" s="389">
        <f>IF(ABS((($E$61-$E$59+$E$26+$E$43-ER!$F$20)-($E$64+$E$65+$E$66))-$E67)&lt;5,0,jahr)</f>
        <v>0</v>
      </c>
      <c r="E67" s="211">
        <f t="shared" si="30"/>
        <v>0</v>
      </c>
      <c r="F67" s="212">
        <f t="shared" si="30"/>
        <v>0</v>
      </c>
      <c r="G67" s="400">
        <f>J67+M67</f>
        <v>0</v>
      </c>
      <c r="H67" s="788">
        <v>0</v>
      </c>
      <c r="I67" s="789">
        <v>0</v>
      </c>
      <c r="J67" s="790">
        <v>0</v>
      </c>
      <c r="K67" s="789">
        <v>0</v>
      </c>
      <c r="L67" s="789">
        <v>0</v>
      </c>
      <c r="M67" s="790">
        <v>0</v>
      </c>
      <c r="N67" s="182"/>
      <c r="O67" s="242" t="str">
        <f>IF($D67&lt;&gt;0,IF(SPRCODE=1,"Bitte Fehler im Berichtsjahr korrigieren","Corriger l'erreur pour l'année d'exercice, svp"),"ok")</f>
        <v>ok</v>
      </c>
    </row>
    <row r="68" spans="1:15" ht="24" customHeight="1">
      <c r="A68" s="195" t="s">
        <v>1201</v>
      </c>
      <c r="B68" s="437" t="str">
        <f>VLOOKUP($A68&amp;B$2,TEXTDF,SPRCODE+1,FALSE)</f>
        <v>Total den Kostenträgern zugewiesener Kostenaufwand  = Summe 182a bis d</v>
      </c>
      <c r="C68" s="733"/>
      <c r="D68" s="734"/>
      <c r="E68" s="365">
        <f t="shared" si="30"/>
        <v>0</v>
      </c>
      <c r="F68" s="282">
        <f t="shared" si="30"/>
        <v>0</v>
      </c>
      <c r="G68" s="402">
        <f t="shared" si="30"/>
        <v>0</v>
      </c>
      <c r="H68" s="367">
        <f t="shared" ref="H68:M68" si="31">SUM(H$64:H$67)</f>
        <v>0</v>
      </c>
      <c r="I68" s="283">
        <f t="shared" si="31"/>
        <v>0</v>
      </c>
      <c r="J68" s="414">
        <f t="shared" si="31"/>
        <v>0</v>
      </c>
      <c r="K68" s="284">
        <f t="shared" si="31"/>
        <v>0</v>
      </c>
      <c r="L68" s="284">
        <f t="shared" si="31"/>
        <v>0</v>
      </c>
      <c r="M68" s="397">
        <f t="shared" si="31"/>
        <v>0</v>
      </c>
      <c r="N68" s="183"/>
      <c r="O68" s="304"/>
    </row>
    <row r="69" spans="1:15" ht="27" customHeight="1">
      <c r="A69" s="441" t="s">
        <v>1270</v>
      </c>
      <c r="B69" s="432" t="str">
        <f t="shared" ref="B69:B83" si="32">VLOOKUP($A69&amp;B$2,TEXTDF,SPRCODE+1,FALSE)</f>
        <v>Ausschüttungsquote und ihre Verwendung, aufgegliedert nach Komponenten (Art. 147 und 148 AVO)</v>
      </c>
      <c r="C69" s="433"/>
      <c r="D69" s="389"/>
      <c r="E69" s="504"/>
      <c r="F69" s="505"/>
      <c r="G69" s="506"/>
      <c r="H69" s="500"/>
      <c r="I69" s="501"/>
      <c r="J69" s="502"/>
      <c r="K69" s="497"/>
      <c r="L69" s="497"/>
      <c r="M69" s="498"/>
      <c r="N69" s="280"/>
      <c r="O69" s="304"/>
    </row>
    <row r="70" spans="1:15" ht="16.5" customHeight="1">
      <c r="A70" s="195">
        <v>184</v>
      </c>
      <c r="B70" s="432" t="str">
        <f t="shared" si="32"/>
        <v>Ausschüttungsquote (mindestens 90% = Mindestquote, Eingabe in Pos. 226)</v>
      </c>
      <c r="C70" s="385"/>
      <c r="D70" s="387"/>
      <c r="E70" s="513"/>
      <c r="F70" s="514"/>
      <c r="G70" s="515"/>
      <c r="H70" s="735">
        <f>H$123</f>
        <v>0</v>
      </c>
      <c r="I70" s="736">
        <f>I$123</f>
        <v>0</v>
      </c>
      <c r="J70" s="737">
        <f>J$123</f>
        <v>0</v>
      </c>
      <c r="K70" s="539"/>
      <c r="L70" s="540"/>
      <c r="M70" s="541"/>
      <c r="N70" s="292"/>
      <c r="O70" s="304"/>
    </row>
    <row r="71" spans="1:15" s="24" customFormat="1" ht="10.5" customHeight="1">
      <c r="A71" s="195"/>
      <c r="B71" s="383"/>
      <c r="C71" s="385"/>
      <c r="D71" s="387"/>
      <c r="E71" s="513"/>
      <c r="F71" s="514"/>
      <c r="G71" s="515"/>
      <c r="H71" s="531"/>
      <c r="I71" s="532"/>
      <c r="J71" s="533"/>
      <c r="K71" s="542"/>
      <c r="L71" s="540"/>
      <c r="M71" s="541"/>
      <c r="N71" s="292"/>
      <c r="O71" s="304"/>
    </row>
    <row r="72" spans="1:15">
      <c r="A72" s="195">
        <v>185</v>
      </c>
      <c r="B72" s="383" t="str">
        <f t="shared" si="32"/>
        <v>Sparkomponente = 142</v>
      </c>
      <c r="C72" s="385"/>
      <c r="D72" s="387"/>
      <c r="E72" s="211">
        <f>H72+K72</f>
        <v>0</v>
      </c>
      <c r="F72" s="212">
        <f>I72+L72</f>
        <v>0</v>
      </c>
      <c r="G72" s="400">
        <f>J72+M72</f>
        <v>0</v>
      </c>
      <c r="H72" s="206">
        <f t="shared" ref="H72:M72" si="33">H$16</f>
        <v>0</v>
      </c>
      <c r="I72" s="207">
        <f t="shared" si="33"/>
        <v>0</v>
      </c>
      <c r="J72" s="413">
        <f t="shared" si="33"/>
        <v>0</v>
      </c>
      <c r="K72" s="202">
        <f t="shared" si="33"/>
        <v>0</v>
      </c>
      <c r="L72" s="202">
        <f t="shared" si="33"/>
        <v>0</v>
      </c>
      <c r="M72" s="395">
        <f t="shared" si="33"/>
        <v>0</v>
      </c>
      <c r="N72" s="197"/>
      <c r="O72" s="304"/>
    </row>
    <row r="73" spans="1:15">
      <c r="A73" s="195">
        <v>186</v>
      </c>
      <c r="B73" s="478" t="str">
        <f t="shared" si="32"/>
        <v>Ausschüttungsquote x Sparkomponente  = 184 x 185</v>
      </c>
      <c r="C73" s="385"/>
      <c r="D73" s="387"/>
      <c r="E73" s="211"/>
      <c r="F73" s="212"/>
      <c r="G73" s="400"/>
      <c r="H73" s="206">
        <f>IF(LEFT(H$20,1)="J",0,H$70)*H72</f>
        <v>0</v>
      </c>
      <c r="I73" s="207">
        <f>IF(LEFT(I$20,1)="J",0,I$70)*I72</f>
        <v>0</v>
      </c>
      <c r="J73" s="413">
        <f>IF(LEFT(J$20,1)="J",0,J$70)*J72</f>
        <v>0</v>
      </c>
      <c r="K73" s="202">
        <v>0</v>
      </c>
      <c r="L73" s="202">
        <v>0</v>
      </c>
      <c r="M73" s="395">
        <v>0</v>
      </c>
      <c r="N73" s="294"/>
      <c r="O73" s="304"/>
    </row>
    <row r="74" spans="1:15">
      <c r="A74" s="195">
        <v>187</v>
      </c>
      <c r="B74" s="381" t="str">
        <f t="shared" si="32"/>
        <v>Aufwand im Sparprozess = 158</v>
      </c>
      <c r="C74" s="385"/>
      <c r="D74" s="387"/>
      <c r="E74" s="211">
        <f t="shared" ref="E74:G75" si="34">H74+K74</f>
        <v>0</v>
      </c>
      <c r="F74" s="212">
        <f t="shared" si="34"/>
        <v>0</v>
      </c>
      <c r="G74" s="400">
        <f t="shared" si="34"/>
        <v>0</v>
      </c>
      <c r="H74" s="206">
        <f t="shared" ref="H74:M74" si="35">H$27</f>
        <v>0</v>
      </c>
      <c r="I74" s="207">
        <f t="shared" si="35"/>
        <v>0</v>
      </c>
      <c r="J74" s="413">
        <f t="shared" si="35"/>
        <v>0</v>
      </c>
      <c r="K74" s="202">
        <f t="shared" si="35"/>
        <v>0</v>
      </c>
      <c r="L74" s="202">
        <f t="shared" si="35"/>
        <v>0</v>
      </c>
      <c r="M74" s="395">
        <f t="shared" si="35"/>
        <v>0</v>
      </c>
      <c r="N74" s="197"/>
      <c r="O74" s="304"/>
    </row>
    <row r="75" spans="1:15">
      <c r="A75" s="195">
        <v>188</v>
      </c>
      <c r="B75" s="434" t="str">
        <f t="shared" si="32"/>
        <v>Saldo Sparprozess  = ( 186 resp. 185 ) - 187</v>
      </c>
      <c r="C75" s="435"/>
      <c r="D75" s="436"/>
      <c r="E75" s="365">
        <f>H75+K75</f>
        <v>0</v>
      </c>
      <c r="F75" s="282">
        <f t="shared" si="34"/>
        <v>0</v>
      </c>
      <c r="G75" s="402">
        <f t="shared" si="34"/>
        <v>0</v>
      </c>
      <c r="H75" s="367">
        <f>IF(LEFT(H$20,1)="J",H$72,H$73)-H$74</f>
        <v>0</v>
      </c>
      <c r="I75" s="283">
        <f>IF(LEFT(I$20,1)="J",I$72,I$73)-I$74</f>
        <v>0</v>
      </c>
      <c r="J75" s="414">
        <f>IF(LEFT(J$20,1)="J",J$72,J$73)-J$74</f>
        <v>0</v>
      </c>
      <c r="K75" s="284">
        <f>K$72-K$74</f>
        <v>0</v>
      </c>
      <c r="L75" s="284">
        <f>L$72-L$74</f>
        <v>0</v>
      </c>
      <c r="M75" s="397">
        <f>M$72-M$74</f>
        <v>0</v>
      </c>
      <c r="N75" s="197"/>
      <c r="O75" s="304"/>
    </row>
    <row r="76" spans="1:15" ht="19.5" customHeight="1">
      <c r="A76" s="195">
        <v>189</v>
      </c>
      <c r="B76" s="383" t="str">
        <f t="shared" si="32"/>
        <v>Risikokomponente = 163</v>
      </c>
      <c r="C76" s="385"/>
      <c r="D76" s="387"/>
      <c r="E76" s="211">
        <f>H76+K76</f>
        <v>0</v>
      </c>
      <c r="F76" s="212">
        <f>I76+L76</f>
        <v>0</v>
      </c>
      <c r="G76" s="400">
        <f>J76+M76</f>
        <v>0</v>
      </c>
      <c r="H76" s="206">
        <f t="shared" ref="H76:M76" si="36">H$33</f>
        <v>0</v>
      </c>
      <c r="I76" s="207">
        <f t="shared" si="36"/>
        <v>0</v>
      </c>
      <c r="J76" s="413">
        <f t="shared" si="36"/>
        <v>0</v>
      </c>
      <c r="K76" s="202">
        <f t="shared" si="36"/>
        <v>0</v>
      </c>
      <c r="L76" s="202">
        <f t="shared" si="36"/>
        <v>0</v>
      </c>
      <c r="M76" s="395">
        <f t="shared" si="36"/>
        <v>0</v>
      </c>
      <c r="N76" s="197"/>
      <c r="O76" s="304"/>
    </row>
    <row r="77" spans="1:15">
      <c r="A77" s="195">
        <v>190</v>
      </c>
      <c r="B77" s="478" t="str">
        <f t="shared" si="32"/>
        <v>Ausschüttungsquote x Risikokomponente  = 184 x 189</v>
      </c>
      <c r="C77" s="385"/>
      <c r="D77" s="387"/>
      <c r="E77" s="211"/>
      <c r="F77" s="212"/>
      <c r="G77" s="400"/>
      <c r="H77" s="206">
        <f>IF(LEFT(H$20,1)="J",0,H$70)*H76</f>
        <v>0</v>
      </c>
      <c r="I77" s="207">
        <f>IF(LEFT(I$20,1)="J",0,I$70)*I76</f>
        <v>0</v>
      </c>
      <c r="J77" s="413">
        <f>IF(LEFT(J$20,1)="J",0,J$70)*J76</f>
        <v>0</v>
      </c>
      <c r="K77" s="202">
        <v>0</v>
      </c>
      <c r="L77" s="202">
        <v>0</v>
      </c>
      <c r="M77" s="395">
        <v>0</v>
      </c>
      <c r="N77" s="294"/>
      <c r="O77" s="304"/>
    </row>
    <row r="78" spans="1:15">
      <c r="A78" s="195">
        <v>191</v>
      </c>
      <c r="B78" s="381" t="str">
        <f t="shared" si="32"/>
        <v>Aufwand im Risikoprozess = 174</v>
      </c>
      <c r="C78" s="385"/>
      <c r="D78" s="387"/>
      <c r="E78" s="211">
        <f t="shared" ref="E78:G79" si="37">H78+K78</f>
        <v>0</v>
      </c>
      <c r="F78" s="212">
        <f t="shared" si="37"/>
        <v>0</v>
      </c>
      <c r="G78" s="400">
        <f t="shared" si="37"/>
        <v>0</v>
      </c>
      <c r="H78" s="206">
        <f t="shared" ref="H78:M78" si="38">H$45</f>
        <v>0</v>
      </c>
      <c r="I78" s="207">
        <f t="shared" si="38"/>
        <v>0</v>
      </c>
      <c r="J78" s="413">
        <f t="shared" si="38"/>
        <v>0</v>
      </c>
      <c r="K78" s="202">
        <f t="shared" si="38"/>
        <v>0</v>
      </c>
      <c r="L78" s="202">
        <f t="shared" si="38"/>
        <v>0</v>
      </c>
      <c r="M78" s="395">
        <f t="shared" si="38"/>
        <v>0</v>
      </c>
      <c r="N78" s="197"/>
      <c r="O78" s="304"/>
    </row>
    <row r="79" spans="1:15">
      <c r="A79" s="195">
        <v>192</v>
      </c>
      <c r="B79" s="434" t="str">
        <f t="shared" si="32"/>
        <v>Saldo Risikoprozess  = ( 190 resp. 189 ) - 191</v>
      </c>
      <c r="C79" s="435"/>
      <c r="D79" s="436"/>
      <c r="E79" s="365">
        <f t="shared" si="37"/>
        <v>0</v>
      </c>
      <c r="F79" s="282">
        <f t="shared" si="37"/>
        <v>0</v>
      </c>
      <c r="G79" s="402">
        <f t="shared" si="37"/>
        <v>0</v>
      </c>
      <c r="H79" s="367">
        <f>IF(LEFT(H$20,1)="J",H$76,H$77)-H$78</f>
        <v>0</v>
      </c>
      <c r="I79" s="283">
        <f>IF(LEFT(I$20,1)="J",I$76,I$77)-I$78</f>
        <v>0</v>
      </c>
      <c r="J79" s="414">
        <f>IF(LEFT(J$20,1)="J",J$76,J$77)-J$78</f>
        <v>0</v>
      </c>
      <c r="K79" s="284">
        <f>K$76-K$78</f>
        <v>0</v>
      </c>
      <c r="L79" s="284">
        <f>L$76-L$78</f>
        <v>0</v>
      </c>
      <c r="M79" s="397">
        <f>M$76-M$78</f>
        <v>0</v>
      </c>
      <c r="N79" s="197"/>
      <c r="O79" s="304"/>
    </row>
    <row r="80" spans="1:15" ht="18" customHeight="1">
      <c r="A80" s="195">
        <v>193</v>
      </c>
      <c r="B80" s="383" t="str">
        <f t="shared" si="32"/>
        <v>Kostenkomponente = 177</v>
      </c>
      <c r="C80" s="385"/>
      <c r="D80" s="387"/>
      <c r="E80" s="326">
        <f>H80+K80</f>
        <v>0</v>
      </c>
      <c r="F80" s="212">
        <f>I80+L80</f>
        <v>0</v>
      </c>
      <c r="G80" s="400">
        <f>J80+M80</f>
        <v>0</v>
      </c>
      <c r="H80" s="206">
        <f t="shared" ref="H80:M80" si="39">H$49</f>
        <v>0</v>
      </c>
      <c r="I80" s="207">
        <f t="shared" si="39"/>
        <v>0</v>
      </c>
      <c r="J80" s="413">
        <f t="shared" si="39"/>
        <v>0</v>
      </c>
      <c r="K80" s="202">
        <f t="shared" si="39"/>
        <v>0</v>
      </c>
      <c r="L80" s="202">
        <f t="shared" si="39"/>
        <v>0</v>
      </c>
      <c r="M80" s="395">
        <f t="shared" si="39"/>
        <v>0</v>
      </c>
      <c r="N80" s="197"/>
      <c r="O80" s="304"/>
    </row>
    <row r="81" spans="1:15">
      <c r="A81" s="195">
        <v>194</v>
      </c>
      <c r="B81" s="478" t="str">
        <f t="shared" si="32"/>
        <v>Ausschüttungsquote x Kostenkomponente  = 184 x 193</v>
      </c>
      <c r="C81" s="385"/>
      <c r="D81" s="387"/>
      <c r="E81" s="211"/>
      <c r="F81" s="212"/>
      <c r="G81" s="400"/>
      <c r="H81" s="206">
        <f>IF(LEFT(H$20,1)="J",0,H$70)*H80</f>
        <v>0</v>
      </c>
      <c r="I81" s="207">
        <f>IF(LEFT(I$20,1)="J",0,I$70)*I80</f>
        <v>0</v>
      </c>
      <c r="J81" s="413">
        <f>IF(LEFT(J$20,1)="J",0,J$70)*J80</f>
        <v>0</v>
      </c>
      <c r="K81" s="202">
        <v>0</v>
      </c>
      <c r="L81" s="202">
        <v>0</v>
      </c>
      <c r="M81" s="395">
        <v>0</v>
      </c>
      <c r="N81" s="294"/>
      <c r="O81" s="304"/>
    </row>
    <row r="82" spans="1:15">
      <c r="A82" s="195">
        <v>195</v>
      </c>
      <c r="B82" s="381" t="str">
        <f t="shared" si="32"/>
        <v>Aufwand im Kostenprozess = 182</v>
      </c>
      <c r="C82" s="385"/>
      <c r="D82" s="387"/>
      <c r="E82" s="211">
        <f t="shared" ref="E82:G83" si="40">H82+K82</f>
        <v>0</v>
      </c>
      <c r="F82" s="212">
        <f t="shared" si="40"/>
        <v>0</v>
      </c>
      <c r="G82" s="400">
        <f t="shared" si="40"/>
        <v>0</v>
      </c>
      <c r="H82" s="206">
        <f t="shared" ref="H82:M82" si="41">H$61</f>
        <v>0</v>
      </c>
      <c r="I82" s="207">
        <f t="shared" si="41"/>
        <v>0</v>
      </c>
      <c r="J82" s="413">
        <f t="shared" si="41"/>
        <v>0</v>
      </c>
      <c r="K82" s="202">
        <f t="shared" si="41"/>
        <v>0</v>
      </c>
      <c r="L82" s="202">
        <f t="shared" si="41"/>
        <v>0</v>
      </c>
      <c r="M82" s="395">
        <f t="shared" si="41"/>
        <v>0</v>
      </c>
      <c r="N82" s="197"/>
      <c r="O82" s="304"/>
    </row>
    <row r="83" spans="1:15">
      <c r="A83" s="195">
        <v>196</v>
      </c>
      <c r="B83" s="434" t="str">
        <f t="shared" si="32"/>
        <v>Saldo Kostenprozess  = ( 194 resp. 193 ) - 195</v>
      </c>
      <c r="C83" s="435"/>
      <c r="D83" s="436"/>
      <c r="E83" s="365">
        <f t="shared" si="40"/>
        <v>0</v>
      </c>
      <c r="F83" s="282">
        <f t="shared" si="40"/>
        <v>0</v>
      </c>
      <c r="G83" s="402">
        <f t="shared" si="40"/>
        <v>0</v>
      </c>
      <c r="H83" s="367">
        <f>IF(LEFT(H$20,1)="J",H$80,H$81)-H$82</f>
        <v>0</v>
      </c>
      <c r="I83" s="283">
        <f>IF(LEFT(I$20,1)="J",I$80,I$81)-I$82</f>
        <v>0</v>
      </c>
      <c r="J83" s="414">
        <f>IF(LEFT(J$20,1)="J",J$80,J$81)-J$82</f>
        <v>0</v>
      </c>
      <c r="K83" s="284">
        <f>K$80-K$82</f>
        <v>0</v>
      </c>
      <c r="L83" s="284">
        <f>L$80-L$82</f>
        <v>0</v>
      </c>
      <c r="M83" s="397">
        <f>M$80-M$82</f>
        <v>0</v>
      </c>
      <c r="N83" s="197"/>
      <c r="O83" s="304"/>
    </row>
    <row r="84" spans="1:15" ht="31.5" customHeight="1" thickBot="1">
      <c r="A84" s="195">
        <v>197</v>
      </c>
      <c r="B84" s="437" t="str">
        <f>VLOOKUP($A84&amp;B$2,TEXTDF,SPRCODE+1,FALSE)</f>
        <v>Summe der Saldi aus Spar-, Risiko- und Kostenprozess  
= 188 + 192 + 196  (= Gesamtsaldo)</v>
      </c>
      <c r="C84" s="442"/>
      <c r="D84" s="443"/>
      <c r="E84" s="224">
        <f>H84+K84</f>
        <v>0</v>
      </c>
      <c r="F84" s="225">
        <f>I84+L84</f>
        <v>0</v>
      </c>
      <c r="G84" s="403">
        <f>J84+M84</f>
        <v>0</v>
      </c>
      <c r="H84" s="416">
        <f>H$75+H$79+H$83</f>
        <v>0</v>
      </c>
      <c r="I84" s="227">
        <f t="shared" ref="I84:M84" si="42">I$75+I$79+I$83</f>
        <v>0</v>
      </c>
      <c r="J84" s="417">
        <f t="shared" si="42"/>
        <v>0</v>
      </c>
      <c r="K84" s="229">
        <f t="shared" si="42"/>
        <v>0</v>
      </c>
      <c r="L84" s="229">
        <f t="shared" si="42"/>
        <v>0</v>
      </c>
      <c r="M84" s="398">
        <f t="shared" si="42"/>
        <v>0</v>
      </c>
      <c r="N84" s="295"/>
      <c r="O84" s="304"/>
    </row>
    <row r="85" spans="1:15" ht="48.95" customHeight="1" thickTop="1">
      <c r="A85" s="441" t="s">
        <v>1304</v>
      </c>
      <c r="B85" s="384" t="str">
        <f>VLOOKUP($A85&amp;B$2,TEXTDF,SPRCODE+1,FALSE)</f>
        <v>Verstärkungen: Äufnung (= +; Art. 149 Abs. 1 Buchst. a AVO) oder 
Auflösung (= -; Art. 149 Abs. 2 resp. 150 Buchst. a AVO) 
von geschäftsplanmässig vorgesehenen technischen Rückstellungen für:</v>
      </c>
      <c r="C85" s="253"/>
      <c r="D85" s="258"/>
      <c r="E85" s="504"/>
      <c r="F85" s="505"/>
      <c r="G85" s="506"/>
      <c r="H85" s="500"/>
      <c r="I85" s="501"/>
      <c r="J85" s="502"/>
      <c r="K85" s="497"/>
      <c r="L85" s="497"/>
      <c r="M85" s="498"/>
      <c r="N85" s="280"/>
      <c r="O85" s="304"/>
    </row>
    <row r="86" spans="1:15">
      <c r="A86" s="195">
        <v>199</v>
      </c>
      <c r="B86" s="449" t="str">
        <f t="shared" ref="B86:B100" si="43">VLOOKUP($A86&amp;B$2,TEXTDF,SPRCODE+1,FALSE)</f>
        <v>Das Langlebigkeitsrisiko bei Altersrenten (Ziff. 1)</v>
      </c>
      <c r="C86" s="453"/>
      <c r="D86" s="452"/>
      <c r="E86" s="211">
        <f t="shared" ref="E86:F88" si="44">H86+K86</f>
        <v>0</v>
      </c>
      <c r="F86" s="212">
        <f t="shared" si="44"/>
        <v>0</v>
      </c>
      <c r="G86" s="400">
        <f t="shared" ref="G86:G99" si="45">J86+M86</f>
        <v>0</v>
      </c>
      <c r="H86" s="788">
        <v>0</v>
      </c>
      <c r="I86" s="789">
        <v>0</v>
      </c>
      <c r="J86" s="790">
        <v>0</v>
      </c>
      <c r="K86" s="789">
        <v>0</v>
      </c>
      <c r="L86" s="789">
        <v>0</v>
      </c>
      <c r="M86" s="790">
        <v>0</v>
      </c>
      <c r="N86" s="738"/>
      <c r="O86" s="304"/>
    </row>
    <row r="87" spans="1:15">
      <c r="A87" s="195" t="s">
        <v>1342</v>
      </c>
      <c r="B87" s="449" t="str">
        <f t="shared" si="43"/>
        <v>Verstärkungen für Freizügigkeitspolicen (Ziff. 1)</v>
      </c>
      <c r="C87" s="453"/>
      <c r="D87" s="452"/>
      <c r="E87" s="211">
        <f t="shared" si="44"/>
        <v>0</v>
      </c>
      <c r="F87" s="212">
        <f t="shared" si="44"/>
        <v>0</v>
      </c>
      <c r="G87" s="400">
        <f>J87+M87</f>
        <v>0</v>
      </c>
      <c r="H87" s="788">
        <v>0</v>
      </c>
      <c r="I87" s="789">
        <v>0</v>
      </c>
      <c r="J87" s="790">
        <v>0</v>
      </c>
      <c r="K87" s="789">
        <v>0</v>
      </c>
      <c r="L87" s="789">
        <v>0</v>
      </c>
      <c r="M87" s="790">
        <v>0</v>
      </c>
      <c r="N87" s="738"/>
      <c r="O87" s="304"/>
    </row>
    <row r="88" spans="1:15">
      <c r="A88" s="195">
        <v>200</v>
      </c>
      <c r="B88" s="474" t="str">
        <f t="shared" si="43"/>
        <v>Deckungslücken bei Rentenumwandlung (Ziff. 2)</v>
      </c>
      <c r="C88" s="472"/>
      <c r="D88" s="473"/>
      <c r="E88" s="211">
        <f t="shared" si="44"/>
        <v>0</v>
      </c>
      <c r="F88" s="212">
        <f t="shared" si="44"/>
        <v>0</v>
      </c>
      <c r="G88" s="400">
        <f t="shared" si="45"/>
        <v>0</v>
      </c>
      <c r="H88" s="788">
        <v>0</v>
      </c>
      <c r="I88" s="789">
        <v>0</v>
      </c>
      <c r="J88" s="790">
        <v>0</v>
      </c>
      <c r="K88" s="789">
        <v>0</v>
      </c>
      <c r="L88" s="789">
        <v>0</v>
      </c>
      <c r="M88" s="790">
        <v>0</v>
      </c>
      <c r="N88" s="738"/>
      <c r="O88" s="304"/>
    </row>
    <row r="89" spans="1:15">
      <c r="A89" s="195" t="s">
        <v>559</v>
      </c>
      <c r="B89" s="449" t="str">
        <f t="shared" si="43"/>
        <v>Gemeldete noch nicht erledigte Versicherungsfälle (RBNS, Ziff. 3)</v>
      </c>
      <c r="C89" s="453"/>
      <c r="D89" s="389">
        <f>D$35</f>
        <v>0</v>
      </c>
      <c r="E89" s="211">
        <f t="shared" ref="E89:F91" si="46">H89+K89</f>
        <v>0</v>
      </c>
      <c r="F89" s="212">
        <f t="shared" si="46"/>
        <v>0</v>
      </c>
      <c r="G89" s="400">
        <f t="shared" si="45"/>
        <v>0</v>
      </c>
      <c r="H89" s="788">
        <v>0</v>
      </c>
      <c r="I89" s="789">
        <v>0</v>
      </c>
      <c r="J89" s="790">
        <v>0</v>
      </c>
      <c r="K89" s="789">
        <v>0</v>
      </c>
      <c r="L89" s="789">
        <v>0</v>
      </c>
      <c r="M89" s="790">
        <v>0</v>
      </c>
      <c r="N89" s="738"/>
      <c r="O89" s="242" t="str">
        <f>IF($D89&lt;&gt;0,IF(SPRCODE=1,"Bitte Fehler im Berichtsjahr korrigieren","Corriger l'erreur pour l'année d'exercice, svp"),"ok")</f>
        <v>ok</v>
      </c>
    </row>
    <row r="90" spans="1:15">
      <c r="A90" s="195" t="s">
        <v>2439</v>
      </c>
      <c r="B90" s="449" t="str">
        <f t="shared" si="43"/>
        <v>Laufende Invaliden- und Hinterbliebenenrenten (Ziff. 3)</v>
      </c>
      <c r="C90" s="453"/>
      <c r="D90" s="452"/>
      <c r="E90" s="211">
        <f t="shared" si="46"/>
        <v>0</v>
      </c>
      <c r="F90" s="212">
        <f t="shared" si="46"/>
        <v>0</v>
      </c>
      <c r="G90" s="400">
        <f t="shared" si="45"/>
        <v>0</v>
      </c>
      <c r="H90" s="788">
        <v>0</v>
      </c>
      <c r="I90" s="789">
        <v>0</v>
      </c>
      <c r="J90" s="790">
        <v>0</v>
      </c>
      <c r="K90" s="789">
        <v>0</v>
      </c>
      <c r="L90" s="789">
        <v>0</v>
      </c>
      <c r="M90" s="790">
        <v>0</v>
      </c>
      <c r="N90" s="738"/>
      <c r="O90" s="304"/>
    </row>
    <row r="91" spans="1:15">
      <c r="A91" s="195">
        <v>202</v>
      </c>
      <c r="B91" s="449" t="str">
        <f>VLOOKUP($A91&amp;B$2,TEXTDF,SPRCODE+1,FALSE)</f>
        <v>Eingetretene noch nicht gemeldete Versicherungsfälle (IBNR, Ziff. 4)</v>
      </c>
      <c r="C91" s="453"/>
      <c r="D91" s="389">
        <f>D$35</f>
        <v>0</v>
      </c>
      <c r="E91" s="211">
        <f t="shared" si="46"/>
        <v>0</v>
      </c>
      <c r="F91" s="212">
        <f t="shared" si="46"/>
        <v>0</v>
      </c>
      <c r="G91" s="400">
        <f>J91+M91</f>
        <v>0</v>
      </c>
      <c r="H91" s="788">
        <v>0</v>
      </c>
      <c r="I91" s="789">
        <v>0</v>
      </c>
      <c r="J91" s="790">
        <v>0</v>
      </c>
      <c r="K91" s="789">
        <v>0</v>
      </c>
      <c r="L91" s="789">
        <v>0</v>
      </c>
      <c r="M91" s="790">
        <v>0</v>
      </c>
      <c r="N91" s="738"/>
      <c r="O91" s="242" t="str">
        <f>IF($D91&lt;&gt;0,IF(SPRCODE=1,"Siehe Meldung in Pos. 167a.","Voir message sous pos. 167a."),"ok")</f>
        <v>ok</v>
      </c>
    </row>
    <row r="92" spans="1:15">
      <c r="A92" s="195">
        <v>203</v>
      </c>
      <c r="B92" s="449" t="str">
        <f t="shared" si="43"/>
        <v>Schadenschwankungen (Ziff. 5)</v>
      </c>
      <c r="C92" s="453"/>
      <c r="D92" s="452"/>
      <c r="E92" s="211">
        <f>H92+K92</f>
        <v>0</v>
      </c>
      <c r="F92" s="212">
        <f>I92+L92</f>
        <v>0</v>
      </c>
      <c r="G92" s="400">
        <f t="shared" si="45"/>
        <v>0</v>
      </c>
      <c r="H92" s="788">
        <v>0</v>
      </c>
      <c r="I92" s="789">
        <v>0</v>
      </c>
      <c r="J92" s="790">
        <v>0</v>
      </c>
      <c r="K92" s="789">
        <v>0</v>
      </c>
      <c r="L92" s="789">
        <v>0</v>
      </c>
      <c r="M92" s="790">
        <v>0</v>
      </c>
      <c r="N92" s="738"/>
      <c r="O92" s="304"/>
    </row>
    <row r="93" spans="1:15">
      <c r="A93" s="195">
        <v>204</v>
      </c>
      <c r="B93" s="449" t="str">
        <f t="shared" si="43"/>
        <v>Wertschwankungen der Kapitalanlagen (Ziff. 6)</v>
      </c>
      <c r="C93" s="385" t="str">
        <f>VLOOKUP($A93&amp;C$2,TEXTDF,SPRCODE+1,FALSE)</f>
        <v>ER 42c</v>
      </c>
      <c r="D93" s="389">
        <f>IF(ABS(E93-(H93+K93))&lt;5,0,jahr)</f>
        <v>0</v>
      </c>
      <c r="E93" s="211">
        <f>ER!$F$40-E94</f>
        <v>0</v>
      </c>
      <c r="F93" s="212">
        <f>ER!$G$40-F94</f>
        <v>0</v>
      </c>
      <c r="G93" s="400">
        <f t="shared" si="45"/>
        <v>0</v>
      </c>
      <c r="H93" s="788">
        <v>0</v>
      </c>
      <c r="I93" s="789">
        <v>0</v>
      </c>
      <c r="J93" s="790">
        <v>0</v>
      </c>
      <c r="K93" s="789">
        <v>0</v>
      </c>
      <c r="L93" s="789">
        <v>0</v>
      </c>
      <c r="M93" s="790">
        <v>0</v>
      </c>
      <c r="N93" s="738"/>
      <c r="O93" s="242" t="str">
        <f>IF($D93&lt;&gt;0,IF(SPRCODE=1,"Bitte Fehler im Berichtsjahr korrigieren","Corriger l'erreur pour l'année d'exercice, svp"),"ok")</f>
        <v>ok</v>
      </c>
    </row>
    <row r="94" spans="1:15">
      <c r="A94" s="195">
        <v>205</v>
      </c>
      <c r="B94" s="449" t="str">
        <f t="shared" si="43"/>
        <v>Zinsgarantien (Ziff. 7)</v>
      </c>
      <c r="C94" s="385" t="str">
        <f>VLOOKUP($A94&amp;C$2,TEXTDF,SPRCODE+1,FALSE)</f>
        <v>ER 42c</v>
      </c>
      <c r="D94" s="452"/>
      <c r="E94" s="211">
        <f t="shared" ref="E94:F100" si="47">H94+K94</f>
        <v>0</v>
      </c>
      <c r="F94" s="212">
        <f t="shared" si="47"/>
        <v>0</v>
      </c>
      <c r="G94" s="400">
        <f t="shared" si="45"/>
        <v>0</v>
      </c>
      <c r="H94" s="788">
        <v>0</v>
      </c>
      <c r="I94" s="789">
        <v>0</v>
      </c>
      <c r="J94" s="790">
        <v>0</v>
      </c>
      <c r="K94" s="789">
        <v>0</v>
      </c>
      <c r="L94" s="789">
        <v>0</v>
      </c>
      <c r="M94" s="790">
        <v>0</v>
      </c>
      <c r="N94" s="738"/>
      <c r="O94" s="304"/>
    </row>
    <row r="95" spans="1:15">
      <c r="A95" s="195" t="s">
        <v>1348</v>
      </c>
      <c r="B95" s="381" t="str">
        <f t="shared" si="43"/>
        <v>Auflösung Teuerungsrückstellungen zugunsten Verstärkungen (Sparprozess)</v>
      </c>
      <c r="C95" s="385"/>
      <c r="D95" s="452"/>
      <c r="E95" s="211">
        <f t="shared" si="47"/>
        <v>0</v>
      </c>
      <c r="F95" s="212">
        <f t="shared" si="47"/>
        <v>0</v>
      </c>
      <c r="G95" s="400">
        <f>J95+M95</f>
        <v>0</v>
      </c>
      <c r="H95" s="788">
        <v>0</v>
      </c>
      <c r="I95" s="789">
        <v>0</v>
      </c>
      <c r="J95" s="790">
        <v>0</v>
      </c>
      <c r="K95" s="789">
        <v>0</v>
      </c>
      <c r="L95" s="789">
        <v>0</v>
      </c>
      <c r="M95" s="790">
        <v>0</v>
      </c>
      <c r="N95" s="738"/>
      <c r="O95" s="304"/>
    </row>
    <row r="96" spans="1:15">
      <c r="A96" s="195" t="s">
        <v>2824</v>
      </c>
      <c r="B96" s="381" t="str">
        <f t="shared" si="43"/>
        <v>Auflösung Teuerungsrückstellungen zugunsten Verstärkungen (Risikoprozess)</v>
      </c>
      <c r="C96" s="385"/>
      <c r="D96" s="452"/>
      <c r="E96" s="211">
        <f t="shared" si="47"/>
        <v>0</v>
      </c>
      <c r="F96" s="212">
        <f t="shared" si="47"/>
        <v>0</v>
      </c>
      <c r="G96" s="400">
        <f>J96+M96</f>
        <v>0</v>
      </c>
      <c r="H96" s="788">
        <v>0</v>
      </c>
      <c r="I96" s="789">
        <v>0</v>
      </c>
      <c r="J96" s="790">
        <v>0</v>
      </c>
      <c r="K96" s="789">
        <v>0</v>
      </c>
      <c r="L96" s="789">
        <v>0</v>
      </c>
      <c r="M96" s="790">
        <v>0</v>
      </c>
      <c r="N96" s="738"/>
      <c r="O96" s="304"/>
    </row>
    <row r="97" spans="1:15">
      <c r="A97" s="195" t="s">
        <v>3144</v>
      </c>
      <c r="B97" s="449" t="str">
        <f t="shared" si="43"/>
        <v>Auflösung Teuerungsrückstellungen zugunsten Überschussfonds</v>
      </c>
      <c r="C97" s="385"/>
      <c r="D97" s="452"/>
      <c r="E97" s="211">
        <f t="shared" si="47"/>
        <v>0</v>
      </c>
      <c r="F97" s="212">
        <f t="shared" si="47"/>
        <v>0</v>
      </c>
      <c r="G97" s="400">
        <f>J97+M97</f>
        <v>0</v>
      </c>
      <c r="H97" s="788">
        <v>0</v>
      </c>
      <c r="I97" s="789">
        <v>0</v>
      </c>
      <c r="J97" s="790">
        <v>0</v>
      </c>
      <c r="K97" s="789">
        <v>0</v>
      </c>
      <c r="L97" s="789">
        <v>0</v>
      </c>
      <c r="M97" s="790">
        <v>0</v>
      </c>
      <c r="N97" s="738"/>
      <c r="O97" s="304"/>
    </row>
    <row r="98" spans="1:15">
      <c r="A98" s="195" t="s">
        <v>3147</v>
      </c>
      <c r="B98" s="449" t="str">
        <f t="shared" si="43"/>
        <v>Bildung zusätzliche Teuerungsrückstellungen</v>
      </c>
      <c r="C98" s="385"/>
      <c r="D98" s="452"/>
      <c r="E98" s="211">
        <f t="shared" si="47"/>
        <v>0</v>
      </c>
      <c r="F98" s="212">
        <f t="shared" si="47"/>
        <v>0</v>
      </c>
      <c r="G98" s="400">
        <f>J98+M98</f>
        <v>0</v>
      </c>
      <c r="H98" s="788">
        <v>0</v>
      </c>
      <c r="I98" s="789">
        <v>0</v>
      </c>
      <c r="J98" s="790">
        <v>0</v>
      </c>
      <c r="K98" s="789">
        <v>0</v>
      </c>
      <c r="L98" s="789">
        <v>0</v>
      </c>
      <c r="M98" s="790">
        <v>0</v>
      </c>
      <c r="N98" s="738"/>
      <c r="O98" s="304"/>
    </row>
    <row r="99" spans="1:15">
      <c r="A99" s="195">
        <v>206</v>
      </c>
      <c r="B99" s="449" t="str">
        <f t="shared" si="43"/>
        <v>Tarifumstellungen und -sanierungen (Ziff. 8)</v>
      </c>
      <c r="C99" s="453"/>
      <c r="D99" s="452"/>
      <c r="E99" s="211">
        <f t="shared" si="47"/>
        <v>0</v>
      </c>
      <c r="F99" s="212">
        <f t="shared" si="47"/>
        <v>0</v>
      </c>
      <c r="G99" s="400">
        <f t="shared" si="45"/>
        <v>0</v>
      </c>
      <c r="H99" s="788">
        <v>0</v>
      </c>
      <c r="I99" s="789">
        <v>0</v>
      </c>
      <c r="J99" s="790">
        <v>0</v>
      </c>
      <c r="K99" s="789">
        <v>0</v>
      </c>
      <c r="L99" s="789">
        <v>0</v>
      </c>
      <c r="M99" s="790">
        <v>0</v>
      </c>
      <c r="N99" s="738"/>
      <c r="O99" s="304"/>
    </row>
    <row r="100" spans="1:15" ht="27" customHeight="1" thickBot="1">
      <c r="A100" s="195">
        <v>207</v>
      </c>
      <c r="B100" s="437" t="str">
        <f t="shared" si="43"/>
        <v>Total Äufnung (+) oder Auflösung (-) techn. Rückstellungen
= Summe 199 bis 206</v>
      </c>
      <c r="C100" s="724"/>
      <c r="D100" s="443"/>
      <c r="E100" s="224">
        <f t="shared" si="47"/>
        <v>0</v>
      </c>
      <c r="F100" s="225">
        <f t="shared" si="47"/>
        <v>0</v>
      </c>
      <c r="G100" s="403">
        <f>J100+M100</f>
        <v>0</v>
      </c>
      <c r="H100" s="416">
        <f t="shared" ref="H100:M100" si="48">SUM(H$86:H$99)</f>
        <v>0</v>
      </c>
      <c r="I100" s="227">
        <f t="shared" si="48"/>
        <v>0</v>
      </c>
      <c r="J100" s="417">
        <f t="shared" si="48"/>
        <v>0</v>
      </c>
      <c r="K100" s="229">
        <f t="shared" si="48"/>
        <v>0</v>
      </c>
      <c r="L100" s="229">
        <f t="shared" si="48"/>
        <v>0</v>
      </c>
      <c r="M100" s="398">
        <f t="shared" si="48"/>
        <v>0</v>
      </c>
      <c r="N100" s="295"/>
      <c r="O100" s="304"/>
    </row>
    <row r="101" spans="1:15" ht="22.5" customHeight="1" thickTop="1">
      <c r="A101" s="441" t="s">
        <v>1303</v>
      </c>
      <c r="B101" s="432" t="str">
        <f t="shared" ref="B101:B112" si="49">VLOOKUP($A101&amp;B$2,TEXTDF,SPRCODE+1,FALSE)</f>
        <v>Verfahren bei positivem Gesamtsaldo (Art. 149 AVO)</v>
      </c>
      <c r="C101" s="444"/>
      <c r="D101" s="445"/>
      <c r="E101" s="504"/>
      <c r="F101" s="505"/>
      <c r="G101" s="506"/>
      <c r="H101" s="500"/>
      <c r="I101" s="501"/>
      <c r="J101" s="502"/>
      <c r="K101" s="497"/>
      <c r="L101" s="497"/>
      <c r="M101" s="498"/>
      <c r="N101" s="280"/>
      <c r="O101" s="304"/>
    </row>
    <row r="102" spans="1:15">
      <c r="A102" s="195">
        <v>198</v>
      </c>
      <c r="B102" s="383" t="str">
        <f t="shared" si="49"/>
        <v>Positiver Gesamtsaldo?</v>
      </c>
      <c r="C102" s="444"/>
      <c r="D102" s="445"/>
      <c r="E102" s="516"/>
      <c r="F102" s="517"/>
      <c r="G102" s="518"/>
      <c r="H102" s="805" t="str">
        <f>IF(H$112&lt;0,IF(SPRCODE=1,"Nein","Non"),IF(SPRCODE=1,"Ja","Oui"))</f>
        <v>Ja</v>
      </c>
      <c r="I102" s="804" t="str">
        <f>IF(I$112&lt;0,IF(SPRCODE=1,"Nein","Non"),IF(SPRCODE=1,"Ja","Oui"))</f>
        <v>Ja</v>
      </c>
      <c r="J102" s="803" t="str">
        <f t="shared" ref="J102:M102" si="50">IF(J$112&lt;0,IF(SPRCODE=1,"Nein","Non"),IF(SPRCODE=1,"Ja","Oui"))</f>
        <v>Ja</v>
      </c>
      <c r="K102" s="806" t="str">
        <f t="shared" si="50"/>
        <v>Ja</v>
      </c>
      <c r="L102" s="808" t="str">
        <f t="shared" si="50"/>
        <v>Ja</v>
      </c>
      <c r="M102" s="807" t="str">
        <f t="shared" si="50"/>
        <v>Ja</v>
      </c>
      <c r="N102" s="286"/>
      <c r="O102" s="306"/>
    </row>
    <row r="103" spans="1:15">
      <c r="A103" s="441" t="s">
        <v>1302</v>
      </c>
      <c r="B103" s="835" t="str">
        <f t="shared" si="49"/>
        <v>Kosten für zusätzlich aufgenommenes Risikokapital (Art. 149 Abs. 1 Buchst. b und Abs. 3 AVO)</v>
      </c>
      <c r="C103" s="444"/>
      <c r="D103" s="445"/>
      <c r="E103" s="504"/>
      <c r="F103" s="519"/>
      <c r="G103" s="520"/>
      <c r="H103" s="500"/>
      <c r="I103" s="501"/>
      <c r="J103" s="502"/>
      <c r="K103" s="497"/>
      <c r="L103" s="497"/>
      <c r="M103" s="543"/>
      <c r="N103" s="43"/>
      <c r="O103" s="304"/>
    </row>
    <row r="104" spans="1:15" ht="24">
      <c r="A104" s="195">
        <v>208</v>
      </c>
      <c r="B104" s="446" t="str">
        <f t="shared" si="49"/>
        <v>Bei pos. Gesamtsaldo und mit Zustimmung der FINMA:  
Kosten für Risikokapital</v>
      </c>
      <c r="C104" s="447"/>
      <c r="D104" s="448"/>
      <c r="E104" s="511"/>
      <c r="F104" s="521"/>
      <c r="G104" s="522"/>
      <c r="H104" s="788">
        <v>0</v>
      </c>
      <c r="I104" s="789">
        <v>0</v>
      </c>
      <c r="J104" s="790">
        <v>0</v>
      </c>
      <c r="K104" s="497"/>
      <c r="L104" s="497"/>
      <c r="M104" s="527"/>
      <c r="N104" s="17"/>
      <c r="O104" s="304"/>
    </row>
    <row r="105" spans="1:15" ht="24.75" customHeight="1">
      <c r="A105" s="441" t="s">
        <v>1301</v>
      </c>
      <c r="B105" s="836" t="str">
        <f t="shared" si="49"/>
        <v>Äufnung ungenügender oder Auflösung nicht mehr benötigter Rückstellungen (Pos. 207)</v>
      </c>
      <c r="C105" s="444"/>
      <c r="D105" s="445"/>
      <c r="E105" s="504"/>
      <c r="F105" s="519"/>
      <c r="G105" s="520"/>
      <c r="H105" s="500"/>
      <c r="I105" s="501"/>
      <c r="J105" s="502"/>
      <c r="K105" s="497"/>
      <c r="L105" s="497"/>
      <c r="M105" s="527"/>
      <c r="N105" s="17"/>
      <c r="O105" s="304"/>
    </row>
    <row r="106" spans="1:15" ht="48">
      <c r="A106" s="195">
        <v>209</v>
      </c>
      <c r="B106" s="446" t="str">
        <f t="shared" si="49"/>
        <v>Äufnung (+) oder Auflösung (-) von techn. Rückstellungen nach Geschäftsplan
(Unter dieser Pos.: Äufnung max. bis der verbleibende Gesamtsaldo verschwindet)</v>
      </c>
      <c r="C106" s="449"/>
      <c r="D106" s="373"/>
      <c r="E106" s="511"/>
      <c r="F106" s="508"/>
      <c r="G106" s="522"/>
      <c r="H106" s="206">
        <f>IF(H$102=IF(SPRCODE=1,"Ja","Oui"),H$100,0)</f>
        <v>0</v>
      </c>
      <c r="I106" s="207">
        <f t="shared" ref="I106:M106" si="51">IF(I$102=IF(SPRCODE=1,"Ja","Oui"),I$100,0)</f>
        <v>0</v>
      </c>
      <c r="J106" s="413">
        <f t="shared" si="51"/>
        <v>0</v>
      </c>
      <c r="K106" s="202">
        <f t="shared" si="51"/>
        <v>0</v>
      </c>
      <c r="L106" s="202">
        <f t="shared" si="51"/>
        <v>0</v>
      </c>
      <c r="M106" s="395">
        <f t="shared" si="51"/>
        <v>0</v>
      </c>
      <c r="N106" s="296"/>
      <c r="O106" s="304"/>
    </row>
    <row r="107" spans="1:15" ht="24">
      <c r="A107" s="195">
        <v>210</v>
      </c>
      <c r="B107" s="384" t="str">
        <f t="shared" si="49"/>
        <v>Verbleibender Gesamtsaldo (positiv oder null)
= 197 - 208 - 209</v>
      </c>
      <c r="C107" s="450"/>
      <c r="D107" s="451"/>
      <c r="E107" s="516"/>
      <c r="F107" s="517"/>
      <c r="G107" s="523"/>
      <c r="H107" s="739">
        <f>MAX(H$84-H$104-H$106,0)</f>
        <v>0</v>
      </c>
      <c r="I107" s="691">
        <f>MAX(I$84-I$104-I$106,0)</f>
        <v>0</v>
      </c>
      <c r="J107" s="740">
        <f>MAX(J$84-J$104-J$106,0)</f>
        <v>0</v>
      </c>
      <c r="K107" s="695">
        <f>MAX(K$84-K$106,0)</f>
        <v>0</v>
      </c>
      <c r="L107" s="695">
        <f>MAX(L$84-L$106,0)</f>
        <v>0</v>
      </c>
      <c r="M107" s="741">
        <f>MAX(M$84-M$106,0)</f>
        <v>0</v>
      </c>
      <c r="N107" s="295"/>
      <c r="O107" s="304"/>
    </row>
    <row r="108" spans="1:15" ht="18" customHeight="1">
      <c r="A108" s="441" t="s">
        <v>1300</v>
      </c>
      <c r="B108" s="432" t="str">
        <f t="shared" si="49"/>
        <v>Verfahren bei negativem Gesamtsaldo (Art. 150 AVO)</v>
      </c>
      <c r="C108" s="444"/>
      <c r="D108" s="445"/>
      <c r="E108" s="504"/>
      <c r="F108" s="519"/>
      <c r="G108" s="520"/>
      <c r="H108" s="500"/>
      <c r="I108" s="501"/>
      <c r="J108" s="502"/>
      <c r="K108" s="497"/>
      <c r="L108" s="497"/>
      <c r="M108" s="498"/>
      <c r="N108" s="280"/>
      <c r="O108" s="304"/>
    </row>
    <row r="109" spans="1:15">
      <c r="A109" s="195">
        <v>211</v>
      </c>
      <c r="B109" s="383" t="str">
        <f t="shared" si="49"/>
        <v>Negativer Saldo?</v>
      </c>
      <c r="C109" s="444"/>
      <c r="D109" s="445"/>
      <c r="E109" s="504"/>
      <c r="F109" s="519"/>
      <c r="G109" s="520"/>
      <c r="H109" s="554" t="str">
        <f t="shared" ref="H109:M109" si="52">IF(H$112&lt;0,IF(SPRCODE=1,"Ja","Oui"),IF(SPRCODE=1,"Nein","Non"))</f>
        <v>Nein</v>
      </c>
      <c r="I109" s="555" t="str">
        <f t="shared" si="52"/>
        <v>Nein</v>
      </c>
      <c r="J109" s="556" t="str">
        <f t="shared" si="52"/>
        <v>Nein</v>
      </c>
      <c r="K109" s="557" t="str">
        <f t="shared" si="52"/>
        <v>Nein</v>
      </c>
      <c r="L109" s="557" t="str">
        <f t="shared" si="52"/>
        <v>Nein</v>
      </c>
      <c r="M109" s="558" t="str">
        <f t="shared" si="52"/>
        <v>Nein</v>
      </c>
      <c r="N109" s="286"/>
      <c r="O109" s="306"/>
    </row>
    <row r="110" spans="1:15">
      <c r="A110" s="441" t="s">
        <v>1299</v>
      </c>
      <c r="B110" s="383" t="str">
        <f t="shared" si="49"/>
        <v>Auflösung nicht mehr benötigter Rückstellungen (Pos. 207)</v>
      </c>
      <c r="C110" s="433"/>
      <c r="D110" s="389"/>
      <c r="E110" s="504"/>
      <c r="F110" s="505"/>
      <c r="G110" s="506"/>
      <c r="H110" s="500"/>
      <c r="I110" s="501"/>
      <c r="J110" s="502"/>
      <c r="K110" s="497"/>
      <c r="L110" s="497"/>
      <c r="M110" s="498"/>
      <c r="N110" s="280"/>
      <c r="O110" s="304"/>
    </row>
    <row r="111" spans="1:15">
      <c r="A111" s="195">
        <v>212</v>
      </c>
      <c r="B111" s="446" t="str">
        <f t="shared" si="49"/>
        <v>Auflösung (+) von techn. Rückstellungen nach Geschäftsplan</v>
      </c>
      <c r="C111" s="253"/>
      <c r="D111" s="452"/>
      <c r="E111" s="511"/>
      <c r="F111" s="508"/>
      <c r="G111" s="522"/>
      <c r="H111" s="206">
        <f t="shared" ref="H111:M111" si="53">IF(H$109=IF(SPRCODE=1,"Ja","Oui"),-H$100,0)</f>
        <v>0</v>
      </c>
      <c r="I111" s="207">
        <f t="shared" si="53"/>
        <v>0</v>
      </c>
      <c r="J111" s="413">
        <f t="shared" si="53"/>
        <v>0</v>
      </c>
      <c r="K111" s="202">
        <f t="shared" si="53"/>
        <v>0</v>
      </c>
      <c r="L111" s="202">
        <f t="shared" si="53"/>
        <v>0</v>
      </c>
      <c r="M111" s="395">
        <f t="shared" si="53"/>
        <v>0</v>
      </c>
      <c r="N111" s="297"/>
      <c r="O111" s="304"/>
    </row>
    <row r="112" spans="1:15" ht="24">
      <c r="A112" s="195">
        <v>216</v>
      </c>
      <c r="B112" s="384" t="str">
        <f t="shared" si="49"/>
        <v>Verbleibender Gesamtsaldo (negativ oder null)
= 197 + 212</v>
      </c>
      <c r="C112" s="386"/>
      <c r="D112" s="388"/>
      <c r="E112" s="326"/>
      <c r="F112" s="327"/>
      <c r="G112" s="524"/>
      <c r="H112" s="739">
        <f>MIN(H$84-H$100,0)</f>
        <v>0</v>
      </c>
      <c r="I112" s="691">
        <f t="shared" ref="I112:M112" si="54">MIN(I$84-I$100,0)</f>
        <v>0</v>
      </c>
      <c r="J112" s="740">
        <f t="shared" si="54"/>
        <v>0</v>
      </c>
      <c r="K112" s="695">
        <f t="shared" si="54"/>
        <v>0</v>
      </c>
      <c r="L112" s="695">
        <f t="shared" si="54"/>
        <v>0</v>
      </c>
      <c r="M112" s="741">
        <f t="shared" si="54"/>
        <v>0</v>
      </c>
      <c r="N112" s="295"/>
      <c r="O112" s="304"/>
    </row>
    <row r="113" spans="1:15" ht="15" customHeight="1">
      <c r="A113" s="441" t="s">
        <v>1379</v>
      </c>
      <c r="B113" s="432" t="str">
        <f t="shared" ref="B113:B121" si="55">VLOOKUP($A113&amp;B$2,TEXTDF,SPRCODE+1,FALSE)</f>
        <v>Rekapitulation und Aufteilung des Rechnungsergebnisses</v>
      </c>
      <c r="C113" s="433"/>
      <c r="D113" s="389"/>
      <c r="E113" s="504"/>
      <c r="F113" s="505"/>
      <c r="G113" s="506"/>
      <c r="H113" s="500"/>
      <c r="I113" s="501"/>
      <c r="J113" s="502"/>
      <c r="K113" s="497"/>
      <c r="L113" s="497"/>
      <c r="M113" s="498"/>
      <c r="N113" s="280"/>
      <c r="O113" s="304"/>
    </row>
    <row r="114" spans="1:15">
      <c r="A114" s="195">
        <v>217</v>
      </c>
      <c r="B114" s="446" t="str">
        <f t="shared" si="55"/>
        <v>Summe der Ertragskomponenten  = 185 + 189 + 193</v>
      </c>
      <c r="C114" s="453"/>
      <c r="D114" s="452"/>
      <c r="E114" s="211">
        <f t="shared" ref="E114:G121" si="56">H114+K114</f>
        <v>0</v>
      </c>
      <c r="F114" s="212">
        <f t="shared" si="56"/>
        <v>0</v>
      </c>
      <c r="G114" s="400">
        <f t="shared" si="56"/>
        <v>0</v>
      </c>
      <c r="H114" s="206">
        <f t="shared" ref="H114:M114" si="57">H$72+H$76+H$80</f>
        <v>0</v>
      </c>
      <c r="I114" s="207">
        <f t="shared" si="57"/>
        <v>0</v>
      </c>
      <c r="J114" s="413">
        <f t="shared" si="57"/>
        <v>0</v>
      </c>
      <c r="K114" s="202">
        <f t="shared" si="57"/>
        <v>0</v>
      </c>
      <c r="L114" s="202">
        <f t="shared" si="57"/>
        <v>0</v>
      </c>
      <c r="M114" s="395">
        <f t="shared" si="57"/>
        <v>0</v>
      </c>
      <c r="N114" s="197"/>
      <c r="O114" s="304"/>
    </row>
    <row r="115" spans="1:15">
      <c r="A115" s="195">
        <v>218</v>
      </c>
      <c r="B115" s="446" t="str">
        <f t="shared" si="55"/>
        <v>Summe der Aufwendungen  = 187 + 191 + 195</v>
      </c>
      <c r="C115" s="453"/>
      <c r="D115" s="452"/>
      <c r="E115" s="211">
        <f t="shared" si="56"/>
        <v>0</v>
      </c>
      <c r="F115" s="212">
        <f t="shared" si="56"/>
        <v>0</v>
      </c>
      <c r="G115" s="400">
        <f t="shared" si="56"/>
        <v>0</v>
      </c>
      <c r="H115" s="206">
        <f t="shared" ref="H115:M115" si="58">H$74+H$78+H$82</f>
        <v>0</v>
      </c>
      <c r="I115" s="207">
        <f t="shared" si="58"/>
        <v>0</v>
      </c>
      <c r="J115" s="413">
        <f t="shared" si="58"/>
        <v>0</v>
      </c>
      <c r="K115" s="202">
        <f t="shared" si="58"/>
        <v>0</v>
      </c>
      <c r="L115" s="202">
        <f t="shared" si="58"/>
        <v>0</v>
      </c>
      <c r="M115" s="395">
        <f t="shared" si="58"/>
        <v>0</v>
      </c>
      <c r="N115" s="197"/>
      <c r="O115" s="304"/>
    </row>
    <row r="116" spans="1:15" ht="18.75" customHeight="1">
      <c r="A116" s="195">
        <v>219</v>
      </c>
      <c r="B116" s="432" t="str">
        <f t="shared" si="55"/>
        <v>Bruttoergebnis  = 217 - 218</v>
      </c>
      <c r="C116" s="433"/>
      <c r="D116" s="389"/>
      <c r="E116" s="215">
        <f t="shared" si="56"/>
        <v>0</v>
      </c>
      <c r="F116" s="216">
        <f t="shared" si="56"/>
        <v>0</v>
      </c>
      <c r="G116" s="404">
        <f t="shared" si="56"/>
        <v>0</v>
      </c>
      <c r="H116" s="739">
        <f t="shared" ref="H116:M116" si="59">H$114-H$115</f>
        <v>0</v>
      </c>
      <c r="I116" s="691">
        <f t="shared" si="59"/>
        <v>0</v>
      </c>
      <c r="J116" s="740">
        <f t="shared" si="59"/>
        <v>0</v>
      </c>
      <c r="K116" s="695">
        <f t="shared" si="59"/>
        <v>0</v>
      </c>
      <c r="L116" s="695">
        <f t="shared" si="59"/>
        <v>0</v>
      </c>
      <c r="M116" s="741">
        <f t="shared" si="59"/>
        <v>0</v>
      </c>
      <c r="N116" s="197"/>
      <c r="O116" s="304"/>
    </row>
    <row r="117" spans="1:15" ht="28.5" customHeight="1">
      <c r="A117" s="195">
        <v>220</v>
      </c>
      <c r="B117" s="446" t="str">
        <f t="shared" si="55"/>
        <v>Verstärkung von technischen Rückstellungen nach Geschäftsplan  = 209 (falls positiv)</v>
      </c>
      <c r="C117" s="453"/>
      <c r="D117" s="452"/>
      <c r="E117" s="211">
        <f t="shared" si="56"/>
        <v>0</v>
      </c>
      <c r="F117" s="212">
        <f t="shared" si="56"/>
        <v>0</v>
      </c>
      <c r="G117" s="400">
        <f t="shared" si="56"/>
        <v>0</v>
      </c>
      <c r="H117" s="206">
        <f>MAX(H$106,0)</f>
        <v>0</v>
      </c>
      <c r="I117" s="207">
        <f t="shared" ref="I117:M117" si="60">MAX(I$106,0)</f>
        <v>0</v>
      </c>
      <c r="J117" s="413">
        <f t="shared" si="60"/>
        <v>0</v>
      </c>
      <c r="K117" s="202">
        <f t="shared" si="60"/>
        <v>0</v>
      </c>
      <c r="L117" s="202">
        <f t="shared" si="60"/>
        <v>0</v>
      </c>
      <c r="M117" s="395">
        <f t="shared" si="60"/>
        <v>0</v>
      </c>
      <c r="N117" s="296"/>
      <c r="O117" s="304"/>
    </row>
    <row r="118" spans="1:15">
      <c r="A118" s="195">
        <v>222</v>
      </c>
      <c r="B118" s="446" t="str">
        <f t="shared" si="55"/>
        <v>Risikokapitalkosten  = 208</v>
      </c>
      <c r="C118" s="453"/>
      <c r="D118" s="452"/>
      <c r="E118" s="211">
        <f>H118+K118</f>
        <v>0</v>
      </c>
      <c r="F118" s="212">
        <f>I118+L118</f>
        <v>0</v>
      </c>
      <c r="G118" s="400">
        <f>J118+M118</f>
        <v>0</v>
      </c>
      <c r="H118" s="206">
        <f>IF(AND(LEFT(H$102,1)=IF(SPRCODE=1,"J","O"),LEFT(H$20,1)="N"),H$104,0)</f>
        <v>0</v>
      </c>
      <c r="I118" s="207">
        <f>IF(AND(LEFT(I$102,1)=IF(SPRCODE=1,"J","O"),LEFT(I$20,1)="N"),I$104,0)</f>
        <v>0</v>
      </c>
      <c r="J118" s="413">
        <f>IF(AND(LEFT(J$102,1)=IF(SPRCODE=1,"J","O"),LEFT(J$20,1)="N"),J$104,0)</f>
        <v>0</v>
      </c>
      <c r="K118" s="202"/>
      <c r="L118" s="202"/>
      <c r="M118" s="395"/>
      <c r="N118" s="298"/>
      <c r="O118" s="304"/>
    </row>
    <row r="119" spans="1:15">
      <c r="A119" s="195">
        <v>221</v>
      </c>
      <c r="B119" s="446" t="str">
        <f t="shared" si="55"/>
        <v>Zwischenergebnis  = 219 - 220 - 222</v>
      </c>
      <c r="C119" s="453"/>
      <c r="D119" s="452"/>
      <c r="E119" s="211">
        <f t="shared" si="56"/>
        <v>0</v>
      </c>
      <c r="F119" s="212">
        <f t="shared" si="56"/>
        <v>0</v>
      </c>
      <c r="G119" s="400">
        <f t="shared" si="56"/>
        <v>0</v>
      </c>
      <c r="H119" s="206">
        <f>H$116-H$117-H$118</f>
        <v>0</v>
      </c>
      <c r="I119" s="207">
        <f>I$116-I$117-I$118</f>
        <v>0</v>
      </c>
      <c r="J119" s="413">
        <f>J$116-J$117-J$118</f>
        <v>0</v>
      </c>
      <c r="K119" s="202">
        <f>K$116-K$117</f>
        <v>0</v>
      </c>
      <c r="L119" s="202">
        <f>L$116-L$117</f>
        <v>0</v>
      </c>
      <c r="M119" s="395">
        <f>M$116-M$117</f>
        <v>0</v>
      </c>
      <c r="N119" s="296"/>
      <c r="O119" s="304"/>
    </row>
    <row r="120" spans="1:15" ht="24">
      <c r="A120" s="195">
        <v>223</v>
      </c>
      <c r="B120" s="446" t="str">
        <f t="shared" si="55"/>
        <v>Auflösung von technischen Rückstellungen 
nach Geschäftsplan  = 209 (falls negativ) + 212</v>
      </c>
      <c r="C120" s="453"/>
      <c r="D120" s="452"/>
      <c r="E120" s="211">
        <f t="shared" si="56"/>
        <v>0</v>
      </c>
      <c r="F120" s="212">
        <f t="shared" si="56"/>
        <v>0</v>
      </c>
      <c r="G120" s="400">
        <f t="shared" si="56"/>
        <v>0</v>
      </c>
      <c r="H120" s="206">
        <f t="shared" ref="H120:M120" si="61">H$111-MIN(H$106,0)</f>
        <v>0</v>
      </c>
      <c r="I120" s="207">
        <f t="shared" si="61"/>
        <v>0</v>
      </c>
      <c r="J120" s="413">
        <f t="shared" si="61"/>
        <v>0</v>
      </c>
      <c r="K120" s="202">
        <f t="shared" si="61"/>
        <v>0</v>
      </c>
      <c r="L120" s="202">
        <f t="shared" si="61"/>
        <v>0</v>
      </c>
      <c r="M120" s="395">
        <f t="shared" si="61"/>
        <v>0</v>
      </c>
      <c r="N120" s="296"/>
      <c r="O120" s="304"/>
    </row>
    <row r="121" spans="1:15" ht="18.75" customHeight="1" thickBot="1">
      <c r="A121" s="195">
        <v>224</v>
      </c>
      <c r="B121" s="454" t="str">
        <f t="shared" si="55"/>
        <v>Nettoergebnis  = 221 + 223</v>
      </c>
      <c r="C121" s="455"/>
      <c r="D121" s="456"/>
      <c r="E121" s="224">
        <f t="shared" si="56"/>
        <v>0</v>
      </c>
      <c r="F121" s="225">
        <f t="shared" si="56"/>
        <v>0</v>
      </c>
      <c r="G121" s="403">
        <f t="shared" si="56"/>
        <v>0</v>
      </c>
      <c r="H121" s="416">
        <f t="shared" ref="H121:M121" si="62">H$119+H$120</f>
        <v>0</v>
      </c>
      <c r="I121" s="227">
        <f t="shared" si="62"/>
        <v>0</v>
      </c>
      <c r="J121" s="417">
        <f t="shared" si="62"/>
        <v>0</v>
      </c>
      <c r="K121" s="229">
        <f t="shared" si="62"/>
        <v>0</v>
      </c>
      <c r="L121" s="229">
        <f t="shared" si="62"/>
        <v>0</v>
      </c>
      <c r="M121" s="398">
        <f t="shared" si="62"/>
        <v>0</v>
      </c>
      <c r="N121" s="17"/>
      <c r="O121" s="304"/>
    </row>
    <row r="122" spans="1:15" ht="33" customHeight="1" thickTop="1" thickBot="1">
      <c r="A122" s="195">
        <v>225</v>
      </c>
      <c r="B122" s="437" t="str">
        <f>VLOOKUP($A122&amp;B$2,TEXTDF,SPRCODE+1,FALSE)</f>
        <v>Zuweisung an Überschussfonds zug. Versicherungs-
nehmer (Art. 149 Abs. 1 Buchst. c AVO)</v>
      </c>
      <c r="C122" s="457" t="str">
        <f>VLOOKUP($A122&amp;C$2,TEXTDF,SPRCODE+1,FALSE)</f>
        <v>ER, 26</v>
      </c>
      <c r="D122" s="801">
        <f>IF(ABS(E122-(H122+K122))&lt;5,0,jahr)</f>
        <v>0</v>
      </c>
      <c r="E122" s="743">
        <f>ER!$F$51</f>
        <v>0</v>
      </c>
      <c r="F122" s="744">
        <f>ER!$G$51</f>
        <v>0</v>
      </c>
      <c r="G122" s="559">
        <f>J122+M122</f>
        <v>0</v>
      </c>
      <c r="H122" s="745">
        <f>IF(LEFT(H$102,1)=IF(SPRCODE=1,"J","O"),IF(LEFT(H$20,1)=IF(SPRCODE=1,"J","O"),H$70*H$121,H$107),0)</f>
        <v>0</v>
      </c>
      <c r="I122" s="746">
        <f>IF(LEFT(I$102,1)=IF(SPRCODE=1,"J","O"),IF(LEFT(I$20,1)=IF(SPRCODE=1,"J","O"),I$70*I$121,I$107),0)</f>
        <v>0</v>
      </c>
      <c r="J122" s="747">
        <f>IF(LEFT(J$102,1)=IF(SPRCODE=1,"J","O"),IF(LEFT(J$20,1)=IF(SPRCODE=1,"J","O"),J$70*J$121,J$107),0)</f>
        <v>0</v>
      </c>
      <c r="K122" s="791">
        <v>0</v>
      </c>
      <c r="L122" s="791">
        <v>0</v>
      </c>
      <c r="M122" s="792">
        <v>0</v>
      </c>
      <c r="N122" s="738"/>
      <c r="O122" s="242" t="str">
        <f>IF($D122&lt;&gt;0,IF(SPRCODE=1,"Bitte Fehler im Berichtsjahr korrigieren","Corriger l'erreur pour l'année d'exercice, svp"),"ok")</f>
        <v>ok</v>
      </c>
    </row>
    <row r="123" spans="1:15" s="24" customFormat="1" ht="28.5" customHeight="1" thickTop="1" thickBot="1">
      <c r="A123" s="195">
        <v>226</v>
      </c>
      <c r="B123" s="437" t="str">
        <f t="shared" ref="B123" si="63">VLOOKUP($A123&amp;B$2,TEXTDF,SPRCODE+1,FALSE)</f>
        <v>Ausschüttungsquote</v>
      </c>
      <c r="C123" s="457"/>
      <c r="D123" s="742"/>
      <c r="E123" s="560"/>
      <c r="F123" s="561"/>
      <c r="G123" s="562"/>
      <c r="H123" s="793">
        <v>0</v>
      </c>
      <c r="I123" s="794">
        <v>0</v>
      </c>
      <c r="J123" s="795">
        <v>0</v>
      </c>
      <c r="K123" s="563"/>
      <c r="L123" s="564"/>
      <c r="M123" s="565"/>
      <c r="N123" s="299"/>
      <c r="O123" s="242"/>
    </row>
    <row r="124" spans="1:15" ht="33.75" customHeight="1" thickTop="1" thickBot="1">
      <c r="A124" s="195">
        <v>227</v>
      </c>
      <c r="B124" s="458" t="str">
        <f>VLOOKUP($A124&amp;B$2,TEXTDF,SPRCODE+1,FALSE)</f>
        <v>Verbleibender Anteil des Versicherers (Betriebsergebnis)
= 224 - 225</v>
      </c>
      <c r="C124" s="457" t="str">
        <f>VLOOKUP($A124&amp;C$2,TEXTDF,SPRCODE+1,FALSE)</f>
        <v>ER, 51</v>
      </c>
      <c r="D124" s="801">
        <f>IF(ABS(E124-(H124+K124))&lt;5,0,jahr)</f>
        <v>0</v>
      </c>
      <c r="E124" s="743">
        <f>ER!$F$88</f>
        <v>0</v>
      </c>
      <c r="F124" s="744">
        <f>ER!$G$88</f>
        <v>0</v>
      </c>
      <c r="G124" s="559">
        <f>J124+M124</f>
        <v>0</v>
      </c>
      <c r="H124" s="745">
        <f t="shared" ref="H124:M124" si="64">H$121-H$122</f>
        <v>0</v>
      </c>
      <c r="I124" s="746">
        <f t="shared" si="64"/>
        <v>0</v>
      </c>
      <c r="J124" s="747">
        <f t="shared" si="64"/>
        <v>0</v>
      </c>
      <c r="K124" s="748">
        <f t="shared" si="64"/>
        <v>0</v>
      </c>
      <c r="L124" s="748">
        <f t="shared" si="64"/>
        <v>0</v>
      </c>
      <c r="M124" s="749">
        <f t="shared" si="64"/>
        <v>0</v>
      </c>
      <c r="N124" s="295"/>
      <c r="O124" s="242" t="str">
        <f>IF($D124&lt;&gt;0,IF(SPRCODE=1,"Bitte Fehler im Berichtsjahr korrigieren","Corriger l'erreur pour l'année d'exercice, svp"),"ok")</f>
        <v>ok</v>
      </c>
    </row>
    <row r="125" spans="1:15" ht="8.25" customHeight="1" thickTop="1">
      <c r="A125" s="195"/>
      <c r="B125" s="432"/>
      <c r="C125" s="433"/>
      <c r="D125" s="389"/>
      <c r="E125" s="504"/>
      <c r="F125" s="505"/>
      <c r="G125" s="506"/>
      <c r="H125" s="500"/>
      <c r="I125" s="501"/>
      <c r="J125" s="502"/>
      <c r="K125" s="497"/>
      <c r="L125" s="497"/>
      <c r="M125" s="498"/>
      <c r="N125" s="280"/>
      <c r="O125" s="304"/>
    </row>
    <row r="126" spans="1:15">
      <c r="A126" s="195">
        <v>228</v>
      </c>
      <c r="B126" s="471" t="str">
        <f>VLOOKUP($A126&amp;B$2,TEXTDF,SPRCODE+1,FALSE)</f>
        <v>Gesamtleistung an die Versicherten
= 218 + 220 - 223 + 225</v>
      </c>
      <c r="C126" s="472"/>
      <c r="D126" s="473"/>
      <c r="E126" s="211">
        <f t="shared" ref="E126:G127" si="65">H126+K126</f>
        <v>0</v>
      </c>
      <c r="F126" s="212">
        <f t="shared" si="65"/>
        <v>0</v>
      </c>
      <c r="G126" s="400">
        <f t="shared" si="65"/>
        <v>0</v>
      </c>
      <c r="H126" s="206">
        <f t="shared" ref="H126:M126" si="66">H$115+H$117-H$120+H$122</f>
        <v>0</v>
      </c>
      <c r="I126" s="207">
        <f t="shared" si="66"/>
        <v>0</v>
      </c>
      <c r="J126" s="413">
        <f t="shared" si="66"/>
        <v>0</v>
      </c>
      <c r="K126" s="202">
        <f t="shared" si="66"/>
        <v>0</v>
      </c>
      <c r="L126" s="202">
        <f t="shared" si="66"/>
        <v>0</v>
      </c>
      <c r="M126" s="395">
        <f t="shared" si="66"/>
        <v>0</v>
      </c>
      <c r="N126" s="296"/>
      <c r="O126" s="304"/>
    </row>
    <row r="127" spans="1:15">
      <c r="A127" s="195">
        <v>229</v>
      </c>
      <c r="B127" s="449" t="str">
        <f>VLOOKUP($A127&amp;B$2,TEXTDF,SPRCODE+1,FALSE)</f>
        <v>Gesamtertrag  = 217</v>
      </c>
      <c r="C127" s="453"/>
      <c r="D127" s="452"/>
      <c r="E127" s="211">
        <f t="shared" si="65"/>
        <v>0</v>
      </c>
      <c r="F127" s="212">
        <f t="shared" si="65"/>
        <v>0</v>
      </c>
      <c r="G127" s="400">
        <f t="shared" si="65"/>
        <v>0</v>
      </c>
      <c r="H127" s="206">
        <f t="shared" ref="H127:M127" si="67">H$114</f>
        <v>0</v>
      </c>
      <c r="I127" s="207">
        <f t="shared" si="67"/>
        <v>0</v>
      </c>
      <c r="J127" s="413">
        <f t="shared" si="67"/>
        <v>0</v>
      </c>
      <c r="K127" s="202">
        <f t="shared" si="67"/>
        <v>0</v>
      </c>
      <c r="L127" s="202">
        <f t="shared" si="67"/>
        <v>0</v>
      </c>
      <c r="M127" s="395">
        <f t="shared" si="67"/>
        <v>0</v>
      </c>
      <c r="N127" s="296"/>
      <c r="O127" s="304"/>
    </row>
    <row r="128" spans="1:15" ht="24">
      <c r="A128" s="195">
        <v>230</v>
      </c>
      <c r="B128" s="459" t="str">
        <f>VLOOKUP($A128&amp;B$2,TEXTDF,SPRCODE+1,FALSE)</f>
        <v>Gesamtleistung an die Versicherten 
in % des Gesamtertrags  = 228 in % von 229</v>
      </c>
      <c r="C128" s="460"/>
      <c r="D128" s="461"/>
      <c r="E128" s="750">
        <f t="shared" ref="E128:M128" si="68">IF(E$127&gt;0,E$126/E$127,0)</f>
        <v>0</v>
      </c>
      <c r="F128" s="751">
        <f t="shared" si="68"/>
        <v>0</v>
      </c>
      <c r="G128" s="405">
        <f t="shared" si="68"/>
        <v>0</v>
      </c>
      <c r="H128" s="752">
        <f t="shared" si="68"/>
        <v>0</v>
      </c>
      <c r="I128" s="753">
        <f t="shared" si="68"/>
        <v>0</v>
      </c>
      <c r="J128" s="754">
        <f t="shared" si="68"/>
        <v>0</v>
      </c>
      <c r="K128" s="755">
        <f t="shared" si="68"/>
        <v>0</v>
      </c>
      <c r="L128" s="755">
        <f t="shared" si="68"/>
        <v>0</v>
      </c>
      <c r="M128" s="756">
        <f t="shared" si="68"/>
        <v>0</v>
      </c>
      <c r="N128" s="300"/>
      <c r="O128" s="304"/>
    </row>
    <row r="129" spans="1:15" ht="24" customHeight="1">
      <c r="A129" s="195">
        <v>231</v>
      </c>
      <c r="B129" s="446" t="str">
        <f t="shared" ref="B129:B135" si="69">VLOOKUP($A129&amp;B$2,TEXTDF,SPRCODE+1,FALSE)</f>
        <v>Total Sparprämien</v>
      </c>
      <c r="C129" s="438"/>
      <c r="D129" s="439"/>
      <c r="E129" s="211">
        <f t="shared" ref="E129:G131" si="70">H129+K129</f>
        <v>0</v>
      </c>
      <c r="F129" s="212">
        <f t="shared" si="70"/>
        <v>0</v>
      </c>
      <c r="G129" s="400">
        <f t="shared" si="70"/>
        <v>0</v>
      </c>
      <c r="H129" s="788">
        <v>0</v>
      </c>
      <c r="I129" s="789">
        <v>0</v>
      </c>
      <c r="J129" s="790">
        <v>0</v>
      </c>
      <c r="K129" s="789">
        <v>0</v>
      </c>
      <c r="L129" s="789">
        <v>0</v>
      </c>
      <c r="M129" s="790">
        <v>0</v>
      </c>
      <c r="N129" s="738"/>
      <c r="O129" s="304"/>
    </row>
    <row r="130" spans="1:15">
      <c r="A130" s="195">
        <v>232</v>
      </c>
      <c r="B130" s="381" t="str">
        <f t="shared" si="69"/>
        <v>Total Risikoprämien  = 163</v>
      </c>
      <c r="C130" s="433"/>
      <c r="D130" s="389"/>
      <c r="E130" s="211">
        <f t="shared" si="70"/>
        <v>0</v>
      </c>
      <c r="F130" s="212">
        <f t="shared" si="70"/>
        <v>0</v>
      </c>
      <c r="G130" s="400">
        <f t="shared" si="70"/>
        <v>0</v>
      </c>
      <c r="H130" s="206">
        <f t="shared" ref="H130:M130" si="71">H$33</f>
        <v>0</v>
      </c>
      <c r="I130" s="207">
        <f t="shared" si="71"/>
        <v>0</v>
      </c>
      <c r="J130" s="413">
        <f t="shared" si="71"/>
        <v>0</v>
      </c>
      <c r="K130" s="202">
        <f t="shared" si="71"/>
        <v>0</v>
      </c>
      <c r="L130" s="202">
        <f t="shared" si="71"/>
        <v>0</v>
      </c>
      <c r="M130" s="395">
        <f t="shared" si="71"/>
        <v>0</v>
      </c>
      <c r="N130" s="296"/>
      <c r="O130" s="304"/>
    </row>
    <row r="131" spans="1:15">
      <c r="A131" s="195">
        <v>233</v>
      </c>
      <c r="B131" s="446" t="str">
        <f t="shared" si="69"/>
        <v>Total Kostenprämien  = 177</v>
      </c>
      <c r="C131" s="462"/>
      <c r="D131" s="463"/>
      <c r="E131" s="211">
        <f t="shared" si="70"/>
        <v>0</v>
      </c>
      <c r="F131" s="212">
        <f t="shared" si="70"/>
        <v>0</v>
      </c>
      <c r="G131" s="400">
        <f t="shared" si="70"/>
        <v>0</v>
      </c>
      <c r="H131" s="206">
        <f t="shared" ref="H131:M131" si="72">H$49</f>
        <v>0</v>
      </c>
      <c r="I131" s="207">
        <f t="shared" si="72"/>
        <v>0</v>
      </c>
      <c r="J131" s="413">
        <f t="shared" si="72"/>
        <v>0</v>
      </c>
      <c r="K131" s="202">
        <f t="shared" si="72"/>
        <v>0</v>
      </c>
      <c r="L131" s="202">
        <f t="shared" si="72"/>
        <v>0</v>
      </c>
      <c r="M131" s="395">
        <f t="shared" si="72"/>
        <v>0</v>
      </c>
      <c r="N131" s="296"/>
      <c r="O131" s="304"/>
    </row>
    <row r="132" spans="1:15">
      <c r="A132" s="195">
        <v>234</v>
      </c>
      <c r="B132" s="464" t="str">
        <f t="shared" si="69"/>
        <v>Prämientotal brutto verdient  = 231 + 232 + 233</v>
      </c>
      <c r="C132" s="385" t="str">
        <f>VLOOKUP($A132&amp;C$2,TEXTDF,SPRCODE+1,FALSE)</f>
        <v>ER, 3</v>
      </c>
      <c r="D132" s="389">
        <f>IF(ABS(E132-(H132+K132))&lt;5,0,jahr)</f>
        <v>0</v>
      </c>
      <c r="E132" s="211">
        <f>ER!$F$7</f>
        <v>0</v>
      </c>
      <c r="F132" s="212">
        <f>ER!$G$7</f>
        <v>0</v>
      </c>
      <c r="G132" s="400">
        <f>J132+M132</f>
        <v>0</v>
      </c>
      <c r="H132" s="206">
        <f t="shared" ref="H132:M132" si="73">SUM(H$129:H$131)</f>
        <v>0</v>
      </c>
      <c r="I132" s="207">
        <f t="shared" si="73"/>
        <v>0</v>
      </c>
      <c r="J132" s="413">
        <f t="shared" si="73"/>
        <v>0</v>
      </c>
      <c r="K132" s="202">
        <f t="shared" si="73"/>
        <v>0</v>
      </c>
      <c r="L132" s="202">
        <f t="shared" si="73"/>
        <v>0</v>
      </c>
      <c r="M132" s="395">
        <f t="shared" si="73"/>
        <v>0</v>
      </c>
      <c r="N132" s="296"/>
      <c r="O132" s="242" t="str">
        <f>IF($D132&lt;&gt;0,IF(SPRCODE=1,"Bitte Fehler im Berichtsjahr korrigieren","Corriger l'erreur pour l'année d'exercice, svp"),"ok")</f>
        <v>ok</v>
      </c>
    </row>
    <row r="133" spans="1:15" ht="24">
      <c r="A133" s="195">
        <v>235</v>
      </c>
      <c r="B133" s="465" t="str">
        <f t="shared" si="69"/>
        <v>Gesamtleistung an die Versicherten 
in % des Gesamtprämientotals  = 228 in % von 234</v>
      </c>
      <c r="C133" s="466"/>
      <c r="D133" s="467"/>
      <c r="E133" s="757">
        <f>IF(E$132&gt;0,E$126/VALUE(E$132),0)</f>
        <v>0</v>
      </c>
      <c r="F133" s="758">
        <f>IF(F$132&gt;0,F$126/VALUE(F$132),0)</f>
        <v>0</v>
      </c>
      <c r="G133" s="406">
        <f t="shared" ref="G133:M133" si="74">IF(G$132&gt;0,G$126/G$132,0)</f>
        <v>0</v>
      </c>
      <c r="H133" s="759">
        <f t="shared" si="74"/>
        <v>0</v>
      </c>
      <c r="I133" s="760">
        <f t="shared" si="74"/>
        <v>0</v>
      </c>
      <c r="J133" s="761">
        <f t="shared" si="74"/>
        <v>0</v>
      </c>
      <c r="K133" s="762">
        <f t="shared" si="74"/>
        <v>0</v>
      </c>
      <c r="L133" s="762">
        <f t="shared" si="74"/>
        <v>0</v>
      </c>
      <c r="M133" s="763">
        <f t="shared" si="74"/>
        <v>0</v>
      </c>
      <c r="N133" s="300"/>
      <c r="O133" s="304"/>
    </row>
    <row r="134" spans="1:15" ht="36">
      <c r="A134" s="195">
        <v>236</v>
      </c>
      <c r="B134" s="446" t="str">
        <f t="shared" si="69"/>
        <v>Altersguthaben, DK der Rentenbezüger und DK der Freizügigkeits-
policen total</v>
      </c>
      <c r="C134" s="453" t="s">
        <v>280</v>
      </c>
      <c r="D134" s="389">
        <f>IF(ABS(E134-(H134+K134))&lt;5,0,jahr)</f>
        <v>0</v>
      </c>
      <c r="E134" s="211">
        <f>BILANZ!$F$48+BILANZ!$F$52+BILANZ!$F$56+BILANZ!$F$60+BILANZ!$F$64+BILANZ!$F$65</f>
        <v>0</v>
      </c>
      <c r="F134" s="212">
        <f>BILANZ!$G$48+BILANZ!$G$52+BILANZ!$G$56+BILANZ!$G$60+BILANZ!$G$64+BILANZ!$G$65</f>
        <v>0</v>
      </c>
      <c r="G134" s="400">
        <f>J134+M134</f>
        <v>0</v>
      </c>
      <c r="H134" s="788">
        <v>0</v>
      </c>
      <c r="I134" s="789">
        <v>0</v>
      </c>
      <c r="J134" s="790">
        <v>0</v>
      </c>
      <c r="K134" s="789">
        <v>0</v>
      </c>
      <c r="L134" s="789">
        <v>0</v>
      </c>
      <c r="M134" s="790">
        <v>0</v>
      </c>
      <c r="N134" s="738"/>
      <c r="O134" s="242" t="str">
        <f>IF($D134&lt;&gt;0,IF(SPRCODE=1,"Bitte Fehler im Berichtsjahr korrigieren","Corriger l'erreur pour l'année d'exercice, svp"),"ok")</f>
        <v>ok</v>
      </c>
    </row>
    <row r="135" spans="1:15" ht="24">
      <c r="A135" s="195">
        <v>237</v>
      </c>
      <c r="B135" s="459" t="str">
        <f t="shared" si="69"/>
        <v>Zuweisung an den Überschussfonds 
in % des DK total  = 225 in % von 236</v>
      </c>
      <c r="C135" s="460"/>
      <c r="D135" s="461"/>
      <c r="E135" s="764">
        <f t="shared" ref="E135:M135" si="75">IF(E$134&gt;0,E$122/E$134,0)</f>
        <v>0</v>
      </c>
      <c r="F135" s="765">
        <f t="shared" si="75"/>
        <v>0</v>
      </c>
      <c r="G135" s="407">
        <f t="shared" si="75"/>
        <v>0</v>
      </c>
      <c r="H135" s="766">
        <f t="shared" si="75"/>
        <v>0</v>
      </c>
      <c r="I135" s="767">
        <f t="shared" si="75"/>
        <v>0</v>
      </c>
      <c r="J135" s="768">
        <f t="shared" si="75"/>
        <v>0</v>
      </c>
      <c r="K135" s="769">
        <f t="shared" si="75"/>
        <v>0</v>
      </c>
      <c r="L135" s="769">
        <f t="shared" si="75"/>
        <v>0</v>
      </c>
      <c r="M135" s="770">
        <f t="shared" si="75"/>
        <v>0</v>
      </c>
      <c r="N135" s="301"/>
      <c r="O135" s="304"/>
    </row>
    <row r="136" spans="1:15" ht="26.25" customHeight="1">
      <c r="A136" s="441" t="s">
        <v>1480</v>
      </c>
      <c r="B136" s="432" t="str">
        <f t="shared" ref="B136:B143" si="76">VLOOKUP($A136&amp;B$2,TEXTDF,SPRCODE+1,FALSE)</f>
        <v>Fortschreibung des Überschussfonds (Art. 151 AVO)</v>
      </c>
      <c r="C136" s="433"/>
      <c r="D136" s="389"/>
      <c r="E136" s="504"/>
      <c r="F136" s="505"/>
      <c r="G136" s="506"/>
      <c r="H136" s="500"/>
      <c r="I136" s="501"/>
      <c r="J136" s="502"/>
      <c r="K136" s="497"/>
      <c r="L136" s="497"/>
      <c r="M136" s="498"/>
      <c r="N136" s="280"/>
      <c r="O136" s="304"/>
    </row>
    <row r="137" spans="1:15">
      <c r="A137" s="195">
        <v>238</v>
      </c>
      <c r="B137" s="446" t="str">
        <f t="shared" si="76"/>
        <v>Stand Ende Vorjahr</v>
      </c>
      <c r="C137" s="385"/>
      <c r="D137" s="387"/>
      <c r="E137" s="211">
        <f t="shared" ref="E137:G138" si="77">H137+K137</f>
        <v>0</v>
      </c>
      <c r="F137" s="212">
        <f t="shared" si="77"/>
        <v>0</v>
      </c>
      <c r="G137" s="400">
        <f t="shared" si="77"/>
        <v>0</v>
      </c>
      <c r="H137" s="206">
        <f>I143</f>
        <v>0</v>
      </c>
      <c r="I137" s="207">
        <f>J143</f>
        <v>0</v>
      </c>
      <c r="J137" s="790">
        <v>0</v>
      </c>
      <c r="K137" s="202">
        <f>L143</f>
        <v>0</v>
      </c>
      <c r="L137" s="202">
        <f>M143</f>
        <v>0</v>
      </c>
      <c r="M137" s="790">
        <v>0</v>
      </c>
      <c r="N137" s="738"/>
      <c r="O137" s="304"/>
    </row>
    <row r="138" spans="1:15" ht="15.75" customHeight="1">
      <c r="A138" s="195">
        <v>239</v>
      </c>
      <c r="B138" s="449" t="str">
        <f t="shared" si="76"/>
        <v>Umteilungen grüne Zone (MQ) &lt;--&gt; gelbe Zone (nMQ) zu Jahresbeginn</v>
      </c>
      <c r="C138" s="385"/>
      <c r="D138" s="389">
        <f>IF(ABS(E138)&lt;5,0,jahr)</f>
        <v>0</v>
      </c>
      <c r="E138" s="211">
        <f t="shared" si="77"/>
        <v>0</v>
      </c>
      <c r="F138" s="212">
        <f t="shared" si="77"/>
        <v>0</v>
      </c>
      <c r="G138" s="400">
        <f t="shared" si="77"/>
        <v>0</v>
      </c>
      <c r="H138" s="788">
        <v>0</v>
      </c>
      <c r="I138" s="789">
        <v>0</v>
      </c>
      <c r="J138" s="790">
        <v>0</v>
      </c>
      <c r="K138" s="789">
        <v>0</v>
      </c>
      <c r="L138" s="789">
        <v>0</v>
      </c>
      <c r="M138" s="790">
        <v>0</v>
      </c>
      <c r="N138" s="738"/>
      <c r="O138" s="242" t="str">
        <f>IF($D138&lt;&gt;0,IF(SPRCODE=1,"Bitte Fehler im Berichtsjahr korrigieren","Corriger l'erreur pour l'année d'exercice, svp"),IF(ABS(H138)&gt;=5,IF(SPRCODE=1,"Bitte im Begleitbericht begründen.","Justifier dans le rapport explicatif, svp."),"ok"))</f>
        <v>ok</v>
      </c>
    </row>
    <row r="139" spans="1:15">
      <c r="A139" s="195">
        <v>240</v>
      </c>
      <c r="B139" s="474" t="str">
        <f t="shared" si="76"/>
        <v>Zuweisung aus der Betriebsrechnung  = 225</v>
      </c>
      <c r="C139" s="472"/>
      <c r="D139" s="389"/>
      <c r="E139" s="211">
        <f>H139+K139</f>
        <v>0</v>
      </c>
      <c r="F139" s="212">
        <f>I139+L139</f>
        <v>0</v>
      </c>
      <c r="G139" s="400">
        <f>J139+M139</f>
        <v>0</v>
      </c>
      <c r="H139" s="206">
        <f t="shared" ref="H139:M139" si="78">H$122</f>
        <v>0</v>
      </c>
      <c r="I139" s="207">
        <f t="shared" si="78"/>
        <v>0</v>
      </c>
      <c r="J139" s="413">
        <f t="shared" si="78"/>
        <v>0</v>
      </c>
      <c r="K139" s="202">
        <f t="shared" si="78"/>
        <v>0</v>
      </c>
      <c r="L139" s="202">
        <f t="shared" si="78"/>
        <v>0</v>
      </c>
      <c r="M139" s="395">
        <f t="shared" si="78"/>
        <v>0</v>
      </c>
      <c r="N139" s="197"/>
      <c r="O139" s="304"/>
    </row>
    <row r="140" spans="1:15">
      <c r="A140" s="195">
        <v>241</v>
      </c>
      <c r="B140" s="474" t="str">
        <f t="shared" si="76"/>
        <v>Entnahme zur Zuteilung an die Versicherungsnehmer  --&gt; 249</v>
      </c>
      <c r="C140" s="385" t="str">
        <f>VLOOKUP($A140&amp;C$2,TEXTDF,SPRCODE+1,FALSE)</f>
        <v>ER, 28</v>
      </c>
      <c r="D140" s="389">
        <f>IF(ABS(E140-(H140+K140))&lt;5,0,jahr)</f>
        <v>0</v>
      </c>
      <c r="E140" s="211">
        <f>ER!$F$53</f>
        <v>0</v>
      </c>
      <c r="F140" s="212">
        <f>ER!$G$53</f>
        <v>0</v>
      </c>
      <c r="G140" s="400">
        <f>J140+M140</f>
        <v>0</v>
      </c>
      <c r="H140" s="788">
        <v>0</v>
      </c>
      <c r="I140" s="789">
        <v>0</v>
      </c>
      <c r="J140" s="790">
        <v>0</v>
      </c>
      <c r="K140" s="789">
        <v>0</v>
      </c>
      <c r="L140" s="789">
        <v>0</v>
      </c>
      <c r="M140" s="790">
        <v>0</v>
      </c>
      <c r="N140" s="738"/>
      <c r="O140" s="242" t="str">
        <f>IF($D140&lt;&gt;0,IF(SPRCODE=1,"Bitte Fehler im Berichtsjahr korrigieren","Corriger l'erreur pour l'année d'exercice, svp"),"ok")</f>
        <v>ok</v>
      </c>
    </row>
    <row r="141" spans="1:15">
      <c r="A141" s="195" t="s">
        <v>441</v>
      </c>
      <c r="B141" s="475" t="str">
        <f t="shared" si="76"/>
        <v>Valorisationskorrektur</v>
      </c>
      <c r="C141" s="385"/>
      <c r="D141" s="389"/>
      <c r="E141" s="211">
        <f>$H$141+$K$141</f>
        <v>0</v>
      </c>
      <c r="F141" s="212">
        <v>0</v>
      </c>
      <c r="G141" s="400">
        <v>0</v>
      </c>
      <c r="H141" s="788">
        <v>0</v>
      </c>
      <c r="I141" s="789">
        <v>0</v>
      </c>
      <c r="J141" s="790">
        <v>0</v>
      </c>
      <c r="K141" s="789">
        <v>0</v>
      </c>
      <c r="L141" s="789">
        <v>0</v>
      </c>
      <c r="M141" s="790">
        <v>0</v>
      </c>
      <c r="N141" s="738"/>
      <c r="O141" s="304"/>
    </row>
    <row r="142" spans="1:15">
      <c r="A142" s="195">
        <v>242</v>
      </c>
      <c r="B142" s="475" t="str">
        <f t="shared" si="76"/>
        <v>Verwendung zur Deckung des Defizits des Vorjahrs</v>
      </c>
      <c r="C142" s="385" t="str">
        <f>VLOOKUP($A142&amp;C$2,TEXTDF,SPRCODE+1,FALSE)</f>
        <v>ER, 29</v>
      </c>
      <c r="D142" s="389">
        <f>IF(ABS(E142-(H142+K142))&lt;5,0,jahr)</f>
        <v>0</v>
      </c>
      <c r="E142" s="211">
        <f>ER!$F$55</f>
        <v>0</v>
      </c>
      <c r="F142" s="212">
        <f>ER!$G$55</f>
        <v>0</v>
      </c>
      <c r="G142" s="400">
        <f>J142+M142</f>
        <v>0</v>
      </c>
      <c r="H142" s="788">
        <v>0</v>
      </c>
      <c r="I142" s="789">
        <v>0</v>
      </c>
      <c r="J142" s="790">
        <v>0</v>
      </c>
      <c r="K142" s="789">
        <v>0</v>
      </c>
      <c r="L142" s="789">
        <v>0</v>
      </c>
      <c r="M142" s="790">
        <v>0</v>
      </c>
      <c r="N142" s="738"/>
      <c r="O142" s="242" t="str">
        <f>IF($D142&lt;&gt;0,IF(SPRCODE=1,"Bitte Fehler im Berichtsjahr korrigieren","Corriger l'erreur pour l'année d'exercice, svp"),"ok")</f>
        <v>ok</v>
      </c>
    </row>
    <row r="143" spans="1:15" ht="24.75" thickBot="1">
      <c r="A143" s="195">
        <v>243</v>
      </c>
      <c r="B143" s="454" t="str">
        <f t="shared" si="76"/>
        <v>Stand am Ende des Berichtsjahrs  
= 238 + 239 + 240 - 241 + 241a - 242</v>
      </c>
      <c r="C143" s="435" t="s">
        <v>220</v>
      </c>
      <c r="D143" s="436">
        <f>IF(ABS(E143-(H143+K143))&lt;5,0,jahr)</f>
        <v>0</v>
      </c>
      <c r="E143" s="224">
        <f>BILANZ!F77+BILANZ!F78</f>
        <v>0</v>
      </c>
      <c r="F143" s="225">
        <f>BILANZ!G77+BILANZ!G78</f>
        <v>0</v>
      </c>
      <c r="G143" s="403">
        <f>J143+M143</f>
        <v>0</v>
      </c>
      <c r="H143" s="416">
        <f t="shared" ref="H143:M143" si="79">H$137+H$138+H$139-H$140+H$141-H$142</f>
        <v>0</v>
      </c>
      <c r="I143" s="227">
        <f t="shared" si="79"/>
        <v>0</v>
      </c>
      <c r="J143" s="417">
        <f t="shared" si="79"/>
        <v>0</v>
      </c>
      <c r="K143" s="229">
        <f t="shared" si="79"/>
        <v>0</v>
      </c>
      <c r="L143" s="229">
        <f t="shared" si="79"/>
        <v>0</v>
      </c>
      <c r="M143" s="398">
        <f t="shared" si="79"/>
        <v>0</v>
      </c>
      <c r="N143" s="295"/>
      <c r="O143" s="242" t="str">
        <f>IF($D143&lt;&gt;0,IF(SPRCODE=1,"Bitte Fehler im Berichtsjahr korrigieren","Corriger l'erreur pour l'année d'exercice, svp"),"ok")</f>
        <v>ok</v>
      </c>
    </row>
    <row r="144" spans="1:15" ht="13.5" thickTop="1">
      <c r="A144" s="195"/>
      <c r="B144" s="432"/>
      <c r="C144" s="433"/>
      <c r="D144" s="389"/>
      <c r="E144" s="504"/>
      <c r="F144" s="505"/>
      <c r="G144" s="525"/>
      <c r="H144" s="500"/>
      <c r="I144" s="501"/>
      <c r="J144" s="534"/>
      <c r="K144" s="497"/>
      <c r="L144" s="497"/>
      <c r="M144" s="527"/>
      <c r="N144" s="17"/>
      <c r="O144" s="304"/>
    </row>
    <row r="145" spans="1:15" ht="24">
      <c r="A145" s="195">
        <v>244</v>
      </c>
      <c r="B145" s="475" t="str">
        <f t="shared" ref="B145:B152" si="80">VLOOKUP($A145&amp;B$2,TEXTDF,SPRCODE+1,FALSE)</f>
        <v>Davon zur Zuteilung an die Versicherungsnehmer 
im Folgejahr (2024) vorgesehen</v>
      </c>
      <c r="C145" s="385"/>
      <c r="D145" s="387"/>
      <c r="E145" s="211">
        <f>H145+K145</f>
        <v>0</v>
      </c>
      <c r="F145" s="212">
        <f>I145+L145</f>
        <v>0</v>
      </c>
      <c r="G145" s="400">
        <f>J145+M145</f>
        <v>0</v>
      </c>
      <c r="H145" s="788">
        <v>0</v>
      </c>
      <c r="I145" s="789">
        <v>0</v>
      </c>
      <c r="J145" s="790">
        <v>0</v>
      </c>
      <c r="K145" s="789">
        <v>0</v>
      </c>
      <c r="L145" s="789">
        <v>0</v>
      </c>
      <c r="M145" s="790">
        <v>0</v>
      </c>
      <c r="N145" s="738"/>
      <c r="O145" s="304"/>
    </row>
    <row r="146" spans="1:15" ht="18.75" customHeight="1">
      <c r="A146" s="441" t="s">
        <v>1484</v>
      </c>
      <c r="B146" s="476" t="str">
        <f t="shared" si="80"/>
        <v>Einhaltung der Zweidrittelsregelung (Art. 153 Abs. 1 AVO)</v>
      </c>
      <c r="C146" s="433"/>
      <c r="D146" s="389"/>
      <c r="E146" s="504"/>
      <c r="F146" s="505"/>
      <c r="G146" s="506"/>
      <c r="H146" s="500"/>
      <c r="I146" s="501"/>
      <c r="J146" s="502"/>
      <c r="K146" s="497"/>
      <c r="L146" s="497"/>
      <c r="M146" s="498"/>
      <c r="N146" s="280"/>
      <c r="O146" s="304"/>
    </row>
    <row r="147" spans="1:15">
      <c r="A147" s="195">
        <v>245</v>
      </c>
      <c r="B147" s="381" t="str">
        <f t="shared" si="80"/>
        <v>Zwei Drittel von Stand Jahresbeginn (Pos. 238 + 239) + Zuweisung (Pos. 240)</v>
      </c>
      <c r="C147" s="385"/>
      <c r="D147" s="387"/>
      <c r="E147" s="504"/>
      <c r="F147" s="505"/>
      <c r="G147" s="525"/>
      <c r="H147" s="206">
        <f>2/3*(H$137+H$138+H$139)</f>
        <v>0</v>
      </c>
      <c r="I147" s="207">
        <f>2/3*(I$137+I$138+I$139)</f>
        <v>0</v>
      </c>
      <c r="J147" s="413">
        <f>2/3*(J$137+J$138+J$139)</f>
        <v>0</v>
      </c>
      <c r="K147" s="497"/>
      <c r="L147" s="497"/>
      <c r="M147" s="498"/>
      <c r="N147" s="280"/>
      <c r="O147" s="304"/>
    </row>
    <row r="148" spans="1:15" ht="24.75" customHeight="1">
      <c r="A148" s="195">
        <v>246</v>
      </c>
      <c r="B148" s="449" t="str">
        <f t="shared" si="80"/>
        <v>Zweidrittelsregelung eingehalten? Wenn nein, bitte begründen.
(Entnahme Pos. 241 kleiner oder gleich Pos. 245)</v>
      </c>
      <c r="C148" s="385"/>
      <c r="D148" s="387"/>
      <c r="E148" s="504"/>
      <c r="F148" s="521"/>
      <c r="G148" s="522"/>
      <c r="H148" s="771" t="str">
        <f>IF(H$140&lt;=H$147,IF(SPRCODE=1,"Ja","Oui"),IF(SPRCODE=1,"Nein","Non"))</f>
        <v>Ja</v>
      </c>
      <c r="I148" s="772" t="str">
        <f>IF(I$140&lt;=I$147,IF(SPRCODE=1,"Ja","Oui"),IF(SPRCODE=1,"Nein","Non"))</f>
        <v>Ja</v>
      </c>
      <c r="J148" s="378" t="str">
        <f>IF(J$140&lt;=J$147,IF(SPRCODE=1,"Ja","Oui"),IF(SPRCODE=1,"Nein","Non"))</f>
        <v>Ja</v>
      </c>
      <c r="K148" s="497"/>
      <c r="L148" s="497"/>
      <c r="M148" s="498"/>
      <c r="N148" s="280"/>
      <c r="O148" s="304"/>
    </row>
    <row r="149" spans="1:15" ht="20.25" customHeight="1">
      <c r="A149" s="441" t="s">
        <v>1485</v>
      </c>
      <c r="B149" s="476" t="str">
        <f t="shared" si="80"/>
        <v>Verteilung der Überschussausschüttung (Pos. 241)</v>
      </c>
      <c r="C149" s="433"/>
      <c r="D149" s="389"/>
      <c r="E149" s="504"/>
      <c r="F149" s="505"/>
      <c r="G149" s="506"/>
      <c r="H149" s="500"/>
      <c r="I149" s="501"/>
      <c r="J149" s="502"/>
      <c r="K149" s="497"/>
      <c r="L149" s="497"/>
      <c r="M149" s="498"/>
      <c r="N149" s="280"/>
      <c r="O149" s="304"/>
    </row>
    <row r="150" spans="1:15" ht="24">
      <c r="A150" s="195">
        <v>247</v>
      </c>
      <c r="B150" s="449" t="str">
        <f t="shared" si="80"/>
        <v>Direkte Zuteilung an Versicherte mittels Erhöhung des Deckungskapitals oder Gutschrift zur verzinslichen Ansammlung</v>
      </c>
      <c r="C150" s="453"/>
      <c r="D150" s="452"/>
      <c r="E150" s="211">
        <f t="shared" ref="E150:G152" si="81">H150+K150</f>
        <v>0</v>
      </c>
      <c r="F150" s="212">
        <f t="shared" si="81"/>
        <v>0</v>
      </c>
      <c r="G150" s="400">
        <f t="shared" si="81"/>
        <v>0</v>
      </c>
      <c r="H150" s="788">
        <v>0</v>
      </c>
      <c r="I150" s="789">
        <v>0</v>
      </c>
      <c r="J150" s="790">
        <v>0</v>
      </c>
      <c r="K150" s="789">
        <v>0</v>
      </c>
      <c r="L150" s="789">
        <v>0</v>
      </c>
      <c r="M150" s="790">
        <v>0</v>
      </c>
      <c r="N150" s="738"/>
      <c r="O150" s="304"/>
    </row>
    <row r="151" spans="1:15" ht="24">
      <c r="A151" s="195">
        <v>248</v>
      </c>
      <c r="B151" s="449" t="str">
        <f t="shared" si="80"/>
        <v>Zuteilung an Vorsorgeeinrichtung oder Vorsorgewerk 
gemäss Beschluss des paritätischen Organs</v>
      </c>
      <c r="C151" s="453"/>
      <c r="D151" s="452"/>
      <c r="E151" s="211">
        <f t="shared" si="81"/>
        <v>0</v>
      </c>
      <c r="F151" s="212">
        <f t="shared" si="81"/>
        <v>0</v>
      </c>
      <c r="G151" s="400">
        <f t="shared" si="81"/>
        <v>0</v>
      </c>
      <c r="H151" s="415">
        <f>+H140-H150</f>
        <v>0</v>
      </c>
      <c r="I151" s="281">
        <f t="shared" ref="I151:M151" si="82">+I140-I150</f>
        <v>0</v>
      </c>
      <c r="J151" s="412">
        <f t="shared" si="82"/>
        <v>0</v>
      </c>
      <c r="K151" s="252">
        <f t="shared" si="82"/>
        <v>0</v>
      </c>
      <c r="L151" s="252">
        <f t="shared" si="82"/>
        <v>0</v>
      </c>
      <c r="M151" s="394">
        <f t="shared" si="82"/>
        <v>0</v>
      </c>
      <c r="N151" s="738"/>
      <c r="O151" s="304"/>
    </row>
    <row r="152" spans="1:15" ht="24">
      <c r="A152" s="195">
        <v>249</v>
      </c>
      <c r="B152" s="566" t="str">
        <f t="shared" si="80"/>
        <v>Total Ausschüttung  = 247 + 248, muss mit Pos. 241 übereinstimmen</v>
      </c>
      <c r="C152" s="468"/>
      <c r="D152" s="387"/>
      <c r="E152" s="215">
        <f t="shared" si="81"/>
        <v>0</v>
      </c>
      <c r="F152" s="216">
        <f t="shared" si="81"/>
        <v>0</v>
      </c>
      <c r="G152" s="404">
        <f t="shared" si="81"/>
        <v>0</v>
      </c>
      <c r="H152" s="739">
        <f t="shared" ref="H152:M152" si="83">H$150+H$151</f>
        <v>0</v>
      </c>
      <c r="I152" s="691">
        <f t="shared" si="83"/>
        <v>0</v>
      </c>
      <c r="J152" s="740">
        <f t="shared" si="83"/>
        <v>0</v>
      </c>
      <c r="K152" s="695">
        <f t="shared" si="83"/>
        <v>0</v>
      </c>
      <c r="L152" s="695">
        <f t="shared" si="83"/>
        <v>0</v>
      </c>
      <c r="M152" s="741">
        <f t="shared" si="83"/>
        <v>0</v>
      </c>
      <c r="N152" s="198"/>
      <c r="O152" s="242"/>
    </row>
    <row r="153" spans="1:15" ht="20.25" customHeight="1">
      <c r="A153" s="441" t="s">
        <v>1487</v>
      </c>
      <c r="B153" s="476" t="str">
        <f t="shared" ref="B153:B163" si="84">VLOOKUP($A153&amp;B$2,TEXTDF,SPRCODE+1,FALSE)</f>
        <v>Fortschreibung der Teuerungsrückstellungen</v>
      </c>
      <c r="C153" s="433"/>
      <c r="D153" s="389"/>
      <c r="E153" s="504"/>
      <c r="F153" s="505"/>
      <c r="G153" s="506"/>
      <c r="H153" s="500"/>
      <c r="I153" s="501"/>
      <c r="J153" s="502"/>
      <c r="K153" s="497"/>
      <c r="L153" s="497"/>
      <c r="M153" s="498"/>
      <c r="N153" s="280"/>
      <c r="O153" s="304"/>
    </row>
    <row r="154" spans="1:15">
      <c r="A154" s="195">
        <v>250</v>
      </c>
      <c r="B154" s="449" t="str">
        <f t="shared" si="84"/>
        <v>Stand Ende Vorjahr</v>
      </c>
      <c r="C154" s="453"/>
      <c r="D154" s="452"/>
      <c r="E154" s="211">
        <f>H154+K154</f>
        <v>0</v>
      </c>
      <c r="F154" s="212">
        <f>I154+L154</f>
        <v>0</v>
      </c>
      <c r="G154" s="400">
        <f>J154+M154</f>
        <v>0</v>
      </c>
      <c r="H154" s="206">
        <f>+I163</f>
        <v>0</v>
      </c>
      <c r="I154" s="207">
        <f>+J163</f>
        <v>0</v>
      </c>
      <c r="J154" s="790">
        <v>0</v>
      </c>
      <c r="K154" s="202">
        <f>+L163</f>
        <v>0</v>
      </c>
      <c r="L154" s="202">
        <f>+M163</f>
        <v>0</v>
      </c>
      <c r="M154" s="790">
        <v>0</v>
      </c>
      <c r="N154" s="738"/>
      <c r="O154" s="304"/>
    </row>
    <row r="155" spans="1:15" ht="24">
      <c r="A155" s="195">
        <v>251</v>
      </c>
      <c r="B155" s="449" t="str">
        <f>+B138</f>
        <v>Umteilungen grüne Zone (MQ) &lt;--&gt; gelbe Zone (nMQ) zu Jahresbeginn</v>
      </c>
      <c r="C155" s="385"/>
      <c r="D155" s="389">
        <f>IF(ABS(E155)&lt;5,0,jahr)</f>
        <v>0</v>
      </c>
      <c r="E155" s="211">
        <f>H155+K155</f>
        <v>0</v>
      </c>
      <c r="F155" s="212">
        <f>I155+L155</f>
        <v>0</v>
      </c>
      <c r="G155" s="400">
        <f>IF(J155+M155=0,0,"? ")</f>
        <v>0</v>
      </c>
      <c r="H155" s="788">
        <v>0</v>
      </c>
      <c r="I155" s="789">
        <v>0</v>
      </c>
      <c r="J155" s="790">
        <v>0</v>
      </c>
      <c r="K155" s="789">
        <v>0</v>
      </c>
      <c r="L155" s="789">
        <v>0</v>
      </c>
      <c r="M155" s="790">
        <v>0</v>
      </c>
      <c r="N155" s="738"/>
      <c r="O155" s="242" t="str">
        <f>IF($D155&lt;&gt;0,IF(SPRCODE=1,"Bitte Fehler im Berichtsjahr korrigieren","Corriger l'erreur pour l'année d'exercice, svp"),IF(ABS(H155)&gt;=5,IF(SPRCODE=1,"Bitte im Begleitbericht begründen.","Justifier dans le rapport explicatif, svp."),"ok"))</f>
        <v>ok</v>
      </c>
    </row>
    <row r="156" spans="1:15" ht="12.75" customHeight="1">
      <c r="A156" s="195" t="s">
        <v>1515</v>
      </c>
      <c r="B156" s="475" t="str">
        <f t="shared" si="84"/>
        <v>Vereinnahmte Teuerungsprämien brutto (inbegriffen in Pos. 162 und 176)</v>
      </c>
      <c r="C156" s="468"/>
      <c r="D156" s="452"/>
      <c r="E156" s="211">
        <f>H156+K156</f>
        <v>0</v>
      </c>
      <c r="F156" s="212">
        <f>I156+L156</f>
        <v>0</v>
      </c>
      <c r="G156" s="400">
        <f>J156+M156</f>
        <v>0</v>
      </c>
      <c r="H156" s="788">
        <v>0</v>
      </c>
      <c r="I156" s="789">
        <v>0</v>
      </c>
      <c r="J156" s="790">
        <v>0</v>
      </c>
      <c r="K156" s="789">
        <v>0</v>
      </c>
      <c r="L156" s="789">
        <v>0</v>
      </c>
      <c r="M156" s="790">
        <v>0</v>
      </c>
      <c r="N156" s="738"/>
      <c r="O156" s="304"/>
    </row>
    <row r="157" spans="1:15" ht="24">
      <c r="A157" s="195">
        <v>254</v>
      </c>
      <c r="B157" s="475" t="str">
        <f t="shared" si="84"/>
        <v>Entnahme für teuerungsbedingte Erhöhungen der Risikorenten (inbegriffen in den Pos. 171a und 171b)</v>
      </c>
      <c r="C157" s="468"/>
      <c r="D157" s="452"/>
      <c r="E157" s="211">
        <f t="shared" ref="E157:G158" si="85">H157+K157</f>
        <v>0</v>
      </c>
      <c r="F157" s="212">
        <f t="shared" si="85"/>
        <v>0</v>
      </c>
      <c r="G157" s="400">
        <f t="shared" si="85"/>
        <v>0</v>
      </c>
      <c r="H157" s="788">
        <v>0</v>
      </c>
      <c r="I157" s="789">
        <v>0</v>
      </c>
      <c r="J157" s="790">
        <v>0</v>
      </c>
      <c r="K157" s="789">
        <v>0</v>
      </c>
      <c r="L157" s="789">
        <v>0</v>
      </c>
      <c r="M157" s="790">
        <v>0</v>
      </c>
      <c r="N157" s="738"/>
      <c r="O157" s="304"/>
    </row>
    <row r="158" spans="1:15">
      <c r="A158" s="195" t="s">
        <v>1518</v>
      </c>
      <c r="B158" s="477" t="str">
        <f t="shared" si="84"/>
        <v>Entnahme für den Kostenaufwand (inbegriffen in Pos. 179)</v>
      </c>
      <c r="C158" s="468"/>
      <c r="D158" s="452"/>
      <c r="E158" s="211">
        <f t="shared" si="85"/>
        <v>0</v>
      </c>
      <c r="F158" s="212">
        <f t="shared" si="85"/>
        <v>0</v>
      </c>
      <c r="G158" s="400">
        <f t="shared" si="85"/>
        <v>0</v>
      </c>
      <c r="H158" s="788">
        <v>0</v>
      </c>
      <c r="I158" s="789">
        <v>0</v>
      </c>
      <c r="J158" s="790">
        <v>0</v>
      </c>
      <c r="K158" s="789">
        <v>0</v>
      </c>
      <c r="L158" s="789">
        <v>0</v>
      </c>
      <c r="M158" s="790">
        <v>0</v>
      </c>
      <c r="N158" s="738"/>
      <c r="O158" s="304"/>
    </row>
    <row r="159" spans="1:15">
      <c r="A159" s="195" t="s">
        <v>1516</v>
      </c>
      <c r="B159" s="477" t="str">
        <f t="shared" si="84"/>
        <v>Auflösung Teuerungsrückstellungen zugunsten Verstärkungen (Sparprozess)</v>
      </c>
      <c r="C159" s="468"/>
      <c r="D159" s="452"/>
      <c r="E159" s="211">
        <f t="shared" ref="E159:G162" si="86">H159+K159</f>
        <v>0</v>
      </c>
      <c r="F159" s="212">
        <f t="shared" si="86"/>
        <v>0</v>
      </c>
      <c r="G159" s="400">
        <f t="shared" si="86"/>
        <v>0</v>
      </c>
      <c r="H159" s="788">
        <v>0</v>
      </c>
      <c r="I159" s="789">
        <v>0</v>
      </c>
      <c r="J159" s="790">
        <v>0</v>
      </c>
      <c r="K159" s="789">
        <v>0</v>
      </c>
      <c r="L159" s="789">
        <v>0</v>
      </c>
      <c r="M159" s="790">
        <v>0</v>
      </c>
      <c r="N159" s="738"/>
      <c r="O159" s="304"/>
    </row>
    <row r="160" spans="1:15">
      <c r="A160" s="195" t="s">
        <v>3149</v>
      </c>
      <c r="B160" s="477" t="str">
        <f t="shared" si="84"/>
        <v>Auflösung Teuerungsrückstellungen zugunsten Verstärkungen (Risikoprozess)</v>
      </c>
      <c r="C160" s="468"/>
      <c r="D160" s="452"/>
      <c r="E160" s="211">
        <f t="shared" si="86"/>
        <v>0</v>
      </c>
      <c r="F160" s="212">
        <f t="shared" si="86"/>
        <v>0</v>
      </c>
      <c r="G160" s="400">
        <f t="shared" si="86"/>
        <v>0</v>
      </c>
      <c r="H160" s="788">
        <v>0</v>
      </c>
      <c r="I160" s="789">
        <v>0</v>
      </c>
      <c r="J160" s="790">
        <v>0</v>
      </c>
      <c r="K160" s="789">
        <v>0</v>
      </c>
      <c r="L160" s="789">
        <v>0</v>
      </c>
      <c r="M160" s="790">
        <v>0</v>
      </c>
      <c r="N160" s="738"/>
      <c r="O160" s="304"/>
    </row>
    <row r="161" spans="1:15">
      <c r="A161" s="195" t="s">
        <v>3150</v>
      </c>
      <c r="B161" s="477" t="str">
        <f t="shared" si="84"/>
        <v>Auflösung Teuerungsrückstellungen zugunsten Überschussfonds</v>
      </c>
      <c r="C161" s="468"/>
      <c r="D161" s="452"/>
      <c r="E161" s="211">
        <f t="shared" si="86"/>
        <v>0</v>
      </c>
      <c r="F161" s="212">
        <f t="shared" si="86"/>
        <v>0</v>
      </c>
      <c r="G161" s="400">
        <f t="shared" si="86"/>
        <v>0</v>
      </c>
      <c r="H161" s="788">
        <v>0</v>
      </c>
      <c r="I161" s="789">
        <v>0</v>
      </c>
      <c r="J161" s="790">
        <v>0</v>
      </c>
      <c r="K161" s="789">
        <v>0</v>
      </c>
      <c r="L161" s="789">
        <v>0</v>
      </c>
      <c r="M161" s="790">
        <v>0</v>
      </c>
      <c r="N161" s="738"/>
      <c r="O161" s="304"/>
    </row>
    <row r="162" spans="1:15">
      <c r="A162" s="195" t="s">
        <v>3151</v>
      </c>
      <c r="B162" s="477" t="str">
        <f t="shared" si="84"/>
        <v>Bildung zusätzliche Teuerungsrückstellungen</v>
      </c>
      <c r="C162" s="468"/>
      <c r="D162" s="452"/>
      <c r="E162" s="211">
        <f t="shared" si="86"/>
        <v>0</v>
      </c>
      <c r="F162" s="212">
        <f t="shared" si="86"/>
        <v>0</v>
      </c>
      <c r="G162" s="400">
        <f t="shared" si="86"/>
        <v>0</v>
      </c>
      <c r="H162" s="788">
        <v>0</v>
      </c>
      <c r="I162" s="789">
        <v>0</v>
      </c>
      <c r="J162" s="790">
        <v>0</v>
      </c>
      <c r="K162" s="789">
        <v>0</v>
      </c>
      <c r="L162" s="789">
        <v>0</v>
      </c>
      <c r="M162" s="790">
        <v>0</v>
      </c>
      <c r="N162" s="738"/>
      <c r="O162" s="304"/>
    </row>
    <row r="163" spans="1:15" ht="24.95" customHeight="1" thickBot="1">
      <c r="A163" s="195">
        <v>256</v>
      </c>
      <c r="B163" s="454" t="str">
        <f t="shared" si="84"/>
        <v>Stand am Ende des Berichtsjahrs  
= 250 + 251 + 252a - 254 - 255a - 253a - 253b - 253c + 253d</v>
      </c>
      <c r="C163" s="457" t="s">
        <v>229</v>
      </c>
      <c r="D163" s="436">
        <f>IF(ABS(E163-(H163+K163))&lt;5,0,jahr)</f>
        <v>0</v>
      </c>
      <c r="E163" s="224">
        <f>BILANZ!F69</f>
        <v>0</v>
      </c>
      <c r="F163" s="225">
        <f>BILANZ!G69</f>
        <v>0</v>
      </c>
      <c r="G163" s="403">
        <f>J163+M163</f>
        <v>0</v>
      </c>
      <c r="H163" s="416">
        <f t="shared" ref="H163:M163" si="87">+SUM(H154:H156)-SUM(H157:H161)+H162</f>
        <v>0</v>
      </c>
      <c r="I163" s="227">
        <f t="shared" si="87"/>
        <v>0</v>
      </c>
      <c r="J163" s="417">
        <f t="shared" si="87"/>
        <v>0</v>
      </c>
      <c r="K163" s="229">
        <f t="shared" si="87"/>
        <v>0</v>
      </c>
      <c r="L163" s="229">
        <f t="shared" si="87"/>
        <v>0</v>
      </c>
      <c r="M163" s="398">
        <f t="shared" si="87"/>
        <v>0</v>
      </c>
      <c r="N163" s="295"/>
      <c r="O163" s="242" t="str">
        <f>IF($D163&lt;&gt;0,IF(SPRCODE=1,"Bitte Fehler im Berichtsjahr korrigieren","Corriger l'erreur pour l'année d'exercice, svp"),"ok")</f>
        <v>ok</v>
      </c>
    </row>
    <row r="164" spans="1:15" ht="21.75" customHeight="1" thickTop="1">
      <c r="A164" s="441" t="s">
        <v>2492</v>
      </c>
      <c r="B164" s="432" t="str">
        <f t="shared" ref="B164:B173" si="88">VLOOKUP($A164&amp;B$2,TEXTDF,SPRCODE+1,FALSE)</f>
        <v>Aufgliederung der gebuchten Bruttoprämien:</v>
      </c>
      <c r="C164" s="433"/>
      <c r="D164" s="389"/>
      <c r="E164" s="504"/>
      <c r="F164" s="505"/>
      <c r="G164" s="506"/>
      <c r="H164" s="500"/>
      <c r="I164" s="501"/>
      <c r="J164" s="502"/>
      <c r="K164" s="497"/>
      <c r="L164" s="497"/>
      <c r="M164" s="498"/>
      <c r="N164" s="280"/>
      <c r="O164" s="304"/>
    </row>
    <row r="165" spans="1:15">
      <c r="A165" s="195" t="s">
        <v>1519</v>
      </c>
      <c r="B165" s="449" t="str">
        <f t="shared" si="88"/>
        <v>Sparprämien (zur Alimentierung des Altersguthabens)</v>
      </c>
      <c r="C165" s="385"/>
      <c r="D165" s="387"/>
      <c r="E165" s="211">
        <f t="shared" ref="E165:G172" si="89">H165+K165</f>
        <v>0</v>
      </c>
      <c r="F165" s="212">
        <f t="shared" si="89"/>
        <v>0</v>
      </c>
      <c r="G165" s="400">
        <f t="shared" si="89"/>
        <v>0</v>
      </c>
      <c r="H165" s="788">
        <v>0</v>
      </c>
      <c r="I165" s="789">
        <v>0</v>
      </c>
      <c r="J165" s="790">
        <v>0</v>
      </c>
      <c r="K165" s="789">
        <v>0</v>
      </c>
      <c r="L165" s="789">
        <v>0</v>
      </c>
      <c r="M165" s="790">
        <v>0</v>
      </c>
      <c r="N165" s="738"/>
      <c r="O165" s="304"/>
    </row>
    <row r="166" spans="1:15">
      <c r="A166" s="195" t="s">
        <v>2493</v>
      </c>
      <c r="B166" s="449" t="str">
        <f t="shared" si="88"/>
        <v>Risikoprämien</v>
      </c>
      <c r="C166" s="385"/>
      <c r="D166" s="387"/>
      <c r="E166" s="211">
        <f t="shared" si="89"/>
        <v>0</v>
      </c>
      <c r="F166" s="212">
        <f t="shared" si="89"/>
        <v>0</v>
      </c>
      <c r="G166" s="400">
        <f t="shared" si="89"/>
        <v>0</v>
      </c>
      <c r="H166" s="206">
        <f>+H33</f>
        <v>0</v>
      </c>
      <c r="I166" s="207">
        <f>+I33</f>
        <v>0</v>
      </c>
      <c r="J166" s="413">
        <f>+J33</f>
        <v>0</v>
      </c>
      <c r="K166" s="202">
        <f t="shared" ref="K166:M166" si="90">+K33</f>
        <v>0</v>
      </c>
      <c r="L166" s="202">
        <f t="shared" si="90"/>
        <v>0</v>
      </c>
      <c r="M166" s="395">
        <f t="shared" si="90"/>
        <v>0</v>
      </c>
      <c r="N166" s="738"/>
      <c r="O166" s="304"/>
    </row>
    <row r="167" spans="1:15">
      <c r="A167" s="195" t="s">
        <v>2494</v>
      </c>
      <c r="B167" s="449" t="str">
        <f t="shared" si="88"/>
        <v>Kostenprämien</v>
      </c>
      <c r="C167" s="385"/>
      <c r="D167" s="387"/>
      <c r="E167" s="211">
        <f t="shared" si="89"/>
        <v>0</v>
      </c>
      <c r="F167" s="212">
        <f t="shared" si="89"/>
        <v>0</v>
      </c>
      <c r="G167" s="400">
        <f t="shared" si="89"/>
        <v>0</v>
      </c>
      <c r="H167" s="206">
        <f>+H49</f>
        <v>0</v>
      </c>
      <c r="I167" s="207">
        <f>+I49</f>
        <v>0</v>
      </c>
      <c r="J167" s="413">
        <f>+J49</f>
        <v>0</v>
      </c>
      <c r="K167" s="202">
        <f t="shared" ref="K167:M167" si="91">+K49</f>
        <v>0</v>
      </c>
      <c r="L167" s="202">
        <f t="shared" si="91"/>
        <v>0</v>
      </c>
      <c r="M167" s="395">
        <f t="shared" si="91"/>
        <v>0</v>
      </c>
      <c r="N167" s="738"/>
      <c r="O167" s="304"/>
    </row>
    <row r="168" spans="1:15">
      <c r="A168" s="195" t="s">
        <v>2499</v>
      </c>
      <c r="B168" s="381" t="str">
        <f t="shared" si="88"/>
        <v xml:space="preserve">Individuell eingebrachte Altersguthaben (Diensteintritt, Einkäufe, WEF-Rückzahlung, Scheidung) </v>
      </c>
      <c r="C168" s="385"/>
      <c r="D168" s="387"/>
      <c r="E168" s="211">
        <f>H168+K168</f>
        <v>0</v>
      </c>
      <c r="F168" s="212">
        <f t="shared" si="89"/>
        <v>0</v>
      </c>
      <c r="G168" s="400">
        <f t="shared" si="89"/>
        <v>0</v>
      </c>
      <c r="H168" s="788">
        <v>0</v>
      </c>
      <c r="I168" s="789">
        <v>0</v>
      </c>
      <c r="J168" s="790">
        <v>0</v>
      </c>
      <c r="K168" s="789">
        <v>0</v>
      </c>
      <c r="L168" s="789">
        <v>0</v>
      </c>
      <c r="M168" s="790">
        <v>0</v>
      </c>
      <c r="N168" s="738"/>
      <c r="O168" s="304"/>
    </row>
    <row r="169" spans="1:15">
      <c r="A169" s="195" t="s">
        <v>2784</v>
      </c>
      <c r="B169" s="381" t="str">
        <f t="shared" si="88"/>
        <v>Eingebrachte Altersguthaben aus Neuanschlüssen (Vertragsübernahmen)</v>
      </c>
      <c r="C169" s="385"/>
      <c r="D169" s="387"/>
      <c r="E169" s="211">
        <f>H169+K169</f>
        <v>0</v>
      </c>
      <c r="F169" s="212">
        <f t="shared" si="89"/>
        <v>0</v>
      </c>
      <c r="G169" s="400">
        <f t="shared" si="89"/>
        <v>0</v>
      </c>
      <c r="H169" s="788">
        <v>0</v>
      </c>
      <c r="I169" s="789">
        <v>0</v>
      </c>
      <c r="J169" s="790">
        <v>0</v>
      </c>
      <c r="K169" s="789">
        <v>0</v>
      </c>
      <c r="L169" s="789">
        <v>0</v>
      </c>
      <c r="M169" s="790">
        <v>0</v>
      </c>
      <c r="N169" s="738"/>
      <c r="O169" s="304"/>
    </row>
    <row r="170" spans="1:15" ht="12.75" customHeight="1">
      <c r="A170" s="195" t="s">
        <v>2495</v>
      </c>
      <c r="B170" s="449" t="str">
        <f t="shared" si="88"/>
        <v>Einmalprämien für übernommene Alters- + Hinterbliebenenrenten</v>
      </c>
      <c r="C170" s="385"/>
      <c r="D170" s="387"/>
      <c r="E170" s="211">
        <f t="shared" si="89"/>
        <v>0</v>
      </c>
      <c r="F170" s="212">
        <f t="shared" si="89"/>
        <v>0</v>
      </c>
      <c r="G170" s="400">
        <f t="shared" si="89"/>
        <v>0</v>
      </c>
      <c r="H170" s="788">
        <v>0</v>
      </c>
      <c r="I170" s="789">
        <v>0</v>
      </c>
      <c r="J170" s="790">
        <v>0</v>
      </c>
      <c r="K170" s="789">
        <v>0</v>
      </c>
      <c r="L170" s="789">
        <v>0</v>
      </c>
      <c r="M170" s="790">
        <v>0</v>
      </c>
      <c r="N170" s="738"/>
      <c r="O170" s="304"/>
    </row>
    <row r="171" spans="1:15" ht="12.75" customHeight="1">
      <c r="A171" s="195" t="s">
        <v>2496</v>
      </c>
      <c r="B171" s="449" t="str">
        <f t="shared" si="88"/>
        <v>Einmalprämien für übernommene Invalidenrenten</v>
      </c>
      <c r="C171" s="385"/>
      <c r="D171" s="387"/>
      <c r="E171" s="211">
        <f>H171+K171</f>
        <v>0</v>
      </c>
      <c r="F171" s="212">
        <f>I171+L171</f>
        <v>0</v>
      </c>
      <c r="G171" s="400">
        <f>J171+M171</f>
        <v>0</v>
      </c>
      <c r="H171" s="788">
        <v>0</v>
      </c>
      <c r="I171" s="789">
        <v>0</v>
      </c>
      <c r="J171" s="790">
        <v>0</v>
      </c>
      <c r="K171" s="789">
        <v>0</v>
      </c>
      <c r="L171" s="789">
        <v>0</v>
      </c>
      <c r="M171" s="790">
        <v>0</v>
      </c>
      <c r="N171" s="738"/>
      <c r="O171" s="304"/>
    </row>
    <row r="172" spans="1:15" ht="12.75" customHeight="1">
      <c r="A172" s="195" t="s">
        <v>2552</v>
      </c>
      <c r="B172" s="449" t="str">
        <f t="shared" si="88"/>
        <v>Einmalprämien für Freizügigkeitspolicen</v>
      </c>
      <c r="C172" s="385"/>
      <c r="D172" s="387"/>
      <c r="E172" s="211">
        <f t="shared" si="89"/>
        <v>0</v>
      </c>
      <c r="F172" s="212">
        <f t="shared" si="89"/>
        <v>0</v>
      </c>
      <c r="G172" s="400">
        <f t="shared" si="89"/>
        <v>0</v>
      </c>
      <c r="H172" s="788">
        <v>0</v>
      </c>
      <c r="I172" s="789">
        <v>0</v>
      </c>
      <c r="J172" s="790">
        <v>0</v>
      </c>
      <c r="K172" s="789">
        <v>0</v>
      </c>
      <c r="L172" s="789">
        <v>0</v>
      </c>
      <c r="M172" s="790">
        <v>0</v>
      </c>
      <c r="N172" s="738"/>
      <c r="O172" s="304"/>
    </row>
    <row r="173" spans="1:15" ht="18" customHeight="1" thickBot="1">
      <c r="A173" s="195" t="s">
        <v>2574</v>
      </c>
      <c r="B173" s="454" t="str">
        <f t="shared" si="88"/>
        <v>Total gebuchte Bruttoprämien = ∑ Pos. 256a bis g</v>
      </c>
      <c r="C173" s="457" t="s">
        <v>2503</v>
      </c>
      <c r="D173" s="436">
        <f>IF(ABS(E173-(H173+K173))&lt;5,0,jahr)</f>
        <v>0</v>
      </c>
      <c r="E173" s="224">
        <f>ER!$F$5</f>
        <v>0</v>
      </c>
      <c r="F173" s="225">
        <f>ER!$G$5</f>
        <v>0</v>
      </c>
      <c r="G173" s="403">
        <f>J173+M173</f>
        <v>0</v>
      </c>
      <c r="H173" s="416">
        <f t="shared" ref="H173:M173" si="92">H$165 + H$166 + H$167 + SUM(H$168:H$172)</f>
        <v>0</v>
      </c>
      <c r="I173" s="227">
        <f t="shared" si="92"/>
        <v>0</v>
      </c>
      <c r="J173" s="417">
        <f t="shared" si="92"/>
        <v>0</v>
      </c>
      <c r="K173" s="229">
        <f t="shared" si="92"/>
        <v>0</v>
      </c>
      <c r="L173" s="229">
        <f t="shared" si="92"/>
        <v>0</v>
      </c>
      <c r="M173" s="398">
        <f t="shared" si="92"/>
        <v>0</v>
      </c>
      <c r="N173" s="198"/>
      <c r="O173" s="242" t="str">
        <f>IF($D173&lt;&gt;0,IF(SPRCODE=1,"Bitte Fehler im Berichtsjahr korrigieren","Corriger l'erreur pour l'année d'exercice, svp"),"ok")</f>
        <v>ok</v>
      </c>
    </row>
    <row r="174" spans="1:15" ht="24" customHeight="1" thickTop="1">
      <c r="A174" s="441" t="s">
        <v>2917</v>
      </c>
      <c r="B174" s="432" t="str">
        <f t="shared" ref="B174:C187" si="93">VLOOKUP($A174&amp;B$2,TEXTDF,SPRCODE+1,FALSE)</f>
        <v>Aufgliederung der Leistungen und Abfindungswerte</v>
      </c>
      <c r="C174" s="433"/>
      <c r="D174" s="389"/>
      <c r="E174" s="504"/>
      <c r="F174" s="505"/>
      <c r="G174" s="506"/>
      <c r="H174" s="500"/>
      <c r="I174" s="501"/>
      <c r="J174" s="502"/>
      <c r="K174" s="497"/>
      <c r="L174" s="497"/>
      <c r="M174" s="498"/>
      <c r="N174" s="280"/>
      <c r="O174" s="304"/>
    </row>
    <row r="175" spans="1:15">
      <c r="A175" s="195" t="s">
        <v>2921</v>
      </c>
      <c r="B175" s="446" t="str">
        <f t="shared" si="93"/>
        <v>Leistungen infolge Alter</v>
      </c>
      <c r="C175" s="385"/>
      <c r="D175" s="387"/>
      <c r="E175" s="211">
        <f>H175+K175</f>
        <v>0</v>
      </c>
      <c r="F175" s="212">
        <f>I175+L175</f>
        <v>0</v>
      </c>
      <c r="G175" s="400">
        <f>J175+M175</f>
        <v>0</v>
      </c>
      <c r="H175" s="788">
        <v>0</v>
      </c>
      <c r="I175" s="789">
        <v>0</v>
      </c>
      <c r="J175" s="790">
        <v>0</v>
      </c>
      <c r="K175" s="789">
        <v>0</v>
      </c>
      <c r="L175" s="789">
        <v>0</v>
      </c>
      <c r="M175" s="790">
        <v>0</v>
      </c>
      <c r="N175" s="738"/>
      <c r="O175" s="304"/>
    </row>
    <row r="176" spans="1:15">
      <c r="A176" s="195" t="s">
        <v>2922</v>
      </c>
      <c r="B176" s="446" t="str">
        <f t="shared" si="93"/>
        <v>Leistungen infolge Tod</v>
      </c>
      <c r="C176" s="385" t="str">
        <f t="shared" si="93"/>
        <v>ER, 13b</v>
      </c>
      <c r="D176" s="389">
        <f>IF(ABS(E176-(H176+K176))&lt;5,0,jahr)</f>
        <v>0</v>
      </c>
      <c r="E176" s="211">
        <f>ER!F$26</f>
        <v>0</v>
      </c>
      <c r="F176" s="212">
        <f>ER!G$26</f>
        <v>0</v>
      </c>
      <c r="G176" s="400">
        <f>J176+M176</f>
        <v>0</v>
      </c>
      <c r="H176" s="788">
        <v>0</v>
      </c>
      <c r="I176" s="789">
        <v>0</v>
      </c>
      <c r="J176" s="790">
        <v>0</v>
      </c>
      <c r="K176" s="789">
        <v>0</v>
      </c>
      <c r="L176" s="789">
        <v>0</v>
      </c>
      <c r="M176" s="790">
        <v>0</v>
      </c>
      <c r="N176" s="738"/>
      <c r="O176" s="242" t="str">
        <f>IF($D176&lt;&gt;0,IF(SPRCODE=1,"Bitte Fehler im Berichtsjahr korrigieren","Corriger l'erreur pour l'année d'exercice, svp"),"ok")</f>
        <v>ok</v>
      </c>
    </row>
    <row r="177" spans="1:15">
      <c r="A177" s="195" t="s">
        <v>2923</v>
      </c>
      <c r="B177" s="446" t="str">
        <f t="shared" si="93"/>
        <v>Leistungen infolge Invalidität</v>
      </c>
      <c r="C177" s="385" t="str">
        <f t="shared" si="93"/>
        <v>ER, 13c</v>
      </c>
      <c r="D177" s="389">
        <f>IF(ABS(E177-(H177+K177))&lt;5,0,jahr)</f>
        <v>0</v>
      </c>
      <c r="E177" s="211">
        <f>ER!F$27</f>
        <v>0</v>
      </c>
      <c r="F177" s="212">
        <f>ER!G$27</f>
        <v>0</v>
      </c>
      <c r="G177" s="400">
        <f>J177+M177</f>
        <v>0</v>
      </c>
      <c r="H177" s="788">
        <v>0</v>
      </c>
      <c r="I177" s="789">
        <v>0</v>
      </c>
      <c r="J177" s="790">
        <v>0</v>
      </c>
      <c r="K177" s="789">
        <v>0</v>
      </c>
      <c r="L177" s="789">
        <v>0</v>
      </c>
      <c r="M177" s="790">
        <v>0</v>
      </c>
      <c r="N177" s="738"/>
      <c r="O177" s="242" t="str">
        <f>IF($D177&lt;&gt;0,IF(SPRCODE=1,"Bitte Fehler im Berichtsjahr korrigieren","Corriger l'erreur pour l'année d'exercice, svp"),"ok")</f>
        <v>ok</v>
      </c>
    </row>
    <row r="178" spans="1:15">
      <c r="A178" s="195" t="s">
        <v>2931</v>
      </c>
      <c r="B178" s="437" t="str">
        <f t="shared" si="93"/>
        <v>Leistungen infolge Alter, Tod und Invalidität</v>
      </c>
      <c r="C178" s="457" t="str">
        <f>VLOOKUP($A178&amp;C$2,TEXTDF,SPRCODE+1,FALSE)</f>
        <v>ER, 7</v>
      </c>
      <c r="D178" s="436">
        <f>IF(ABS(E178-(H178+K178))&lt;5,0,jahr)</f>
        <v>0</v>
      </c>
      <c r="E178" s="365">
        <f>ER!F$12</f>
        <v>0</v>
      </c>
      <c r="F178" s="282">
        <f>ER!G$12</f>
        <v>0</v>
      </c>
      <c r="G178" s="402">
        <f>J178+M178</f>
        <v>0</v>
      </c>
      <c r="H178" s="367">
        <f t="shared" ref="H178:M178" si="94">SUM(H175:H177)</f>
        <v>0</v>
      </c>
      <c r="I178" s="283">
        <f t="shared" si="94"/>
        <v>0</v>
      </c>
      <c r="J178" s="414">
        <f t="shared" si="94"/>
        <v>0</v>
      </c>
      <c r="K178" s="284">
        <f t="shared" si="94"/>
        <v>0</v>
      </c>
      <c r="L178" s="284">
        <f t="shared" si="94"/>
        <v>0</v>
      </c>
      <c r="M178" s="397">
        <f t="shared" si="94"/>
        <v>0</v>
      </c>
      <c r="N178" s="181"/>
      <c r="O178" s="242" t="str">
        <f>IF($D178&lt;&gt;0,IF(SPRCODE=1,"Bitte Fehler im Berichtsjahr korrigieren","Corriger l'erreur pour l'année d'exercice, svp"),"ok")</f>
        <v>ok</v>
      </c>
    </row>
    <row r="179" spans="1:15">
      <c r="A179" s="195" t="s">
        <v>2936</v>
      </c>
      <c r="B179" s="446" t="str">
        <f t="shared" si="93"/>
        <v>Leistungen bei Dienstaustritten</v>
      </c>
      <c r="C179" s="385"/>
      <c r="D179" s="387"/>
      <c r="E179" s="211">
        <f t="shared" ref="E179:F181" si="95">H179+K179</f>
        <v>0</v>
      </c>
      <c r="F179" s="212">
        <f t="shared" si="95"/>
        <v>0</v>
      </c>
      <c r="G179" s="400">
        <f t="shared" ref="G179:G186" si="96">J179+M179</f>
        <v>0</v>
      </c>
      <c r="H179" s="788">
        <v>0</v>
      </c>
      <c r="I179" s="789">
        <v>0</v>
      </c>
      <c r="J179" s="790">
        <v>0</v>
      </c>
      <c r="K179" s="789">
        <v>0</v>
      </c>
      <c r="L179" s="789">
        <v>0</v>
      </c>
      <c r="M179" s="790">
        <v>0</v>
      </c>
      <c r="N179" s="738"/>
      <c r="O179" s="304"/>
    </row>
    <row r="180" spans="1:15" ht="26.25" customHeight="1">
      <c r="A180" s="233" t="s">
        <v>2955</v>
      </c>
      <c r="B180" s="827" t="str">
        <f t="shared" si="93"/>
        <v>Rückkaufswerte von Freizügigkeitspolicen (verschoben und inkl. 256pa2)</v>
      </c>
      <c r="C180" s="385"/>
      <c r="D180" s="387"/>
      <c r="E180" s="211">
        <f t="shared" ref="E180" si="97">H180+K180</f>
        <v>0</v>
      </c>
      <c r="F180" s="212">
        <f t="shared" ref="F180" si="98">I180+L180</f>
        <v>0</v>
      </c>
      <c r="G180" s="400">
        <f t="shared" ref="G180" si="99">J180+M180</f>
        <v>0</v>
      </c>
      <c r="H180" s="788">
        <v>0</v>
      </c>
      <c r="I180" s="789">
        <v>0</v>
      </c>
      <c r="J180" s="790">
        <v>0</v>
      </c>
      <c r="K180" s="789">
        <v>0</v>
      </c>
      <c r="L180" s="789">
        <v>0</v>
      </c>
      <c r="M180" s="790">
        <v>0</v>
      </c>
      <c r="N180" s="738"/>
      <c r="O180" s="304"/>
    </row>
    <row r="181" spans="1:15">
      <c r="A181" s="195" t="s">
        <v>2935</v>
      </c>
      <c r="B181" s="446" t="str">
        <f t="shared" si="93"/>
        <v>Leistungen bei WEF/Scheidung</v>
      </c>
      <c r="C181" s="385"/>
      <c r="D181" s="387"/>
      <c r="E181" s="211">
        <f t="shared" si="95"/>
        <v>0</v>
      </c>
      <c r="F181" s="212">
        <f t="shared" si="95"/>
        <v>0</v>
      </c>
      <c r="G181" s="400">
        <f t="shared" si="96"/>
        <v>0</v>
      </c>
      <c r="H181" s="788">
        <v>0</v>
      </c>
      <c r="I181" s="789">
        <v>0</v>
      </c>
      <c r="J181" s="790">
        <v>0</v>
      </c>
      <c r="K181" s="789">
        <v>0</v>
      </c>
      <c r="L181" s="789">
        <v>0</v>
      </c>
      <c r="M181" s="790">
        <v>0</v>
      </c>
      <c r="N181" s="738"/>
      <c r="O181" s="304"/>
    </row>
    <row r="182" spans="1:15">
      <c r="A182" s="195" t="s">
        <v>2945</v>
      </c>
      <c r="B182" s="437" t="str">
        <f t="shared" si="93"/>
        <v>Freizügigkeitsleistungen</v>
      </c>
      <c r="C182" s="457" t="str">
        <f>VLOOKUP($A182&amp;C$2,TEXTDF,SPRCODE+1,FALSE)</f>
        <v>ER, 8</v>
      </c>
      <c r="D182" s="436">
        <f>IF(ABS(E182-(H182+K182))&lt;5,0,jahr)</f>
        <v>0</v>
      </c>
      <c r="E182" s="365">
        <f>ER!F$14</f>
        <v>0</v>
      </c>
      <c r="F182" s="282">
        <f>ER!G$14</f>
        <v>0</v>
      </c>
      <c r="G182" s="402">
        <f t="shared" si="96"/>
        <v>0</v>
      </c>
      <c r="H182" s="367">
        <f t="shared" ref="H182:M182" si="100">SUM(H179:H181)</f>
        <v>0</v>
      </c>
      <c r="I182" s="283">
        <f t="shared" si="100"/>
        <v>0</v>
      </c>
      <c r="J182" s="414">
        <f t="shared" si="100"/>
        <v>0</v>
      </c>
      <c r="K182" s="284">
        <f t="shared" si="100"/>
        <v>0</v>
      </c>
      <c r="L182" s="284">
        <f t="shared" si="100"/>
        <v>0</v>
      </c>
      <c r="M182" s="397">
        <f t="shared" si="100"/>
        <v>0</v>
      </c>
      <c r="N182" s="181"/>
      <c r="O182" s="242" t="str">
        <f>IF($D182&lt;&gt;0,IF(SPRCODE=1,"Bitte Fehler im Berichtsjahr korrigieren","Corriger l'erreur pour l'année d'exercice, svp"),"ok")</f>
        <v>ok</v>
      </c>
    </row>
    <row r="183" spans="1:15">
      <c r="A183" s="195" t="s">
        <v>2952</v>
      </c>
      <c r="B183" s="383" t="str">
        <f t="shared" si="93"/>
        <v>Rückkaufswerte Altersguthaben aus Vertragsauflösungen</v>
      </c>
      <c r="C183" s="385"/>
      <c r="D183" s="387"/>
      <c r="E183" s="211">
        <f t="shared" ref="E183:F185" si="101">H183+K183</f>
        <v>0</v>
      </c>
      <c r="F183" s="212">
        <f t="shared" si="101"/>
        <v>0</v>
      </c>
      <c r="G183" s="400">
        <f t="shared" si="96"/>
        <v>0</v>
      </c>
      <c r="H183" s="788">
        <v>0</v>
      </c>
      <c r="I183" s="789">
        <v>0</v>
      </c>
      <c r="J183" s="790">
        <v>0</v>
      </c>
      <c r="K183" s="789">
        <v>0</v>
      </c>
      <c r="L183" s="789">
        <v>0</v>
      </c>
      <c r="M183" s="790">
        <v>0</v>
      </c>
      <c r="N183" s="738"/>
      <c r="O183" s="304"/>
    </row>
    <row r="184" spans="1:15">
      <c r="A184" s="195" t="s">
        <v>2953</v>
      </c>
      <c r="B184" s="383" t="str">
        <f t="shared" si="93"/>
        <v>Rückkaufswerte Rentenverpflichtungen aus Vertragsauflösungen</v>
      </c>
      <c r="C184" s="385"/>
      <c r="D184" s="387"/>
      <c r="E184" s="211">
        <f t="shared" si="101"/>
        <v>0</v>
      </c>
      <c r="F184" s="212">
        <f t="shared" si="101"/>
        <v>0</v>
      </c>
      <c r="G184" s="400">
        <f t="shared" si="96"/>
        <v>0</v>
      </c>
      <c r="H184" s="788">
        <v>0</v>
      </c>
      <c r="I184" s="789">
        <v>0</v>
      </c>
      <c r="J184" s="790">
        <v>0</v>
      </c>
      <c r="K184" s="789">
        <v>0</v>
      </c>
      <c r="L184" s="789">
        <v>0</v>
      </c>
      <c r="M184" s="790">
        <v>0</v>
      </c>
      <c r="N184" s="738"/>
      <c r="O184" s="304"/>
    </row>
    <row r="185" spans="1:15">
      <c r="A185" s="195" t="s">
        <v>2954</v>
      </c>
      <c r="B185" s="383" t="str">
        <f t="shared" si="93"/>
        <v>Rückkaufswerte übrige Verpflichtungen aus Vertragsauflösungen</v>
      </c>
      <c r="C185" s="385"/>
      <c r="D185" s="387"/>
      <c r="E185" s="211">
        <f t="shared" si="101"/>
        <v>0</v>
      </c>
      <c r="F185" s="212">
        <f t="shared" si="101"/>
        <v>0</v>
      </c>
      <c r="G185" s="400">
        <f t="shared" si="96"/>
        <v>0</v>
      </c>
      <c r="H185" s="788">
        <v>0</v>
      </c>
      <c r="I185" s="789">
        <v>0</v>
      </c>
      <c r="J185" s="790">
        <v>0</v>
      </c>
      <c r="K185" s="789">
        <v>0</v>
      </c>
      <c r="L185" s="789">
        <v>0</v>
      </c>
      <c r="M185" s="790">
        <v>0</v>
      </c>
      <c r="N185" s="738"/>
      <c r="O185" s="304"/>
    </row>
    <row r="186" spans="1:15">
      <c r="A186" s="195" t="s">
        <v>2956</v>
      </c>
      <c r="B186" s="437" t="str">
        <f t="shared" si="93"/>
        <v>Total Rückkaufswerte</v>
      </c>
      <c r="C186" s="457" t="str">
        <f>VLOOKUP($A186&amp;C$2,TEXTDF,SPRCODE+1,FALSE)</f>
        <v>ER, 9</v>
      </c>
      <c r="D186" s="436">
        <f>IF(ABS(E186-(H186+K186))&lt;5,0,jahr)</f>
        <v>0</v>
      </c>
      <c r="E186" s="215">
        <f>ER!F$15</f>
        <v>0</v>
      </c>
      <c r="F186" s="216">
        <f>ER!G$15</f>
        <v>0</v>
      </c>
      <c r="G186" s="404">
        <f t="shared" si="96"/>
        <v>0</v>
      </c>
      <c r="H186" s="796">
        <f t="shared" ref="H186:K186" si="102">SUM(H183:H185)</f>
        <v>0</v>
      </c>
      <c r="I186" s="797">
        <v>0</v>
      </c>
      <c r="J186" s="798">
        <v>0</v>
      </c>
      <c r="K186" s="797">
        <f t="shared" si="102"/>
        <v>0</v>
      </c>
      <c r="L186" s="797">
        <v>0</v>
      </c>
      <c r="M186" s="798">
        <v>0</v>
      </c>
      <c r="N186" s="181"/>
      <c r="O186" s="242" t="str">
        <f>IF($D186&lt;&gt;0,IF(SPRCODE=1,"Bitte Fehler im Berichtsjahr korrigieren","Corriger l'erreur pour l'année d'exercice, svp"),"ok")</f>
        <v>ok</v>
      </c>
    </row>
    <row r="187" spans="1:15" ht="27" customHeight="1" thickBot="1">
      <c r="A187" s="254" t="s">
        <v>2918</v>
      </c>
      <c r="B187" s="469" t="str">
        <f t="shared" si="93"/>
        <v>Total Versicherungsleistungen brutto 
= 256od + 256pc + 256qe</v>
      </c>
      <c r="C187" s="470" t="s">
        <v>2948</v>
      </c>
      <c r="D187" s="802"/>
      <c r="E187" s="773">
        <f>ER!F$16</f>
        <v>0</v>
      </c>
      <c r="F187" s="774">
        <f>ER!G$16</f>
        <v>0</v>
      </c>
      <c r="G187" s="408">
        <f>J187+M187</f>
        <v>0</v>
      </c>
      <c r="H187" s="775">
        <f t="shared" ref="H187:M187" si="103">H$178+H$182+H$186</f>
        <v>0</v>
      </c>
      <c r="I187" s="776">
        <f t="shared" si="103"/>
        <v>0</v>
      </c>
      <c r="J187" s="777">
        <f t="shared" si="103"/>
        <v>0</v>
      </c>
      <c r="K187" s="778">
        <f t="shared" si="103"/>
        <v>0</v>
      </c>
      <c r="L187" s="778">
        <f t="shared" si="103"/>
        <v>0</v>
      </c>
      <c r="M187" s="779">
        <f t="shared" si="103"/>
        <v>0</v>
      </c>
      <c r="N187" s="183"/>
      <c r="O187" s="242"/>
    </row>
    <row r="188" spans="1:15" ht="30.75" customHeight="1">
      <c r="A188" s="487" t="s">
        <v>1099</v>
      </c>
      <c r="B188" s="491" t="str">
        <f t="shared" ref="B188:B193" si="104">VLOOKUP($A188&amp;B$2,TEXTDF,SPRCODE+1,FALSE)</f>
        <v>a)  Die Erträge aus den Kapitalanlagen werden nach der Lage der technischen Rückstellungen (Pos. 146) umgelegt.</v>
      </c>
      <c r="C188" s="492"/>
      <c r="D188" s="493"/>
      <c r="E188" s="494"/>
      <c r="F188" s="494"/>
      <c r="G188" s="495"/>
      <c r="H188" s="780"/>
      <c r="I188" s="780"/>
      <c r="J188" s="780"/>
      <c r="K188" s="780"/>
      <c r="L188" s="780"/>
      <c r="M188" s="780"/>
    </row>
    <row r="189" spans="1:15" ht="36" customHeight="1">
      <c r="A189" s="487" t="s">
        <v>1101</v>
      </c>
      <c r="B189" s="903" t="str">
        <f t="shared" si="104"/>
        <v xml:space="preserve">c)  Entnahmen aus der Verwaltungskostenrückstellung sind unter Pos. 156, Abwicklungsergebnis einzuschliessen. Die Zusammensetzung des Abwicklungsergebnisses ist im Begleitbericht anzugeben.
d)  Rentenexkasso- und Abwicklungskosten für laufende Altersrenten und Pensioniertenkinderrenten. Die im DK der Altersrenten eingerechnete Verwaltungskostenrückstellung ist über Pos. 156 abzuwickeln. 
      Die Leistungsbearbeitungsaufwendungen in der ER Pos. 11 sind auf die beiden Pos. 157 und 172 der techn. Zerlegung aufzuteilen!  </v>
      </c>
      <c r="C189" s="904"/>
      <c r="D189" s="904"/>
      <c r="E189" s="904"/>
      <c r="F189" s="904"/>
      <c r="G189" s="904"/>
      <c r="H189" s="904"/>
      <c r="I189" s="904"/>
      <c r="J189" s="904"/>
      <c r="K189" s="904"/>
      <c r="L189" s="904"/>
      <c r="M189" s="904"/>
      <c r="N189" s="781"/>
      <c r="O189" s="782"/>
    </row>
    <row r="190" spans="1:15" ht="13.5">
      <c r="A190" s="487" t="s">
        <v>1103</v>
      </c>
      <c r="B190" s="488" t="str">
        <f t="shared" si="104"/>
        <v>e)  Einschliesslich Risikoprämien (exkl. Kostenprämien) für Teuerungsausgleich auf BVG-Risikorenten</v>
      </c>
      <c r="C190" s="489"/>
      <c r="D190" s="490"/>
      <c r="E190" s="17"/>
      <c r="F190" s="17"/>
      <c r="G190" s="280"/>
      <c r="H190" s="17"/>
      <c r="I190" s="17"/>
      <c r="J190" s="280"/>
      <c r="K190" s="17"/>
      <c r="L190" s="17"/>
      <c r="M190" s="17"/>
      <c r="N190" s="17"/>
      <c r="O190" s="304"/>
    </row>
    <row r="191" spans="1:15" ht="51" customHeight="1">
      <c r="A191" s="487" t="s">
        <v>1197</v>
      </c>
      <c r="B191" s="903" t="str">
        <f t="shared" si="104"/>
        <v xml:space="preserve">f)  Entnahmen aus den Teuerungsrückstellungen zur Bildung von DK infolge Teuerungsanpassung (Pos. 254) sowie aus der Verwaltungskostenrückstellung sind unter den Pos. 171a und 171b, Abwicklungsergebnis einzuschliessen. 
      Die Zusammensetzung des Abwicklungsergebnisses ist im Begleitbericht anzugeben.
g)  Rentenexkasso- und Abwicklungskosten für laufende Invaliden- und Hinterbliebenenrenten. Die im DK der Invaliden- und Hinterbliebenenrenten eingerechnete Verwaltungskostenrückstellung ist über die Pos. 171a und 171b abzuwickeln. 
      Die Leistungsbearbeitungsaufwendungen in der ER Pos. 11 sind auf die beiden Pos. 157 und 172 der techn. Zerlegung aufzuteilen!  </v>
      </c>
      <c r="C191" s="904"/>
      <c r="D191" s="904"/>
      <c r="E191" s="904"/>
      <c r="F191" s="904"/>
      <c r="G191" s="904"/>
      <c r="H191" s="904"/>
      <c r="I191" s="904"/>
      <c r="J191" s="904"/>
      <c r="K191" s="904"/>
      <c r="L191" s="904"/>
      <c r="M191" s="904"/>
      <c r="N191" s="783"/>
      <c r="O191" s="784"/>
    </row>
    <row r="192" spans="1:15">
      <c r="A192" s="184" t="s">
        <v>1199</v>
      </c>
      <c r="B192" s="488" t="str">
        <f t="shared" si="104"/>
        <v>h)  Die Kosten für die Abwicklung der Renten werden nicht mit Kostenprämien finanziert.</v>
      </c>
      <c r="C192" s="308"/>
      <c r="D192" s="309"/>
      <c r="E192" s="197"/>
      <c r="F192" s="197"/>
      <c r="G192" s="292"/>
      <c r="H192" s="197"/>
      <c r="I192" s="197"/>
      <c r="J192" s="292"/>
      <c r="K192" s="197"/>
      <c r="L192" s="197"/>
      <c r="M192" s="197"/>
      <c r="N192" s="783"/>
      <c r="O192" s="784"/>
    </row>
    <row r="193" spans="1:15" ht="50.25" customHeight="1">
      <c r="A193" s="184" t="s">
        <v>2506</v>
      </c>
      <c r="B193" s="905" t="str">
        <f t="shared" si="104"/>
        <v xml:space="preserve">h1)  einschliesslich Entnahme der Kostenprämie aus den Teuerungsrückstellungen (Pos. 255a)
i)  Ohne Einbezug der Vermögensverwaltungskosten jedoch einschliesslich der Rentenexkasso- und Abwicklungskosten im Sparprozess (Pos. 157) und im Risikoprozess (Pos. 172) sowie des dazugehörigen rückversicherten Anteils (ER Pos. 11a). 
      Der Saldo aus den übrigen Erfolgsposten (Pos. 181) wird nicht miteinbezogen.
j)   Die Exkasso- und Abwicklungskosten sind unter den Pos. 157 (für den Sparprozess) und 172 (für den Risikoprozess) zu erfassen. Der Anteil der Rentenbezüger ist Pos. 182b zuzuteilen. </v>
      </c>
      <c r="C193" s="906" t="e">
        <f t="shared" ref="C193:H193" si="105">VLOOKUP($A193&amp;C$2,TEXTDF,SPRCODE+1,FALSE)</f>
        <v>#N/A</v>
      </c>
      <c r="D193" s="906" t="e">
        <f t="shared" si="105"/>
        <v>#N/A</v>
      </c>
      <c r="E193" s="906" t="e">
        <f t="shared" si="105"/>
        <v>#N/A</v>
      </c>
      <c r="F193" s="906" t="e">
        <f t="shared" si="105"/>
        <v>#N/A</v>
      </c>
      <c r="G193" s="906" t="e">
        <f t="shared" si="105"/>
        <v>#N/A</v>
      </c>
      <c r="H193" s="906" t="e">
        <f t="shared" si="105"/>
        <v>#N/A</v>
      </c>
      <c r="I193" s="907"/>
      <c r="J193" s="907"/>
      <c r="K193" s="907"/>
      <c r="L193" s="907"/>
      <c r="M193" s="907"/>
      <c r="N193" s="371"/>
      <c r="O193" s="784"/>
    </row>
  </sheetData>
  <sheetProtection algorithmName="SHA-512" hashValue="URujpSEJ6NeSnwZu8vEwv64gtw8uKWrCpDDOUPzArdVNUjOHgIh3L9lJXJrdU4IL6pBzHQIp9SdN+nLnH+B0gg==" saltValue="VfV+jAeUBSZfLnwslG3jog==" spinCount="100000" sheet="1" objects="1" scenarios="1"/>
  <customSheetViews>
    <customSheetView guid="{ECF4189F-4624-4725-BD5A-98214EF42022}" scale="75" showRuler="0">
      <pane xSplit="5" ySplit="5" topLeftCell="F6" activePane="bottomRight" state="frozen"/>
      <selection pane="bottomRight" activeCell="A3" sqref="A3"/>
      <rowBreaks count="5" manualBreakCount="5">
        <brk id="46" max="16383" man="1"/>
        <brk id="91" max="16383" man="1"/>
        <brk id="136" max="16383" man="1"/>
        <brk id="176" max="16383" man="1"/>
        <brk id="216" max="16383" man="1"/>
      </rowBreaks>
      <colBreaks count="1" manualBreakCount="1">
        <brk id="16" max="1048575" man="1"/>
      </colBreaks>
      <pageMargins left="0.24" right="0.19" top="0.27" bottom="0.18" header="0.17" footer="0.16"/>
      <printOptions headings="1"/>
      <pageSetup paperSize="9" scale="65" orientation="landscape" horizontalDpi="4294967295"/>
      <headerFooter alignWithMargins="0">
        <oddFooter>&amp;L&amp;D   &amp;T&amp;C&amp;A&amp;R&amp;P / &amp;N</oddFooter>
      </headerFooter>
    </customSheetView>
  </customSheetViews>
  <mergeCells count="5">
    <mergeCell ref="B191:M191"/>
    <mergeCell ref="B193:M193"/>
    <mergeCell ref="K20:M20"/>
    <mergeCell ref="B189:M189"/>
    <mergeCell ref="D3:D5"/>
  </mergeCells>
  <phoneticPr fontId="9" type="noConversion"/>
  <conditionalFormatting sqref="O7:O16">
    <cfRule type="cellIs" dxfId="90" priority="128" operator="notEqual">
      <formula>"ok"</formula>
    </cfRule>
  </conditionalFormatting>
  <conditionalFormatting sqref="O18">
    <cfRule type="cellIs" dxfId="89" priority="127" operator="notEqual">
      <formula>"ok"</formula>
    </cfRule>
  </conditionalFormatting>
  <conditionalFormatting sqref="O24">
    <cfRule type="cellIs" dxfId="88" priority="126" operator="notEqual">
      <formula>"ok"</formula>
    </cfRule>
  </conditionalFormatting>
  <conditionalFormatting sqref="O123">
    <cfRule type="cellIs" dxfId="87" priority="114" operator="notEqual">
      <formula>"ok"</formula>
    </cfRule>
  </conditionalFormatting>
  <conditionalFormatting sqref="O152">
    <cfRule type="cellIs" dxfId="86" priority="107" operator="notEqual">
      <formula>"ok"</formula>
    </cfRule>
  </conditionalFormatting>
  <conditionalFormatting sqref="O36">
    <cfRule type="cellIs" dxfId="85" priority="91" operator="notEqual">
      <formula>"ok"</formula>
    </cfRule>
  </conditionalFormatting>
  <conditionalFormatting sqref="O187">
    <cfRule type="cellIs" dxfId="84" priority="100" operator="notEqual">
      <formula>"ok"</formula>
    </cfRule>
  </conditionalFormatting>
  <conditionalFormatting sqref="D7">
    <cfRule type="cellIs" dxfId="83" priority="99" operator="equal">
      <formula>0</formula>
    </cfRule>
  </conditionalFormatting>
  <conditionalFormatting sqref="D10:D15">
    <cfRule type="cellIs" dxfId="82" priority="98" operator="equal">
      <formula>0</formula>
    </cfRule>
  </conditionalFormatting>
  <conditionalFormatting sqref="D24">
    <cfRule type="cellIs" dxfId="81" priority="97" operator="equal">
      <formula>0</formula>
    </cfRule>
  </conditionalFormatting>
  <conditionalFormatting sqref="D26">
    <cfRule type="cellIs" dxfId="80" priority="96" operator="equal">
      <formula>0</formula>
    </cfRule>
  </conditionalFormatting>
  <conditionalFormatting sqref="D35">
    <cfRule type="cellIs" dxfId="79" priority="94" operator="equal">
      <formula>0</formula>
    </cfRule>
  </conditionalFormatting>
  <conditionalFormatting sqref="O35">
    <cfRule type="cellIs" dxfId="78" priority="93" operator="notEqual">
      <formula>"ok"</formula>
    </cfRule>
  </conditionalFormatting>
  <conditionalFormatting sqref="D36">
    <cfRule type="cellIs" dxfId="77" priority="92" operator="equal">
      <formula>0</formula>
    </cfRule>
  </conditionalFormatting>
  <conditionalFormatting sqref="D38">
    <cfRule type="cellIs" dxfId="76" priority="90" operator="equal">
      <formula>0</formula>
    </cfRule>
  </conditionalFormatting>
  <conditionalFormatting sqref="O38">
    <cfRule type="cellIs" dxfId="75" priority="89" operator="notEqual">
      <formula>"ok"</formula>
    </cfRule>
  </conditionalFormatting>
  <conditionalFormatting sqref="O39">
    <cfRule type="cellIs" dxfId="74" priority="88" operator="notEqual">
      <formula>"ok"</formula>
    </cfRule>
  </conditionalFormatting>
  <conditionalFormatting sqref="D39">
    <cfRule type="cellIs" dxfId="73" priority="87" operator="equal">
      <formula>0</formula>
    </cfRule>
  </conditionalFormatting>
  <conditionalFormatting sqref="D43:D44">
    <cfRule type="cellIs" dxfId="72" priority="86" operator="equal">
      <formula>0</formula>
    </cfRule>
  </conditionalFormatting>
  <conditionalFormatting sqref="D54">
    <cfRule type="cellIs" dxfId="71" priority="83" operator="equal">
      <formula>0</formula>
    </cfRule>
  </conditionalFormatting>
  <conditionalFormatting sqref="D57">
    <cfRule type="cellIs" dxfId="70" priority="81" operator="equal">
      <formula>0</formula>
    </cfRule>
  </conditionalFormatting>
  <conditionalFormatting sqref="D58">
    <cfRule type="cellIs" dxfId="69" priority="79" operator="equal">
      <formula>0</formula>
    </cfRule>
  </conditionalFormatting>
  <conditionalFormatting sqref="D60">
    <cfRule type="cellIs" dxfId="68" priority="77" operator="equal">
      <formula>0</formula>
    </cfRule>
  </conditionalFormatting>
  <conditionalFormatting sqref="D67">
    <cfRule type="cellIs" dxfId="67" priority="75" operator="equal">
      <formula>0</formula>
    </cfRule>
  </conditionalFormatting>
  <conditionalFormatting sqref="D89">
    <cfRule type="cellIs" dxfId="66" priority="73" operator="equal">
      <formula>0</formula>
    </cfRule>
  </conditionalFormatting>
  <conditionalFormatting sqref="O91">
    <cfRule type="cellIs" dxfId="65" priority="71" operator="notEqual">
      <formula>"ok"</formula>
    </cfRule>
  </conditionalFormatting>
  <conditionalFormatting sqref="D91">
    <cfRule type="cellIs" dxfId="64" priority="70" operator="equal">
      <formula>0</formula>
    </cfRule>
  </conditionalFormatting>
  <conditionalFormatting sqref="D93">
    <cfRule type="cellIs" dxfId="63" priority="69" operator="equal">
      <formula>0</formula>
    </cfRule>
  </conditionalFormatting>
  <conditionalFormatting sqref="D122">
    <cfRule type="cellIs" dxfId="62" priority="66" operator="equal">
      <formula>0</formula>
    </cfRule>
  </conditionalFormatting>
  <conditionalFormatting sqref="D124">
    <cfRule type="cellIs" dxfId="61" priority="65" operator="equal">
      <formula>0</formula>
    </cfRule>
  </conditionalFormatting>
  <conditionalFormatting sqref="D132">
    <cfRule type="cellIs" dxfId="60" priority="63" operator="equal">
      <formula>0</formula>
    </cfRule>
  </conditionalFormatting>
  <conditionalFormatting sqref="D134">
    <cfRule type="cellIs" dxfId="59" priority="61" operator="equal">
      <formula>0</formula>
    </cfRule>
  </conditionalFormatting>
  <conditionalFormatting sqref="D138">
    <cfRule type="cellIs" dxfId="58" priority="59" operator="equal">
      <formula>0</formula>
    </cfRule>
  </conditionalFormatting>
  <conditionalFormatting sqref="O138">
    <cfRule type="cellIs" dxfId="57" priority="58" operator="notEqual">
      <formula>"ok"</formula>
    </cfRule>
  </conditionalFormatting>
  <conditionalFormatting sqref="D140">
    <cfRule type="cellIs" dxfId="56" priority="57" operator="equal">
      <formula>0</formula>
    </cfRule>
  </conditionalFormatting>
  <conditionalFormatting sqref="D142">
    <cfRule type="cellIs" dxfId="55" priority="55" operator="equal">
      <formula>0</formula>
    </cfRule>
  </conditionalFormatting>
  <conditionalFormatting sqref="D143">
    <cfRule type="cellIs" dxfId="54" priority="53" operator="equal">
      <formula>0</formula>
    </cfRule>
  </conditionalFormatting>
  <conditionalFormatting sqref="D155">
    <cfRule type="cellIs" dxfId="53" priority="51" operator="equal">
      <formula>0</formula>
    </cfRule>
  </conditionalFormatting>
  <conditionalFormatting sqref="D163">
    <cfRule type="cellIs" dxfId="52" priority="49" operator="equal">
      <formula>0</formula>
    </cfRule>
  </conditionalFormatting>
  <conditionalFormatting sqref="D173">
    <cfRule type="cellIs" dxfId="51" priority="47" operator="equal">
      <formula>0</formula>
    </cfRule>
  </conditionalFormatting>
  <conditionalFormatting sqref="D176">
    <cfRule type="cellIs" dxfId="50" priority="45" operator="equal">
      <formula>0</formula>
    </cfRule>
  </conditionalFormatting>
  <conditionalFormatting sqref="D177">
    <cfRule type="cellIs" dxfId="49" priority="43" operator="equal">
      <formula>0</formula>
    </cfRule>
  </conditionalFormatting>
  <conditionalFormatting sqref="D178">
    <cfRule type="cellIs" dxfId="48" priority="41" operator="equal">
      <formula>0</formula>
    </cfRule>
  </conditionalFormatting>
  <conditionalFormatting sqref="D182">
    <cfRule type="cellIs" dxfId="47" priority="39" operator="equal">
      <formula>0</formula>
    </cfRule>
  </conditionalFormatting>
  <conditionalFormatting sqref="D186">
    <cfRule type="cellIs" dxfId="46" priority="37" operator="equal">
      <formula>0</formula>
    </cfRule>
  </conditionalFormatting>
  <conditionalFormatting sqref="O26">
    <cfRule type="cellIs" dxfId="45" priority="26" operator="notEqual">
      <formula>"ok"</formula>
    </cfRule>
  </conditionalFormatting>
  <conditionalFormatting sqref="O43">
    <cfRule type="cellIs" dxfId="44" priority="25" operator="notEqual">
      <formula>"ok"</formula>
    </cfRule>
  </conditionalFormatting>
  <conditionalFormatting sqref="O44">
    <cfRule type="cellIs" dxfId="43" priority="24" operator="notEqual">
      <formula>"ok"</formula>
    </cfRule>
  </conditionalFormatting>
  <conditionalFormatting sqref="O54">
    <cfRule type="cellIs" dxfId="42" priority="23" operator="notEqual">
      <formula>"ok"</formula>
    </cfRule>
  </conditionalFormatting>
  <conditionalFormatting sqref="O57">
    <cfRule type="cellIs" dxfId="41" priority="22" operator="notEqual">
      <formula>"ok"</formula>
    </cfRule>
  </conditionalFormatting>
  <conditionalFormatting sqref="O58">
    <cfRule type="cellIs" dxfId="40" priority="21" operator="notEqual">
      <formula>"ok"</formula>
    </cfRule>
  </conditionalFormatting>
  <conditionalFormatting sqref="O60">
    <cfRule type="cellIs" dxfId="39" priority="20" operator="notEqual">
      <formula>"ok"</formula>
    </cfRule>
  </conditionalFormatting>
  <conditionalFormatting sqref="O67">
    <cfRule type="cellIs" dxfId="38" priority="19" operator="notEqual">
      <formula>"ok"</formula>
    </cfRule>
  </conditionalFormatting>
  <conditionalFormatting sqref="O89">
    <cfRule type="cellIs" dxfId="37" priority="18" operator="notEqual">
      <formula>"ok"</formula>
    </cfRule>
  </conditionalFormatting>
  <conditionalFormatting sqref="O93">
    <cfRule type="cellIs" dxfId="36" priority="17" operator="notEqual">
      <formula>"ok"</formula>
    </cfRule>
  </conditionalFormatting>
  <conditionalFormatting sqref="O122">
    <cfRule type="cellIs" dxfId="35" priority="16" operator="notEqual">
      <formula>"ok"</formula>
    </cfRule>
  </conditionalFormatting>
  <conditionalFormatting sqref="O124">
    <cfRule type="cellIs" dxfId="34" priority="15" operator="notEqual">
      <formula>"ok"</formula>
    </cfRule>
  </conditionalFormatting>
  <conditionalFormatting sqref="O132">
    <cfRule type="cellIs" dxfId="33" priority="14" operator="notEqual">
      <formula>"ok"</formula>
    </cfRule>
  </conditionalFormatting>
  <conditionalFormatting sqref="O134">
    <cfRule type="cellIs" dxfId="32" priority="13" operator="notEqual">
      <formula>"ok"</formula>
    </cfRule>
  </conditionalFormatting>
  <conditionalFormatting sqref="O140">
    <cfRule type="cellIs" dxfId="31" priority="12" operator="notEqual">
      <formula>"ok"</formula>
    </cfRule>
  </conditionalFormatting>
  <conditionalFormatting sqref="O142">
    <cfRule type="cellIs" dxfId="30" priority="11" operator="notEqual">
      <formula>"ok"</formula>
    </cfRule>
  </conditionalFormatting>
  <conditionalFormatting sqref="O143">
    <cfRule type="cellIs" dxfId="29" priority="10" operator="notEqual">
      <formula>"ok"</formula>
    </cfRule>
  </conditionalFormatting>
  <conditionalFormatting sqref="O155">
    <cfRule type="cellIs" dxfId="28" priority="9" operator="notEqual">
      <formula>"ok"</formula>
    </cfRule>
  </conditionalFormatting>
  <conditionalFormatting sqref="O163">
    <cfRule type="cellIs" dxfId="27" priority="8" operator="notEqual">
      <formula>"ok"</formula>
    </cfRule>
  </conditionalFormatting>
  <conditionalFormatting sqref="O173">
    <cfRule type="cellIs" dxfId="26" priority="7" operator="notEqual">
      <formula>"ok"</formula>
    </cfRule>
  </conditionalFormatting>
  <conditionalFormatting sqref="O176">
    <cfRule type="cellIs" dxfId="25" priority="6" operator="notEqual">
      <formula>"ok"</formula>
    </cfRule>
  </conditionalFormatting>
  <conditionalFormatting sqref="O177">
    <cfRule type="cellIs" dxfId="24" priority="5" operator="notEqual">
      <formula>"ok"</formula>
    </cfRule>
  </conditionalFormatting>
  <conditionalFormatting sqref="O178">
    <cfRule type="cellIs" dxfId="23" priority="4" operator="notEqual">
      <formula>"ok"</formula>
    </cfRule>
  </conditionalFormatting>
  <conditionalFormatting sqref="O182">
    <cfRule type="cellIs" dxfId="22" priority="3" operator="notEqual">
      <formula>"ok"</formula>
    </cfRule>
  </conditionalFormatting>
  <conditionalFormatting sqref="O186">
    <cfRule type="cellIs" dxfId="21" priority="2" operator="notEqual">
      <formula>"ok"</formula>
    </cfRule>
  </conditionalFormatting>
  <conditionalFormatting sqref="D3:D5">
    <cfRule type="cellIs" dxfId="20" priority="1" operator="equal">
      <formula>0</formula>
    </cfRule>
  </conditionalFormatting>
  <hyperlinks>
    <hyperlink ref="B1" location="UEBERSICHT!G12" display="UEBERSICHT!G12" xr:uid="{C8D4DE25-43D3-4681-B9EB-008195CC0500}"/>
  </hyperlinks>
  <printOptions headings="1" gridLines="1"/>
  <pageMargins left="0.16" right="0.16" top="0.22" bottom="0.31" header="0.16" footer="0.16"/>
  <pageSetup paperSize="9" scale="61" orientation="landscape"/>
  <headerFooter alignWithMargins="0">
    <oddFooter>&amp;L&amp;D   &amp;T&amp;C&amp;A&amp;R&amp;P / &amp;N</oddFooter>
  </headerFooter>
  <ignoredErrors>
    <ignoredError sqref="A1" numberStoredAsText="1"/>
    <ignoredError sqref="B53 H5:M6 E182:G185 G155:G166 E44:G49 E60:G65 E93:G96 E128:G134 B67 B155 E186:G187" formula="1"/>
    <ignoredError sqref="O181 O156:O159 O144:O149 O135:O137 O90 O92 O94:O100 O139 O141 H151:M151 O183:O185 O179" unlockedFormula="1"/>
    <ignoredError sqref="H85:M85 H45:M47 H152:M153 H182:M182 H8:M9 H119:M121 K118:M118 H124:M128 K123:M123 H71:M74 I70:M70 I117:M117 H108:M111 I106:M106 H103:M103 J102:M102 H113:M116 I112:M112 I83:M84 H82:M82 I81:M81 H107 J107:M107 H76:M80 I75:M75 H187:M187 H16:M17 H19:M20 H18:I18 K18:M18 H27:M29 H33:M33 H49:M50 H53:M53 H61:M63 H68:M69 H100:M101 H105:M105 K104:M104 H130:M133 H135:M136 H139:M139 H137:I137 K137:L137 H143:M144 H146:M149 H163:M164 H154:I154 K154:L154 H166:M167 H173:M174 H178:M178 H186 K186" formula="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BRBV_05">
    <tabColor rgb="FFFFCC00"/>
  </sheetPr>
  <dimension ref="A1:M243"/>
  <sheetViews>
    <sheetView zoomScaleNormal="100" workbookViewId="0">
      <pane xSplit="8" ySplit="3" topLeftCell="I4" activePane="bottomRight" state="frozen"/>
      <selection activeCell="B1" sqref="B1"/>
      <selection pane="topRight" activeCell="I1" sqref="I1"/>
      <selection pane="bottomLeft" activeCell="B4" sqref="B4"/>
      <selection pane="bottomRight" activeCell="I7" sqref="I7"/>
    </sheetView>
  </sheetViews>
  <sheetFormatPr baseColWidth="10" defaultColWidth="9.140625" defaultRowHeight="12.75"/>
  <cols>
    <col min="1" max="1" width="3.42578125" style="159" hidden="1" customWidth="1"/>
    <col min="2" max="2" width="5.28515625" style="186" bestFit="1" customWidth="1"/>
    <col min="3" max="3" width="2.5703125" hidden="1" customWidth="1"/>
    <col min="4" max="6" width="5.5703125" customWidth="1"/>
    <col min="7" max="7" width="14.42578125" customWidth="1"/>
    <col min="8" max="8" width="40.5703125" customWidth="1"/>
    <col min="9" max="11" width="17.28515625" customWidth="1"/>
    <col min="12" max="12" width="3.140625" customWidth="1"/>
    <col min="13" max="13" width="19.85546875" style="799" customWidth="1"/>
  </cols>
  <sheetData>
    <row r="1" spans="1:13" ht="15.75">
      <c r="A1" s="623"/>
      <c r="C1" s="68"/>
      <c r="D1" s="310" t="str">
        <f>VLOOKUP("Ü21a",TEXTDF,SPRCODE+1,FALSE)</f>
        <v>BESTANDESSTATISTIK</v>
      </c>
      <c r="E1" s="68"/>
      <c r="F1" s="68"/>
      <c r="G1" s="68"/>
      <c r="H1" s="68"/>
      <c r="I1" s="68"/>
      <c r="J1" s="171" t="str">
        <f>VLOOKUP("6.d",TEXTDF,SPRCODE+1,FALSE)</f>
        <v>Frankenbeträge in 1000 CHF</v>
      </c>
      <c r="K1" s="68"/>
    </row>
    <row r="2" spans="1:13" ht="13.5" thickBot="1">
      <c r="A2" s="569" t="s">
        <v>3981</v>
      </c>
      <c r="B2" s="572"/>
      <c r="C2" s="570" t="s">
        <v>66</v>
      </c>
      <c r="D2" s="570" t="s">
        <v>469</v>
      </c>
      <c r="E2" s="570" t="s">
        <v>470</v>
      </c>
      <c r="F2" s="570" t="s">
        <v>57</v>
      </c>
      <c r="G2" s="570" t="s">
        <v>58</v>
      </c>
      <c r="H2" s="570" t="s">
        <v>54</v>
      </c>
      <c r="I2" s="571" t="s">
        <v>238</v>
      </c>
      <c r="J2" s="571" t="s">
        <v>239</v>
      </c>
      <c r="K2" s="571" t="s">
        <v>240</v>
      </c>
      <c r="L2" s="52"/>
    </row>
    <row r="3" spans="1:13" ht="16.5" thickBot="1">
      <c r="A3" s="569"/>
      <c r="B3" s="572"/>
      <c r="C3" s="570"/>
      <c r="D3" s="570"/>
      <c r="E3" s="570"/>
      <c r="F3" s="570"/>
      <c r="G3" s="570"/>
      <c r="H3" s="570"/>
      <c r="I3" s="600">
        <f>+jahr</f>
        <v>2023</v>
      </c>
      <c r="J3" s="601">
        <f>+I3-1</f>
        <v>2022</v>
      </c>
      <c r="K3" s="602">
        <f>+J3-1</f>
        <v>2021</v>
      </c>
      <c r="L3" s="52"/>
      <c r="M3" s="304" t="s">
        <v>3955</v>
      </c>
    </row>
    <row r="4" spans="1:13" s="165" customFormat="1" ht="15.75">
      <c r="A4" s="595"/>
      <c r="B4" s="592">
        <v>820</v>
      </c>
      <c r="C4" s="576"/>
      <c r="D4" s="626" t="str">
        <f>VLOOKUP($B4&amp;D$2,TEXTDF,SPRCODE+1,FALSE)</f>
        <v>Verträge in der beruflichen Vorsorge</v>
      </c>
      <c r="E4" s="577"/>
      <c r="F4" s="577"/>
      <c r="G4" s="577"/>
      <c r="H4" s="578"/>
      <c r="I4" s="600"/>
      <c r="J4" s="601"/>
      <c r="K4" s="602"/>
      <c r="L4" s="165" t="s">
        <v>3926</v>
      </c>
      <c r="M4" s="800"/>
    </row>
    <row r="5" spans="1:13" s="75" customFormat="1" ht="15">
      <c r="A5" s="596"/>
      <c r="B5" s="593">
        <v>821</v>
      </c>
      <c r="C5" s="579"/>
      <c r="D5" s="579" t="str">
        <f>VLOOKUP($B5&amp;D$2,TEXTDF,SPRCODE+1,FALSE)</f>
        <v>Anzahl Verträge</v>
      </c>
      <c r="E5" s="52"/>
      <c r="F5" s="52"/>
      <c r="G5" s="52"/>
      <c r="H5" s="581"/>
      <c r="I5" s="418">
        <f>+SUBTOTAL(9,I6:I12)</f>
        <v>0</v>
      </c>
      <c r="J5" s="307">
        <f>+SUBTOTAL(9,J6:J12)</f>
        <v>0</v>
      </c>
      <c r="K5" s="419">
        <f>+SUBTOTAL(9,K6:K12)</f>
        <v>0</v>
      </c>
      <c r="L5" s="165"/>
      <c r="M5" s="799"/>
    </row>
    <row r="6" spans="1:13" ht="15">
      <c r="A6" s="597"/>
      <c r="B6" s="593">
        <v>822</v>
      </c>
      <c r="C6" s="582"/>
      <c r="D6" s="582"/>
      <c r="E6" s="52" t="str">
        <f>VLOOKUP($B6&amp;E$2,TEXTDF,SPRCODE+1,FALSE)</f>
        <v>Berufliche Vorsorge ohne Freizügigkeitspolicen</v>
      </c>
      <c r="F6" s="68"/>
      <c r="G6" s="68"/>
      <c r="H6" s="583"/>
      <c r="I6" s="603">
        <f>+SUBTOTAL(9,I7:I11)</f>
        <v>0</v>
      </c>
      <c r="J6" s="604">
        <f>+SUBTOTAL(9,J7:J11)</f>
        <v>0</v>
      </c>
      <c r="K6" s="605">
        <f>+SUBTOTAL(9,K7:K11)</f>
        <v>0</v>
      </c>
      <c r="L6" s="165"/>
    </row>
    <row r="7" spans="1:13" ht="15">
      <c r="A7" s="596" t="s">
        <v>3791</v>
      </c>
      <c r="B7" s="593">
        <v>823</v>
      </c>
      <c r="C7" s="582"/>
      <c r="D7" s="582"/>
      <c r="E7" s="68"/>
      <c r="F7" s="52" t="str">
        <f>VLOOKUP($B7&amp;F$2,TEXTDF,SPRCODE+1,FALSE)</f>
        <v>Der Mindestquote vollständig unterstellte Verträge ohne FZP</v>
      </c>
      <c r="G7" s="68"/>
      <c r="H7" s="583"/>
      <c r="I7" s="788">
        <v>0</v>
      </c>
      <c r="J7" s="789">
        <v>0</v>
      </c>
      <c r="K7" s="790">
        <v>0</v>
      </c>
      <c r="L7" s="165"/>
    </row>
    <row r="8" spans="1:13" ht="15">
      <c r="A8" s="597"/>
      <c r="B8" s="593">
        <v>824</v>
      </c>
      <c r="C8" s="582"/>
      <c r="D8" s="582"/>
      <c r="E8" s="68"/>
      <c r="F8" s="52" t="str">
        <f>VLOOKUP($B8&amp;F$2,TEXTDF,SPRCODE+1,FALSE)</f>
        <v>Besondere Verträge (Art. 146 AVO)</v>
      </c>
      <c r="G8" s="68"/>
      <c r="H8" s="583"/>
      <c r="I8" s="603">
        <f>+SUBTOTAL(9,I9:I11)</f>
        <v>0</v>
      </c>
      <c r="J8" s="604">
        <f>+SUBTOTAL(9,J9:J11)</f>
        <v>0</v>
      </c>
      <c r="K8" s="605">
        <f>+SUBTOTAL(9,K9:K11)</f>
        <v>0</v>
      </c>
      <c r="L8" s="165"/>
    </row>
    <row r="9" spans="1:13" ht="15">
      <c r="A9" s="596" t="s">
        <v>3806</v>
      </c>
      <c r="B9" s="593">
        <v>825</v>
      </c>
      <c r="C9" s="582"/>
      <c r="D9" s="582"/>
      <c r="E9" s="68"/>
      <c r="F9" s="68"/>
      <c r="G9" s="52" t="str">
        <f>VLOOKUP($B9&amp;G$2,TEXTDF,SPRCODE+1,FALSE)</f>
        <v>mit Einnahmen-Ausgabenrechnungen (Abs. 1)</v>
      </c>
      <c r="H9" s="581"/>
      <c r="I9" s="788">
        <v>0</v>
      </c>
      <c r="J9" s="789">
        <v>0</v>
      </c>
      <c r="K9" s="790">
        <v>0</v>
      </c>
      <c r="L9" s="165"/>
    </row>
    <row r="10" spans="1:13" ht="15">
      <c r="A10" s="596" t="s">
        <v>3793</v>
      </c>
      <c r="B10" s="593">
        <v>826</v>
      </c>
      <c r="C10" s="582"/>
      <c r="D10" s="582"/>
      <c r="E10" s="68"/>
      <c r="F10" s="68"/>
      <c r="G10" s="52" t="str">
        <f>VLOOKUP($B10&amp;G$2,TEXTDF,SPRCODE+1,FALSE)</f>
        <v>mit Separate Account (Abs. 2)</v>
      </c>
      <c r="H10" s="581"/>
      <c r="I10" s="788">
        <v>0</v>
      </c>
      <c r="J10" s="789">
        <v>0</v>
      </c>
      <c r="K10" s="790">
        <v>0</v>
      </c>
      <c r="L10" s="165"/>
    </row>
    <row r="11" spans="1:13" ht="15">
      <c r="A11" s="596" t="s">
        <v>3792</v>
      </c>
      <c r="B11" s="593">
        <v>827</v>
      </c>
      <c r="C11" s="582"/>
      <c r="D11" s="582"/>
      <c r="E11" s="52"/>
      <c r="F11" s="68"/>
      <c r="G11" s="52" t="str">
        <f>VLOOKUP($B11&amp;G$2,TEXTDF,SPRCODE+1,FALSE)</f>
        <v>mit Stop Loss (Abs. 3)</v>
      </c>
      <c r="H11" s="581"/>
      <c r="I11" s="788">
        <v>0</v>
      </c>
      <c r="J11" s="789">
        <v>0</v>
      </c>
      <c r="K11" s="790">
        <v>0</v>
      </c>
      <c r="L11" s="165"/>
    </row>
    <row r="12" spans="1:13" ht="15">
      <c r="A12" s="596" t="s">
        <v>3797</v>
      </c>
      <c r="B12" s="593">
        <v>828</v>
      </c>
      <c r="C12" s="582"/>
      <c r="D12" s="627"/>
      <c r="E12" s="624" t="str">
        <f>VLOOKUP($B12&amp;E$2,TEXTDF,SPRCODE+1,FALSE)</f>
        <v>Freizügigkeitspolicen</v>
      </c>
      <c r="F12" s="160"/>
      <c r="G12" s="160"/>
      <c r="H12" s="625"/>
      <c r="I12" s="828">
        <v>0</v>
      </c>
      <c r="J12" s="829">
        <v>0</v>
      </c>
      <c r="K12" s="830">
        <v>0</v>
      </c>
      <c r="L12" s="165"/>
    </row>
    <row r="13" spans="1:13" ht="6.95" customHeight="1">
      <c r="A13" s="597"/>
      <c r="B13" s="593">
        <v>829</v>
      </c>
      <c r="C13" s="582"/>
      <c r="D13" s="582"/>
      <c r="E13" s="68"/>
      <c r="F13" s="68"/>
      <c r="G13" s="68"/>
      <c r="H13" s="583"/>
      <c r="I13" s="606"/>
      <c r="J13" s="607"/>
      <c r="K13" s="608"/>
      <c r="L13" s="165"/>
    </row>
    <row r="14" spans="1:13" ht="15">
      <c r="A14" s="597"/>
      <c r="B14" s="593">
        <v>830</v>
      </c>
      <c r="C14" s="579"/>
      <c r="D14" s="579" t="str">
        <f>VLOOKUP($B14&amp;D$2,TEXTDF,SPRCODE+1,FALSE)</f>
        <v>Anzahl Versicherte</v>
      </c>
      <c r="E14" s="68"/>
      <c r="F14" s="68"/>
      <c r="G14" s="68"/>
      <c r="H14" s="583"/>
      <c r="I14" s="418">
        <f>+SUBTOTAL(9,I15:I21)</f>
        <v>0</v>
      </c>
      <c r="J14" s="307">
        <f>+SUBTOTAL(9,J15:J21)</f>
        <v>0</v>
      </c>
      <c r="K14" s="419">
        <f>+SUBTOTAL(9,K15:K21)</f>
        <v>0</v>
      </c>
      <c r="L14" s="165"/>
      <c r="M14" s="242" t="str">
        <f>+IF(ABS(I15-I20-I36-I50-I61-I76)&gt;1,IF(SPRCODE=1,"Abweichung um "&amp;TEXT(ABS(I15-I20-I36-I50-I61-I76),"#’##0")&amp;" Versicherte. Bitte Anzahl Versicherte mit den Pos. 852, 866, 877 und 892 abstimmen","Deviation d'assurées de "&amp;TEXT(ABS(I15-I20-I36-I50-I61-I76),"#’##0")&amp;". Harmonisez le nombre des assurées avec les Pos. 852, 866, 877 et 892, svp"),"ok")</f>
        <v>ok</v>
      </c>
    </row>
    <row r="15" spans="1:13" ht="15">
      <c r="A15" s="597"/>
      <c r="B15" s="593">
        <v>831</v>
      </c>
      <c r="C15" s="582"/>
      <c r="D15" s="582"/>
      <c r="E15" s="52" t="str">
        <f>+E6</f>
        <v>Berufliche Vorsorge ohne Freizügigkeitspolicen</v>
      </c>
      <c r="F15" s="68"/>
      <c r="G15" s="68"/>
      <c r="H15" s="583"/>
      <c r="I15" s="603">
        <f>+SUBTOTAL(9,I16:I20)</f>
        <v>0</v>
      </c>
      <c r="J15" s="604">
        <f>+SUBTOTAL(9,J16:J20)</f>
        <v>0</v>
      </c>
      <c r="K15" s="605">
        <f>+SUBTOTAL(9,K16:K20)</f>
        <v>0</v>
      </c>
      <c r="L15" s="165"/>
    </row>
    <row r="16" spans="1:13" ht="15">
      <c r="A16" s="596" t="s">
        <v>3794</v>
      </c>
      <c r="B16" s="593">
        <v>832</v>
      </c>
      <c r="C16" s="582"/>
      <c r="D16" s="582"/>
      <c r="E16" s="68"/>
      <c r="F16" s="52" t="str">
        <f>+F7</f>
        <v>Der Mindestquote vollständig unterstellte Verträge ohne FZP</v>
      </c>
      <c r="G16" s="68"/>
      <c r="H16" s="583"/>
      <c r="I16" s="788">
        <v>0</v>
      </c>
      <c r="J16" s="789">
        <v>0</v>
      </c>
      <c r="K16" s="790">
        <v>0</v>
      </c>
      <c r="L16" s="165"/>
      <c r="M16" s="242"/>
    </row>
    <row r="17" spans="1:13" ht="15">
      <c r="A17" s="597"/>
      <c r="B17" s="593">
        <v>833</v>
      </c>
      <c r="C17" s="582"/>
      <c r="D17" s="582"/>
      <c r="E17" s="68"/>
      <c r="F17" s="52" t="str">
        <f>+F8</f>
        <v>Besondere Verträge (Art. 146 AVO)</v>
      </c>
      <c r="G17" s="68"/>
      <c r="H17" s="583"/>
      <c r="I17" s="603">
        <f>+SUBTOTAL(9,I18:I20)</f>
        <v>0</v>
      </c>
      <c r="J17" s="604">
        <f>+SUBTOTAL(9,J18:J20)</f>
        <v>0</v>
      </c>
      <c r="K17" s="605">
        <f>+SUBTOTAL(9,K18:K20)</f>
        <v>0</v>
      </c>
      <c r="L17" s="165"/>
    </row>
    <row r="18" spans="1:13" ht="15">
      <c r="A18" s="596" t="s">
        <v>3806</v>
      </c>
      <c r="B18" s="593">
        <v>834</v>
      </c>
      <c r="C18" s="582"/>
      <c r="D18" s="582"/>
      <c r="E18" s="68"/>
      <c r="F18" s="68"/>
      <c r="G18" s="52" t="str">
        <f>+G9</f>
        <v>mit Einnahmen-Ausgabenrechnungen (Abs. 1)</v>
      </c>
      <c r="H18" s="581"/>
      <c r="I18" s="788">
        <v>0</v>
      </c>
      <c r="J18" s="789">
        <v>0</v>
      </c>
      <c r="K18" s="790">
        <v>0</v>
      </c>
      <c r="L18" s="165"/>
    </row>
    <row r="19" spans="1:13" ht="15">
      <c r="A19" s="596" t="s">
        <v>3796</v>
      </c>
      <c r="B19" s="593">
        <v>835</v>
      </c>
      <c r="C19" s="582"/>
      <c r="D19" s="582"/>
      <c r="E19" s="68"/>
      <c r="F19" s="68"/>
      <c r="G19" s="52" t="str">
        <f>+G10</f>
        <v>mit Separate Account (Abs. 2)</v>
      </c>
      <c r="H19" s="581"/>
      <c r="I19" s="788">
        <v>0</v>
      </c>
      <c r="J19" s="789">
        <v>0</v>
      </c>
      <c r="K19" s="790">
        <v>0</v>
      </c>
      <c r="L19" s="165"/>
    </row>
    <row r="20" spans="1:13" ht="15">
      <c r="A20" s="596" t="s">
        <v>3795</v>
      </c>
      <c r="B20" s="593">
        <v>836</v>
      </c>
      <c r="C20" s="582"/>
      <c r="D20" s="582"/>
      <c r="E20" s="52"/>
      <c r="F20" s="68"/>
      <c r="G20" s="52" t="str">
        <f>+G11</f>
        <v>mit Stop Loss (Abs. 3)</v>
      </c>
      <c r="H20" s="581"/>
      <c r="I20" s="788">
        <v>0</v>
      </c>
      <c r="J20" s="789">
        <v>0</v>
      </c>
      <c r="K20" s="790">
        <v>0</v>
      </c>
      <c r="L20" s="165"/>
    </row>
    <row r="21" spans="1:13" ht="15">
      <c r="A21" s="596" t="s">
        <v>3798</v>
      </c>
      <c r="B21" s="593">
        <v>837</v>
      </c>
      <c r="C21" s="582"/>
      <c r="D21" s="627"/>
      <c r="E21" s="624" t="str">
        <f>+E12</f>
        <v>Freizügigkeitspolicen</v>
      </c>
      <c r="F21" s="160"/>
      <c r="G21" s="160"/>
      <c r="H21" s="625"/>
      <c r="I21" s="828">
        <v>0</v>
      </c>
      <c r="J21" s="829">
        <v>0</v>
      </c>
      <c r="K21" s="830">
        <v>0</v>
      </c>
      <c r="L21" s="165"/>
    </row>
    <row r="22" spans="1:13" ht="8.1" customHeight="1">
      <c r="A22" s="597"/>
      <c r="B22" s="593">
        <v>838</v>
      </c>
      <c r="C22" s="582"/>
      <c r="D22" s="582"/>
      <c r="E22" s="68"/>
      <c r="F22" s="68"/>
      <c r="G22" s="68"/>
      <c r="H22" s="583"/>
      <c r="I22" s="606"/>
      <c r="J22" s="607"/>
      <c r="K22" s="608"/>
      <c r="L22" s="165"/>
    </row>
    <row r="23" spans="1:13" ht="15">
      <c r="A23" s="597"/>
      <c r="B23" s="593">
        <v>839</v>
      </c>
      <c r="C23" s="584"/>
      <c r="D23" s="579" t="str">
        <f>+E39</f>
        <v>Bilanzrückstellungen (Inventarrückstellung und Verstärkung, in 1'000 CHF)</v>
      </c>
      <c r="E23" s="68"/>
      <c r="F23" s="68"/>
      <c r="G23" s="68"/>
      <c r="H23" s="583"/>
      <c r="I23" s="418">
        <f>+SUBTOTAL(9,I24:I30)</f>
        <v>0</v>
      </c>
      <c r="J23" s="307">
        <f>+SUBTOTAL(9,J24:J30)</f>
        <v>0</v>
      </c>
      <c r="K23" s="419">
        <f>+SUBTOTAL(9,K24:K30)</f>
        <v>0</v>
      </c>
      <c r="L23" s="165"/>
      <c r="M23" s="242" t="str">
        <f>+IF(ABS(I24-I29-I39-I53-I64-I78)&gt;1,IF(SPRCODE=1,"Abweichung um "&amp;TEXT(ABS(I24-I29-I39-I53-I64-I78),"#’##0")&amp;". Bitte Betrag mit den Pos. 855, 869, 880 und 894 abstimmen","Deviation de "&amp;TEXT(ABS(I24-I29-I39-I53-I64-I78),"#’##0")&amp;". Harmonisez le nombre avec les Pos. 855, 869, 880 et 894, svp"),"ok")</f>
        <v>ok</v>
      </c>
    </row>
    <row r="24" spans="1:13" ht="15">
      <c r="A24" s="597"/>
      <c r="B24" s="593">
        <v>840</v>
      </c>
      <c r="C24" s="582"/>
      <c r="D24" s="582"/>
      <c r="E24" s="52" t="str">
        <f>+E6</f>
        <v>Berufliche Vorsorge ohne Freizügigkeitspolicen</v>
      </c>
      <c r="F24" s="68"/>
      <c r="G24" s="68"/>
      <c r="H24" s="583"/>
      <c r="I24" s="603">
        <f>+SUBTOTAL(9,I25:I29)</f>
        <v>0</v>
      </c>
      <c r="J24" s="604">
        <f>+SUBTOTAL(9,J25:J29)</f>
        <v>0</v>
      </c>
      <c r="K24" s="605">
        <f>+SUBTOTAL(9,K25:K29)</f>
        <v>0</v>
      </c>
      <c r="L24" s="165"/>
      <c r="M24" s="242"/>
    </row>
    <row r="25" spans="1:13" ht="15">
      <c r="A25" s="596" t="s">
        <v>3799</v>
      </c>
      <c r="B25" s="593">
        <v>841</v>
      </c>
      <c r="C25" s="582"/>
      <c r="D25" s="582"/>
      <c r="E25" s="68"/>
      <c r="F25" s="52" t="str">
        <f>+F7</f>
        <v>Der Mindestquote vollständig unterstellte Verträge ohne FZP</v>
      </c>
      <c r="G25" s="68"/>
      <c r="H25" s="583"/>
      <c r="I25" s="788">
        <v>0</v>
      </c>
      <c r="J25" s="789">
        <v>0</v>
      </c>
      <c r="K25" s="790">
        <v>0</v>
      </c>
      <c r="L25" s="165"/>
    </row>
    <row r="26" spans="1:13" ht="15">
      <c r="A26" s="597"/>
      <c r="B26" s="593">
        <v>842</v>
      </c>
      <c r="C26" s="582"/>
      <c r="D26" s="582"/>
      <c r="E26" s="68"/>
      <c r="F26" s="52" t="str">
        <f>+F8</f>
        <v>Besondere Verträge (Art. 146 AVO)</v>
      </c>
      <c r="G26" s="68"/>
      <c r="H26" s="583"/>
      <c r="I26" s="603">
        <f>+SUBTOTAL(9,I27:I29)</f>
        <v>0</v>
      </c>
      <c r="J26" s="604">
        <f>+SUBTOTAL(9,J27:J29)</f>
        <v>0</v>
      </c>
      <c r="K26" s="605">
        <f>+SUBTOTAL(9,K27:K29)</f>
        <v>0</v>
      </c>
      <c r="L26" s="165"/>
    </row>
    <row r="27" spans="1:13" ht="15">
      <c r="A27" s="596" t="s">
        <v>3806</v>
      </c>
      <c r="B27" s="593">
        <v>843</v>
      </c>
      <c r="C27" s="582"/>
      <c r="D27" s="582"/>
      <c r="E27" s="68"/>
      <c r="F27" s="68"/>
      <c r="G27" s="52" t="str">
        <f>+G9</f>
        <v>mit Einnahmen-Ausgabenrechnungen (Abs. 1)</v>
      </c>
      <c r="H27" s="581"/>
      <c r="I27" s="788">
        <v>0</v>
      </c>
      <c r="J27" s="789">
        <v>0</v>
      </c>
      <c r="K27" s="790">
        <v>0</v>
      </c>
      <c r="L27" s="165"/>
    </row>
    <row r="28" spans="1:13" ht="15">
      <c r="A28" s="596" t="s">
        <v>3800</v>
      </c>
      <c r="B28" s="593">
        <v>844</v>
      </c>
      <c r="C28" s="582"/>
      <c r="D28" s="582"/>
      <c r="E28" s="68"/>
      <c r="F28" s="68"/>
      <c r="G28" s="52" t="str">
        <f>+G10</f>
        <v>mit Separate Account (Abs. 2)</v>
      </c>
      <c r="H28" s="581"/>
      <c r="I28" s="788">
        <v>0</v>
      </c>
      <c r="J28" s="789">
        <v>0</v>
      </c>
      <c r="K28" s="790">
        <v>0</v>
      </c>
      <c r="L28" s="165"/>
    </row>
    <row r="29" spans="1:13" ht="15">
      <c r="A29" s="596" t="s">
        <v>3801</v>
      </c>
      <c r="B29" s="593">
        <v>845</v>
      </c>
      <c r="C29" s="582"/>
      <c r="D29" s="582"/>
      <c r="E29" s="52"/>
      <c r="F29" s="68"/>
      <c r="G29" s="52" t="str">
        <f>+G11</f>
        <v>mit Stop Loss (Abs. 3)</v>
      </c>
      <c r="H29" s="581"/>
      <c r="I29" s="788">
        <v>0</v>
      </c>
      <c r="J29" s="789">
        <v>0</v>
      </c>
      <c r="K29" s="790">
        <v>0</v>
      </c>
      <c r="L29" s="165"/>
    </row>
    <row r="30" spans="1:13" ht="15.75" thickBot="1">
      <c r="A30" s="596" t="s">
        <v>3802</v>
      </c>
      <c r="B30" s="593">
        <v>846</v>
      </c>
      <c r="C30" s="582"/>
      <c r="D30" s="589"/>
      <c r="E30" s="628" t="str">
        <f>+E12</f>
        <v>Freizügigkeitspolicen</v>
      </c>
      <c r="F30" s="590"/>
      <c r="G30" s="590"/>
      <c r="H30" s="591"/>
      <c r="I30" s="828">
        <v>0</v>
      </c>
      <c r="J30" s="829">
        <v>0</v>
      </c>
      <c r="K30" s="830">
        <v>0</v>
      </c>
      <c r="L30" s="165"/>
    </row>
    <row r="31" spans="1:13" ht="9.9499999999999993" customHeight="1">
      <c r="A31" s="597"/>
      <c r="B31" s="593">
        <v>847</v>
      </c>
      <c r="C31" s="582"/>
      <c r="D31" s="629"/>
      <c r="E31" s="630"/>
      <c r="F31" s="630"/>
      <c r="G31" s="630"/>
      <c r="H31" s="631"/>
      <c r="I31" s="632"/>
      <c r="J31" s="633"/>
      <c r="K31" s="634"/>
      <c r="L31" s="165"/>
    </row>
    <row r="32" spans="1:13" s="165" customFormat="1" ht="15.75">
      <c r="A32" s="598"/>
      <c r="B32" s="593">
        <v>848</v>
      </c>
      <c r="C32" s="585"/>
      <c r="D32" s="635" t="str">
        <f>VLOOKUP($B32&amp;D$2,TEXTDF,SPRCODE+1,FALSE)</f>
        <v>Angaben nach Vertragsart (ohne Stop Loss und ohne FZP)</v>
      </c>
      <c r="E32" s="164"/>
      <c r="F32" s="164"/>
      <c r="G32" s="164"/>
      <c r="H32" s="586"/>
      <c r="I32" s="612"/>
      <c r="J32" s="613"/>
      <c r="K32" s="614"/>
      <c r="M32" s="800"/>
    </row>
    <row r="33" spans="1:12" ht="15">
      <c r="A33" s="597"/>
      <c r="B33" s="593">
        <v>849</v>
      </c>
      <c r="C33" s="579"/>
      <c r="D33" s="579" t="str">
        <f>VLOOKUP($B33&amp;D$2,TEXTDF,SPRCODE+1,FALSE)</f>
        <v>Vollversicherungsverträge</v>
      </c>
      <c r="E33" s="68"/>
      <c r="F33" s="68"/>
      <c r="G33" s="68"/>
      <c r="H33" s="583"/>
      <c r="I33" s="612"/>
      <c r="J33" s="613"/>
      <c r="K33" s="614"/>
      <c r="L33" s="165"/>
    </row>
    <row r="34" spans="1:12" ht="15">
      <c r="A34" s="596" t="s">
        <v>3803</v>
      </c>
      <c r="B34" s="593">
        <v>850</v>
      </c>
      <c r="C34" s="582"/>
      <c r="D34" s="582"/>
      <c r="E34" s="52" t="str">
        <f>VLOOKUP($B34&amp;E$2,TEXTDF,SPRCODE+1,FALSE)</f>
        <v>Anzahl Kollektivverträge</v>
      </c>
      <c r="F34" s="68"/>
      <c r="G34" s="68"/>
      <c r="H34" s="583"/>
      <c r="I34" s="788">
        <v>0</v>
      </c>
      <c r="J34" s="789">
        <v>0</v>
      </c>
      <c r="K34" s="790">
        <v>0</v>
      </c>
      <c r="L34" s="165"/>
    </row>
    <row r="35" spans="1:12" ht="15">
      <c r="A35" s="596" t="s">
        <v>3804</v>
      </c>
      <c r="B35" s="593">
        <v>851</v>
      </c>
      <c r="C35" s="582"/>
      <c r="D35" s="582"/>
      <c r="E35" s="52" t="str">
        <f>VLOOKUP($B35&amp;E$2,TEXTDF,SPRCODE+1,FALSE)</f>
        <v>Anzahl Anschlussverträge</v>
      </c>
      <c r="F35" s="68"/>
      <c r="G35" s="68"/>
      <c r="H35" s="583"/>
      <c r="I35" s="788">
        <v>0</v>
      </c>
      <c r="J35" s="789">
        <v>0</v>
      </c>
      <c r="K35" s="790">
        <v>0</v>
      </c>
      <c r="L35" s="165"/>
    </row>
    <row r="36" spans="1:12" ht="15">
      <c r="A36" s="596"/>
      <c r="B36" s="593">
        <v>852</v>
      </c>
      <c r="C36" s="582"/>
      <c r="D36" s="582"/>
      <c r="E36" s="52" t="str">
        <f>+D14</f>
        <v>Anzahl Versicherte</v>
      </c>
      <c r="F36" s="68"/>
      <c r="G36" s="68"/>
      <c r="H36" s="583"/>
      <c r="I36" s="603">
        <f>+SUBTOTAL(9,I37:I38)</f>
        <v>0</v>
      </c>
      <c r="J36" s="604">
        <f>+SUBTOTAL(9,J37:J38)</f>
        <v>0</v>
      </c>
      <c r="K36" s="605">
        <f>+SUBTOTAL(9,K37:K38)</f>
        <v>0</v>
      </c>
      <c r="L36" s="165"/>
    </row>
    <row r="37" spans="1:12" ht="15">
      <c r="A37" s="596" t="s">
        <v>3805</v>
      </c>
      <c r="B37" s="593">
        <v>853</v>
      </c>
      <c r="C37" s="582"/>
      <c r="D37" s="582"/>
      <c r="E37" s="68"/>
      <c r="F37" s="52" t="str">
        <f>VLOOKUP($B37&amp;F$2,TEXTDF,SPRCODE+1,FALSE)</f>
        <v>davon aktive Versicherte</v>
      </c>
      <c r="G37" s="68"/>
      <c r="H37" s="583"/>
      <c r="I37" s="788">
        <v>0</v>
      </c>
      <c r="J37" s="789">
        <v>0</v>
      </c>
      <c r="K37" s="790">
        <v>0</v>
      </c>
      <c r="L37" s="165"/>
    </row>
    <row r="38" spans="1:12" ht="15">
      <c r="A38" s="596" t="s">
        <v>3883</v>
      </c>
      <c r="B38" s="593">
        <v>854</v>
      </c>
      <c r="C38" s="582"/>
      <c r="D38" s="582"/>
      <c r="E38" s="68"/>
      <c r="F38" s="52" t="str">
        <f>VLOOKUP($B38&amp;F$2,TEXTDF,SPRCODE+1,FALSE)</f>
        <v>davon Rentenbezüger</v>
      </c>
      <c r="G38" s="68"/>
      <c r="H38" s="583"/>
      <c r="I38" s="788">
        <v>0</v>
      </c>
      <c r="J38" s="789">
        <v>0</v>
      </c>
      <c r="K38" s="790">
        <v>0</v>
      </c>
      <c r="L38" s="165"/>
    </row>
    <row r="39" spans="1:12" ht="15">
      <c r="A39" s="596" t="s">
        <v>3806</v>
      </c>
      <c r="B39" s="593">
        <v>855</v>
      </c>
      <c r="C39" s="582"/>
      <c r="D39" s="582"/>
      <c r="E39" s="52" t="str">
        <f t="shared" ref="E39:E44" si="0">VLOOKUP($B39&amp;E$2,TEXTDF,SPRCODE+1,FALSE)</f>
        <v>Bilanzrückstellungen (Inventarrückstellung und Verstärkung, in 1'000 CHF)</v>
      </c>
      <c r="F39" s="68"/>
      <c r="G39" s="68"/>
      <c r="H39" s="583"/>
      <c r="I39" s="788">
        <v>0</v>
      </c>
      <c r="J39" s="789">
        <v>0</v>
      </c>
      <c r="K39" s="790">
        <v>0</v>
      </c>
      <c r="L39" s="165"/>
    </row>
    <row r="40" spans="1:12" ht="15">
      <c r="A40" s="596" t="s">
        <v>3807</v>
      </c>
      <c r="B40" s="593">
        <v>856</v>
      </c>
      <c r="C40" s="582"/>
      <c r="D40" s="582"/>
      <c r="E40" s="52" t="str">
        <f t="shared" si="0"/>
        <v>Rückkaufswert (in 1'000 CHF)</v>
      </c>
      <c r="F40" s="68"/>
      <c r="G40" s="68"/>
      <c r="H40" s="583"/>
      <c r="I40" s="788">
        <v>0</v>
      </c>
      <c r="J40" s="789">
        <v>0</v>
      </c>
      <c r="K40" s="790">
        <v>0</v>
      </c>
      <c r="L40" s="165"/>
    </row>
    <row r="41" spans="1:12" ht="15">
      <c r="A41" s="596" t="s">
        <v>3808</v>
      </c>
      <c r="B41" s="593">
        <v>857</v>
      </c>
      <c r="C41" s="582"/>
      <c r="D41" s="582"/>
      <c r="E41" s="52" t="str">
        <f t="shared" si="0"/>
        <v>Gebuchte Brutto-Einmalprämien (in 1'000 CHF)</v>
      </c>
      <c r="F41" s="68"/>
      <c r="G41" s="68"/>
      <c r="H41" s="583"/>
      <c r="I41" s="788">
        <v>0</v>
      </c>
      <c r="J41" s="789">
        <v>0</v>
      </c>
      <c r="K41" s="790">
        <v>0</v>
      </c>
      <c r="L41" s="165"/>
    </row>
    <row r="42" spans="1:12" ht="15">
      <c r="A42" s="596" t="s">
        <v>3809</v>
      </c>
      <c r="B42" s="593">
        <v>858</v>
      </c>
      <c r="C42" s="582"/>
      <c r="D42" s="582"/>
      <c r="E42" s="68" t="str">
        <f t="shared" si="0"/>
        <v>Gebuchte Brutto-Sparprämien (in 1'000 CHF)</v>
      </c>
      <c r="F42" s="68"/>
      <c r="G42" s="68"/>
      <c r="H42" s="583"/>
      <c r="I42" s="788">
        <v>0</v>
      </c>
      <c r="J42" s="789">
        <v>0</v>
      </c>
      <c r="K42" s="790">
        <v>0</v>
      </c>
      <c r="L42" s="165"/>
    </row>
    <row r="43" spans="1:12" ht="15">
      <c r="A43" s="596" t="s">
        <v>3810</v>
      </c>
      <c r="B43" s="593">
        <v>859</v>
      </c>
      <c r="C43" s="582"/>
      <c r="D43" s="582"/>
      <c r="E43" s="52" t="str">
        <f t="shared" si="0"/>
        <v>Gebuchte Risiko- und Kostenprämien (in 1'000 CHF)</v>
      </c>
      <c r="F43" s="68"/>
      <c r="G43" s="68"/>
      <c r="H43" s="583"/>
      <c r="I43" s="788">
        <v>0</v>
      </c>
      <c r="J43" s="789">
        <v>0</v>
      </c>
      <c r="K43" s="790">
        <v>0</v>
      </c>
      <c r="L43" s="165"/>
    </row>
    <row r="44" spans="1:12" ht="15">
      <c r="A44" s="596" t="s">
        <v>3806</v>
      </c>
      <c r="B44" s="593">
        <v>860</v>
      </c>
      <c r="C44" s="582"/>
      <c r="D44" s="627"/>
      <c r="E44" s="624" t="str">
        <f t="shared" si="0"/>
        <v>Überschussbeteiligung (in 1'000 CHF)</v>
      </c>
      <c r="F44" s="160"/>
      <c r="G44" s="160"/>
      <c r="H44" s="625"/>
      <c r="I44" s="828">
        <v>0</v>
      </c>
      <c r="J44" s="829">
        <v>0</v>
      </c>
      <c r="K44" s="830">
        <v>0</v>
      </c>
      <c r="L44" s="165"/>
    </row>
    <row r="45" spans="1:12" ht="7.5" customHeight="1">
      <c r="A45" s="597"/>
      <c r="B45" s="593">
        <v>861</v>
      </c>
      <c r="C45" s="582"/>
      <c r="D45" s="582"/>
      <c r="E45" s="68"/>
      <c r="F45" s="68"/>
      <c r="G45" s="68"/>
      <c r="H45" s="583"/>
      <c r="I45" s="606"/>
      <c r="J45" s="607"/>
      <c r="K45" s="608"/>
      <c r="L45" s="165"/>
    </row>
    <row r="46" spans="1:12" ht="15">
      <c r="A46" s="597"/>
      <c r="B46" s="593">
        <v>862</v>
      </c>
      <c r="C46" s="579"/>
      <c r="D46" s="579" t="str">
        <f>VLOOKUP($B46&amp;D$2,TEXTDF,SPRCODE+1,FALSE)</f>
        <v>Risikoverträge</v>
      </c>
      <c r="E46" s="68"/>
      <c r="F46" s="68"/>
      <c r="G46" s="68"/>
      <c r="H46" s="583"/>
      <c r="I46" s="612"/>
      <c r="J46" s="613"/>
      <c r="K46" s="614"/>
      <c r="L46" s="165"/>
    </row>
    <row r="47" spans="1:12" ht="15">
      <c r="A47" s="596"/>
      <c r="B47" s="593">
        <v>863</v>
      </c>
      <c r="C47" s="579"/>
      <c r="D47" s="579"/>
      <c r="E47" s="52" t="str">
        <f>VLOOKUP($B47&amp;E$2,TEXTDF,SPRCODE+1,FALSE)</f>
        <v>ohne pauschalierte Prämie</v>
      </c>
      <c r="F47" s="68"/>
      <c r="G47" s="68"/>
      <c r="H47" s="583"/>
      <c r="I47" s="612"/>
      <c r="J47" s="613"/>
      <c r="K47" s="614"/>
      <c r="L47" s="165"/>
    </row>
    <row r="48" spans="1:12" ht="15">
      <c r="A48" s="596" t="s">
        <v>3866</v>
      </c>
      <c r="B48" s="593">
        <v>864</v>
      </c>
      <c r="C48" s="579"/>
      <c r="D48" s="579"/>
      <c r="E48" s="52"/>
      <c r="F48" s="52" t="str">
        <f>+E34</f>
        <v>Anzahl Kollektivverträge</v>
      </c>
      <c r="G48" s="52"/>
      <c r="H48" s="583"/>
      <c r="I48" s="788">
        <v>0</v>
      </c>
      <c r="J48" s="789">
        <v>0</v>
      </c>
      <c r="K48" s="790">
        <v>0</v>
      </c>
      <c r="L48" s="165"/>
    </row>
    <row r="49" spans="1:12" ht="15">
      <c r="A49" s="596" t="s">
        <v>3867</v>
      </c>
      <c r="B49" s="593">
        <v>865</v>
      </c>
      <c r="C49" s="579"/>
      <c r="D49" s="579"/>
      <c r="E49" s="52"/>
      <c r="F49" s="52" t="str">
        <f>+E35</f>
        <v>Anzahl Anschlussverträge</v>
      </c>
      <c r="G49" s="52"/>
      <c r="H49" s="583"/>
      <c r="I49" s="788">
        <v>0</v>
      </c>
      <c r="J49" s="789">
        <v>0</v>
      </c>
      <c r="K49" s="790">
        <v>0</v>
      </c>
      <c r="L49" s="165"/>
    </row>
    <row r="50" spans="1:12" ht="15">
      <c r="A50" s="596"/>
      <c r="B50" s="593">
        <v>866</v>
      </c>
      <c r="C50" s="579"/>
      <c r="D50" s="579"/>
      <c r="E50" s="52"/>
      <c r="F50" s="52" t="str">
        <f>+E36</f>
        <v>Anzahl Versicherte</v>
      </c>
      <c r="G50" s="52"/>
      <c r="H50" s="583"/>
      <c r="I50" s="603">
        <f>+SUBTOTAL(9,I51:I52)</f>
        <v>0</v>
      </c>
      <c r="J50" s="604">
        <f>+SUBTOTAL(9,J51:J52)</f>
        <v>0</v>
      </c>
      <c r="K50" s="605">
        <f>+SUBTOTAL(9,K51:K52)</f>
        <v>0</v>
      </c>
      <c r="L50" s="165"/>
    </row>
    <row r="51" spans="1:12" ht="15">
      <c r="A51" s="596" t="s">
        <v>3868</v>
      </c>
      <c r="B51" s="593">
        <v>867</v>
      </c>
      <c r="C51" s="579"/>
      <c r="D51" s="579"/>
      <c r="E51" s="52"/>
      <c r="F51" s="68"/>
      <c r="G51" s="52" t="str">
        <f>+F37</f>
        <v>davon aktive Versicherte</v>
      </c>
      <c r="H51" s="583"/>
      <c r="I51" s="788">
        <v>0</v>
      </c>
      <c r="J51" s="789">
        <v>0</v>
      </c>
      <c r="K51" s="790">
        <v>0</v>
      </c>
      <c r="L51" s="165"/>
    </row>
    <row r="52" spans="1:12" ht="15">
      <c r="A52" s="596" t="s">
        <v>3884</v>
      </c>
      <c r="B52" s="593">
        <v>868</v>
      </c>
      <c r="C52" s="579"/>
      <c r="D52" s="579"/>
      <c r="E52" s="52"/>
      <c r="F52" s="68"/>
      <c r="G52" s="52" t="str">
        <f>+F38</f>
        <v>davon Rentenbezüger</v>
      </c>
      <c r="H52" s="583"/>
      <c r="I52" s="788">
        <v>0</v>
      </c>
      <c r="J52" s="789">
        <v>0</v>
      </c>
      <c r="K52" s="790">
        <v>0</v>
      </c>
      <c r="L52" s="165"/>
    </row>
    <row r="53" spans="1:12" ht="15">
      <c r="A53" s="596" t="s">
        <v>3806</v>
      </c>
      <c r="B53" s="593">
        <v>869</v>
      </c>
      <c r="C53" s="579"/>
      <c r="D53" s="579"/>
      <c r="E53" s="52"/>
      <c r="F53" s="52" t="str">
        <f>+E39</f>
        <v>Bilanzrückstellungen (Inventarrückstellung und Verstärkung, in 1'000 CHF)</v>
      </c>
      <c r="G53" s="68"/>
      <c r="H53" s="583"/>
      <c r="I53" s="788">
        <v>0</v>
      </c>
      <c r="J53" s="789">
        <v>0</v>
      </c>
      <c r="K53" s="790">
        <v>0</v>
      </c>
      <c r="L53" s="165"/>
    </row>
    <row r="54" spans="1:12" ht="15">
      <c r="A54" s="596" t="s">
        <v>3869</v>
      </c>
      <c r="B54" s="593">
        <v>870</v>
      </c>
      <c r="C54" s="579"/>
      <c r="D54" s="579"/>
      <c r="E54" s="52"/>
      <c r="F54" s="52" t="str">
        <f>+E40</f>
        <v>Rückkaufswert (in 1'000 CHF)</v>
      </c>
      <c r="G54" s="68"/>
      <c r="H54" s="583"/>
      <c r="I54" s="788">
        <v>0</v>
      </c>
      <c r="J54" s="789">
        <v>0</v>
      </c>
      <c r="K54" s="790">
        <v>0</v>
      </c>
      <c r="L54" s="165"/>
    </row>
    <row r="55" spans="1:12" ht="15">
      <c r="A55" s="596" t="s">
        <v>3870</v>
      </c>
      <c r="B55" s="593">
        <v>871</v>
      </c>
      <c r="C55" s="579"/>
      <c r="D55" s="579"/>
      <c r="E55" s="52"/>
      <c r="F55" s="52" t="str">
        <f>+E41</f>
        <v>Gebuchte Brutto-Einmalprämien (in 1'000 CHF)</v>
      </c>
      <c r="G55" s="68"/>
      <c r="H55" s="583"/>
      <c r="I55" s="788">
        <v>0</v>
      </c>
      <c r="J55" s="789">
        <v>0</v>
      </c>
      <c r="K55" s="790">
        <v>0</v>
      </c>
      <c r="L55" s="165"/>
    </row>
    <row r="56" spans="1:12" ht="15">
      <c r="A56" s="596" t="s">
        <v>3871</v>
      </c>
      <c r="B56" s="593">
        <v>872</v>
      </c>
      <c r="C56" s="579"/>
      <c r="D56" s="579"/>
      <c r="E56" s="52"/>
      <c r="F56" s="52" t="str">
        <f>+E43</f>
        <v>Gebuchte Risiko- und Kostenprämien (in 1'000 CHF)</v>
      </c>
      <c r="G56" s="68"/>
      <c r="H56" s="583"/>
      <c r="I56" s="788">
        <v>0</v>
      </c>
      <c r="J56" s="789">
        <v>0</v>
      </c>
      <c r="K56" s="790">
        <v>0</v>
      </c>
      <c r="L56" s="165"/>
    </row>
    <row r="57" spans="1:12" ht="15">
      <c r="A57" s="596" t="s">
        <v>3806</v>
      </c>
      <c r="B57" s="593">
        <v>873</v>
      </c>
      <c r="C57" s="579"/>
      <c r="D57" s="579"/>
      <c r="E57" s="52"/>
      <c r="F57" s="52" t="str">
        <f>+E44</f>
        <v>Überschussbeteiligung (in 1'000 CHF)</v>
      </c>
      <c r="G57" s="68"/>
      <c r="H57" s="583"/>
      <c r="I57" s="788">
        <v>0</v>
      </c>
      <c r="J57" s="789">
        <v>0</v>
      </c>
      <c r="K57" s="790">
        <v>0</v>
      </c>
      <c r="L57" s="165"/>
    </row>
    <row r="58" spans="1:12" ht="15">
      <c r="A58" s="597"/>
      <c r="B58" s="593">
        <v>874</v>
      </c>
      <c r="C58" s="579"/>
      <c r="D58" s="579"/>
      <c r="E58" s="52" t="str">
        <f>VLOOKUP($B58&amp;E$2,TEXTDF,SPRCODE+1,FALSE)</f>
        <v>mit pauschalierter Prämie</v>
      </c>
      <c r="F58" s="68"/>
      <c r="G58" s="68"/>
      <c r="H58" s="583"/>
      <c r="I58" s="612"/>
      <c r="J58" s="613"/>
      <c r="K58" s="614"/>
      <c r="L58" s="165"/>
    </row>
    <row r="59" spans="1:12" ht="15">
      <c r="A59" s="596" t="s">
        <v>3872</v>
      </c>
      <c r="B59" s="593">
        <v>875</v>
      </c>
      <c r="C59" s="579"/>
      <c r="D59" s="579"/>
      <c r="E59" s="52"/>
      <c r="F59" s="52" t="str">
        <f>+F48</f>
        <v>Anzahl Kollektivverträge</v>
      </c>
      <c r="G59" s="52"/>
      <c r="H59" s="583"/>
      <c r="I59" s="788">
        <v>0</v>
      </c>
      <c r="J59" s="789">
        <v>0</v>
      </c>
      <c r="K59" s="790">
        <v>0</v>
      </c>
      <c r="L59" s="165"/>
    </row>
    <row r="60" spans="1:12" ht="15">
      <c r="A60" s="596" t="s">
        <v>3873</v>
      </c>
      <c r="B60" s="593">
        <v>876</v>
      </c>
      <c r="C60" s="579"/>
      <c r="D60" s="579"/>
      <c r="E60" s="52"/>
      <c r="F60" s="52" t="str">
        <f>+F49</f>
        <v>Anzahl Anschlussverträge</v>
      </c>
      <c r="G60" s="52"/>
      <c r="H60" s="583"/>
      <c r="I60" s="788">
        <v>0</v>
      </c>
      <c r="J60" s="789">
        <v>0</v>
      </c>
      <c r="K60" s="790">
        <v>0</v>
      </c>
      <c r="L60" s="165"/>
    </row>
    <row r="61" spans="1:12" ht="15">
      <c r="A61" s="596"/>
      <c r="B61" s="593">
        <v>877</v>
      </c>
      <c r="C61" s="579"/>
      <c r="D61" s="579"/>
      <c r="E61" s="52"/>
      <c r="F61" s="52" t="str">
        <f>+F50</f>
        <v>Anzahl Versicherte</v>
      </c>
      <c r="G61" s="52"/>
      <c r="H61" s="583"/>
      <c r="I61" s="603">
        <f>+SUBTOTAL(9,I62:I63)</f>
        <v>0</v>
      </c>
      <c r="J61" s="604">
        <f>+SUBTOTAL(9,J62:J63)</f>
        <v>0</v>
      </c>
      <c r="K61" s="605">
        <f>+SUBTOTAL(9,K62:K63)</f>
        <v>0</v>
      </c>
      <c r="L61" s="165"/>
    </row>
    <row r="62" spans="1:12" ht="15">
      <c r="A62" s="596" t="s">
        <v>3874</v>
      </c>
      <c r="B62" s="593">
        <v>878</v>
      </c>
      <c r="C62" s="579"/>
      <c r="D62" s="579"/>
      <c r="E62" s="52"/>
      <c r="F62" s="68"/>
      <c r="G62" s="52" t="str">
        <f>+G51</f>
        <v>davon aktive Versicherte</v>
      </c>
      <c r="H62" s="583"/>
      <c r="I62" s="788">
        <v>0</v>
      </c>
      <c r="J62" s="789">
        <v>0</v>
      </c>
      <c r="K62" s="790">
        <v>0</v>
      </c>
      <c r="L62" s="165"/>
    </row>
    <row r="63" spans="1:12" ht="15">
      <c r="A63" s="596" t="s">
        <v>3885</v>
      </c>
      <c r="B63" s="593">
        <v>879</v>
      </c>
      <c r="C63" s="579"/>
      <c r="D63" s="579"/>
      <c r="E63" s="52"/>
      <c r="F63" s="68"/>
      <c r="G63" s="52" t="str">
        <f>+G52</f>
        <v>davon Rentenbezüger</v>
      </c>
      <c r="H63" s="583"/>
      <c r="I63" s="788">
        <v>0</v>
      </c>
      <c r="J63" s="789">
        <v>0</v>
      </c>
      <c r="K63" s="790">
        <v>0</v>
      </c>
      <c r="L63" s="165"/>
    </row>
    <row r="64" spans="1:12" ht="15">
      <c r="A64" s="596" t="s">
        <v>3806</v>
      </c>
      <c r="B64" s="593">
        <v>880</v>
      </c>
      <c r="C64" s="579"/>
      <c r="D64" s="579"/>
      <c r="E64" s="52"/>
      <c r="F64" s="52" t="str">
        <f>+F53</f>
        <v>Bilanzrückstellungen (Inventarrückstellung und Verstärkung, in 1'000 CHF)</v>
      </c>
      <c r="G64" s="68"/>
      <c r="H64" s="583"/>
      <c r="I64" s="788">
        <v>0</v>
      </c>
      <c r="J64" s="789">
        <v>0</v>
      </c>
      <c r="K64" s="790">
        <v>0</v>
      </c>
      <c r="L64" s="165"/>
    </row>
    <row r="65" spans="1:12" ht="15">
      <c r="A65" s="596" t="s">
        <v>3875</v>
      </c>
      <c r="B65" s="593">
        <v>881</v>
      </c>
      <c r="C65" s="579"/>
      <c r="D65" s="579"/>
      <c r="E65" s="52"/>
      <c r="F65" s="52" t="str">
        <f>+F54</f>
        <v>Rückkaufswert (in 1'000 CHF)</v>
      </c>
      <c r="G65" s="68"/>
      <c r="H65" s="583"/>
      <c r="I65" s="788">
        <v>0</v>
      </c>
      <c r="J65" s="789">
        <v>0</v>
      </c>
      <c r="K65" s="790">
        <v>0</v>
      </c>
      <c r="L65" s="165"/>
    </row>
    <row r="66" spans="1:12" ht="15">
      <c r="A66" s="596" t="s">
        <v>3876</v>
      </c>
      <c r="B66" s="593">
        <v>882</v>
      </c>
      <c r="C66" s="579"/>
      <c r="D66" s="579"/>
      <c r="E66" s="52"/>
      <c r="F66" s="52" t="str">
        <f>+F55</f>
        <v>Gebuchte Brutto-Einmalprämien (in 1'000 CHF)</v>
      </c>
      <c r="G66" s="68"/>
      <c r="H66" s="583"/>
      <c r="I66" s="788">
        <v>0</v>
      </c>
      <c r="J66" s="789">
        <v>0</v>
      </c>
      <c r="K66" s="790">
        <v>0</v>
      </c>
      <c r="L66" s="165"/>
    </row>
    <row r="67" spans="1:12" ht="15">
      <c r="A67" s="596" t="s">
        <v>3877</v>
      </c>
      <c r="B67" s="593">
        <v>883</v>
      </c>
      <c r="C67" s="579"/>
      <c r="D67" s="579"/>
      <c r="E67" s="52"/>
      <c r="F67" s="52" t="str">
        <f>+F56</f>
        <v>Gebuchte Risiko- und Kostenprämien (in 1'000 CHF)</v>
      </c>
      <c r="G67" s="68"/>
      <c r="H67" s="583"/>
      <c r="I67" s="788">
        <v>0</v>
      </c>
      <c r="J67" s="789">
        <v>0</v>
      </c>
      <c r="K67" s="790">
        <v>0</v>
      </c>
      <c r="L67" s="165"/>
    </row>
    <row r="68" spans="1:12" ht="15">
      <c r="A68" s="596" t="s">
        <v>3806</v>
      </c>
      <c r="B68" s="593">
        <v>884</v>
      </c>
      <c r="C68" s="579"/>
      <c r="D68" s="579"/>
      <c r="E68" s="52"/>
      <c r="F68" s="52" t="str">
        <f>+F57</f>
        <v>Überschussbeteiligung (in 1'000 CHF)</v>
      </c>
      <c r="G68" s="68"/>
      <c r="H68" s="583"/>
      <c r="I68" s="788">
        <v>0</v>
      </c>
      <c r="J68" s="789">
        <v>0</v>
      </c>
      <c r="K68" s="790">
        <v>0</v>
      </c>
      <c r="L68" s="165"/>
    </row>
    <row r="69" spans="1:12" ht="9.6" customHeight="1">
      <c r="A69" s="597"/>
      <c r="B69" s="593">
        <v>885</v>
      </c>
      <c r="C69" s="579"/>
      <c r="D69" s="579"/>
      <c r="E69" s="52"/>
      <c r="F69" s="52"/>
      <c r="G69" s="68"/>
      <c r="H69" s="583"/>
      <c r="I69" s="612"/>
      <c r="J69" s="613"/>
      <c r="K69" s="614"/>
      <c r="L69" s="165"/>
    </row>
    <row r="70" spans="1:12" ht="27" customHeight="1">
      <c r="A70" s="596" t="s">
        <v>4079</v>
      </c>
      <c r="B70" s="593">
        <v>886</v>
      </c>
      <c r="C70" s="579"/>
      <c r="D70" s="579"/>
      <c r="E70" s="916" t="str">
        <f>VLOOKUP($B70&amp;E$2,TEXTDF,SPRCODE+1,FALSE)</f>
        <v>Anzahl Verträge oder Anschlussverträge von Pos. 863 und 874 mit Altersrenteneinkaufsoption</v>
      </c>
      <c r="F70" s="916"/>
      <c r="G70" s="916"/>
      <c r="H70" s="917"/>
      <c r="I70" s="788">
        <v>0</v>
      </c>
      <c r="J70" s="789">
        <v>0</v>
      </c>
      <c r="K70" s="790">
        <v>0</v>
      </c>
      <c r="L70" s="165"/>
    </row>
    <row r="71" spans="1:12" ht="28.5" customHeight="1">
      <c r="A71" s="596" t="s">
        <v>3878</v>
      </c>
      <c r="B71" s="593">
        <v>887</v>
      </c>
      <c r="C71" s="579"/>
      <c r="D71" s="636"/>
      <c r="E71" s="914" t="str">
        <f>VLOOKUP($B71&amp;E$2,TEXTDF,SPRCODE+1,FALSE)</f>
        <v>Prämienvolumen (geb. Risiko- und Kostenprämien) in 1'000 CHF der Verträge von 863 und 874 mit Altersrenteneinkaufsoption</v>
      </c>
      <c r="F71" s="914"/>
      <c r="G71" s="914"/>
      <c r="H71" s="915"/>
      <c r="I71" s="828">
        <v>0</v>
      </c>
      <c r="J71" s="829">
        <v>0</v>
      </c>
      <c r="K71" s="830">
        <v>0</v>
      </c>
      <c r="L71" s="165"/>
    </row>
    <row r="72" spans="1:12" ht="7.5" customHeight="1">
      <c r="A72" s="597"/>
      <c r="B72" s="593">
        <v>888</v>
      </c>
      <c r="C72" s="582"/>
      <c r="D72" s="582"/>
      <c r="E72" s="68"/>
      <c r="F72" s="68"/>
      <c r="G72" s="68"/>
      <c r="H72" s="583"/>
      <c r="I72" s="606"/>
      <c r="J72" s="607"/>
      <c r="K72" s="608"/>
      <c r="L72" s="165"/>
    </row>
    <row r="73" spans="1:12" ht="15">
      <c r="A73" s="597"/>
      <c r="B73" s="593">
        <v>889</v>
      </c>
      <c r="C73" s="579"/>
      <c r="D73" s="579" t="str">
        <f>VLOOKUP($B73&amp;D$2,TEXTDF,SPRCODE+1,FALSE)</f>
        <v>Reine Rentnerverträge</v>
      </c>
      <c r="E73" s="68"/>
      <c r="F73" s="68"/>
      <c r="G73" s="68"/>
      <c r="H73" s="583"/>
      <c r="I73" s="612"/>
      <c r="J73" s="613"/>
      <c r="K73" s="614"/>
      <c r="L73" s="165"/>
    </row>
    <row r="74" spans="1:12" ht="15">
      <c r="A74" s="597" t="s">
        <v>3879</v>
      </c>
      <c r="B74" s="593">
        <v>890</v>
      </c>
      <c r="C74" s="582"/>
      <c r="D74" s="582"/>
      <c r="E74" s="52" t="str">
        <f>+F59</f>
        <v>Anzahl Kollektivverträge</v>
      </c>
      <c r="F74" s="68"/>
      <c r="G74" s="68"/>
      <c r="H74" s="583"/>
      <c r="I74" s="788">
        <v>0</v>
      </c>
      <c r="J74" s="789">
        <v>0</v>
      </c>
      <c r="K74" s="790">
        <v>0</v>
      </c>
      <c r="L74" s="165"/>
    </row>
    <row r="75" spans="1:12" ht="15">
      <c r="A75" s="597" t="s">
        <v>3806</v>
      </c>
      <c r="B75" s="593">
        <v>891</v>
      </c>
      <c r="C75" s="582"/>
      <c r="D75" s="582"/>
      <c r="E75" s="52" t="str">
        <f>+F60</f>
        <v>Anzahl Anschlussverträge</v>
      </c>
      <c r="F75" s="68"/>
      <c r="G75" s="68"/>
      <c r="H75" s="583"/>
      <c r="I75" s="788">
        <v>0</v>
      </c>
      <c r="J75" s="789">
        <v>0</v>
      </c>
      <c r="K75" s="790">
        <v>0</v>
      </c>
      <c r="L75" s="165"/>
    </row>
    <row r="76" spans="1:12" ht="15">
      <c r="A76" s="597"/>
      <c r="B76" s="593">
        <v>892</v>
      </c>
      <c r="C76" s="582"/>
      <c r="D76" s="582"/>
      <c r="E76" s="52" t="str">
        <f>+F61</f>
        <v>Anzahl Versicherte</v>
      </c>
      <c r="F76" s="68"/>
      <c r="G76" s="68"/>
      <c r="H76" s="583"/>
      <c r="I76" s="603">
        <f>+SUBTOTAL(9,I77:I77)</f>
        <v>0</v>
      </c>
      <c r="J76" s="604">
        <f>+SUBTOTAL(9,J77:J77)</f>
        <v>0</v>
      </c>
      <c r="K76" s="605">
        <f>+SUBTOTAL(9,K77:K77)</f>
        <v>0</v>
      </c>
      <c r="L76" s="165"/>
    </row>
    <row r="77" spans="1:12" ht="15">
      <c r="A77" s="597" t="s">
        <v>3880</v>
      </c>
      <c r="B77" s="593">
        <v>893</v>
      </c>
      <c r="C77" s="582"/>
      <c r="D77" s="582"/>
      <c r="E77" s="68"/>
      <c r="F77" s="52" t="str">
        <f>+G63</f>
        <v>davon Rentenbezüger</v>
      </c>
      <c r="G77" s="68"/>
      <c r="H77" s="583"/>
      <c r="I77" s="788">
        <v>0</v>
      </c>
      <c r="J77" s="789">
        <v>0</v>
      </c>
      <c r="K77" s="790">
        <v>0</v>
      </c>
      <c r="L77" s="165"/>
    </row>
    <row r="78" spans="1:12" ht="15">
      <c r="A78" s="597" t="s">
        <v>3806</v>
      </c>
      <c r="B78" s="593">
        <v>894</v>
      </c>
      <c r="C78" s="582"/>
      <c r="D78" s="582"/>
      <c r="E78" s="52" t="str">
        <f>+F64</f>
        <v>Bilanzrückstellungen (Inventarrückstellung und Verstärkung, in 1'000 CHF)</v>
      </c>
      <c r="F78" s="68"/>
      <c r="G78" s="68"/>
      <c r="H78" s="583"/>
      <c r="I78" s="788">
        <v>0</v>
      </c>
      <c r="J78" s="789">
        <v>0</v>
      </c>
      <c r="K78" s="790">
        <v>0</v>
      </c>
      <c r="L78" s="165"/>
    </row>
    <row r="79" spans="1:12" ht="15">
      <c r="A79" s="597" t="s">
        <v>3881</v>
      </c>
      <c r="B79" s="593">
        <v>895</v>
      </c>
      <c r="C79" s="582"/>
      <c r="D79" s="582"/>
      <c r="E79" s="52" t="str">
        <f>+F65</f>
        <v>Rückkaufswert (in 1'000 CHF)</v>
      </c>
      <c r="F79" s="68"/>
      <c r="G79" s="68"/>
      <c r="H79" s="583"/>
      <c r="I79" s="788">
        <v>0</v>
      </c>
      <c r="J79" s="789">
        <v>0</v>
      </c>
      <c r="K79" s="790">
        <v>0</v>
      </c>
      <c r="L79" s="165"/>
    </row>
    <row r="80" spans="1:12" ht="15">
      <c r="A80" s="597" t="s">
        <v>3882</v>
      </c>
      <c r="B80" s="593">
        <v>896</v>
      </c>
      <c r="C80" s="582"/>
      <c r="D80" s="582"/>
      <c r="E80" s="52" t="str">
        <f>+F66</f>
        <v>Gebuchte Brutto-Einmalprämien (in 1'000 CHF)</v>
      </c>
      <c r="F80" s="68"/>
      <c r="G80" s="68"/>
      <c r="H80" s="583"/>
      <c r="I80" s="788">
        <v>0</v>
      </c>
      <c r="J80" s="789">
        <v>0</v>
      </c>
      <c r="K80" s="790">
        <v>0</v>
      </c>
      <c r="L80" s="165"/>
    </row>
    <row r="81" spans="1:13" ht="15.75" thickBot="1">
      <c r="A81" s="597" t="s">
        <v>3806</v>
      </c>
      <c r="B81" s="593">
        <v>897</v>
      </c>
      <c r="C81" s="582"/>
      <c r="D81" s="589"/>
      <c r="E81" s="628" t="str">
        <f>+F68</f>
        <v>Überschussbeteiligung (in 1'000 CHF)</v>
      </c>
      <c r="F81" s="590"/>
      <c r="G81" s="590"/>
      <c r="H81" s="591"/>
      <c r="I81" s="828">
        <v>0</v>
      </c>
      <c r="J81" s="829">
        <v>0</v>
      </c>
      <c r="K81" s="830">
        <v>0</v>
      </c>
      <c r="L81" s="165"/>
    </row>
    <row r="82" spans="1:13" ht="9.6" customHeight="1">
      <c r="A82" s="597"/>
      <c r="B82" s="593">
        <v>898</v>
      </c>
      <c r="C82" s="582"/>
      <c r="D82" s="629"/>
      <c r="E82" s="630"/>
      <c r="F82" s="630"/>
      <c r="G82" s="630"/>
      <c r="H82" s="631"/>
      <c r="I82" s="632"/>
      <c r="J82" s="633"/>
      <c r="K82" s="634"/>
      <c r="L82" s="165"/>
    </row>
    <row r="83" spans="1:13" s="165" customFormat="1" ht="15.75">
      <c r="A83" s="598"/>
      <c r="B83" s="593">
        <v>899</v>
      </c>
      <c r="C83" s="585"/>
      <c r="D83" s="635" t="str">
        <f>VLOOKUP($B83&amp;D$2,TEXTDF,SPRCODE+1,FALSE)</f>
        <v>Bestandesangaben (mit Stop Loss, aber ohne FZP)</v>
      </c>
      <c r="E83" s="164"/>
      <c r="F83" s="164"/>
      <c r="G83" s="164"/>
      <c r="H83" s="586"/>
      <c r="I83" s="609"/>
      <c r="J83" s="610"/>
      <c r="K83" s="611"/>
      <c r="M83" s="800"/>
    </row>
    <row r="84" spans="1:13" ht="15">
      <c r="A84" s="597"/>
      <c r="B84" s="593">
        <v>900</v>
      </c>
      <c r="C84" s="579"/>
      <c r="D84" s="579" t="str">
        <f>+E76</f>
        <v>Anzahl Versicherte</v>
      </c>
      <c r="E84" s="68"/>
      <c r="F84" s="68"/>
      <c r="G84" s="68"/>
      <c r="H84" s="583"/>
      <c r="I84" s="418">
        <f>+SUBTOTAL(9,I85:I105)</f>
        <v>0</v>
      </c>
      <c r="J84" s="307">
        <f>+SUBTOTAL(9,J85:J105)</f>
        <v>0</v>
      </c>
      <c r="K84" s="419">
        <f>+SUBTOTAL(9,K85:K105)</f>
        <v>0</v>
      </c>
      <c r="L84" s="165"/>
    </row>
    <row r="85" spans="1:13" ht="15">
      <c r="A85" s="597"/>
      <c r="B85" s="593">
        <v>901</v>
      </c>
      <c r="C85" s="587"/>
      <c r="D85" s="587"/>
      <c r="E85" s="52" t="str">
        <f>VLOOKUP($B85&amp;E$2,TEXTDF,SPRCODE+1,FALSE)</f>
        <v>Aktive Versicherte</v>
      </c>
      <c r="F85" s="68"/>
      <c r="G85" s="68"/>
      <c r="H85" s="583"/>
      <c r="I85" s="603">
        <f>+SUBTOTAL(9,I86:I91)</f>
        <v>0</v>
      </c>
      <c r="J85" s="604">
        <f>+SUBTOTAL(9,J86:J91)</f>
        <v>0</v>
      </c>
      <c r="K85" s="605">
        <f>+SUBTOTAL(9,K86:K91)</f>
        <v>0</v>
      </c>
      <c r="L85" s="165"/>
    </row>
    <row r="86" spans="1:13" ht="15">
      <c r="A86" s="597"/>
      <c r="B86" s="593">
        <v>902</v>
      </c>
      <c r="C86" s="587"/>
      <c r="D86" s="587"/>
      <c r="E86" s="52"/>
      <c r="F86" s="52" t="str">
        <f>VLOOKUP($B86&amp;F$2,TEXTDF,SPRCODE+1,FALSE)</f>
        <v>Vollversicherte</v>
      </c>
      <c r="G86" s="68"/>
      <c r="H86" s="583"/>
      <c r="I86" s="603">
        <f>+SUBTOTAL(9,I87:I88)</f>
        <v>0</v>
      </c>
      <c r="J86" s="604">
        <f>+SUBTOTAL(9,J87:J88)</f>
        <v>0</v>
      </c>
      <c r="K86" s="605">
        <f>+SUBTOTAL(9,K87:K88)</f>
        <v>0</v>
      </c>
      <c r="L86" s="165"/>
    </row>
    <row r="87" spans="1:13" ht="15">
      <c r="A87" s="597" t="s">
        <v>3806</v>
      </c>
      <c r="B87" s="593">
        <v>903</v>
      </c>
      <c r="C87" s="582"/>
      <c r="D87" s="582"/>
      <c r="E87" s="52"/>
      <c r="F87" s="68"/>
      <c r="G87" s="52" t="str">
        <f>VLOOKUP($B87&amp;G$2,TEXTDF,SPRCODE+1,FALSE)</f>
        <v>Männer</v>
      </c>
      <c r="H87" s="581"/>
      <c r="I87" s="788">
        <v>0</v>
      </c>
      <c r="J87" s="789">
        <v>0</v>
      </c>
      <c r="K87" s="790">
        <v>0</v>
      </c>
      <c r="L87" s="165"/>
    </row>
    <row r="88" spans="1:13" ht="15">
      <c r="A88" s="597"/>
      <c r="B88" s="593">
        <v>904</v>
      </c>
      <c r="C88" s="582"/>
      <c r="D88" s="582"/>
      <c r="E88" s="68"/>
      <c r="F88" s="68"/>
      <c r="G88" s="52" t="str">
        <f>VLOOKUP($B88&amp;G$2,TEXTDF,SPRCODE+1,FALSE)</f>
        <v>Frauen</v>
      </c>
      <c r="H88" s="581"/>
      <c r="I88" s="603">
        <f>+I37-I87</f>
        <v>0</v>
      </c>
      <c r="J88" s="604">
        <f>+J37-J87</f>
        <v>0</v>
      </c>
      <c r="K88" s="605">
        <f>+K37-K87</f>
        <v>0</v>
      </c>
      <c r="L88" s="165"/>
    </row>
    <row r="89" spans="1:13" ht="15">
      <c r="A89" s="597"/>
      <c r="B89" s="593">
        <v>905</v>
      </c>
      <c r="C89" s="582"/>
      <c r="D89" s="582"/>
      <c r="E89" s="68"/>
      <c r="F89" s="52" t="str">
        <f>VLOOKUP($B89&amp;F$2,TEXTDF,SPRCODE+1,FALSE)</f>
        <v>Übrige</v>
      </c>
      <c r="G89" s="68"/>
      <c r="H89" s="583"/>
      <c r="I89" s="603">
        <f>+SUBTOTAL(9,I90:I91)</f>
        <v>0</v>
      </c>
      <c r="J89" s="604">
        <f>+SUBTOTAL(9,J90:J91)</f>
        <v>0</v>
      </c>
      <c r="K89" s="605">
        <f>+SUBTOTAL(9,K90:K91)</f>
        <v>0</v>
      </c>
      <c r="L89" s="165"/>
    </row>
    <row r="90" spans="1:13" ht="15">
      <c r="A90" s="597" t="s">
        <v>3806</v>
      </c>
      <c r="B90" s="593">
        <v>906</v>
      </c>
      <c r="C90" s="582"/>
      <c r="D90" s="582"/>
      <c r="E90" s="52"/>
      <c r="F90" s="68"/>
      <c r="G90" s="52" t="str">
        <f>+G87</f>
        <v>Männer</v>
      </c>
      <c r="H90" s="581"/>
      <c r="I90" s="788">
        <v>0</v>
      </c>
      <c r="J90" s="789">
        <v>0</v>
      </c>
      <c r="K90" s="790">
        <v>0</v>
      </c>
      <c r="L90" s="165"/>
    </row>
    <row r="91" spans="1:13" ht="15">
      <c r="A91" s="597"/>
      <c r="B91" s="593">
        <v>907</v>
      </c>
      <c r="C91" s="582"/>
      <c r="D91" s="582"/>
      <c r="E91" s="52"/>
      <c r="F91" s="68"/>
      <c r="G91" s="52" t="str">
        <f>+G88</f>
        <v>Frauen</v>
      </c>
      <c r="H91" s="581"/>
      <c r="I91" s="603">
        <f>+I15-I92-I86-I90</f>
        <v>0</v>
      </c>
      <c r="J91" s="604">
        <f>+J15-J92-J86-J90</f>
        <v>0</v>
      </c>
      <c r="K91" s="605">
        <f>+K15-K92-K86-K90</f>
        <v>0</v>
      </c>
      <c r="L91" s="165"/>
    </row>
    <row r="92" spans="1:13" ht="15">
      <c r="A92" s="597"/>
      <c r="B92" s="593">
        <v>908</v>
      </c>
      <c r="C92" s="582"/>
      <c r="D92" s="582"/>
      <c r="E92" s="52" t="str">
        <f>VLOOKUP($B92&amp;E$2,TEXTDF,SPRCODE+1,FALSE)</f>
        <v>Rentenbezüger</v>
      </c>
      <c r="F92" s="68"/>
      <c r="G92" s="68"/>
      <c r="H92" s="583"/>
      <c r="I92" s="603">
        <f>+SUBTOTAL(9,I93:I105)</f>
        <v>0</v>
      </c>
      <c r="J92" s="604">
        <f>+SUBTOTAL(9,J93:J105)</f>
        <v>0</v>
      </c>
      <c r="K92" s="605">
        <f>+SUBTOTAL(9,K93:K105)</f>
        <v>0</v>
      </c>
      <c r="L92" s="165"/>
    </row>
    <row r="93" spans="1:13" ht="15">
      <c r="A93" s="597"/>
      <c r="B93" s="593">
        <v>909</v>
      </c>
      <c r="C93" s="582"/>
      <c r="D93" s="582"/>
      <c r="E93" s="52"/>
      <c r="F93" s="52" t="str">
        <f>VLOOKUP($B93&amp;F$2,TEXTDF,SPRCODE+1,FALSE)</f>
        <v>Invalidenrenten</v>
      </c>
      <c r="G93" s="68"/>
      <c r="H93" s="583"/>
      <c r="I93" s="603">
        <f>+SUBTOTAL(9,I94:I96)</f>
        <v>0</v>
      </c>
      <c r="J93" s="604">
        <f>+SUBTOTAL(9,J94:J96)</f>
        <v>0</v>
      </c>
      <c r="K93" s="605">
        <f>+SUBTOTAL(9,K94:K96)</f>
        <v>0</v>
      </c>
      <c r="L93" s="165"/>
    </row>
    <row r="94" spans="1:13" ht="15">
      <c r="A94" s="597">
        <v>329</v>
      </c>
      <c r="B94" s="593">
        <v>910</v>
      </c>
      <c r="C94" s="582"/>
      <c r="D94" s="582"/>
      <c r="E94" s="52"/>
      <c r="F94" s="52"/>
      <c r="G94" s="52" t="str">
        <f>+G90</f>
        <v>Männer</v>
      </c>
      <c r="H94" s="581"/>
      <c r="I94" s="788">
        <v>0</v>
      </c>
      <c r="J94" s="789">
        <v>0</v>
      </c>
      <c r="K94" s="790">
        <v>0</v>
      </c>
      <c r="L94" s="165"/>
    </row>
    <row r="95" spans="1:13" ht="15">
      <c r="A95" s="597">
        <v>331</v>
      </c>
      <c r="B95" s="593">
        <v>911</v>
      </c>
      <c r="C95" s="582"/>
      <c r="D95" s="582"/>
      <c r="E95" s="52"/>
      <c r="F95" s="52"/>
      <c r="G95" s="52" t="str">
        <f>+G91</f>
        <v>Frauen</v>
      </c>
      <c r="H95" s="581"/>
      <c r="I95" s="788">
        <v>0</v>
      </c>
      <c r="J95" s="789">
        <v>0</v>
      </c>
      <c r="K95" s="790">
        <v>0</v>
      </c>
      <c r="L95" s="165"/>
    </row>
    <row r="96" spans="1:13" ht="15">
      <c r="A96" s="597">
        <v>333</v>
      </c>
      <c r="B96" s="593">
        <v>912</v>
      </c>
      <c r="C96" s="582"/>
      <c r="D96" s="582"/>
      <c r="E96" s="52"/>
      <c r="F96" s="52"/>
      <c r="G96" s="52" t="str">
        <f>VLOOKUP($B96&amp;G$2,TEXTDF,SPRCODE+1,FALSE)</f>
        <v>Kinder</v>
      </c>
      <c r="H96" s="581"/>
      <c r="I96" s="788">
        <v>0</v>
      </c>
      <c r="J96" s="789">
        <v>0</v>
      </c>
      <c r="K96" s="790">
        <v>0</v>
      </c>
      <c r="L96" s="165"/>
    </row>
    <row r="97" spans="1:12" ht="15">
      <c r="A97" s="597"/>
      <c r="B97" s="593">
        <v>913</v>
      </c>
      <c r="C97" s="582"/>
      <c r="D97" s="582"/>
      <c r="E97" s="52"/>
      <c r="F97" s="52" t="str">
        <f>VLOOKUP($B97&amp;F$2,TEXTDF,SPRCODE+1,FALSE)</f>
        <v>Hinterlassenenrenten</v>
      </c>
      <c r="G97" s="68"/>
      <c r="H97" s="583"/>
      <c r="I97" s="603">
        <f>+SUBTOTAL(9,I98:I100)</f>
        <v>0</v>
      </c>
      <c r="J97" s="604">
        <f>+SUBTOTAL(9,J98:J100)</f>
        <v>0</v>
      </c>
      <c r="K97" s="605">
        <f>+SUBTOTAL(9,K98:K100)</f>
        <v>0</v>
      </c>
      <c r="L97" s="165"/>
    </row>
    <row r="98" spans="1:12" ht="15">
      <c r="A98" s="597">
        <v>325</v>
      </c>
      <c r="B98" s="593">
        <v>914</v>
      </c>
      <c r="C98" s="582"/>
      <c r="D98" s="582"/>
      <c r="E98" s="68"/>
      <c r="F98" s="68"/>
      <c r="G98" s="52" t="str">
        <f>VLOOKUP($B98&amp;G$2,TEXTDF,SPRCODE+1,FALSE)</f>
        <v>Witwer</v>
      </c>
      <c r="H98" s="581"/>
      <c r="I98" s="788">
        <v>0</v>
      </c>
      <c r="J98" s="789">
        <v>0</v>
      </c>
      <c r="K98" s="790">
        <v>0</v>
      </c>
      <c r="L98" s="165"/>
    </row>
    <row r="99" spans="1:12" ht="15">
      <c r="A99" s="597">
        <v>323</v>
      </c>
      <c r="B99" s="593">
        <v>915</v>
      </c>
      <c r="C99" s="582"/>
      <c r="D99" s="582"/>
      <c r="E99" s="68"/>
      <c r="F99" s="68"/>
      <c r="G99" s="52" t="str">
        <f>VLOOKUP($B99&amp;G$2,TEXTDF,SPRCODE+1,FALSE)</f>
        <v>Witwen</v>
      </c>
      <c r="H99" s="581"/>
      <c r="I99" s="788">
        <v>0</v>
      </c>
      <c r="J99" s="789">
        <v>0</v>
      </c>
      <c r="K99" s="790">
        <v>0</v>
      </c>
      <c r="L99" s="165"/>
    </row>
    <row r="100" spans="1:12" ht="15">
      <c r="A100" s="597">
        <v>327</v>
      </c>
      <c r="B100" s="593">
        <v>916</v>
      </c>
      <c r="C100" s="582"/>
      <c r="D100" s="582"/>
      <c r="E100" s="68"/>
      <c r="F100" s="68"/>
      <c r="G100" s="52" t="str">
        <f>VLOOKUP($B100&amp;G$2,TEXTDF,SPRCODE+1,FALSE)</f>
        <v>Waisen</v>
      </c>
      <c r="H100" s="581"/>
      <c r="I100" s="788">
        <v>0</v>
      </c>
      <c r="J100" s="789">
        <v>0</v>
      </c>
      <c r="K100" s="790">
        <v>0</v>
      </c>
      <c r="L100" s="165"/>
    </row>
    <row r="101" spans="1:12" ht="15">
      <c r="A101" s="597"/>
      <c r="B101" s="593">
        <v>917</v>
      </c>
      <c r="C101" s="582"/>
      <c r="D101" s="582"/>
      <c r="E101" s="52"/>
      <c r="F101" s="52" t="str">
        <f>VLOOKUP($B101&amp;F$2,TEXTDF,SPRCODE+1,FALSE)</f>
        <v>Altersrenten</v>
      </c>
      <c r="G101" s="68"/>
      <c r="H101" s="583"/>
      <c r="I101" s="603">
        <f>+SUBTOTAL(9,I102:I104)</f>
        <v>0</v>
      </c>
      <c r="J101" s="604">
        <f>+SUBTOTAL(9,J102:J104)</f>
        <v>0</v>
      </c>
      <c r="K101" s="605">
        <f>+SUBTOTAL(9,K102:K104)</f>
        <v>0</v>
      </c>
      <c r="L101" s="165"/>
    </row>
    <row r="102" spans="1:12" ht="15">
      <c r="A102" s="597">
        <v>319</v>
      </c>
      <c r="B102" s="593">
        <v>918</v>
      </c>
      <c r="C102" s="582"/>
      <c r="D102" s="582"/>
      <c r="E102" s="68"/>
      <c r="F102" s="68"/>
      <c r="G102" s="52" t="str">
        <f>+G94</f>
        <v>Männer</v>
      </c>
      <c r="H102" s="581"/>
      <c r="I102" s="788">
        <v>0</v>
      </c>
      <c r="J102" s="789">
        <v>0</v>
      </c>
      <c r="K102" s="790">
        <v>0</v>
      </c>
      <c r="L102" s="165"/>
    </row>
    <row r="103" spans="1:12" ht="15">
      <c r="A103" s="597">
        <v>321</v>
      </c>
      <c r="B103" s="593">
        <v>919</v>
      </c>
      <c r="C103" s="582"/>
      <c r="D103" s="582"/>
      <c r="E103" s="68"/>
      <c r="F103" s="68"/>
      <c r="G103" s="52" t="str">
        <f>+G95</f>
        <v>Frauen</v>
      </c>
      <c r="H103" s="581"/>
      <c r="I103" s="788">
        <v>0</v>
      </c>
      <c r="J103" s="789">
        <v>0</v>
      </c>
      <c r="K103" s="790">
        <v>0</v>
      </c>
      <c r="L103" s="165"/>
    </row>
    <row r="104" spans="1:12" ht="15">
      <c r="A104" s="597" t="s">
        <v>3889</v>
      </c>
      <c r="B104" s="593">
        <v>920</v>
      </c>
      <c r="C104" s="582"/>
      <c r="D104" s="582"/>
      <c r="E104" s="68"/>
      <c r="F104" s="68"/>
      <c r="G104" s="52" t="str">
        <f>+G96</f>
        <v>Kinder</v>
      </c>
      <c r="H104" s="581"/>
      <c r="I104" s="788">
        <v>0</v>
      </c>
      <c r="J104" s="789">
        <v>0</v>
      </c>
      <c r="K104" s="790">
        <v>0</v>
      </c>
      <c r="L104" s="165"/>
    </row>
    <row r="105" spans="1:12" ht="15">
      <c r="A105" s="597" t="s">
        <v>3889</v>
      </c>
      <c r="B105" s="593">
        <v>921</v>
      </c>
      <c r="C105" s="582"/>
      <c r="D105" s="627"/>
      <c r="E105" s="624"/>
      <c r="F105" s="624" t="str">
        <f>VLOOKUP($B105&amp;F$2,TEXTDF,SPRCODE+1,FALSE)</f>
        <v>Übrige Renten</v>
      </c>
      <c r="G105" s="160"/>
      <c r="H105" s="625"/>
      <c r="I105" s="828">
        <v>0</v>
      </c>
      <c r="J105" s="829">
        <v>0</v>
      </c>
      <c r="K105" s="830">
        <v>0</v>
      </c>
      <c r="L105" s="165"/>
    </row>
    <row r="106" spans="1:12" ht="9.6" customHeight="1">
      <c r="A106" s="597"/>
      <c r="B106" s="593">
        <v>922</v>
      </c>
      <c r="C106" s="582"/>
      <c r="D106" s="582"/>
      <c r="E106" s="68"/>
      <c r="F106" s="68"/>
      <c r="G106" s="68"/>
      <c r="H106" s="583"/>
      <c r="I106" s="606"/>
      <c r="J106" s="607"/>
      <c r="K106" s="608"/>
      <c r="L106" s="165"/>
    </row>
    <row r="107" spans="1:12" ht="15">
      <c r="A107" s="597"/>
      <c r="B107" s="593">
        <v>923</v>
      </c>
      <c r="C107" s="579"/>
      <c r="D107" s="579" t="str">
        <f>VLOOKUP($B107&amp;D$2,TEXTDF,SPRCODE+1,FALSE)</f>
        <v>Altersguthaben und Jahresrenten (in 1'000 CHF)</v>
      </c>
      <c r="E107" s="68"/>
      <c r="F107" s="68"/>
      <c r="G107" s="68"/>
      <c r="H107" s="583"/>
      <c r="I107" s="612"/>
      <c r="J107" s="613"/>
      <c r="K107" s="614"/>
      <c r="L107" s="165"/>
    </row>
    <row r="108" spans="1:12" ht="15">
      <c r="A108" s="597"/>
      <c r="B108" s="593">
        <v>924</v>
      </c>
      <c r="C108" s="587"/>
      <c r="D108" s="587"/>
      <c r="E108" s="52" t="str">
        <f>VLOOKUP($B108&amp;E$2,TEXTDF,SPRCODE+1,FALSE)</f>
        <v>Altersguthaben Aktive Versicherte</v>
      </c>
      <c r="F108" s="68"/>
      <c r="G108" s="68"/>
      <c r="H108" s="583"/>
      <c r="I108" s="418">
        <f>+SUBTOTAL(9,I109:I114)</f>
        <v>0</v>
      </c>
      <c r="J108" s="307">
        <f>+SUBTOTAL(9,J109:J114)</f>
        <v>0</v>
      </c>
      <c r="K108" s="419">
        <f>+SUBTOTAL(9,K109:K114)</f>
        <v>0</v>
      </c>
      <c r="L108" s="165"/>
    </row>
    <row r="109" spans="1:12" ht="15">
      <c r="A109" s="597"/>
      <c r="B109" s="593">
        <v>925</v>
      </c>
      <c r="C109" s="587"/>
      <c r="D109" s="587"/>
      <c r="E109" s="52"/>
      <c r="F109" s="52" t="str">
        <f>VLOOKUP($B109&amp;F$2,TEXTDF,SPRCODE+1,FALSE)</f>
        <v>davon Obligatorium</v>
      </c>
      <c r="G109" s="68"/>
      <c r="H109" s="583"/>
      <c r="I109" s="603">
        <f>+SUBTOTAL(9,I110:I111)</f>
        <v>0</v>
      </c>
      <c r="J109" s="604">
        <f>+SUBTOTAL(9,J110:J111)</f>
        <v>0</v>
      </c>
      <c r="K109" s="605">
        <f>+SUBTOTAL(9,K110:K111)</f>
        <v>0</v>
      </c>
      <c r="L109" s="165"/>
    </row>
    <row r="110" spans="1:12" ht="15">
      <c r="A110" s="597" t="s">
        <v>3886</v>
      </c>
      <c r="B110" s="593">
        <v>926</v>
      </c>
      <c r="C110" s="582"/>
      <c r="D110" s="582"/>
      <c r="E110" s="52"/>
      <c r="F110" s="68"/>
      <c r="G110" s="52" t="str">
        <f>+G102</f>
        <v>Männer</v>
      </c>
      <c r="H110" s="581"/>
      <c r="I110" s="788">
        <v>0</v>
      </c>
      <c r="J110" s="789">
        <v>0</v>
      </c>
      <c r="K110" s="790">
        <v>0</v>
      </c>
      <c r="L110" s="165"/>
    </row>
    <row r="111" spans="1:12" ht="15">
      <c r="A111" s="597" t="s">
        <v>3887</v>
      </c>
      <c r="B111" s="593">
        <v>927</v>
      </c>
      <c r="C111" s="582"/>
      <c r="D111" s="582"/>
      <c r="E111" s="68"/>
      <c r="F111" s="68"/>
      <c r="G111" s="52" t="str">
        <f>+G103</f>
        <v>Frauen</v>
      </c>
      <c r="H111" s="581"/>
      <c r="I111" s="788">
        <v>0</v>
      </c>
      <c r="J111" s="789">
        <v>0</v>
      </c>
      <c r="K111" s="790">
        <v>0</v>
      </c>
      <c r="L111" s="165"/>
    </row>
    <row r="112" spans="1:12" ht="15">
      <c r="A112" s="597"/>
      <c r="B112" s="593">
        <v>928</v>
      </c>
      <c r="C112" s="582"/>
      <c r="D112" s="582"/>
      <c r="E112" s="68"/>
      <c r="F112" s="52" t="str">
        <f>VLOOKUP($B112&amp;F$2,TEXTDF,SPRCODE+1,FALSE)</f>
        <v>davon Überobligatorium</v>
      </c>
      <c r="G112" s="68"/>
      <c r="H112" s="583"/>
      <c r="I112" s="603">
        <f>+SUBTOTAL(9,I113:I114)</f>
        <v>0</v>
      </c>
      <c r="J112" s="604">
        <f>+SUBTOTAL(9,J113:J114)</f>
        <v>0</v>
      </c>
      <c r="K112" s="605">
        <f>+SUBTOTAL(9,K113:K114)</f>
        <v>0</v>
      </c>
      <c r="L112" s="165"/>
    </row>
    <row r="113" spans="1:12" ht="15">
      <c r="A113" s="597">
        <v>281</v>
      </c>
      <c r="B113" s="593">
        <v>929</v>
      </c>
      <c r="C113" s="582"/>
      <c r="D113" s="582"/>
      <c r="E113" s="52"/>
      <c r="F113" s="68"/>
      <c r="G113" s="52" t="str">
        <f>+G110</f>
        <v>Männer</v>
      </c>
      <c r="H113" s="581"/>
      <c r="I113" s="788">
        <v>0</v>
      </c>
      <c r="J113" s="789">
        <v>0</v>
      </c>
      <c r="K113" s="790">
        <v>0</v>
      </c>
      <c r="L113" s="165"/>
    </row>
    <row r="114" spans="1:12" ht="15">
      <c r="A114" s="597">
        <v>284</v>
      </c>
      <c r="B114" s="593">
        <v>930</v>
      </c>
      <c r="C114" s="582"/>
      <c r="D114" s="582"/>
      <c r="E114" s="52"/>
      <c r="F114" s="68"/>
      <c r="G114" s="52" t="str">
        <f>+G111</f>
        <v>Frauen</v>
      </c>
      <c r="H114" s="581"/>
      <c r="I114" s="788">
        <v>0</v>
      </c>
      <c r="J114" s="789">
        <v>0</v>
      </c>
      <c r="K114" s="790">
        <v>0</v>
      </c>
      <c r="L114" s="165"/>
    </row>
    <row r="115" spans="1:12" ht="15">
      <c r="A115" s="597"/>
      <c r="B115" s="593">
        <v>931</v>
      </c>
      <c r="C115" s="582"/>
      <c r="D115" s="582"/>
      <c r="E115" s="52" t="str">
        <f>VLOOKUP($B115&amp;E$2,TEXTDF,SPRCODE+1,FALSE)</f>
        <v>Jahresrenten</v>
      </c>
      <c r="F115" s="68"/>
      <c r="G115" s="68"/>
      <c r="H115" s="583"/>
      <c r="I115" s="418">
        <f>+SUBTOTAL(9,I116:I128)</f>
        <v>0</v>
      </c>
      <c r="J115" s="307">
        <f>+SUBTOTAL(9,J116:J128)</f>
        <v>0</v>
      </c>
      <c r="K115" s="419">
        <f>+SUBTOTAL(9,K116:K128)</f>
        <v>0</v>
      </c>
      <c r="L115" s="165"/>
    </row>
    <row r="116" spans="1:12" ht="15">
      <c r="A116" s="597"/>
      <c r="B116" s="593">
        <v>932</v>
      </c>
      <c r="C116" s="582"/>
      <c r="D116" s="582"/>
      <c r="E116" s="52"/>
      <c r="F116" s="52" t="str">
        <f>+F93</f>
        <v>Invalidenrenten</v>
      </c>
      <c r="G116" s="68"/>
      <c r="H116" s="583"/>
      <c r="I116" s="603">
        <f>+SUBTOTAL(9,I117:I119)</f>
        <v>0</v>
      </c>
      <c r="J116" s="604">
        <f>+SUBTOTAL(9,J117:J119)</f>
        <v>0</v>
      </c>
      <c r="K116" s="605">
        <f>+SUBTOTAL(9,K117:K119)</f>
        <v>0</v>
      </c>
      <c r="L116" s="165"/>
    </row>
    <row r="117" spans="1:12" ht="15">
      <c r="A117" s="597">
        <v>330</v>
      </c>
      <c r="B117" s="593">
        <v>933</v>
      </c>
      <c r="C117" s="582"/>
      <c r="D117" s="582"/>
      <c r="E117" s="52"/>
      <c r="F117" s="52"/>
      <c r="G117" s="52" t="str">
        <f>+G94</f>
        <v>Männer</v>
      </c>
      <c r="H117" s="581"/>
      <c r="I117" s="788">
        <v>0</v>
      </c>
      <c r="J117" s="789">
        <v>0</v>
      </c>
      <c r="K117" s="790">
        <v>0</v>
      </c>
      <c r="L117" s="165"/>
    </row>
    <row r="118" spans="1:12" ht="15">
      <c r="A118" s="597">
        <v>332</v>
      </c>
      <c r="B118" s="593">
        <v>934</v>
      </c>
      <c r="C118" s="582"/>
      <c r="D118" s="582"/>
      <c r="E118" s="52"/>
      <c r="F118" s="52"/>
      <c r="G118" s="52" t="str">
        <f>+G95</f>
        <v>Frauen</v>
      </c>
      <c r="H118" s="581"/>
      <c r="I118" s="788">
        <v>0</v>
      </c>
      <c r="J118" s="789">
        <v>0</v>
      </c>
      <c r="K118" s="790">
        <v>0</v>
      </c>
      <c r="L118" s="165"/>
    </row>
    <row r="119" spans="1:12" ht="15">
      <c r="A119" s="597">
        <v>334</v>
      </c>
      <c r="B119" s="593">
        <v>935</v>
      </c>
      <c r="C119" s="582"/>
      <c r="D119" s="582"/>
      <c r="E119" s="52"/>
      <c r="F119" s="52"/>
      <c r="G119" s="52" t="str">
        <f>+G96</f>
        <v>Kinder</v>
      </c>
      <c r="H119" s="581"/>
      <c r="I119" s="788">
        <v>0</v>
      </c>
      <c r="J119" s="789">
        <v>0</v>
      </c>
      <c r="K119" s="790">
        <v>0</v>
      </c>
      <c r="L119" s="165"/>
    </row>
    <row r="120" spans="1:12" ht="15">
      <c r="A120" s="597"/>
      <c r="B120" s="593">
        <v>936</v>
      </c>
      <c r="C120" s="582"/>
      <c r="D120" s="582"/>
      <c r="E120" s="52"/>
      <c r="F120" s="52" t="str">
        <f>+F97</f>
        <v>Hinterlassenenrenten</v>
      </c>
      <c r="G120" s="68"/>
      <c r="H120" s="583"/>
      <c r="I120" s="603">
        <f>+SUBTOTAL(9,I121:I123)</f>
        <v>0</v>
      </c>
      <c r="J120" s="604">
        <f>+SUBTOTAL(9,J121:J123)</f>
        <v>0</v>
      </c>
      <c r="K120" s="605">
        <f>+SUBTOTAL(9,K121:K123)</f>
        <v>0</v>
      </c>
      <c r="L120" s="165"/>
    </row>
    <row r="121" spans="1:12" ht="15">
      <c r="A121" s="597">
        <v>326</v>
      </c>
      <c r="B121" s="593">
        <v>937</v>
      </c>
      <c r="C121" s="582"/>
      <c r="D121" s="582"/>
      <c r="E121" s="68"/>
      <c r="F121" s="68"/>
      <c r="G121" s="52" t="str">
        <f>+G98</f>
        <v>Witwer</v>
      </c>
      <c r="H121" s="581"/>
      <c r="I121" s="788">
        <v>0</v>
      </c>
      <c r="J121" s="789">
        <v>0</v>
      </c>
      <c r="K121" s="790">
        <v>0</v>
      </c>
      <c r="L121" s="165"/>
    </row>
    <row r="122" spans="1:12" ht="15">
      <c r="A122" s="597">
        <v>324</v>
      </c>
      <c r="B122" s="593">
        <v>938</v>
      </c>
      <c r="C122" s="582"/>
      <c r="D122" s="582"/>
      <c r="E122" s="68"/>
      <c r="F122" s="68"/>
      <c r="G122" s="52" t="str">
        <f>+G99</f>
        <v>Witwen</v>
      </c>
      <c r="H122" s="581"/>
      <c r="I122" s="788">
        <v>0</v>
      </c>
      <c r="J122" s="789">
        <v>0</v>
      </c>
      <c r="K122" s="790">
        <v>0</v>
      </c>
      <c r="L122" s="165"/>
    </row>
    <row r="123" spans="1:12" ht="15">
      <c r="A123" s="597">
        <v>328</v>
      </c>
      <c r="B123" s="593">
        <v>939</v>
      </c>
      <c r="C123" s="582"/>
      <c r="D123" s="582"/>
      <c r="E123" s="68"/>
      <c r="F123" s="68"/>
      <c r="G123" s="52" t="str">
        <f>+G100</f>
        <v>Waisen</v>
      </c>
      <c r="H123" s="581"/>
      <c r="I123" s="788">
        <v>0</v>
      </c>
      <c r="J123" s="789">
        <v>0</v>
      </c>
      <c r="K123" s="790">
        <v>0</v>
      </c>
      <c r="L123" s="165"/>
    </row>
    <row r="124" spans="1:12" ht="15">
      <c r="A124" s="597"/>
      <c r="B124" s="593">
        <v>940</v>
      </c>
      <c r="C124" s="582"/>
      <c r="D124" s="582"/>
      <c r="E124" s="52"/>
      <c r="F124" s="52" t="str">
        <f>+F101</f>
        <v>Altersrenten</v>
      </c>
      <c r="G124" s="68"/>
      <c r="H124" s="583"/>
      <c r="I124" s="603">
        <f>+SUBTOTAL(9,I125:I127)</f>
        <v>0</v>
      </c>
      <c r="J124" s="604">
        <f>+SUBTOTAL(9,J125:J127)</f>
        <v>0</v>
      </c>
      <c r="K124" s="605">
        <f>+SUBTOTAL(9,K125:K127)</f>
        <v>0</v>
      </c>
      <c r="L124" s="165"/>
    </row>
    <row r="125" spans="1:12" ht="15">
      <c r="A125" s="597">
        <v>320</v>
      </c>
      <c r="B125" s="593">
        <v>941</v>
      </c>
      <c r="C125" s="582"/>
      <c r="D125" s="582"/>
      <c r="E125" s="68"/>
      <c r="F125" s="68"/>
      <c r="G125" s="52" t="str">
        <f>+G102</f>
        <v>Männer</v>
      </c>
      <c r="H125" s="581"/>
      <c r="I125" s="788">
        <v>0</v>
      </c>
      <c r="J125" s="789">
        <v>0</v>
      </c>
      <c r="K125" s="790">
        <v>0</v>
      </c>
      <c r="L125" s="165"/>
    </row>
    <row r="126" spans="1:12" ht="15">
      <c r="A126" s="597">
        <v>322</v>
      </c>
      <c r="B126" s="593">
        <v>942</v>
      </c>
      <c r="C126" s="582"/>
      <c r="D126" s="582"/>
      <c r="E126" s="68"/>
      <c r="F126" s="68"/>
      <c r="G126" s="52" t="str">
        <f>+G103</f>
        <v>Frauen</v>
      </c>
      <c r="H126" s="581"/>
      <c r="I126" s="788">
        <v>0</v>
      </c>
      <c r="J126" s="789">
        <v>0</v>
      </c>
      <c r="K126" s="790">
        <v>0</v>
      </c>
      <c r="L126" s="165"/>
    </row>
    <row r="127" spans="1:12" ht="15">
      <c r="A127" s="597" t="s">
        <v>3888</v>
      </c>
      <c r="B127" s="593">
        <v>943</v>
      </c>
      <c r="C127" s="582"/>
      <c r="D127" s="582"/>
      <c r="E127" s="68"/>
      <c r="F127" s="68"/>
      <c r="G127" s="52" t="str">
        <f>+G104</f>
        <v>Kinder</v>
      </c>
      <c r="H127" s="581"/>
      <c r="I127" s="788">
        <v>0</v>
      </c>
      <c r="J127" s="789">
        <v>0</v>
      </c>
      <c r="K127" s="790">
        <v>0</v>
      </c>
      <c r="L127" s="165"/>
    </row>
    <row r="128" spans="1:12" ht="15.75" thickBot="1">
      <c r="A128" s="597" t="s">
        <v>3888</v>
      </c>
      <c r="B128" s="593">
        <v>944</v>
      </c>
      <c r="C128" s="582"/>
      <c r="D128" s="589"/>
      <c r="E128" s="628"/>
      <c r="F128" s="628" t="str">
        <f>+F105</f>
        <v>Übrige Renten</v>
      </c>
      <c r="G128" s="590"/>
      <c r="H128" s="591"/>
      <c r="I128" s="828">
        <v>0</v>
      </c>
      <c r="J128" s="829">
        <v>0</v>
      </c>
      <c r="K128" s="830">
        <v>0</v>
      </c>
      <c r="L128" s="165"/>
    </row>
    <row r="129" spans="1:13" ht="9.9499999999999993" customHeight="1">
      <c r="A129" s="597"/>
      <c r="B129" s="593">
        <v>945</v>
      </c>
      <c r="C129" s="582"/>
      <c r="D129" s="629"/>
      <c r="E129" s="630"/>
      <c r="F129" s="630"/>
      <c r="G129" s="630"/>
      <c r="H129" s="631"/>
      <c r="I129" s="632"/>
      <c r="J129" s="633"/>
      <c r="K129" s="634"/>
      <c r="L129" s="165"/>
    </row>
    <row r="130" spans="1:13" s="165" customFormat="1" ht="15.75">
      <c r="A130" s="598"/>
      <c r="B130" s="593">
        <v>946</v>
      </c>
      <c r="C130" s="585"/>
      <c r="D130" s="635" t="str">
        <f>VLOOKUP($B130&amp;D$2,TEXTDF,SPRCODE+1,FALSE)</f>
        <v>Bestandesveränderungen (+ Zugang, - Abgang)</v>
      </c>
      <c r="E130" s="164"/>
      <c r="F130" s="164"/>
      <c r="G130" s="164"/>
      <c r="H130" s="586"/>
      <c r="I130" s="609"/>
      <c r="J130" s="610"/>
      <c r="K130" s="611"/>
      <c r="M130" s="800"/>
    </row>
    <row r="131" spans="1:13" ht="15">
      <c r="A131" s="597"/>
      <c r="B131" s="593">
        <v>947</v>
      </c>
      <c r="C131" s="587"/>
      <c r="D131" s="579" t="str">
        <f>VLOOKUP($B131&amp;D$2,TEXTDF,SPRCODE+1,FALSE)</f>
        <v>Anzahl Aktive Versicherte</v>
      </c>
      <c r="E131" s="68"/>
      <c r="F131" s="68"/>
      <c r="G131" s="68"/>
      <c r="H131" s="583"/>
      <c r="I131" s="612"/>
      <c r="J131" s="613"/>
      <c r="K131" s="608"/>
      <c r="L131" s="165"/>
    </row>
    <row r="132" spans="1:13" ht="15">
      <c r="A132" s="597"/>
      <c r="B132" s="593">
        <v>948</v>
      </c>
      <c r="C132" s="587"/>
      <c r="D132" s="587"/>
      <c r="E132" s="52" t="str">
        <f>+G125</f>
        <v>Männer</v>
      </c>
      <c r="F132" s="68"/>
      <c r="G132" s="68"/>
      <c r="H132" s="583"/>
      <c r="I132" s="606"/>
      <c r="J132" s="607"/>
      <c r="K132" s="608"/>
      <c r="L132" s="165"/>
    </row>
    <row r="133" spans="1:13" ht="15">
      <c r="A133" s="597" t="s">
        <v>3892</v>
      </c>
      <c r="B133" s="593">
        <v>949</v>
      </c>
      <c r="C133" s="587"/>
      <c r="D133" s="587"/>
      <c r="E133" s="68"/>
      <c r="F133" s="52" t="str">
        <f t="shared" ref="F133:F139" si="1">VLOOKUP($B133&amp;F$2,TEXTDF,SPRCODE+1,FALSE)</f>
        <v>Zugänge aus Vertragsübernahmen</v>
      </c>
      <c r="G133" s="68"/>
      <c r="H133" s="583"/>
      <c r="I133" s="788">
        <v>0</v>
      </c>
      <c r="J133" s="789">
        <v>0</v>
      </c>
      <c r="K133" s="608"/>
      <c r="L133" s="165"/>
    </row>
    <row r="134" spans="1:13" ht="15">
      <c r="A134" s="597">
        <v>288</v>
      </c>
      <c r="B134" s="593">
        <v>950</v>
      </c>
      <c r="C134" s="587"/>
      <c r="D134" s="587"/>
      <c r="E134" s="68"/>
      <c r="F134" s="52" t="str">
        <f t="shared" si="1"/>
        <v>Abgänge aus Vertragsauflösungen</v>
      </c>
      <c r="G134" s="68"/>
      <c r="H134" s="583"/>
      <c r="I134" s="788">
        <v>0</v>
      </c>
      <c r="J134" s="789">
        <v>0</v>
      </c>
      <c r="K134" s="608"/>
      <c r="L134" s="165"/>
    </row>
    <row r="135" spans="1:13" ht="15">
      <c r="A135" s="597" t="s">
        <v>3892</v>
      </c>
      <c r="B135" s="593">
        <v>951</v>
      </c>
      <c r="C135" s="587"/>
      <c r="D135" s="587"/>
      <c r="E135" s="68"/>
      <c r="F135" s="52" t="str">
        <f t="shared" si="1"/>
        <v>Zugänge aus Diensteintritten</v>
      </c>
      <c r="G135" s="68"/>
      <c r="H135" s="583"/>
      <c r="I135" s="788">
        <v>0</v>
      </c>
      <c r="J135" s="789">
        <v>0</v>
      </c>
      <c r="K135" s="608"/>
      <c r="L135" s="165"/>
    </row>
    <row r="136" spans="1:13" ht="15">
      <c r="A136" s="597" t="s">
        <v>3890</v>
      </c>
      <c r="B136" s="593">
        <v>952</v>
      </c>
      <c r="C136" s="587"/>
      <c r="D136" s="587"/>
      <c r="E136" s="68"/>
      <c r="F136" s="52" t="str">
        <f t="shared" si="1"/>
        <v>Abgänge infolge Dienstaustritten</v>
      </c>
      <c r="G136" s="68"/>
      <c r="H136" s="583"/>
      <c r="I136" s="788">
        <v>0</v>
      </c>
      <c r="J136" s="789">
        <v>0</v>
      </c>
      <c r="K136" s="608"/>
      <c r="L136" s="165"/>
    </row>
    <row r="137" spans="1:13" ht="15">
      <c r="A137" s="597" t="s">
        <v>3806</v>
      </c>
      <c r="B137" s="593">
        <v>953</v>
      </c>
      <c r="C137" s="587"/>
      <c r="D137" s="587"/>
      <c r="E137" s="68"/>
      <c r="F137" s="52" t="str">
        <f t="shared" si="1"/>
        <v>Abgänge infolge Tod</v>
      </c>
      <c r="G137" s="68"/>
      <c r="H137" s="583"/>
      <c r="I137" s="788">
        <v>0</v>
      </c>
      <c r="J137" s="789">
        <v>0</v>
      </c>
      <c r="K137" s="608"/>
      <c r="L137" s="165"/>
    </row>
    <row r="138" spans="1:13" ht="15">
      <c r="A138" s="597">
        <v>313</v>
      </c>
      <c r="B138" s="593">
        <v>954</v>
      </c>
      <c r="C138" s="587"/>
      <c r="D138" s="587"/>
      <c r="E138" s="68"/>
      <c r="F138" s="52" t="str">
        <f t="shared" si="1"/>
        <v>Abgänge infolge Invalidisierung</v>
      </c>
      <c r="G138" s="68"/>
      <c r="H138" s="583"/>
      <c r="I138" s="788">
        <v>0</v>
      </c>
      <c r="J138" s="789">
        <v>0</v>
      </c>
      <c r="K138" s="608"/>
      <c r="L138" s="165"/>
    </row>
    <row r="139" spans="1:13" ht="15">
      <c r="A139" s="597"/>
      <c r="B139" s="593">
        <v>955</v>
      </c>
      <c r="C139" s="587"/>
      <c r="D139" s="587"/>
      <c r="E139" s="68"/>
      <c r="F139" s="52" t="str">
        <f t="shared" si="1"/>
        <v>Abgänge infolge Pensionierung</v>
      </c>
      <c r="G139" s="68"/>
      <c r="H139" s="583"/>
      <c r="I139" s="603">
        <f>+SUBTOTAL(9,I140:I141)</f>
        <v>0</v>
      </c>
      <c r="J139" s="604">
        <f>+SUBTOTAL(9,J140:J141)</f>
        <v>0</v>
      </c>
      <c r="K139" s="608"/>
      <c r="L139" s="165"/>
    </row>
    <row r="140" spans="1:13" ht="15">
      <c r="A140" s="597">
        <v>296</v>
      </c>
      <c r="B140" s="593">
        <v>956</v>
      </c>
      <c r="C140" s="587"/>
      <c r="D140" s="587"/>
      <c r="E140" s="68"/>
      <c r="F140" s="52"/>
      <c r="G140" s="52" t="str">
        <f>VLOOKUP($B140&amp;G$2,TEXTDF,SPRCODE+1,FALSE)</f>
        <v>mit Kapitalbezug</v>
      </c>
      <c r="H140" s="581"/>
      <c r="I140" s="788">
        <v>0</v>
      </c>
      <c r="J140" s="789">
        <v>0</v>
      </c>
      <c r="K140" s="608"/>
      <c r="L140" s="165"/>
    </row>
    <row r="141" spans="1:13" ht="15">
      <c r="A141" s="597" t="s">
        <v>3893</v>
      </c>
      <c r="B141" s="593">
        <v>957</v>
      </c>
      <c r="C141" s="587"/>
      <c r="D141" s="587"/>
      <c r="E141" s="68"/>
      <c r="F141" s="52"/>
      <c r="G141" s="52" t="str">
        <f>VLOOKUP($B141&amp;G$2,TEXTDF,SPRCODE+1,FALSE)</f>
        <v>ohne Kapitalbezug</v>
      </c>
      <c r="H141" s="581"/>
      <c r="I141" s="788">
        <v>0</v>
      </c>
      <c r="J141" s="789">
        <v>0</v>
      </c>
      <c r="K141" s="608"/>
      <c r="L141" s="165"/>
    </row>
    <row r="142" spans="1:13" ht="15">
      <c r="A142" s="597"/>
      <c r="B142" s="593">
        <v>958</v>
      </c>
      <c r="C142" s="587"/>
      <c r="D142" s="587"/>
      <c r="E142" s="68"/>
      <c r="F142" s="52" t="str">
        <f>VLOOKUP($B142&amp;F$2,TEXTDF,SPRCODE+1,FALSE)</f>
        <v>Saldierung</v>
      </c>
      <c r="G142" s="68"/>
      <c r="H142" s="583"/>
      <c r="I142" s="603">
        <f>+I87+I90-J87-J90-SUBTOTAL(9,I133:I141)</f>
        <v>0</v>
      </c>
      <c r="J142" s="604">
        <f>+J87+J90-K87-K90-SUBTOTAL(9,J133:J141)</f>
        <v>0</v>
      </c>
      <c r="K142" s="608"/>
      <c r="L142" s="165"/>
      <c r="M142" s="242" t="str">
        <f>+IF(ABS(I142)&gt;1,IF(SPRCODE=1,"Bitte im Begleitbericht erläutern.","Justifier dans le rapport explicatif, svp"),"ok")</f>
        <v>ok</v>
      </c>
    </row>
    <row r="143" spans="1:13" ht="15">
      <c r="A143" s="597"/>
      <c r="B143" s="593">
        <v>959</v>
      </c>
      <c r="C143" s="587"/>
      <c r="D143" s="587"/>
      <c r="E143" s="68"/>
      <c r="F143" s="68"/>
      <c r="G143" s="68"/>
      <c r="H143" s="583"/>
      <c r="I143" s="606"/>
      <c r="J143" s="607"/>
      <c r="K143" s="608"/>
      <c r="L143" s="165"/>
    </row>
    <row r="144" spans="1:13" ht="15">
      <c r="A144" s="597"/>
      <c r="B144" s="593">
        <v>960</v>
      </c>
      <c r="C144" s="582"/>
      <c r="D144" s="582"/>
      <c r="E144" s="52" t="str">
        <f>+G126</f>
        <v>Frauen</v>
      </c>
      <c r="F144" s="68"/>
      <c r="G144" s="68"/>
      <c r="H144" s="583"/>
      <c r="I144" s="606"/>
      <c r="J144" s="607"/>
      <c r="K144" s="608"/>
      <c r="L144" s="165"/>
    </row>
    <row r="145" spans="1:13" ht="15">
      <c r="A145" s="597" t="s">
        <v>3892</v>
      </c>
      <c r="B145" s="593">
        <v>961</v>
      </c>
      <c r="C145" s="582"/>
      <c r="D145" s="582"/>
      <c r="E145" s="68"/>
      <c r="F145" s="52" t="str">
        <f>+F133</f>
        <v>Zugänge aus Vertragsübernahmen</v>
      </c>
      <c r="G145" s="68"/>
      <c r="H145" s="583"/>
      <c r="I145" s="788">
        <v>0</v>
      </c>
      <c r="J145" s="789">
        <v>0</v>
      </c>
      <c r="K145" s="608"/>
      <c r="L145" s="165"/>
    </row>
    <row r="146" spans="1:13" ht="15">
      <c r="A146" s="597">
        <v>292</v>
      </c>
      <c r="B146" s="593">
        <v>962</v>
      </c>
      <c r="C146" s="582"/>
      <c r="D146" s="582"/>
      <c r="E146" s="68"/>
      <c r="F146" s="52" t="str">
        <f t="shared" ref="F146:F151" si="2">+F134</f>
        <v>Abgänge aus Vertragsauflösungen</v>
      </c>
      <c r="G146" s="68"/>
      <c r="H146" s="583"/>
      <c r="I146" s="788">
        <v>0</v>
      </c>
      <c r="J146" s="789">
        <v>0</v>
      </c>
      <c r="K146" s="608"/>
      <c r="L146" s="165"/>
    </row>
    <row r="147" spans="1:13" ht="15">
      <c r="A147" s="597" t="s">
        <v>3892</v>
      </c>
      <c r="B147" s="593">
        <v>963</v>
      </c>
      <c r="C147" s="582"/>
      <c r="D147" s="582"/>
      <c r="E147" s="68"/>
      <c r="F147" s="52" t="str">
        <f t="shared" si="2"/>
        <v>Zugänge aus Diensteintritten</v>
      </c>
      <c r="G147" s="68"/>
      <c r="H147" s="583"/>
      <c r="I147" s="788">
        <v>0</v>
      </c>
      <c r="J147" s="789">
        <v>0</v>
      </c>
      <c r="K147" s="608"/>
      <c r="L147" s="165"/>
    </row>
    <row r="148" spans="1:13" ht="15">
      <c r="A148" s="597" t="s">
        <v>3891</v>
      </c>
      <c r="B148" s="593">
        <v>964</v>
      </c>
      <c r="C148" s="582"/>
      <c r="D148" s="582"/>
      <c r="E148" s="68"/>
      <c r="F148" s="52" t="str">
        <f t="shared" si="2"/>
        <v>Abgänge infolge Dienstaustritten</v>
      </c>
      <c r="G148" s="68"/>
      <c r="H148" s="583"/>
      <c r="I148" s="788">
        <v>0</v>
      </c>
      <c r="J148" s="789">
        <v>0</v>
      </c>
      <c r="K148" s="608"/>
      <c r="L148" s="165"/>
    </row>
    <row r="149" spans="1:13" ht="15">
      <c r="A149" s="597" t="s">
        <v>3806</v>
      </c>
      <c r="B149" s="593">
        <v>965</v>
      </c>
      <c r="C149" s="582"/>
      <c r="D149" s="582"/>
      <c r="E149" s="68"/>
      <c r="F149" s="52" t="str">
        <f t="shared" si="2"/>
        <v>Abgänge infolge Tod</v>
      </c>
      <c r="G149" s="68"/>
      <c r="H149" s="583"/>
      <c r="I149" s="788">
        <v>0</v>
      </c>
      <c r="J149" s="789">
        <v>0</v>
      </c>
      <c r="K149" s="608"/>
      <c r="L149" s="165"/>
    </row>
    <row r="150" spans="1:13" ht="15">
      <c r="A150" s="597">
        <v>316</v>
      </c>
      <c r="B150" s="593">
        <v>966</v>
      </c>
      <c r="C150" s="582"/>
      <c r="D150" s="582"/>
      <c r="E150" s="68"/>
      <c r="F150" s="52" t="str">
        <f t="shared" si="2"/>
        <v>Abgänge infolge Invalidisierung</v>
      </c>
      <c r="G150" s="68"/>
      <c r="H150" s="583"/>
      <c r="I150" s="788">
        <v>0</v>
      </c>
      <c r="J150" s="789">
        <v>0</v>
      </c>
      <c r="K150" s="608"/>
      <c r="L150" s="165"/>
    </row>
    <row r="151" spans="1:13" ht="15">
      <c r="A151" s="597"/>
      <c r="B151" s="593">
        <v>967</v>
      </c>
      <c r="C151" s="582"/>
      <c r="D151" s="582"/>
      <c r="E151" s="68"/>
      <c r="F151" s="52" t="str">
        <f t="shared" si="2"/>
        <v>Abgänge infolge Pensionierung</v>
      </c>
      <c r="G151" s="68"/>
      <c r="H151" s="583"/>
      <c r="I151" s="603">
        <f>+SUBTOTAL(9,I152:I153)</f>
        <v>0</v>
      </c>
      <c r="J151" s="604">
        <f>+SUBTOTAL(9,J152:J153)</f>
        <v>0</v>
      </c>
      <c r="K151" s="608"/>
      <c r="L151" s="165"/>
    </row>
    <row r="152" spans="1:13" ht="15">
      <c r="A152" s="597">
        <v>302</v>
      </c>
      <c r="B152" s="593">
        <v>968</v>
      </c>
      <c r="C152" s="582"/>
      <c r="D152" s="582"/>
      <c r="E152" s="68"/>
      <c r="F152" s="52"/>
      <c r="G152" s="52" t="str">
        <f>+G140</f>
        <v>mit Kapitalbezug</v>
      </c>
      <c r="H152" s="581"/>
      <c r="I152" s="788">
        <v>0</v>
      </c>
      <c r="J152" s="789">
        <v>0</v>
      </c>
      <c r="K152" s="608"/>
      <c r="L152" s="165"/>
    </row>
    <row r="153" spans="1:13" ht="15">
      <c r="A153" s="597" t="s">
        <v>3894</v>
      </c>
      <c r="B153" s="593">
        <v>969</v>
      </c>
      <c r="C153" s="582"/>
      <c r="D153" s="582"/>
      <c r="E153" s="68"/>
      <c r="F153" s="52"/>
      <c r="G153" s="52" t="str">
        <f>+G141</f>
        <v>ohne Kapitalbezug</v>
      </c>
      <c r="H153" s="581"/>
      <c r="I153" s="788">
        <v>0</v>
      </c>
      <c r="J153" s="789">
        <v>0</v>
      </c>
      <c r="K153" s="608"/>
      <c r="L153" s="165"/>
    </row>
    <row r="154" spans="1:13" ht="15">
      <c r="A154" s="597"/>
      <c r="B154" s="593">
        <v>970</v>
      </c>
      <c r="C154" s="582"/>
      <c r="D154" s="627"/>
      <c r="E154" s="160"/>
      <c r="F154" s="624" t="str">
        <f>+F142</f>
        <v>Saldierung</v>
      </c>
      <c r="G154" s="160"/>
      <c r="H154" s="625"/>
      <c r="I154" s="637">
        <f>+I88+I91-J88-J91-SUBTOTAL(9,I145:I153)</f>
        <v>0</v>
      </c>
      <c r="J154" s="638">
        <f>+J88+J91-K88-K91-SUBTOTAL(9,J145:J153)</f>
        <v>0</v>
      </c>
      <c r="K154" s="639"/>
      <c r="L154" s="165"/>
      <c r="M154" s="242" t="str">
        <f>+IF(ABS(I154)&gt;1,IF(SPRCODE=1,"Bitte im Begleitbericht erläutern.","Justifier dans le rapport explicatif, svp"),"ok")</f>
        <v>ok</v>
      </c>
    </row>
    <row r="155" spans="1:13" ht="9" customHeight="1">
      <c r="A155" s="597"/>
      <c r="B155" s="593">
        <v>971</v>
      </c>
      <c r="C155" s="582"/>
      <c r="D155" s="582"/>
      <c r="E155" s="68"/>
      <c r="F155" s="68"/>
      <c r="G155" s="68"/>
      <c r="H155" s="583"/>
      <c r="I155" s="606"/>
      <c r="J155" s="607"/>
      <c r="K155" s="608"/>
      <c r="L155" s="165"/>
    </row>
    <row r="156" spans="1:13" ht="15">
      <c r="A156" s="597"/>
      <c r="B156" s="593">
        <v>972</v>
      </c>
      <c r="C156" s="587"/>
      <c r="D156" s="579" t="str">
        <f>VLOOKUP($B156&amp;D$2,TEXTDF,SPRCODE+1,FALSE)</f>
        <v>Altersguthaben Aktive Versicherte (in 1'000 CHF)</v>
      </c>
      <c r="E156" s="68"/>
      <c r="F156" s="68"/>
      <c r="G156" s="68"/>
      <c r="H156" s="583"/>
      <c r="I156" s="612"/>
      <c r="J156" s="613"/>
      <c r="K156" s="608"/>
      <c r="L156" s="165"/>
    </row>
    <row r="157" spans="1:13" ht="15">
      <c r="A157" s="597"/>
      <c r="B157" s="593">
        <v>973</v>
      </c>
      <c r="C157" s="587"/>
      <c r="D157" s="587"/>
      <c r="E157" s="52" t="str">
        <f>+E132</f>
        <v>Männer</v>
      </c>
      <c r="F157" s="68"/>
      <c r="G157" s="68"/>
      <c r="H157" s="583"/>
      <c r="I157" s="606"/>
      <c r="J157" s="607"/>
      <c r="K157" s="608"/>
      <c r="L157" s="165"/>
    </row>
    <row r="158" spans="1:13" ht="15">
      <c r="A158" s="597" t="s">
        <v>3806</v>
      </c>
      <c r="B158" s="593">
        <v>974</v>
      </c>
      <c r="C158" s="587"/>
      <c r="D158" s="587"/>
      <c r="E158" s="68"/>
      <c r="F158" s="52" t="str">
        <f t="shared" ref="F158:F164" si="3">+F133</f>
        <v>Zugänge aus Vertragsübernahmen</v>
      </c>
      <c r="G158" s="68"/>
      <c r="H158" s="583"/>
      <c r="I158" s="788">
        <v>0</v>
      </c>
      <c r="J158" s="789">
        <v>0</v>
      </c>
      <c r="K158" s="608"/>
      <c r="L158" s="165"/>
    </row>
    <row r="159" spans="1:13" ht="15">
      <c r="A159" s="597" t="s">
        <v>3806</v>
      </c>
      <c r="B159" s="593">
        <v>975</v>
      </c>
      <c r="C159" s="587"/>
      <c r="D159" s="587"/>
      <c r="E159" s="68"/>
      <c r="F159" s="52" t="str">
        <f t="shared" si="3"/>
        <v>Abgänge aus Vertragsauflösungen</v>
      </c>
      <c r="G159" s="68"/>
      <c r="H159" s="583"/>
      <c r="I159" s="788">
        <v>0</v>
      </c>
      <c r="J159" s="789">
        <v>0</v>
      </c>
      <c r="K159" s="608"/>
      <c r="L159" s="165"/>
    </row>
    <row r="160" spans="1:13" ht="15">
      <c r="A160" s="597" t="s">
        <v>3806</v>
      </c>
      <c r="B160" s="593">
        <v>976</v>
      </c>
      <c r="C160" s="587"/>
      <c r="D160" s="587"/>
      <c r="E160" s="68"/>
      <c r="F160" s="52" t="str">
        <f t="shared" si="3"/>
        <v>Zugänge aus Diensteintritten</v>
      </c>
      <c r="G160" s="68"/>
      <c r="H160" s="583"/>
      <c r="I160" s="788">
        <v>0</v>
      </c>
      <c r="J160" s="789">
        <v>0</v>
      </c>
      <c r="K160" s="608"/>
      <c r="L160" s="165"/>
    </row>
    <row r="161" spans="1:13" ht="15">
      <c r="A161" s="597">
        <v>289</v>
      </c>
      <c r="B161" s="593">
        <v>977</v>
      </c>
      <c r="C161" s="587"/>
      <c r="D161" s="587"/>
      <c r="E161" s="68"/>
      <c r="F161" s="52" t="str">
        <f t="shared" si="3"/>
        <v>Abgänge infolge Dienstaustritten</v>
      </c>
      <c r="G161" s="68"/>
      <c r="H161" s="583"/>
      <c r="I161" s="788">
        <v>0</v>
      </c>
      <c r="J161" s="789">
        <v>0</v>
      </c>
      <c r="K161" s="608"/>
      <c r="L161" s="165"/>
    </row>
    <row r="162" spans="1:13" ht="15">
      <c r="A162" s="597" t="s">
        <v>3806</v>
      </c>
      <c r="B162" s="593">
        <v>978</v>
      </c>
      <c r="C162" s="587"/>
      <c r="D162" s="587"/>
      <c r="E162" s="68"/>
      <c r="F162" s="52" t="str">
        <f t="shared" si="3"/>
        <v>Abgänge infolge Tod</v>
      </c>
      <c r="G162" s="68"/>
      <c r="H162" s="583"/>
      <c r="I162" s="788">
        <v>0</v>
      </c>
      <c r="J162" s="789">
        <v>0</v>
      </c>
      <c r="K162" s="608"/>
      <c r="L162" s="165"/>
    </row>
    <row r="163" spans="1:13" ht="15">
      <c r="A163" s="597" t="s">
        <v>3806</v>
      </c>
      <c r="B163" s="593">
        <v>979</v>
      </c>
      <c r="C163" s="587"/>
      <c r="D163" s="587"/>
      <c r="E163" s="68"/>
      <c r="F163" s="52" t="str">
        <f t="shared" si="3"/>
        <v>Abgänge infolge Invalidisierung</v>
      </c>
      <c r="G163" s="68"/>
      <c r="H163" s="583"/>
      <c r="I163" s="788">
        <v>0</v>
      </c>
      <c r="J163" s="789">
        <v>0</v>
      </c>
      <c r="K163" s="608"/>
      <c r="L163" s="165"/>
    </row>
    <row r="164" spans="1:13" ht="15">
      <c r="A164" s="597"/>
      <c r="B164" s="593">
        <v>980</v>
      </c>
      <c r="C164" s="587"/>
      <c r="D164" s="587"/>
      <c r="E164" s="68"/>
      <c r="F164" s="52" t="str">
        <f t="shared" si="3"/>
        <v>Abgänge infolge Pensionierung</v>
      </c>
      <c r="G164" s="68"/>
      <c r="H164" s="583"/>
      <c r="I164" s="603">
        <f>+SUBTOTAL(9,I165:I166)</f>
        <v>0</v>
      </c>
      <c r="J164" s="604">
        <f>+SUBTOTAL(9,J165:J166)</f>
        <v>0</v>
      </c>
      <c r="K164" s="608"/>
      <c r="L164" s="165"/>
    </row>
    <row r="165" spans="1:13" ht="15">
      <c r="A165" s="597">
        <v>297</v>
      </c>
      <c r="B165" s="593">
        <v>981</v>
      </c>
      <c r="C165" s="587"/>
      <c r="D165" s="587"/>
      <c r="E165" s="68"/>
      <c r="F165" s="52"/>
      <c r="G165" s="52" t="str">
        <f>+G140</f>
        <v>mit Kapitalbezug</v>
      </c>
      <c r="H165" s="581"/>
      <c r="I165" s="788">
        <v>0</v>
      </c>
      <c r="J165" s="789">
        <v>0</v>
      </c>
      <c r="K165" s="608"/>
      <c r="L165" s="165"/>
    </row>
    <row r="166" spans="1:13" ht="15">
      <c r="A166" s="597" t="s">
        <v>3806</v>
      </c>
      <c r="B166" s="593">
        <v>982</v>
      </c>
      <c r="C166" s="587"/>
      <c r="D166" s="587"/>
      <c r="E166" s="68"/>
      <c r="F166" s="52"/>
      <c r="G166" s="52" t="str">
        <f>+G141</f>
        <v>ohne Kapitalbezug</v>
      </c>
      <c r="H166" s="581"/>
      <c r="I166" s="788">
        <v>0</v>
      </c>
      <c r="J166" s="789">
        <v>0</v>
      </c>
      <c r="K166" s="608"/>
      <c r="L166" s="165"/>
    </row>
    <row r="167" spans="1:13" ht="15">
      <c r="A167" s="597" t="s">
        <v>3806</v>
      </c>
      <c r="B167" s="593">
        <v>983</v>
      </c>
      <c r="C167" s="587"/>
      <c r="D167" s="587"/>
      <c r="E167" s="68"/>
      <c r="F167" s="52" t="str">
        <f>VLOOKUP($B167&amp;F$2,TEXTDF,SPRCODE+1,FALSE)</f>
        <v>Zugänge aus Spargutschriften</v>
      </c>
      <c r="G167" s="52"/>
      <c r="H167" s="581"/>
      <c r="I167" s="788">
        <v>0</v>
      </c>
      <c r="J167" s="789">
        <v>0</v>
      </c>
      <c r="K167" s="608"/>
      <c r="L167" s="165"/>
    </row>
    <row r="168" spans="1:13" ht="15">
      <c r="A168" s="597"/>
      <c r="B168" s="593" t="s">
        <v>4222</v>
      </c>
      <c r="C168" s="587"/>
      <c r="D168" s="587"/>
      <c r="E168" s="68"/>
      <c r="F168" s="52" t="str">
        <f>VLOOKUP($B168&amp;F$2,TEXTDF,SPRCODE+1,FALSE)</f>
        <v>Verzinsung der Altersguthaben (NEU)</v>
      </c>
      <c r="G168" s="52"/>
      <c r="H168" s="581"/>
      <c r="I168" s="788">
        <v>0</v>
      </c>
      <c r="J168" s="789">
        <v>0</v>
      </c>
      <c r="K168" s="608"/>
      <c r="L168" s="165"/>
    </row>
    <row r="169" spans="1:13" ht="15">
      <c r="A169" s="597"/>
      <c r="B169" s="593">
        <v>984</v>
      </c>
      <c r="C169" s="587"/>
      <c r="D169" s="587"/>
      <c r="E169" s="68"/>
      <c r="F169" s="52" t="str">
        <f>+F154</f>
        <v>Saldierung</v>
      </c>
      <c r="G169" s="68"/>
      <c r="H169" s="583"/>
      <c r="I169" s="603">
        <f>+I110+I113-J110-J113-SUBTOTAL(9,I158:I167)</f>
        <v>0</v>
      </c>
      <c r="J169" s="604">
        <f>+J110+J113-K110-K113-SUBTOTAL(9,J158:J167)</f>
        <v>0</v>
      </c>
      <c r="K169" s="608"/>
      <c r="L169" s="165"/>
      <c r="M169" s="242" t="str">
        <f>+IF(ABS(I169)&gt;1,IF(SPRCODE=1,"Bitte im Begleitbericht erläutern.","Justifier dans le rapport explicatif, svp"),"ok")</f>
        <v>ok</v>
      </c>
    </row>
    <row r="170" spans="1:13" ht="15">
      <c r="A170" s="597"/>
      <c r="B170" s="593">
        <v>985</v>
      </c>
      <c r="C170" s="582"/>
      <c r="D170" s="582"/>
      <c r="E170" s="52" t="str">
        <f>+E144</f>
        <v>Frauen</v>
      </c>
      <c r="F170" s="68"/>
      <c r="G170" s="68"/>
      <c r="H170" s="583"/>
      <c r="I170" s="606"/>
      <c r="J170" s="607"/>
      <c r="K170" s="608"/>
      <c r="L170" s="165"/>
    </row>
    <row r="171" spans="1:13" ht="15">
      <c r="A171" s="597"/>
      <c r="B171" s="593">
        <v>986</v>
      </c>
      <c r="C171" s="582"/>
      <c r="D171" s="582"/>
      <c r="E171" s="68"/>
      <c r="F171" s="52" t="str">
        <f t="shared" ref="F171:F177" si="4">+F158</f>
        <v>Zugänge aus Vertragsübernahmen</v>
      </c>
      <c r="G171" s="68"/>
      <c r="H171" s="583"/>
      <c r="I171" s="603">
        <f>+'TECHN ZERLEGUNG'!E169-I158</f>
        <v>0</v>
      </c>
      <c r="J171" s="604">
        <f>+'TECHN ZERLEGUNG'!F169-J158</f>
        <v>0</v>
      </c>
      <c r="K171" s="608"/>
      <c r="L171" s="165"/>
    </row>
    <row r="172" spans="1:13" ht="15">
      <c r="A172" s="597"/>
      <c r="B172" s="593">
        <v>987</v>
      </c>
      <c r="C172" s="582"/>
      <c r="D172" s="582"/>
      <c r="E172" s="68"/>
      <c r="F172" s="52" t="str">
        <f t="shared" si="4"/>
        <v>Abgänge aus Vertragsauflösungen</v>
      </c>
      <c r="G172" s="68"/>
      <c r="H172" s="583"/>
      <c r="I172" s="603">
        <f>-'TECHN ZERLEGUNG'!E183-I159</f>
        <v>0</v>
      </c>
      <c r="J172" s="604">
        <f>-'TECHN ZERLEGUNG'!F183-J159</f>
        <v>0</v>
      </c>
      <c r="K172" s="608"/>
      <c r="L172" s="165"/>
    </row>
    <row r="173" spans="1:13" ht="15">
      <c r="A173" s="597" t="s">
        <v>3806</v>
      </c>
      <c r="B173" s="593">
        <v>988</v>
      </c>
      <c r="C173" s="582"/>
      <c r="D173" s="582"/>
      <c r="E173" s="68"/>
      <c r="F173" s="52" t="str">
        <f t="shared" si="4"/>
        <v>Zugänge aus Diensteintritten</v>
      </c>
      <c r="G173" s="68"/>
      <c r="H173" s="583"/>
      <c r="I173" s="788">
        <v>0</v>
      </c>
      <c r="J173" s="789">
        <v>0</v>
      </c>
      <c r="K173" s="608"/>
      <c r="L173" s="165"/>
    </row>
    <row r="174" spans="1:13" ht="15">
      <c r="A174" s="597"/>
      <c r="B174" s="593">
        <v>989</v>
      </c>
      <c r="C174" s="582"/>
      <c r="D174" s="582"/>
      <c r="E174" s="68"/>
      <c r="F174" s="52" t="str">
        <f t="shared" si="4"/>
        <v>Abgänge infolge Dienstaustritten</v>
      </c>
      <c r="G174" s="68"/>
      <c r="H174" s="583"/>
      <c r="I174" s="603">
        <f>-'TECHN ZERLEGUNG'!E179-I161</f>
        <v>0</v>
      </c>
      <c r="J174" s="604">
        <f>-'TECHN ZERLEGUNG'!F179-J161</f>
        <v>0</v>
      </c>
      <c r="K174" s="608"/>
      <c r="L174" s="165"/>
    </row>
    <row r="175" spans="1:13" ht="15">
      <c r="A175" s="597" t="s">
        <v>3806</v>
      </c>
      <c r="B175" s="593">
        <v>990</v>
      </c>
      <c r="C175" s="582"/>
      <c r="D175" s="582"/>
      <c r="E175" s="68"/>
      <c r="F175" s="52" t="str">
        <f t="shared" si="4"/>
        <v>Abgänge infolge Tod</v>
      </c>
      <c r="G175" s="68"/>
      <c r="H175" s="583"/>
      <c r="I175" s="788">
        <v>0</v>
      </c>
      <c r="J175" s="789">
        <v>0</v>
      </c>
      <c r="K175" s="608"/>
      <c r="L175" s="165"/>
    </row>
    <row r="176" spans="1:13" ht="15">
      <c r="A176" s="597" t="s">
        <v>3806</v>
      </c>
      <c r="B176" s="593">
        <v>991</v>
      </c>
      <c r="C176" s="582"/>
      <c r="D176" s="582"/>
      <c r="E176" s="68"/>
      <c r="F176" s="52" t="str">
        <f t="shared" si="4"/>
        <v>Abgänge infolge Invalidisierung</v>
      </c>
      <c r="G176" s="68"/>
      <c r="H176" s="583"/>
      <c r="I176" s="788">
        <v>0</v>
      </c>
      <c r="J176" s="789">
        <v>0</v>
      </c>
      <c r="K176" s="608"/>
      <c r="L176" s="165"/>
    </row>
    <row r="177" spans="1:13" ht="15">
      <c r="A177" s="597"/>
      <c r="B177" s="593">
        <v>992</v>
      </c>
      <c r="C177" s="582"/>
      <c r="D177" s="582"/>
      <c r="E177" s="68"/>
      <c r="F177" s="52" t="str">
        <f t="shared" si="4"/>
        <v>Abgänge infolge Pensionierung</v>
      </c>
      <c r="G177" s="68"/>
      <c r="H177" s="583"/>
      <c r="I177" s="603">
        <f>+SUBTOTAL(9,I178:I179)</f>
        <v>0</v>
      </c>
      <c r="J177" s="604">
        <f>+SUBTOTAL(9,J178:J179)</f>
        <v>0</v>
      </c>
      <c r="K177" s="608"/>
      <c r="L177" s="165"/>
    </row>
    <row r="178" spans="1:13" ht="15">
      <c r="A178" s="597">
        <v>303</v>
      </c>
      <c r="B178" s="593">
        <v>993</v>
      </c>
      <c r="C178" s="582"/>
      <c r="D178" s="582"/>
      <c r="E178" s="68"/>
      <c r="F178" s="52"/>
      <c r="G178" s="52" t="str">
        <f>+G165</f>
        <v>mit Kapitalbezug</v>
      </c>
      <c r="H178" s="581"/>
      <c r="I178" s="788">
        <v>0</v>
      </c>
      <c r="J178" s="789">
        <v>0</v>
      </c>
      <c r="K178" s="608"/>
      <c r="L178" s="165"/>
    </row>
    <row r="179" spans="1:13" ht="15">
      <c r="A179" s="597" t="s">
        <v>3806</v>
      </c>
      <c r="B179" s="593">
        <v>994</v>
      </c>
      <c r="C179" s="582"/>
      <c r="D179" s="582"/>
      <c r="E179" s="68"/>
      <c r="F179" s="52"/>
      <c r="G179" s="52" t="str">
        <f>+G166</f>
        <v>ohne Kapitalbezug</v>
      </c>
      <c r="H179" s="581"/>
      <c r="I179" s="788">
        <v>0</v>
      </c>
      <c r="J179" s="789">
        <v>0</v>
      </c>
      <c r="K179" s="608"/>
      <c r="L179" s="165"/>
    </row>
    <row r="180" spans="1:13" ht="15">
      <c r="A180" s="597"/>
      <c r="B180" s="593">
        <v>995</v>
      </c>
      <c r="C180" s="582"/>
      <c r="D180" s="582"/>
      <c r="E180" s="68"/>
      <c r="F180" s="52" t="str">
        <f>+F167</f>
        <v>Zugänge aus Spargutschriften</v>
      </c>
      <c r="G180" s="52"/>
      <c r="H180" s="581"/>
      <c r="I180" s="603">
        <f>+'TECHN ZERLEGUNG'!E165-I167</f>
        <v>0</v>
      </c>
      <c r="J180" s="604">
        <f>+'TECHN ZERLEGUNG'!F165-J167</f>
        <v>0</v>
      </c>
      <c r="K180" s="608"/>
      <c r="L180" s="165"/>
    </row>
    <row r="181" spans="1:13" ht="15">
      <c r="A181" s="597"/>
      <c r="B181" s="593" t="s">
        <v>4226</v>
      </c>
      <c r="C181" s="582"/>
      <c r="D181" s="582"/>
      <c r="E181" s="68"/>
      <c r="F181" s="52" t="str">
        <f>+F168</f>
        <v>Verzinsung der Altersguthaben (NEU)</v>
      </c>
      <c r="G181" s="52"/>
      <c r="H181" s="581"/>
      <c r="I181" s="788">
        <v>0</v>
      </c>
      <c r="J181" s="789">
        <v>0</v>
      </c>
      <c r="K181" s="608"/>
      <c r="L181" s="165"/>
    </row>
    <row r="182" spans="1:13" ht="15">
      <c r="A182" s="597"/>
      <c r="B182" s="593">
        <v>996</v>
      </c>
      <c r="C182" s="582"/>
      <c r="D182" s="582"/>
      <c r="E182" s="68"/>
      <c r="F182" s="52" t="str">
        <f>+F169</f>
        <v>Saldierung</v>
      </c>
      <c r="G182" s="68"/>
      <c r="H182" s="583"/>
      <c r="I182" s="603">
        <f>+I111+I114-J111-J114-SUBTOTAL(9,I171:I180)</f>
        <v>0</v>
      </c>
      <c r="J182" s="604">
        <f>+J111+J114-K111-K114-SUBTOTAL(9,J171:J180)</f>
        <v>0</v>
      </c>
      <c r="K182" s="608"/>
      <c r="L182" s="165"/>
      <c r="M182" s="242" t="str">
        <f>+IF(ABS(I182)&gt;1,IF(SPRCODE=1,"Bitte im Begleitbericht erläutern.","Justifier dans le rapport explicatif, svp"),"ok")</f>
        <v>ok</v>
      </c>
    </row>
    <row r="183" spans="1:13" ht="8.1" customHeight="1">
      <c r="A183" s="597"/>
      <c r="B183" s="593">
        <v>997</v>
      </c>
      <c r="C183" s="582"/>
      <c r="D183" s="627"/>
      <c r="E183" s="160"/>
      <c r="F183" s="160"/>
      <c r="G183" s="160"/>
      <c r="H183" s="625"/>
      <c r="I183" s="640"/>
      <c r="J183" s="641"/>
      <c r="K183" s="639"/>
      <c r="L183" s="165"/>
    </row>
    <row r="184" spans="1:13" ht="15">
      <c r="A184" s="597"/>
      <c r="B184" s="593">
        <v>998</v>
      </c>
      <c r="C184" s="587"/>
      <c r="D184" s="579" t="str">
        <f>VLOOKUP($B184&amp;D$2,TEXTDF,SPRCODE+1,FALSE)</f>
        <v>Anzahl Rentenbezüger</v>
      </c>
      <c r="E184" s="68"/>
      <c r="F184" s="68"/>
      <c r="G184" s="68"/>
      <c r="H184" s="583"/>
      <c r="I184" s="612"/>
      <c r="J184" s="613"/>
      <c r="K184" s="608"/>
      <c r="L184" s="165"/>
    </row>
    <row r="185" spans="1:13" ht="15">
      <c r="A185" s="597"/>
      <c r="B185" s="593">
        <v>999</v>
      </c>
      <c r="C185" s="587"/>
      <c r="D185" s="587"/>
      <c r="E185" s="52" t="str">
        <f>+F116</f>
        <v>Invalidenrenten</v>
      </c>
      <c r="F185" s="68"/>
      <c r="G185" s="68"/>
      <c r="H185" s="583"/>
      <c r="I185" s="606"/>
      <c r="J185" s="607"/>
      <c r="K185" s="608"/>
      <c r="L185" s="165"/>
    </row>
    <row r="186" spans="1:13" ht="15">
      <c r="A186" s="597" t="s">
        <v>3896</v>
      </c>
      <c r="B186" s="593">
        <v>1000</v>
      </c>
      <c r="C186" s="587"/>
      <c r="D186" s="587"/>
      <c r="E186" s="52"/>
      <c r="F186" s="52" t="str">
        <f>VLOOKUP($B186&amp;F$2,TEXTDF,SPRCODE+1,FALSE)</f>
        <v>Zugänge aus Neuinvaliden</v>
      </c>
      <c r="G186" s="68"/>
      <c r="H186" s="583"/>
      <c r="I186" s="788">
        <v>0</v>
      </c>
      <c r="J186" s="789">
        <v>0</v>
      </c>
      <c r="K186" s="608"/>
      <c r="L186" s="165"/>
    </row>
    <row r="187" spans="1:13" ht="15">
      <c r="A187" s="597" t="s">
        <v>3806</v>
      </c>
      <c r="B187" s="593">
        <v>1001</v>
      </c>
      <c r="C187" s="587"/>
      <c r="D187" s="587"/>
      <c r="E187" s="52"/>
      <c r="F187" s="52" t="str">
        <f>VLOOKUP($B187&amp;F$2,TEXTDF,SPRCODE+1,FALSE)</f>
        <v>Abgänge durch Reaktivierung oder Tod</v>
      </c>
      <c r="G187" s="68"/>
      <c r="H187" s="583"/>
      <c r="I187" s="788">
        <v>0</v>
      </c>
      <c r="J187" s="789">
        <v>0</v>
      </c>
      <c r="K187" s="608"/>
      <c r="L187" s="165"/>
    </row>
    <row r="188" spans="1:13" ht="15">
      <c r="A188" s="597" t="s">
        <v>3806</v>
      </c>
      <c r="B188" s="593">
        <v>1002</v>
      </c>
      <c r="C188" s="587"/>
      <c r="D188" s="587"/>
      <c r="E188" s="52"/>
      <c r="F188" s="52" t="str">
        <f>VLOOKUP($B188&amp;F$2,TEXTDF,SPRCODE+1,FALSE)</f>
        <v>Abgänge durch Pensionierung</v>
      </c>
      <c r="G188" s="68"/>
      <c r="H188" s="583"/>
      <c r="I188" s="788">
        <v>0</v>
      </c>
      <c r="J188" s="789">
        <v>0</v>
      </c>
      <c r="K188" s="608"/>
      <c r="L188" s="165"/>
    </row>
    <row r="189" spans="1:13" ht="15">
      <c r="A189" s="597"/>
      <c r="B189" s="593">
        <v>1003</v>
      </c>
      <c r="C189" s="587"/>
      <c r="D189" s="587"/>
      <c r="E189" s="52"/>
      <c r="F189" s="52" t="str">
        <f>+F182</f>
        <v>Saldierung</v>
      </c>
      <c r="G189" s="68"/>
      <c r="H189" s="583"/>
      <c r="I189" s="603">
        <f>+I93-J93-SUBTOTAL(9,I186:I188)</f>
        <v>0</v>
      </c>
      <c r="J189" s="604">
        <f>+J93-K93-SUBTOTAL(9,J186:J188)</f>
        <v>0</v>
      </c>
      <c r="K189" s="608"/>
      <c r="L189" s="165"/>
      <c r="M189" s="242" t="str">
        <f>+IF(ABS(I189)&gt;1,IF(SPRCODE=1,"Bitte im Begleitbericht erläutern.","Justifier dans le rapport explicatif, svp"),"ok")</f>
        <v>ok</v>
      </c>
    </row>
    <row r="190" spans="1:13" ht="15">
      <c r="A190" s="597"/>
      <c r="B190" s="593">
        <v>1004</v>
      </c>
      <c r="C190" s="587"/>
      <c r="D190" s="587"/>
      <c r="E190" s="52" t="str">
        <f>+F120</f>
        <v>Hinterlassenenrenten</v>
      </c>
      <c r="F190" s="68"/>
      <c r="G190" s="68"/>
      <c r="H190" s="583"/>
      <c r="I190" s="606"/>
      <c r="J190" s="607"/>
      <c r="K190" s="608"/>
      <c r="L190" s="165"/>
    </row>
    <row r="191" spans="1:13" ht="15">
      <c r="A191" s="597" t="s">
        <v>3806</v>
      </c>
      <c r="B191" s="593">
        <v>1005</v>
      </c>
      <c r="C191" s="582"/>
      <c r="D191" s="582"/>
      <c r="E191" s="68"/>
      <c r="F191" s="52" t="str">
        <f>VLOOKUP($B191&amp;F$2,TEXTDF,SPRCODE+1,FALSE)</f>
        <v>Zugänge aus Todesfällen</v>
      </c>
      <c r="G191" s="68"/>
      <c r="H191" s="583"/>
      <c r="I191" s="788">
        <v>0</v>
      </c>
      <c r="J191" s="789">
        <v>0</v>
      </c>
      <c r="K191" s="608"/>
      <c r="L191" s="165"/>
    </row>
    <row r="192" spans="1:13" ht="15">
      <c r="A192" s="597" t="s">
        <v>3806</v>
      </c>
      <c r="B192" s="593">
        <v>1006</v>
      </c>
      <c r="C192" s="582"/>
      <c r="D192" s="582"/>
      <c r="E192" s="68"/>
      <c r="F192" s="52" t="str">
        <f>VLOOKUP($B192&amp;F$2,TEXTDF,SPRCODE+1,FALSE)</f>
        <v>Abgänge aus Todesfällen</v>
      </c>
      <c r="G192" s="68"/>
      <c r="H192" s="583"/>
      <c r="I192" s="788">
        <v>0</v>
      </c>
      <c r="J192" s="789">
        <v>0</v>
      </c>
      <c r="K192" s="608"/>
      <c r="L192" s="165"/>
    </row>
    <row r="193" spans="1:13" ht="15">
      <c r="A193" s="597"/>
      <c r="B193" s="593">
        <v>1007</v>
      </c>
      <c r="C193" s="582"/>
      <c r="D193" s="582"/>
      <c r="E193" s="68"/>
      <c r="F193" s="52" t="str">
        <f>+F189</f>
        <v>Saldierung</v>
      </c>
      <c r="G193" s="68"/>
      <c r="H193" s="583"/>
      <c r="I193" s="603">
        <f>+I97-J97-SUBTOTAL(9,I191:I192)</f>
        <v>0</v>
      </c>
      <c r="J193" s="604">
        <f>+J97-K97-SUBTOTAL(9,J191:J192)</f>
        <v>0</v>
      </c>
      <c r="K193" s="608"/>
      <c r="L193" s="165"/>
      <c r="M193" s="242" t="str">
        <f>+IF(ABS(I193)&gt;1,IF(SPRCODE=1,"Bitte im Begleitbericht erläutern.","Justifier dans le rapport explicatif, svp"),"ok")</f>
        <v>ok</v>
      </c>
    </row>
    <row r="194" spans="1:13" ht="15">
      <c r="A194" s="597"/>
      <c r="B194" s="593">
        <v>1008</v>
      </c>
      <c r="C194" s="587"/>
      <c r="D194" s="587"/>
      <c r="E194" s="52" t="str">
        <f>+F124</f>
        <v>Altersrenten</v>
      </c>
      <c r="F194" s="68"/>
      <c r="G194" s="68"/>
      <c r="H194" s="583"/>
      <c r="I194" s="606"/>
      <c r="J194" s="607"/>
      <c r="K194" s="608"/>
      <c r="L194" s="165"/>
    </row>
    <row r="195" spans="1:13" ht="15">
      <c r="A195" s="597"/>
      <c r="B195" s="593">
        <v>1009</v>
      </c>
      <c r="C195" s="582"/>
      <c r="D195" s="582"/>
      <c r="E195" s="68"/>
      <c r="F195" s="52" t="str">
        <f>VLOOKUP($B195&amp;F$2,TEXTDF,SPRCODE+1,FALSE)</f>
        <v>Zugänge aus Pensionierungen</v>
      </c>
      <c r="G195" s="68"/>
      <c r="H195" s="583"/>
      <c r="I195" s="603">
        <f>-I139-I151-I188</f>
        <v>0</v>
      </c>
      <c r="J195" s="604">
        <f>-J139-J151-J188</f>
        <v>0</v>
      </c>
      <c r="K195" s="608"/>
      <c r="L195" s="165"/>
    </row>
    <row r="196" spans="1:13" ht="15">
      <c r="A196" s="597"/>
      <c r="B196" s="593" t="s">
        <v>4215</v>
      </c>
      <c r="C196" s="582"/>
      <c r="D196" s="582"/>
      <c r="E196" s="68"/>
      <c r="F196" s="45" t="str">
        <f>VLOOKUP($B196&amp;F$2,TEXTDF,SPRCODE+1,FALSE)</f>
        <v>Abgänge für nicht rückgedeckte Pensionierungen (NEU)</v>
      </c>
      <c r="G196" s="68"/>
      <c r="H196" s="583"/>
      <c r="I196" s="788">
        <v>0</v>
      </c>
      <c r="J196" s="789">
        <v>0</v>
      </c>
      <c r="K196" s="608"/>
      <c r="L196" s="165"/>
    </row>
    <row r="197" spans="1:13" ht="15">
      <c r="A197" s="597" t="s">
        <v>3806</v>
      </c>
      <c r="B197" s="593">
        <v>1010</v>
      </c>
      <c r="C197" s="582"/>
      <c r="D197" s="582"/>
      <c r="E197" s="68"/>
      <c r="F197" s="52" t="str">
        <f>VLOOKUP($B197&amp;F$2,TEXTDF,SPRCODE+1,FALSE)</f>
        <v>Abgänge durch Tod</v>
      </c>
      <c r="G197" s="68"/>
      <c r="H197" s="583"/>
      <c r="I197" s="788">
        <v>0</v>
      </c>
      <c r="J197" s="789">
        <v>0</v>
      </c>
      <c r="K197" s="608"/>
      <c r="L197" s="165"/>
    </row>
    <row r="198" spans="1:13" ht="15">
      <c r="A198" s="597"/>
      <c r="B198" s="593">
        <v>1011</v>
      </c>
      <c r="C198" s="582"/>
      <c r="D198" s="582"/>
      <c r="E198" s="68"/>
      <c r="F198" s="52" t="str">
        <f>+F193</f>
        <v>Saldierung</v>
      </c>
      <c r="G198" s="68"/>
      <c r="H198" s="583"/>
      <c r="I198" s="603">
        <f>+I101-J101-SUBTOTAL(9,I195:I197)</f>
        <v>0</v>
      </c>
      <c r="J198" s="604">
        <f>+J101-K101-SUBTOTAL(9,J195:J197)</f>
        <v>0</v>
      </c>
      <c r="K198" s="608"/>
      <c r="L198" s="165"/>
      <c r="M198" s="242" t="str">
        <f>+IF(ABS(I198)&gt;1,IF(SPRCODE=1,"Bitte im Begleitbericht erläutern.","Justifier dans le rapport explicatif, svp"),"ok")</f>
        <v>ok</v>
      </c>
    </row>
    <row r="199" spans="1:13" ht="15">
      <c r="A199" s="597"/>
      <c r="B199" s="593">
        <v>1012</v>
      </c>
      <c r="C199" s="587"/>
      <c r="D199" s="587"/>
      <c r="E199" s="52" t="str">
        <f>+F128</f>
        <v>Übrige Renten</v>
      </c>
      <c r="F199" s="52"/>
      <c r="G199" s="68"/>
      <c r="H199" s="583"/>
      <c r="I199" s="615"/>
      <c r="J199" s="616"/>
      <c r="K199" s="608"/>
      <c r="L199" s="165"/>
    </row>
    <row r="200" spans="1:13" ht="15">
      <c r="A200" s="597" t="s">
        <v>3806</v>
      </c>
      <c r="B200" s="593">
        <v>1013</v>
      </c>
      <c r="C200" s="582"/>
      <c r="D200" s="582"/>
      <c r="E200" s="52"/>
      <c r="F200" s="52" t="str">
        <f>VLOOKUP($B200&amp;F$2,TEXTDF,SPRCODE+1,FALSE)</f>
        <v>Zugänge</v>
      </c>
      <c r="G200" s="68"/>
      <c r="H200" s="583"/>
      <c r="I200" s="788">
        <v>0</v>
      </c>
      <c r="J200" s="789">
        <v>0</v>
      </c>
      <c r="K200" s="608"/>
      <c r="L200" s="165"/>
    </row>
    <row r="201" spans="1:13" ht="15">
      <c r="A201" s="597" t="s">
        <v>3806</v>
      </c>
      <c r="B201" s="593">
        <v>1014</v>
      </c>
      <c r="C201" s="582"/>
      <c r="D201" s="582"/>
      <c r="E201" s="52"/>
      <c r="F201" s="52" t="str">
        <f>VLOOKUP($B201&amp;F$2,TEXTDF,SPRCODE+1,FALSE)</f>
        <v>Abgänge</v>
      </c>
      <c r="G201" s="68"/>
      <c r="H201" s="583"/>
      <c r="I201" s="788">
        <v>0</v>
      </c>
      <c r="J201" s="789">
        <v>0</v>
      </c>
      <c r="K201" s="608"/>
      <c r="L201" s="165"/>
    </row>
    <row r="202" spans="1:13" ht="15.75" thickBot="1">
      <c r="A202" s="597"/>
      <c r="B202" s="593">
        <v>1015</v>
      </c>
      <c r="C202" s="582"/>
      <c r="D202" s="589"/>
      <c r="E202" s="628"/>
      <c r="F202" s="628" t="str">
        <f>+F198</f>
        <v>Saldierung</v>
      </c>
      <c r="G202" s="590"/>
      <c r="H202" s="591"/>
      <c r="I202" s="620">
        <f>+I105-J105-SUBTOTAL(9,I200:I201)</f>
        <v>0</v>
      </c>
      <c r="J202" s="621">
        <f>+J105-K105-SUBTOTAL(9,J200:J201)</f>
        <v>0</v>
      </c>
      <c r="K202" s="622"/>
      <c r="L202" s="165"/>
      <c r="M202" s="242" t="str">
        <f>+IF(ABS(I202)&gt;1,IF(SPRCODE=1,"Bitte im Begleitbericht erläutern.","Justifier dans le rapport explicatif, svp"),"ok")</f>
        <v>ok</v>
      </c>
    </row>
    <row r="203" spans="1:13" ht="8.1" customHeight="1">
      <c r="A203" s="597"/>
      <c r="B203" s="593">
        <v>1016</v>
      </c>
      <c r="C203" s="582"/>
      <c r="D203" s="629"/>
      <c r="E203" s="630"/>
      <c r="F203" s="630"/>
      <c r="G203" s="630"/>
      <c r="H203" s="631"/>
      <c r="I203" s="632"/>
      <c r="J203" s="633"/>
      <c r="K203" s="634"/>
      <c r="L203" s="165"/>
    </row>
    <row r="204" spans="1:13" s="165" customFormat="1" ht="15.75">
      <c r="A204" s="598"/>
      <c r="B204" s="593">
        <v>1017</v>
      </c>
      <c r="C204" s="585"/>
      <c r="D204" s="635" t="str">
        <f>VLOOKUP($B204&amp;D$2,TEXTDF,SPRCODE+1,FALSE)</f>
        <v>Spezielle Angaben</v>
      </c>
      <c r="E204" s="164"/>
      <c r="F204" s="164"/>
      <c r="G204" s="164"/>
      <c r="H204" s="586"/>
      <c r="I204" s="609"/>
      <c r="J204" s="610"/>
      <c r="K204" s="611"/>
      <c r="M204" s="800"/>
    </row>
    <row r="205" spans="1:13" ht="15">
      <c r="A205" s="597"/>
      <c r="B205" s="593">
        <v>1018</v>
      </c>
      <c r="C205" s="579"/>
      <c r="D205" s="579" t="str">
        <f>VLOOKUP($B205&amp;D$2,TEXTDF,SPRCODE+1,FALSE)</f>
        <v>Laufende Renten und Rentenumwandlungen (in 1'000 CHF)</v>
      </c>
      <c r="E205" s="68"/>
      <c r="F205" s="68"/>
      <c r="G205" s="68"/>
      <c r="H205" s="583"/>
      <c r="I205" s="612"/>
      <c r="J205" s="613"/>
      <c r="K205" s="608"/>
      <c r="L205" s="165"/>
    </row>
    <row r="206" spans="1:13" ht="15">
      <c r="A206" s="597"/>
      <c r="B206" s="593">
        <v>1019</v>
      </c>
      <c r="C206" s="587"/>
      <c r="D206" s="587"/>
      <c r="E206" s="52" t="str">
        <f t="shared" ref="E206:E211" si="5">VLOOKUP($B206&amp;E$2,TEXTDF,SPRCODE+1,FALSE)</f>
        <v>Bestehende Verstärkungen für laufende Renten</v>
      </c>
      <c r="F206" s="52"/>
      <c r="G206" s="68"/>
      <c r="H206" s="583"/>
      <c r="I206" s="603">
        <f>+BILANZ!F54+BILANZ!F58+BILANZ!F62</f>
        <v>0</v>
      </c>
      <c r="J206" s="604">
        <f>+BILANZ!G54+BILANZ!G58+BILANZ!G62</f>
        <v>0</v>
      </c>
      <c r="K206" s="608"/>
      <c r="L206" s="165"/>
    </row>
    <row r="207" spans="1:13" ht="15">
      <c r="A207" s="597" t="s">
        <v>2971</v>
      </c>
      <c r="B207" s="593">
        <v>1020</v>
      </c>
      <c r="C207" s="587"/>
      <c r="D207" s="587"/>
      <c r="E207" s="52" t="str">
        <f t="shared" si="5"/>
        <v>Geschätzter Nachreservierungsbedarf für laufende Renten im Folgejahr</v>
      </c>
      <c r="F207" s="52"/>
      <c r="G207" s="68"/>
      <c r="H207" s="583"/>
      <c r="I207" s="788">
        <v>0</v>
      </c>
      <c r="J207" s="789">
        <v>0</v>
      </c>
      <c r="K207" s="608"/>
      <c r="L207" s="165"/>
    </row>
    <row r="208" spans="1:13" ht="15">
      <c r="A208" s="597">
        <v>344</v>
      </c>
      <c r="B208" s="593">
        <v>1021</v>
      </c>
      <c r="C208" s="587"/>
      <c r="D208" s="587"/>
      <c r="E208" s="52" t="str">
        <f t="shared" si="5"/>
        <v>Ermittelter Verlust aus Rentenumwandlung im Berichtsjahr</v>
      </c>
      <c r="F208" s="52"/>
      <c r="G208" s="68"/>
      <c r="H208" s="583"/>
      <c r="I208" s="788">
        <v>0</v>
      </c>
      <c r="J208" s="789">
        <v>0</v>
      </c>
      <c r="K208" s="608"/>
      <c r="L208" s="165"/>
    </row>
    <row r="209" spans="1:12" ht="15">
      <c r="A209" s="597">
        <v>345</v>
      </c>
      <c r="B209" s="593">
        <v>1022</v>
      </c>
      <c r="C209" s="587"/>
      <c r="D209" s="587"/>
      <c r="E209" s="52" t="str">
        <f t="shared" si="5"/>
        <v>Geschätzter Verlust aus Rentenumwandlung im Folgejahr</v>
      </c>
      <c r="F209" s="52"/>
      <c r="G209" s="68"/>
      <c r="H209" s="583"/>
      <c r="I209" s="788">
        <v>0</v>
      </c>
      <c r="J209" s="789">
        <v>0</v>
      </c>
      <c r="K209" s="608"/>
      <c r="L209" s="165"/>
    </row>
    <row r="210" spans="1:12" ht="15">
      <c r="A210" s="597"/>
      <c r="B210" s="593">
        <v>1023</v>
      </c>
      <c r="C210" s="587"/>
      <c r="D210" s="587"/>
      <c r="E210" s="52" t="str">
        <f t="shared" si="5"/>
        <v>Bestehende Rückstellung für künftige Umwandlungssatzverluste</v>
      </c>
      <c r="F210" s="52"/>
      <c r="G210" s="68"/>
      <c r="H210" s="583"/>
      <c r="I210" s="603">
        <f>+BILANZ!F50</f>
        <v>0</v>
      </c>
      <c r="J210" s="604">
        <f>+BILANZ!G50</f>
        <v>0</v>
      </c>
      <c r="K210" s="608"/>
      <c r="L210" s="165"/>
    </row>
    <row r="211" spans="1:12" ht="15">
      <c r="A211" s="597" t="s">
        <v>1758</v>
      </c>
      <c r="B211" s="593">
        <v>1024</v>
      </c>
      <c r="C211" s="587"/>
      <c r="D211" s="642"/>
      <c r="E211" s="624" t="str">
        <f t="shared" si="5"/>
        <v>Geschätzter Verstärkungsbedarf der Rst. UWS-Verluste im Folgejahr</v>
      </c>
      <c r="F211" s="624"/>
      <c r="G211" s="160"/>
      <c r="H211" s="625"/>
      <c r="I211" s="828">
        <v>0</v>
      </c>
      <c r="J211" s="829">
        <v>0</v>
      </c>
      <c r="K211" s="639"/>
      <c r="L211" s="165"/>
    </row>
    <row r="212" spans="1:12" ht="15">
      <c r="A212" s="597"/>
      <c r="B212" s="593">
        <v>1025</v>
      </c>
      <c r="C212" s="579"/>
      <c r="D212" s="579" t="str">
        <f>VLOOKUP($B212&amp;D$2,TEXTDF,SPRCODE+1,FALSE)</f>
        <v>Zins- und Umwandlungssätze (in %)</v>
      </c>
      <c r="E212" s="68"/>
      <c r="F212" s="68"/>
      <c r="G212" s="68"/>
      <c r="H212" s="583"/>
      <c r="I212" s="612"/>
      <c r="J212" s="613"/>
      <c r="K212" s="614"/>
      <c r="L212" s="165"/>
    </row>
    <row r="213" spans="1:12" ht="15">
      <c r="A213" s="597" t="s">
        <v>3806</v>
      </c>
      <c r="B213" s="593">
        <v>1026</v>
      </c>
      <c r="C213" s="587"/>
      <c r="D213" s="582"/>
      <c r="E213" s="52" t="str">
        <f t="shared" ref="E213:E219" si="6">VLOOKUP($B213&amp;E$2,TEXTDF,SPRCODE+1,FALSE)</f>
        <v>Garantierter Zinssatz obligatorische Altersguthaben</v>
      </c>
      <c r="F213" s="68"/>
      <c r="G213" s="68"/>
      <c r="H213" s="583"/>
      <c r="I213" s="831">
        <v>0</v>
      </c>
      <c r="J213" s="832">
        <v>0</v>
      </c>
      <c r="K213" s="833">
        <v>0</v>
      </c>
      <c r="L213" s="165"/>
    </row>
    <row r="214" spans="1:12" ht="15">
      <c r="A214" s="597" t="s">
        <v>3806</v>
      </c>
      <c r="B214" s="593">
        <v>1027</v>
      </c>
      <c r="C214" s="587"/>
      <c r="D214" s="582"/>
      <c r="E214" s="52" t="str">
        <f t="shared" si="6"/>
        <v>Überschusszinssatz obligatorische Altersguthaben</v>
      </c>
      <c r="F214" s="68"/>
      <c r="G214" s="68"/>
      <c r="H214" s="583"/>
      <c r="I214" s="831">
        <v>0</v>
      </c>
      <c r="J214" s="832">
        <v>0</v>
      </c>
      <c r="K214" s="833">
        <v>0</v>
      </c>
      <c r="L214" s="165"/>
    </row>
    <row r="215" spans="1:12" ht="15">
      <c r="A215" s="597" t="s">
        <v>496</v>
      </c>
      <c r="B215" s="593">
        <v>1028</v>
      </c>
      <c r="C215" s="587"/>
      <c r="D215" s="582"/>
      <c r="E215" s="52" t="str">
        <f t="shared" si="6"/>
        <v>Garantierter Zinssatz überobligatorische Altersguthaben</v>
      </c>
      <c r="F215" s="68"/>
      <c r="G215" s="68"/>
      <c r="H215" s="583"/>
      <c r="I215" s="831">
        <v>0</v>
      </c>
      <c r="J215" s="832">
        <v>0</v>
      </c>
      <c r="K215" s="833">
        <v>0</v>
      </c>
      <c r="L215" s="165"/>
    </row>
    <row r="216" spans="1:12" ht="15">
      <c r="A216" s="597" t="s">
        <v>3806</v>
      </c>
      <c r="B216" s="593">
        <v>1029</v>
      </c>
      <c r="C216" s="587"/>
      <c r="D216" s="582"/>
      <c r="E216" s="52" t="str">
        <f t="shared" si="6"/>
        <v>Überschusszinssatz überobligatorische Altersguthaben</v>
      </c>
      <c r="F216" s="68"/>
      <c r="G216" s="68"/>
      <c r="H216" s="583"/>
      <c r="I216" s="831">
        <v>0</v>
      </c>
      <c r="J216" s="832">
        <v>0</v>
      </c>
      <c r="K216" s="833">
        <v>0</v>
      </c>
      <c r="L216" s="165"/>
    </row>
    <row r="217" spans="1:12" ht="15">
      <c r="A217" s="597"/>
      <c r="B217" s="593">
        <v>1030</v>
      </c>
      <c r="C217" s="587"/>
      <c r="D217" s="582"/>
      <c r="E217" s="52" t="str">
        <f t="shared" si="6"/>
        <v>BVG-Mindestzinssatz</v>
      </c>
      <c r="F217" s="68"/>
      <c r="G217" s="68"/>
      <c r="H217" s="583"/>
      <c r="I217" s="617">
        <f>+LOOKUP(I3,BVGMindestzinssatz)</f>
        <v>0.01</v>
      </c>
      <c r="J217" s="618">
        <f>+LOOKUP(J3,BVGMindestzinssatz)</f>
        <v>0.01</v>
      </c>
      <c r="K217" s="619">
        <f>+LOOKUP(K3,BVGMindestzinssatz)</f>
        <v>0.01</v>
      </c>
      <c r="L217" s="165"/>
    </row>
    <row r="218" spans="1:12" ht="15">
      <c r="A218" s="597" t="s">
        <v>2969</v>
      </c>
      <c r="B218" s="593">
        <v>1031</v>
      </c>
      <c r="C218" s="587"/>
      <c r="D218" s="582"/>
      <c r="E218" s="52" t="str">
        <f t="shared" si="6"/>
        <v>Zinssatz für die Bewertung der Rentenverpflichtungen</v>
      </c>
      <c r="F218" s="68"/>
      <c r="G218" s="68"/>
      <c r="H218" s="583"/>
      <c r="I218" s="831">
        <v>0</v>
      </c>
      <c r="J218" s="832">
        <v>0</v>
      </c>
      <c r="K218" s="833">
        <v>0</v>
      </c>
      <c r="L218" s="165"/>
    </row>
    <row r="219" spans="1:12" ht="15">
      <c r="A219" s="597"/>
      <c r="B219" s="593">
        <v>1032</v>
      </c>
      <c r="C219" s="587"/>
      <c r="D219" s="582"/>
      <c r="E219" s="52" t="str">
        <f t="shared" si="6"/>
        <v>Umwandlungssatz zur Umwandlung obligatorischer Altersguthaben</v>
      </c>
      <c r="F219" s="68"/>
      <c r="G219" s="68"/>
      <c r="H219" s="583"/>
      <c r="I219" s="606"/>
      <c r="J219" s="607"/>
      <c r="K219" s="608"/>
      <c r="L219" s="165"/>
    </row>
    <row r="220" spans="1:12" ht="15">
      <c r="A220" s="597" t="s">
        <v>3806</v>
      </c>
      <c r="B220" s="593">
        <v>1033</v>
      </c>
      <c r="C220" s="582"/>
      <c r="D220" s="582"/>
      <c r="E220" s="68"/>
      <c r="F220" s="52" t="str">
        <f>VLOOKUP($B220&amp;F$2,TEXTDF,SPRCODE+1,FALSE)</f>
        <v>Männer im Alter 65</v>
      </c>
      <c r="G220" s="68"/>
      <c r="H220" s="583"/>
      <c r="I220" s="831">
        <v>0</v>
      </c>
      <c r="J220" s="832">
        <v>0</v>
      </c>
      <c r="K220" s="833">
        <v>0</v>
      </c>
      <c r="L220" s="165"/>
    </row>
    <row r="221" spans="1:12" ht="15">
      <c r="A221" s="597" t="s">
        <v>3806</v>
      </c>
      <c r="B221" s="593">
        <v>1034</v>
      </c>
      <c r="C221" s="582"/>
      <c r="D221" s="582"/>
      <c r="E221" s="68"/>
      <c r="F221" s="52" t="str">
        <f>VLOOKUP($B221&amp;F$2,TEXTDF,SPRCODE+1,FALSE)</f>
        <v>Frauen im Alter 64</v>
      </c>
      <c r="G221" s="68"/>
      <c r="H221" s="583"/>
      <c r="I221" s="831">
        <v>0</v>
      </c>
      <c r="J221" s="832">
        <v>0</v>
      </c>
      <c r="K221" s="833">
        <v>0</v>
      </c>
      <c r="L221" s="165"/>
    </row>
    <row r="222" spans="1:12" ht="15">
      <c r="A222" s="597"/>
      <c r="B222" s="593">
        <v>1035</v>
      </c>
      <c r="C222" s="587"/>
      <c r="D222" s="582"/>
      <c r="E222" s="52" t="str">
        <f>VLOOKUP($B222&amp;E$2,TEXTDF,SPRCODE+1,FALSE)</f>
        <v>Umwandlungssatz zur Umwandlung überobligatorischer Altersguthaben</v>
      </c>
      <c r="F222" s="68"/>
      <c r="G222" s="68"/>
      <c r="H222" s="583"/>
      <c r="I222" s="606"/>
      <c r="J222" s="607"/>
      <c r="K222" s="608"/>
      <c r="L222" s="165"/>
    </row>
    <row r="223" spans="1:12" ht="15">
      <c r="A223" s="597">
        <v>300</v>
      </c>
      <c r="B223" s="593">
        <v>1036</v>
      </c>
      <c r="C223" s="582"/>
      <c r="D223" s="582"/>
      <c r="E223" s="68"/>
      <c r="F223" s="52" t="str">
        <f>+F220</f>
        <v>Männer im Alter 65</v>
      </c>
      <c r="G223" s="68"/>
      <c r="H223" s="583"/>
      <c r="I223" s="831">
        <v>0</v>
      </c>
      <c r="J223" s="832">
        <v>0</v>
      </c>
      <c r="K223" s="833">
        <v>0</v>
      </c>
      <c r="L223" s="165"/>
    </row>
    <row r="224" spans="1:12" ht="15">
      <c r="A224" s="597">
        <v>306</v>
      </c>
      <c r="B224" s="593">
        <v>1037</v>
      </c>
      <c r="C224" s="582"/>
      <c r="D224" s="582"/>
      <c r="E224" s="68"/>
      <c r="F224" s="52" t="str">
        <f>+F221</f>
        <v>Frauen im Alter 64</v>
      </c>
      <c r="G224" s="68"/>
      <c r="H224" s="583"/>
      <c r="I224" s="831">
        <v>0</v>
      </c>
      <c r="J224" s="832">
        <v>0</v>
      </c>
      <c r="K224" s="833">
        <v>0</v>
      </c>
      <c r="L224" s="165"/>
    </row>
    <row r="225" spans="1:13" ht="15">
      <c r="A225" s="597"/>
      <c r="B225" s="593">
        <v>1038</v>
      </c>
      <c r="C225" s="587"/>
      <c r="D225" s="582"/>
      <c r="E225" s="52" t="str">
        <f>VLOOKUP($B225&amp;E$2,TEXTDF,SPRCODE+1,FALSE)</f>
        <v>Gesetzlicher Mindest-Rentenumwandlungssatz (M65/F64)</v>
      </c>
      <c r="F225" s="68"/>
      <c r="G225" s="68"/>
      <c r="H225" s="583"/>
      <c r="I225" s="617">
        <f>+LOOKUP(I3,BVGUWS)</f>
        <v>6.8000000000000005E-2</v>
      </c>
      <c r="J225" s="618">
        <f>+LOOKUP(J3,BVGUWS)</f>
        <v>6.8000000000000005E-2</v>
      </c>
      <c r="K225" s="619">
        <f>+LOOKUP(K3,BVGUWS)</f>
        <v>6.8000000000000005E-2</v>
      </c>
      <c r="L225" s="165"/>
    </row>
    <row r="226" spans="1:13" ht="7.5" customHeight="1" thickBot="1">
      <c r="A226" s="597"/>
      <c r="B226" s="593">
        <v>1039</v>
      </c>
      <c r="C226" s="582"/>
      <c r="D226" s="589"/>
      <c r="E226" s="590"/>
      <c r="F226" s="590"/>
      <c r="G226" s="590"/>
      <c r="H226" s="591"/>
      <c r="I226" s="643"/>
      <c r="J226" s="644"/>
      <c r="K226" s="622"/>
      <c r="L226" s="165"/>
    </row>
    <row r="227" spans="1:13" s="165" customFormat="1" ht="21" customHeight="1">
      <c r="A227" s="598"/>
      <c r="B227" s="593">
        <v>1040</v>
      </c>
      <c r="C227" s="585"/>
      <c r="D227" s="588" t="str">
        <f>VLOOKUP($B227&amp;D$2,TEXTDF,SPRCODE+1,FALSE)</f>
        <v>Detaillierter Ausweis der Aufwendungen für die Bewirtschaftung der Kapitalanlagen (in 1'000 CHF)</v>
      </c>
      <c r="E227" s="164"/>
      <c r="F227" s="164"/>
      <c r="G227" s="164"/>
      <c r="H227" s="586"/>
      <c r="I227" s="609"/>
      <c r="J227" s="610"/>
      <c r="K227" s="611"/>
      <c r="M227" s="800"/>
    </row>
    <row r="228" spans="1:13" ht="15">
      <c r="A228" s="597"/>
      <c r="B228" s="593">
        <v>1041</v>
      </c>
      <c r="C228" s="582"/>
      <c r="D228" s="580" t="str">
        <f>VLOOKUP($B228&amp;D$2,TEXTDF,SPRCODE+1,FALSE)</f>
        <v>Marktwert Total Kapitalanlagen</v>
      </c>
      <c r="E228" s="580"/>
      <c r="F228" s="580"/>
      <c r="G228" s="580"/>
      <c r="H228" s="645"/>
      <c r="I228" s="418">
        <f>+BEWERTUNGSRESERVEN!E19</f>
        <v>0</v>
      </c>
      <c r="J228" s="307">
        <f>+BEWERTUNGSRESERVEN!I19</f>
        <v>0</v>
      </c>
      <c r="K228" s="614"/>
      <c r="L228" s="165"/>
    </row>
    <row r="229" spans="1:13" ht="15">
      <c r="A229" s="597">
        <v>561</v>
      </c>
      <c r="B229" s="593">
        <v>1042</v>
      </c>
      <c r="C229" s="582"/>
      <c r="D229" s="68"/>
      <c r="E229" s="68" t="str">
        <f>VLOOKUP($B229&amp;E$2,TEXTDF,SPRCODE+1,FALSE)</f>
        <v>Marktwert direkte Kapitalanlagen</v>
      </c>
      <c r="F229" s="68"/>
      <c r="G229" s="68"/>
      <c r="H229" s="583"/>
      <c r="I229" s="788">
        <v>0</v>
      </c>
      <c r="J229" s="789">
        <v>0</v>
      </c>
      <c r="K229" s="608"/>
      <c r="L229" s="165"/>
    </row>
    <row r="230" spans="1:13" ht="15">
      <c r="A230" s="597">
        <v>562</v>
      </c>
      <c r="B230" s="593">
        <v>1043</v>
      </c>
      <c r="C230" s="582"/>
      <c r="D230" s="68"/>
      <c r="E230" s="68" t="str">
        <f>VLOOKUP($B230&amp;E$2,TEXTDF,SPRCODE+1,FALSE)</f>
        <v>Marktwert ein- und mehrstufige kollektive Kapitalanlagen</v>
      </c>
      <c r="F230" s="68"/>
      <c r="G230" s="68"/>
      <c r="H230" s="583"/>
      <c r="I230" s="788">
        <v>0</v>
      </c>
      <c r="J230" s="789">
        <v>0</v>
      </c>
      <c r="K230" s="608"/>
      <c r="L230" s="165"/>
    </row>
    <row r="231" spans="1:13" ht="15">
      <c r="A231" s="597">
        <v>563</v>
      </c>
      <c r="B231" s="593">
        <v>1044</v>
      </c>
      <c r="C231" s="582"/>
      <c r="D231" s="68"/>
      <c r="E231" s="68" t="str">
        <f>VLOOKUP($B231&amp;E$2,TEXTDF,SPRCODE+1,FALSE)</f>
        <v>Marktwert nicht kostentransparente Kapitalanlagen</v>
      </c>
      <c r="F231" s="68"/>
      <c r="G231" s="68"/>
      <c r="H231" s="583"/>
      <c r="I231" s="788">
        <v>0</v>
      </c>
      <c r="J231" s="789">
        <v>0</v>
      </c>
      <c r="K231" s="608"/>
      <c r="L231" s="165"/>
    </row>
    <row r="232" spans="1:13" ht="15">
      <c r="A232" s="597"/>
      <c r="B232" s="593">
        <v>1045</v>
      </c>
      <c r="C232" s="582"/>
      <c r="D232" s="160" t="str">
        <f>VLOOKUP($B232&amp;D$2,TEXTDF,SPRCODE+1,FALSE)</f>
        <v>check wenn ungleich 0</v>
      </c>
      <c r="E232" s="160"/>
      <c r="F232" s="160"/>
      <c r="G232" s="160"/>
      <c r="H232" s="625"/>
      <c r="I232" s="637">
        <f>+SUM(I229:I231)-I228</f>
        <v>0</v>
      </c>
      <c r="J232" s="638">
        <f>+SUM(J229:J231)-J228</f>
        <v>0</v>
      </c>
      <c r="K232" s="639"/>
      <c r="L232" s="165"/>
      <c r="M232" s="242" t="str">
        <f>+IF(ABS(I232)&gt;0.5,IF(SPRCODE=1,"Bitte Fehler im Berichtsjahr korrigieren","Corriger l'erreur pour l'année d'exercice, svp"),"ok")</f>
        <v>ok</v>
      </c>
    </row>
    <row r="233" spans="1:13" ht="8.4499999999999993" customHeight="1">
      <c r="A233" s="597"/>
      <c r="B233" s="593">
        <v>1046</v>
      </c>
      <c r="C233" s="582"/>
      <c r="D233" s="68"/>
      <c r="E233" s="68"/>
      <c r="F233" s="68"/>
      <c r="G233" s="68"/>
      <c r="H233" s="583"/>
      <c r="I233" s="603"/>
      <c r="J233" s="604"/>
      <c r="K233" s="608"/>
      <c r="L233" s="165"/>
    </row>
    <row r="234" spans="1:13" ht="15">
      <c r="A234" s="597"/>
      <c r="B234" s="593">
        <v>1047</v>
      </c>
      <c r="C234" s="582"/>
      <c r="D234" s="580" t="str">
        <f>VLOOKUP($B234&amp;D$2,TEXTDF,SPRCODE+1,FALSE)</f>
        <v>Vermögensverwaltungskosten (netto gemäss Betriebsrechnung BV)</v>
      </c>
      <c r="E234" s="580"/>
      <c r="F234" s="580"/>
      <c r="G234" s="580"/>
      <c r="H234" s="645"/>
      <c r="I234" s="418">
        <f>+ER!F81</f>
        <v>0</v>
      </c>
      <c r="J234" s="307">
        <f>+ER!G81</f>
        <v>0</v>
      </c>
      <c r="K234" s="614"/>
      <c r="L234" s="165"/>
    </row>
    <row r="235" spans="1:13" ht="15">
      <c r="A235" s="597"/>
      <c r="B235" s="593">
        <v>1048</v>
      </c>
      <c r="C235" s="582"/>
      <c r="D235" s="68"/>
      <c r="E235" s="68" t="str">
        <f>VLOOKUP($B235&amp;E$2,TEXTDF,SPRCODE+1,FALSE)</f>
        <v>Vermögensverwaltungskosten (brutto gemäss OAK-Schema)</v>
      </c>
      <c r="F235" s="68"/>
      <c r="G235" s="68"/>
      <c r="H235" s="583"/>
      <c r="I235" s="603">
        <f>+SUBTOTAL(9,I236:I240)</f>
        <v>0</v>
      </c>
      <c r="J235" s="604">
        <f>+SUBTOTAL(9,J236:J240)</f>
        <v>0</v>
      </c>
      <c r="K235" s="608"/>
      <c r="L235" s="165"/>
    </row>
    <row r="236" spans="1:13" ht="15">
      <c r="A236" s="597"/>
      <c r="B236" s="593">
        <v>1049</v>
      </c>
      <c r="C236" s="582"/>
      <c r="D236" s="68"/>
      <c r="E236" s="68"/>
      <c r="F236" s="68" t="str">
        <f>VLOOKUP($B236&amp;F$2,TEXTDF,SPRCODE+1,FALSE)</f>
        <v>TER-Kosten Total Kapitalanlagen</v>
      </c>
      <c r="G236" s="68"/>
      <c r="H236" s="583"/>
      <c r="I236" s="603">
        <f>+SUBTOTAL(9,I237:I238)</f>
        <v>0</v>
      </c>
      <c r="J236" s="604">
        <f>+SUBTOTAL(9,J237:J238)</f>
        <v>0</v>
      </c>
      <c r="K236" s="608"/>
      <c r="L236" s="165"/>
    </row>
    <row r="237" spans="1:13" ht="15">
      <c r="A237" s="597">
        <v>568</v>
      </c>
      <c r="B237" s="593">
        <v>1050</v>
      </c>
      <c r="C237" s="582"/>
      <c r="D237" s="68"/>
      <c r="E237" s="68"/>
      <c r="F237" s="68"/>
      <c r="G237" s="68" t="str">
        <f>VLOOKUP($B237&amp;G$2,TEXTDF,SPRCODE+1,FALSE)</f>
        <v>TER-Kosten von direkten Kapitalanlagen</v>
      </c>
      <c r="H237" s="583"/>
      <c r="I237" s="788">
        <v>0</v>
      </c>
      <c r="J237" s="789">
        <v>0</v>
      </c>
      <c r="K237" s="608"/>
      <c r="L237" s="165"/>
    </row>
    <row r="238" spans="1:13" ht="15">
      <c r="A238" s="597">
        <v>569</v>
      </c>
      <c r="B238" s="593">
        <v>1051</v>
      </c>
      <c r="C238" s="582"/>
      <c r="D238" s="68"/>
      <c r="E238" s="68"/>
      <c r="F238" s="68"/>
      <c r="G238" s="68" t="str">
        <f>VLOOKUP($B238&amp;G$2,TEXTDF,SPRCODE+1,FALSE)</f>
        <v>TER-Kosten von ein- und mehrstufigen Kapitalanlagen (Kostenkennzahl)</v>
      </c>
      <c r="H238" s="583"/>
      <c r="I238" s="788">
        <v>0</v>
      </c>
      <c r="J238" s="789">
        <v>0</v>
      </c>
      <c r="K238" s="608"/>
      <c r="L238" s="165"/>
    </row>
    <row r="239" spans="1:13" ht="15">
      <c r="A239" s="597">
        <v>570</v>
      </c>
      <c r="B239" s="593">
        <v>1052</v>
      </c>
      <c r="C239" s="582"/>
      <c r="D239" s="68"/>
      <c r="E239" s="68"/>
      <c r="F239" s="68" t="str">
        <f>VLOOKUP($B239&amp;F$2,TEXTDF,SPRCODE+1,FALSE)</f>
        <v>TTC-Kosten (der direkten Kapitalanlagen)</v>
      </c>
      <c r="G239" s="68"/>
      <c r="H239" s="583"/>
      <c r="I239" s="788">
        <v>0</v>
      </c>
      <c r="J239" s="789">
        <v>0</v>
      </c>
      <c r="K239" s="608"/>
      <c r="L239" s="165"/>
    </row>
    <row r="240" spans="1:13" ht="15">
      <c r="A240" s="597">
        <v>571</v>
      </c>
      <c r="B240" s="593">
        <v>1053</v>
      </c>
      <c r="C240" s="582"/>
      <c r="D240" s="68"/>
      <c r="E240" s="68"/>
      <c r="F240" s="68" t="str">
        <f>VLOOKUP($B240&amp;F$2,TEXTDF,SPRCODE+1,FALSE)</f>
        <v>SC-Kosten</v>
      </c>
      <c r="G240" s="68"/>
      <c r="H240" s="583"/>
      <c r="I240" s="788">
        <v>0</v>
      </c>
      <c r="J240" s="789">
        <v>0</v>
      </c>
      <c r="K240" s="608"/>
      <c r="L240" s="165"/>
    </row>
    <row r="241" spans="1:13" ht="15">
      <c r="A241" s="597">
        <v>572</v>
      </c>
      <c r="B241" s="593">
        <v>1054</v>
      </c>
      <c r="C241" s="582"/>
      <c r="D241" s="68"/>
      <c r="E241" s="68" t="str">
        <f>VLOOKUP($B241&amp;E$2,TEXTDF,SPRCODE+1,FALSE)</f>
        <v>Aktivierte Kosten</v>
      </c>
      <c r="F241" s="68"/>
      <c r="G241" s="68"/>
      <c r="H241" s="583"/>
      <c r="I241" s="788">
        <v>0</v>
      </c>
      <c r="J241" s="789">
        <v>0</v>
      </c>
      <c r="K241" s="608"/>
      <c r="L241" s="165"/>
    </row>
    <row r="242" spans="1:13" ht="15">
      <c r="A242" s="597"/>
      <c r="B242" s="593">
        <v>1055</v>
      </c>
      <c r="C242" s="582"/>
      <c r="D242" s="68"/>
      <c r="E242" s="68" t="str">
        <f>VLOOKUP($B242&amp;E$2,TEXTDF,SPRCODE+1,FALSE)</f>
        <v>Unterhalts- und Instandhaltungskosten Liegenschaften</v>
      </c>
      <c r="F242" s="68"/>
      <c r="G242" s="68"/>
      <c r="H242" s="583"/>
      <c r="I242" s="603">
        <f>ER!F59</f>
        <v>0</v>
      </c>
      <c r="J242" s="604">
        <f>ER!G59</f>
        <v>0</v>
      </c>
      <c r="K242" s="608"/>
      <c r="L242" s="165"/>
    </row>
    <row r="243" spans="1:13" ht="15.75" thickBot="1">
      <c r="A243" s="599"/>
      <c r="B243" s="594">
        <v>1056</v>
      </c>
      <c r="C243" s="589"/>
      <c r="D243" s="590" t="str">
        <f>+D232</f>
        <v>check wenn ungleich 0</v>
      </c>
      <c r="E243" s="590"/>
      <c r="F243" s="590"/>
      <c r="G243" s="590"/>
      <c r="H243" s="591"/>
      <c r="I243" s="620">
        <f>+I235-I234-I241-I242</f>
        <v>0</v>
      </c>
      <c r="J243" s="621">
        <f>+J235-J234-J241-J242</f>
        <v>0</v>
      </c>
      <c r="K243" s="622"/>
      <c r="L243" s="165"/>
      <c r="M243" s="242" t="str">
        <f>+IF(ABS(I243)&gt;0.5,IF(SPRCODE=1,"Bitte Fehler im Berichtsjahr korrigieren","Corriger l'erreur pour l'année d'exercice, svp"),"ok")</f>
        <v>ok</v>
      </c>
    </row>
  </sheetData>
  <sheetProtection algorithmName="SHA-512" hashValue="OmlRlh7owLQRH1krFwB5KLZWa/jYAmwWKPpfVt6gkmtMh64iyURQt87Y1pxxGW9OuYy3Cp3PRzOrOwj6Nkej7Q==" saltValue="Vjyn5Rhs6zIwQwm/2y0Pcw==" spinCount="100000" sheet="1" objects="1" scenarios="1"/>
  <mergeCells count="2">
    <mergeCell ref="E71:H71"/>
    <mergeCell ref="E70:H70"/>
  </mergeCells>
  <conditionalFormatting sqref="M142">
    <cfRule type="cellIs" dxfId="19" priority="34" operator="notEqual">
      <formula>"ok"</formula>
    </cfRule>
  </conditionalFormatting>
  <conditionalFormatting sqref="M232">
    <cfRule type="cellIs" dxfId="18" priority="17" operator="notEqual">
      <formula>"ok"</formula>
    </cfRule>
  </conditionalFormatting>
  <conditionalFormatting sqref="M243">
    <cfRule type="cellIs" dxfId="17" priority="13" operator="notEqual">
      <formula>"ok"</formula>
    </cfRule>
  </conditionalFormatting>
  <conditionalFormatting sqref="M24">
    <cfRule type="cellIs" dxfId="16" priority="11" operator="notEqual">
      <formula>"ok"</formula>
    </cfRule>
  </conditionalFormatting>
  <conditionalFormatting sqref="M23">
    <cfRule type="cellIs" dxfId="15" priority="10" operator="notEqual">
      <formula>"ok"</formula>
    </cfRule>
  </conditionalFormatting>
  <conditionalFormatting sqref="M16">
    <cfRule type="cellIs" dxfId="14" priority="9" operator="notEqual">
      <formula>"ok"</formula>
    </cfRule>
  </conditionalFormatting>
  <conditionalFormatting sqref="M202">
    <cfRule type="cellIs" dxfId="13" priority="2" operator="notEqual">
      <formula>"ok"</formula>
    </cfRule>
  </conditionalFormatting>
  <conditionalFormatting sqref="M154">
    <cfRule type="cellIs" dxfId="12" priority="8" operator="notEqual">
      <formula>"ok"</formula>
    </cfRule>
  </conditionalFormatting>
  <conditionalFormatting sqref="M169">
    <cfRule type="cellIs" dxfId="11" priority="7" operator="notEqual">
      <formula>"ok"</formula>
    </cfRule>
  </conditionalFormatting>
  <conditionalFormatting sqref="M182">
    <cfRule type="cellIs" dxfId="10" priority="6" operator="notEqual">
      <formula>"ok"</formula>
    </cfRule>
  </conditionalFormatting>
  <conditionalFormatting sqref="M189">
    <cfRule type="cellIs" dxfId="9" priority="5" operator="notEqual">
      <formula>"ok"</formula>
    </cfRule>
  </conditionalFormatting>
  <conditionalFormatting sqref="M193">
    <cfRule type="cellIs" dxfId="8" priority="4" operator="notEqual">
      <formula>"ok"</formula>
    </cfRule>
  </conditionalFormatting>
  <conditionalFormatting sqref="M198">
    <cfRule type="cellIs" dxfId="7" priority="3" operator="notEqual">
      <formula>"ok"</formula>
    </cfRule>
  </conditionalFormatting>
  <conditionalFormatting sqref="M14">
    <cfRule type="cellIs" dxfId="6" priority="1" operator="notEqual">
      <formula>"ok"</formula>
    </cfRule>
  </conditionalFormatting>
  <hyperlinks>
    <hyperlink ref="D1" location="UEBERSICHT!G12" display="UEBERSICHT!G12" xr:uid="{C1C66365-A7B7-4126-ABAB-92F504878AB0}"/>
  </hyperlinks>
  <pageMargins left="0.7" right="0.7" top="0.75" bottom="0.75" header="0.3" footer="0.3"/>
  <pageSetup paperSize="9" orientation="portrait"/>
  <ignoredErrors>
    <ignoredError sqref="I5:K6 M232 M243 I198:J198" evalError="1"/>
    <ignoredError sqref="I26:K26 I17:K17 I8:K8 I13:K15 I22:K24 I177:K177 K174 I212:K212 K210 I219:K219 I31:K33 I36:K36 I45:K47 I50:K50 I58:K58 I61:K61 I69:K69 I72:K73 I76:K76 I82:K83 I88:K89 I91:K93 I97:K97 I101:K101 I106:K109 I112:K112 I115:K116 I120:K120 I124:K124 I129:K132 I139:K139 K133:K138 I143:K144 K140:K141 I151:K151 K145:K150 I155:K157 K152:K153 I164:K164 K158:K163 I170:K172 K165:K167 K173 K175:K176 K180 K178:K179 I190:K190 K186:K188 I194:K194 K191:K192 I199:K199 K197 I203:K206 K200:K201 K207:K209 K211 I222:K222 I225:K228 I232:K236 K229:K231 I242:K243 K237:K241 K142 I85:K86 I84 K84 K154 K169 I183:K185 K182 K189 K193 K198 K195 K202" evalError="1" unlockedFormula="1"/>
    <ignoredError sqref="I174:J174 I210:J210 I217:K217 I180:J180" evalError="1" formula="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BRBV_06">
    <tabColor indexed="19"/>
  </sheetPr>
  <dimension ref="A1:F117"/>
  <sheetViews>
    <sheetView zoomScaleNormal="100" workbookViewId="0">
      <pane xSplit="3" ySplit="3" topLeftCell="D4" activePane="bottomRight" state="frozen"/>
      <selection pane="topRight" activeCell="D1" sqref="D1"/>
      <selection pane="bottomLeft" activeCell="A4" sqref="A4"/>
      <selection pane="bottomRight" activeCell="C5" sqref="C5"/>
    </sheetView>
  </sheetViews>
  <sheetFormatPr baseColWidth="10" defaultColWidth="9.140625" defaultRowHeight="12.75"/>
  <cols>
    <col min="1" max="1" width="6.28515625" customWidth="1"/>
    <col min="2" max="2" width="47" customWidth="1"/>
    <col min="3" max="3" width="38.7109375" customWidth="1"/>
    <col min="4" max="4" width="55.7109375" customWidth="1"/>
    <col min="5" max="5" width="57" customWidth="1"/>
    <col min="6" max="6" width="1.5703125" customWidth="1"/>
  </cols>
  <sheetData>
    <row r="1" spans="1:6" s="16" customFormat="1" ht="17.25" customHeight="1">
      <c r="A1" s="58" t="s">
        <v>1781</v>
      </c>
      <c r="B1" s="310" t="str">
        <f>VLOOKUP($A1&amp;B$4,TEXTDF,SPRCODE+1,FALSE)</f>
        <v>Bilanzierungsgrundsätze zu den immateriellen Aktiven, den Kapitalanlagen und den Sachanlagen</v>
      </c>
      <c r="C1" s="15"/>
      <c r="D1" s="15"/>
      <c r="E1" s="26" t="str">
        <f>VLOOKUP($A1&amp;E$4,TEXTDF,SPRCODE+1,FALSE)</f>
        <v>Berichtsjahr:         2023</v>
      </c>
      <c r="F1" s="15"/>
    </row>
    <row r="2" spans="1:6" s="16" customFormat="1" ht="17.25" customHeight="1">
      <c r="A2" s="15"/>
      <c r="B2" s="25" t="str">
        <f>Vr&amp;"  "</f>
        <v xml:space="preserve">  </v>
      </c>
      <c r="C2" s="20"/>
      <c r="D2" s="21"/>
      <c r="E2" s="59" t="str">
        <f xml:space="preserve"> CHOOSE(SPRCODE,"Sprache:              D","Langue:              F")</f>
        <v>Sprache:              D</v>
      </c>
    </row>
    <row r="3" spans="1:6" s="16" customFormat="1" ht="17.25" customHeight="1">
      <c r="A3" s="54" t="s">
        <v>1785</v>
      </c>
      <c r="B3" s="23" t="str">
        <f>VLOOKUP($A3&amp;B$4,TEXTDF,SPRCODE+1,FALSE)</f>
        <v>Schweiz: Geschäft der beruflichen Vorsorge</v>
      </c>
      <c r="C3" s="23" t="str">
        <f>VLOOKUP($A3&amp;C$4,TEXTDF,SPRCODE+1,FALSE)</f>
        <v>Zur Verfügung stehende Auswahl</v>
      </c>
      <c r="D3" s="23" t="str">
        <f>VLOOKUP($A3&amp;D$4,TEXTDF,SPRCODE+1,FALSE)</f>
        <v>Gewählter Bewertungsgrundsatz</v>
      </c>
      <c r="E3" s="23" t="str">
        <f>VLOOKUP($A3&amp;E$4,TEXTDF,SPRCODE+1,FALSE)</f>
        <v>Kommentar (auch Änderungen gegenüber Vorjahr erwähnen)</v>
      </c>
      <c r="F3" s="15"/>
    </row>
    <row r="4" spans="1:6" s="16" customFormat="1" ht="18" customHeight="1">
      <c r="A4" s="15"/>
      <c r="B4" s="27" t="s">
        <v>66</v>
      </c>
      <c r="C4" s="18" t="s">
        <v>469</v>
      </c>
      <c r="D4" s="18" t="s">
        <v>470</v>
      </c>
      <c r="E4" s="18" t="s">
        <v>57</v>
      </c>
      <c r="F4" s="15"/>
    </row>
    <row r="5" spans="1:6" s="16" customFormat="1" ht="26.25" customHeight="1">
      <c r="A5" s="14">
        <v>349</v>
      </c>
      <c r="B5" s="28" t="str">
        <f t="shared" ref="B5:B22" si="0">VLOOKUP($A5&amp;B$4,TEXTDF,SPRCODE+1,FALSE)</f>
        <v>Immaterielle Aktiven</v>
      </c>
      <c r="C5" s="839" t="s">
        <v>409</v>
      </c>
      <c r="D5" s="39" t="str">
        <f t="shared" ref="D5:D18" si="1">C5</f>
        <v>Andere Bewertungsmethode (Kommentar)</v>
      </c>
      <c r="E5" s="37"/>
      <c r="F5" s="15"/>
    </row>
    <row r="6" spans="1:6" s="16" customFormat="1" ht="23.25" customHeight="1">
      <c r="A6" s="14">
        <v>350</v>
      </c>
      <c r="B6" s="29" t="str">
        <f t="shared" si="0"/>
        <v>Grundstücke und Bauten</v>
      </c>
      <c r="C6" s="840" t="s">
        <v>409</v>
      </c>
      <c r="D6" s="39" t="str">
        <f t="shared" si="1"/>
        <v>Andere Bewertungsmethode (Kommentar)</v>
      </c>
      <c r="E6" s="38"/>
      <c r="F6" s="15"/>
    </row>
    <row r="7" spans="1:6" s="16" customFormat="1" ht="24.75" customHeight="1">
      <c r="A7" s="14">
        <v>351</v>
      </c>
      <c r="B7" s="29" t="str">
        <f t="shared" si="0"/>
        <v>Anteile an Immobiliengesellschaften</v>
      </c>
      <c r="C7" s="840" t="s">
        <v>409</v>
      </c>
      <c r="D7" s="39" t="str">
        <f t="shared" si="1"/>
        <v>Andere Bewertungsmethode (Kommentar)</v>
      </c>
      <c r="E7" s="38"/>
      <c r="F7" s="15"/>
    </row>
    <row r="8" spans="1:6" s="16" customFormat="1" ht="24" customHeight="1">
      <c r="A8" s="14">
        <v>352</v>
      </c>
      <c r="B8" s="29" t="str">
        <f t="shared" si="0"/>
        <v>Anteile an verbundenen Unternehmen</v>
      </c>
      <c r="C8" s="840" t="s">
        <v>409</v>
      </c>
      <c r="D8" s="39" t="str">
        <f t="shared" si="1"/>
        <v>Andere Bewertungsmethode (Kommentar)</v>
      </c>
      <c r="E8" s="38"/>
      <c r="F8" s="15"/>
    </row>
    <row r="9" spans="1:6" s="16" customFormat="1" ht="26.45" customHeight="1">
      <c r="A9" s="14">
        <v>353</v>
      </c>
      <c r="B9" s="29" t="str">
        <f t="shared" si="0"/>
        <v>Darlehen an verbundene Unternehmen</v>
      </c>
      <c r="C9" s="840" t="s">
        <v>409</v>
      </c>
      <c r="D9" s="39" t="str">
        <f t="shared" si="1"/>
        <v>Andere Bewertungsmethode (Kommentar)</v>
      </c>
      <c r="E9" s="38"/>
      <c r="F9" s="15"/>
    </row>
    <row r="10" spans="1:6" s="16" customFormat="1" ht="26.45" customHeight="1">
      <c r="A10" s="14">
        <v>354</v>
      </c>
      <c r="B10" s="29" t="str">
        <f t="shared" si="0"/>
        <v>Beteiligungen</v>
      </c>
      <c r="C10" s="840" t="s">
        <v>409</v>
      </c>
      <c r="D10" s="39" t="str">
        <f t="shared" si="1"/>
        <v>Andere Bewertungsmethode (Kommentar)</v>
      </c>
      <c r="E10" s="38"/>
      <c r="F10" s="15"/>
    </row>
    <row r="11" spans="1:6" s="16" customFormat="1" ht="26.45" customHeight="1">
      <c r="A11" s="14">
        <v>355</v>
      </c>
      <c r="B11" s="30" t="str">
        <f t="shared" si="0"/>
        <v>Darlehen an Unternehmen mit denen ein Beteiligungsverhältnis besteht</v>
      </c>
      <c r="C11" s="840" t="s">
        <v>409</v>
      </c>
      <c r="D11" s="39" t="str">
        <f t="shared" si="1"/>
        <v>Andere Bewertungsmethode (Kommentar)</v>
      </c>
      <c r="E11" s="38"/>
      <c r="F11" s="15"/>
    </row>
    <row r="12" spans="1:6" s="16" customFormat="1" ht="26.45" customHeight="1">
      <c r="A12" s="14">
        <v>356</v>
      </c>
      <c r="B12" s="29" t="str">
        <f t="shared" si="0"/>
        <v>Darlehen an Muttergesellschaft und Aktionäre</v>
      </c>
      <c r="C12" s="840" t="s">
        <v>409</v>
      </c>
      <c r="D12" s="39" t="str">
        <f t="shared" si="1"/>
        <v>Andere Bewertungsmethode (Kommentar)</v>
      </c>
      <c r="E12" s="38"/>
      <c r="F12" s="15"/>
    </row>
    <row r="13" spans="1:6" s="16" customFormat="1" ht="26.45" customHeight="1">
      <c r="A13" s="14">
        <v>357</v>
      </c>
      <c r="B13" s="29" t="str">
        <f t="shared" si="0"/>
        <v>Aktien und Anteile an Anlagefonds</v>
      </c>
      <c r="C13" s="840" t="s">
        <v>409</v>
      </c>
      <c r="D13" s="39" t="str">
        <f t="shared" si="1"/>
        <v>Andere Bewertungsmethode (Kommentar)</v>
      </c>
      <c r="E13" s="38"/>
      <c r="F13" s="15"/>
    </row>
    <row r="14" spans="1:6" s="16" customFormat="1" ht="26.45" customHeight="1">
      <c r="A14" s="14">
        <v>359</v>
      </c>
      <c r="B14" s="29" t="str">
        <f t="shared" si="0"/>
        <v>Eigene Aktien</v>
      </c>
      <c r="C14" s="840" t="s">
        <v>409</v>
      </c>
      <c r="D14" s="39" t="str">
        <f t="shared" si="1"/>
        <v>Andere Bewertungsmethode (Kommentar)</v>
      </c>
      <c r="E14" s="38"/>
      <c r="F14" s="15"/>
    </row>
    <row r="15" spans="1:6" s="16" customFormat="1" ht="26.45" customHeight="1">
      <c r="A15" s="14">
        <v>360</v>
      </c>
      <c r="B15" s="29" t="str">
        <f t="shared" si="0"/>
        <v>Festverzinsliche Wertpapiere</v>
      </c>
      <c r="C15" s="840" t="s">
        <v>409</v>
      </c>
      <c r="D15" s="39" t="str">
        <f t="shared" si="1"/>
        <v>Andere Bewertungsmethode (Kommentar)</v>
      </c>
      <c r="E15" s="38"/>
      <c r="F15" s="15"/>
    </row>
    <row r="16" spans="1:6" s="16" customFormat="1" ht="26.45" customHeight="1">
      <c r="A16" s="14">
        <v>361</v>
      </c>
      <c r="B16" s="30" t="str">
        <f t="shared" si="0"/>
        <v>Schuldscheindarlehen und Schuldbuchforderungen</v>
      </c>
      <c r="C16" s="840" t="s">
        <v>409</v>
      </c>
      <c r="D16" s="39" t="str">
        <f t="shared" si="1"/>
        <v>Andere Bewertungsmethode (Kommentar)</v>
      </c>
      <c r="E16" s="38"/>
      <c r="F16" s="15"/>
    </row>
    <row r="17" spans="1:6" s="16" customFormat="1" ht="26.45" customHeight="1">
      <c r="A17" s="14">
        <v>362</v>
      </c>
      <c r="B17" s="29" t="str">
        <f t="shared" si="0"/>
        <v>Hypothekenforderungen</v>
      </c>
      <c r="C17" s="840" t="s">
        <v>409</v>
      </c>
      <c r="D17" s="39" t="str">
        <f t="shared" si="1"/>
        <v>Andere Bewertungsmethode (Kommentar)</v>
      </c>
      <c r="E17" s="38"/>
      <c r="F17" s="15"/>
    </row>
    <row r="18" spans="1:6" s="16" customFormat="1" ht="26.45" customHeight="1">
      <c r="A18" s="14">
        <v>363</v>
      </c>
      <c r="B18" s="29" t="str">
        <f t="shared" si="0"/>
        <v>Policendarlehen</v>
      </c>
      <c r="C18" s="840" t="s">
        <v>409</v>
      </c>
      <c r="D18" s="39" t="str">
        <f t="shared" si="1"/>
        <v>Andere Bewertungsmethode (Kommentar)</v>
      </c>
      <c r="E18" s="38"/>
      <c r="F18" s="15"/>
    </row>
    <row r="19" spans="1:6" s="16" customFormat="1" ht="26.45" customHeight="1">
      <c r="A19" s="14">
        <v>365</v>
      </c>
      <c r="B19" s="29" t="str">
        <f t="shared" si="0"/>
        <v>Hedge Funds</v>
      </c>
      <c r="C19" s="840" t="s">
        <v>409</v>
      </c>
      <c r="D19" s="39" t="str">
        <f t="shared" ref="D19:D22" si="2">C19</f>
        <v>Andere Bewertungsmethode (Kommentar)</v>
      </c>
      <c r="E19" s="38"/>
      <c r="F19" s="15"/>
    </row>
    <row r="20" spans="1:6" s="16" customFormat="1" ht="26.45" customHeight="1">
      <c r="A20" s="14">
        <v>366</v>
      </c>
      <c r="B20" s="29" t="str">
        <f t="shared" si="0"/>
        <v>Private Equity</v>
      </c>
      <c r="C20" s="840" t="s">
        <v>409</v>
      </c>
      <c r="D20" s="39" t="str">
        <f t="shared" si="2"/>
        <v>Andere Bewertungsmethode (Kommentar)</v>
      </c>
      <c r="E20" s="38"/>
      <c r="F20" s="15"/>
    </row>
    <row r="21" spans="1:6" s="16" customFormat="1" ht="26.45" customHeight="1">
      <c r="A21" s="14">
        <v>367</v>
      </c>
      <c r="B21" s="29" t="str">
        <f t="shared" si="0"/>
        <v>Sonstige Kapitalanlagen</v>
      </c>
      <c r="C21" s="840" t="s">
        <v>409</v>
      </c>
      <c r="D21" s="39" t="str">
        <f t="shared" si="2"/>
        <v>Andere Bewertungsmethode (Kommentar)</v>
      </c>
      <c r="E21" s="38"/>
      <c r="F21" s="15"/>
    </row>
    <row r="22" spans="1:6" s="16" customFormat="1" ht="26.45" customHeight="1">
      <c r="A22" s="14">
        <v>368</v>
      </c>
      <c r="B22" s="29" t="str">
        <f t="shared" si="0"/>
        <v>Sachanlagen</v>
      </c>
      <c r="C22" s="840" t="s">
        <v>409</v>
      </c>
      <c r="D22" s="39" t="str">
        <f t="shared" si="2"/>
        <v>Andere Bewertungsmethode (Kommentar)</v>
      </c>
      <c r="E22" s="38"/>
      <c r="F22" s="15"/>
    </row>
    <row r="23" spans="1:6" s="16" customFormat="1">
      <c r="A23" s="15"/>
      <c r="B23" s="15"/>
      <c r="C23" s="15"/>
      <c r="D23" s="15"/>
      <c r="E23" s="15"/>
      <c r="F23" s="15"/>
    </row>
    <row r="24" spans="1:6" s="16" customFormat="1">
      <c r="A24" s="55" t="s">
        <v>1814</v>
      </c>
      <c r="B24" s="15" t="str">
        <f>VLOOKUP($A24&amp;B$4,TEXTDF,SPRCODE+1,FALSE)</f>
        <v>* individuelle Wertberichtigungen</v>
      </c>
      <c r="C24" s="15"/>
      <c r="D24" s="15"/>
      <c r="E24" s="15"/>
      <c r="F24" s="15"/>
    </row>
    <row r="25" spans="1:6" s="16" customFormat="1">
      <c r="A25" s="55" t="s">
        <v>1821</v>
      </c>
      <c r="B25" s="15" t="str">
        <f>VLOOKUP($A25&amp;B$4,TEXTDF,SPRCODE+1,FALSE)</f>
        <v>** strenges Niederstwertprinzip (ohne Aufwertungen)</v>
      </c>
      <c r="C25" s="15"/>
      <c r="D25" s="15"/>
      <c r="E25" s="15"/>
      <c r="F25" s="15"/>
    </row>
    <row r="26" spans="1:6" s="16" customFormat="1">
      <c r="A26" s="55" t="s">
        <v>1822</v>
      </c>
      <c r="B26" s="15" t="str">
        <f>VLOOKUP($A26&amp;B$4,TEXTDF,SPRCODE+1,FALSE)</f>
        <v>*** Niederstwertprinzip</v>
      </c>
      <c r="C26" s="15"/>
      <c r="D26" s="15"/>
      <c r="E26" s="15"/>
      <c r="F26" s="15"/>
    </row>
    <row r="27" spans="1:6" s="16" customFormat="1">
      <c r="A27" s="55"/>
      <c r="B27" s="15"/>
      <c r="C27" s="15"/>
      <c r="D27" s="15"/>
      <c r="E27" s="15"/>
      <c r="F27" s="15"/>
    </row>
    <row r="28" spans="1:6" s="16" customFormat="1">
      <c r="A28" s="61" t="s">
        <v>1837</v>
      </c>
      <c r="B28" s="31" t="str">
        <f>VLOOKUP($A28&amp;B$4,TEXTDF,SPRCODE+1,FALSE)</f>
        <v xml:space="preserve">Legende der Bewertungsgrundsätze </v>
      </c>
      <c r="C28" s="15"/>
      <c r="D28" s="15"/>
      <c r="E28" s="15"/>
      <c r="F28" s="15"/>
    </row>
    <row r="29" spans="1:6" s="16" customFormat="1" ht="3" customHeight="1">
      <c r="A29" s="61"/>
      <c r="B29" s="15"/>
      <c r="C29" s="15"/>
      <c r="D29" s="15"/>
      <c r="E29" s="15"/>
      <c r="F29" s="15"/>
    </row>
    <row r="30" spans="1:6" s="16" customFormat="1" ht="9.75" customHeight="1">
      <c r="A30" s="61" t="s">
        <v>1823</v>
      </c>
      <c r="B30" s="32" t="str">
        <f>B$5</f>
        <v>Immaterielle Aktiven</v>
      </c>
      <c r="C30" s="32" t="str">
        <f>VLOOKUP($A30&amp;C$4,TEXTDF,SPRCODE+1,FALSE)</f>
        <v>Keine immateriellen Aktiven aktiviert</v>
      </c>
      <c r="D30" s="15"/>
      <c r="E30" s="15"/>
      <c r="F30" s="15"/>
    </row>
    <row r="31" spans="1:6" s="16" customFormat="1" ht="9.75" customHeight="1">
      <c r="A31" s="62" t="s">
        <v>1838</v>
      </c>
      <c r="B31" s="32"/>
      <c r="C31" s="32" t="str">
        <f>VLOOKUP($A31&amp;C$4,TEXTDF,SPRCODE+1,FALSE)</f>
        <v>Planmässige Abschreibung 3 - 5 Jahre</v>
      </c>
      <c r="D31" s="15"/>
      <c r="E31" s="15"/>
      <c r="F31" s="15"/>
    </row>
    <row r="32" spans="1:6" s="16" customFormat="1" ht="9.75" customHeight="1">
      <c r="A32" s="62" t="s">
        <v>1840</v>
      </c>
      <c r="B32" s="32"/>
      <c r="C32" s="32" t="str">
        <f>VLOOKUP($A32&amp;C$4,TEXTDF,SPRCODE+1,FALSE)</f>
        <v>Planmässige Abschreibung 6 - 8 Jahre</v>
      </c>
      <c r="D32" s="15"/>
      <c r="E32" s="15"/>
      <c r="F32" s="15"/>
    </row>
    <row r="33" spans="1:6" s="16" customFormat="1" ht="9.75" customHeight="1">
      <c r="A33" s="62" t="s">
        <v>1841</v>
      </c>
      <c r="B33" s="32"/>
      <c r="C33" s="32" t="str">
        <f>VLOOKUP($A33&amp;C$4,TEXTDF,SPRCODE+1,FALSE)</f>
        <v>Planmässige Abschreibung über 8 Jahre</v>
      </c>
      <c r="D33" s="15"/>
      <c r="E33" s="15"/>
      <c r="F33" s="15"/>
    </row>
    <row r="34" spans="1:6" s="16" customFormat="1" ht="9.75" customHeight="1">
      <c r="A34" s="62" t="s">
        <v>1842</v>
      </c>
      <c r="B34" s="32"/>
      <c r="C34" s="32" t="str">
        <f>VLOOKUP($A34&amp;C$4,TEXTDF,SPRCODE+1,FALSE)</f>
        <v>Andere Bewertungsmethode (Kommentar)</v>
      </c>
      <c r="D34" s="15"/>
      <c r="E34" s="15"/>
      <c r="F34" s="19"/>
    </row>
    <row r="35" spans="1:6" s="16" customFormat="1" ht="3" customHeight="1">
      <c r="A35" s="61"/>
      <c r="B35" s="32"/>
      <c r="C35" s="32"/>
      <c r="D35" s="15"/>
      <c r="E35" s="15"/>
      <c r="F35" s="15"/>
    </row>
    <row r="36" spans="1:6" s="16" customFormat="1" ht="9.75" customHeight="1">
      <c r="A36" s="61" t="s">
        <v>1824</v>
      </c>
      <c r="B36" s="32" t="str">
        <f>B$6</f>
        <v>Grundstücke und Bauten</v>
      </c>
      <c r="C36" s="32" t="str">
        <f>VLOOKUP($A36&amp;C$4,TEXTDF,SPRCODE+1,FALSE)</f>
        <v>Steuerlich erlaubte Abschreibungen*</v>
      </c>
      <c r="D36" s="15"/>
      <c r="E36" s="15"/>
      <c r="F36" s="15"/>
    </row>
    <row r="37" spans="1:6" s="16" customFormat="1" ht="9.75" customHeight="1">
      <c r="A37" s="61" t="s">
        <v>1843</v>
      </c>
      <c r="B37" s="32"/>
      <c r="C37" s="32" t="str">
        <f>VLOOKUP($A37&amp;C$4,TEXTDF,SPRCODE+1,FALSE)</f>
        <v>Anschaffungskosten ohne Abschreibungen*</v>
      </c>
      <c r="D37" s="15"/>
      <c r="E37" s="15"/>
      <c r="F37" s="15"/>
    </row>
    <row r="38" spans="1:6" s="16" customFormat="1" ht="9.75" customHeight="1">
      <c r="A38" s="61" t="s">
        <v>1844</v>
      </c>
      <c r="B38" s="32"/>
      <c r="C38" s="32" t="str">
        <f>VLOOKUP($A38&amp;C$4,TEXTDF,SPRCODE+1,FALSE)</f>
        <v>Andere Bewertungsmethode (Kommentar)</v>
      </c>
      <c r="D38" s="15"/>
      <c r="E38" s="15"/>
      <c r="F38" s="15"/>
    </row>
    <row r="39" spans="1:6" s="16" customFormat="1" ht="3" customHeight="1">
      <c r="A39" s="61"/>
      <c r="B39" s="32"/>
      <c r="C39" s="32"/>
      <c r="D39" s="15"/>
      <c r="E39" s="15"/>
      <c r="F39" s="15"/>
    </row>
    <row r="40" spans="1:6" s="16" customFormat="1" ht="9.75" customHeight="1">
      <c r="A40" s="61" t="s">
        <v>1825</v>
      </c>
      <c r="B40" s="32" t="str">
        <f>B$7</f>
        <v>Anteile an Immobiliengesellschaften</v>
      </c>
      <c r="C40" s="32" t="str">
        <f>VLOOKUP($A40&amp;C$4,TEXTDF,SPRCODE+1,FALSE)</f>
        <v>Anschaffungswert ohne Abschreibungen*</v>
      </c>
      <c r="D40" s="15"/>
      <c r="E40" s="15"/>
      <c r="F40" s="15"/>
    </row>
    <row r="41" spans="1:6" s="16" customFormat="1" ht="9.75" customHeight="1">
      <c r="A41" s="61" t="s">
        <v>1845</v>
      </c>
      <c r="B41" s="32"/>
      <c r="C41" s="32" t="str">
        <f>VLOOKUP($A41&amp;C$4,TEXTDF,SPRCODE+1,FALSE)</f>
        <v>Marktwert</v>
      </c>
      <c r="D41" s="15"/>
      <c r="E41" s="15"/>
      <c r="F41" s="15"/>
    </row>
    <row r="42" spans="1:6" s="16" customFormat="1" ht="9.75" customHeight="1">
      <c r="A42" s="61" t="s">
        <v>1846</v>
      </c>
      <c r="B42" s="32"/>
      <c r="C42" s="32" t="str">
        <f>VLOOKUP($A42&amp;C$4,TEXTDF,SPRCODE+1,FALSE)</f>
        <v>Net Asset Value</v>
      </c>
      <c r="D42" s="15"/>
      <c r="E42" s="15"/>
      <c r="F42" s="15"/>
    </row>
    <row r="43" spans="1:6" s="16" customFormat="1" ht="9.75" customHeight="1">
      <c r="A43" s="61" t="s">
        <v>1847</v>
      </c>
      <c r="B43" s="32"/>
      <c r="C43" s="32" t="str">
        <f>VLOOKUP($A43&amp;C$4,TEXTDF,SPRCODE+1,FALSE)</f>
        <v>Andere Bewertungsmethode (Kommentar)</v>
      </c>
      <c r="D43" s="15"/>
      <c r="E43" s="15"/>
      <c r="F43" s="15"/>
    </row>
    <row r="44" spans="1:6" s="16" customFormat="1" ht="3" customHeight="1">
      <c r="A44" s="61"/>
      <c r="B44" s="32"/>
      <c r="C44" s="32"/>
      <c r="D44" s="15"/>
      <c r="E44" s="15"/>
      <c r="F44" s="15"/>
    </row>
    <row r="45" spans="1:6" s="16" customFormat="1" ht="9.75" customHeight="1">
      <c r="A45" s="61" t="s">
        <v>1826</v>
      </c>
      <c r="B45" s="32" t="str">
        <f>B$8</f>
        <v>Anteile an verbundenen Unternehmen</v>
      </c>
      <c r="C45" s="32" t="str">
        <f>VLOOKUP($A45&amp;C$4,TEXTDF,SPRCODE+1,FALSE)</f>
        <v>Anschaffungswert ohne Abschreibungen*</v>
      </c>
      <c r="D45" s="15"/>
      <c r="E45" s="15"/>
      <c r="F45" s="15"/>
    </row>
    <row r="46" spans="1:6" s="16" customFormat="1" ht="9.75" customHeight="1">
      <c r="A46" s="61" t="s">
        <v>1848</v>
      </c>
      <c r="B46" s="32"/>
      <c r="C46" s="32" t="str">
        <f>VLOOKUP($A46&amp;C$4,TEXTDF,SPRCODE+1,FALSE)</f>
        <v>Anschaffungswert planmässige Abschreibungen*</v>
      </c>
      <c r="D46" s="15"/>
      <c r="E46" s="15"/>
      <c r="F46" s="15"/>
    </row>
    <row r="47" spans="1:6" s="16" customFormat="1" ht="9.75" customHeight="1">
      <c r="A47" s="61" t="s">
        <v>1849</v>
      </c>
      <c r="B47" s="32"/>
      <c r="C47" s="32" t="str">
        <f>VLOOKUP($A47&amp;C$4,TEXTDF,SPRCODE+1,FALSE)</f>
        <v>Net Asset Value, falls tiefer als Anschaffungswert</v>
      </c>
      <c r="D47" s="15"/>
      <c r="E47" s="15"/>
      <c r="F47" s="15"/>
    </row>
    <row r="48" spans="1:6" s="16" customFormat="1" ht="9.75" customHeight="1">
      <c r="A48" s="61" t="s">
        <v>1850</v>
      </c>
      <c r="B48" s="32"/>
      <c r="C48" s="32" t="str">
        <f>VLOOKUP($A48&amp;C$4,TEXTDF,SPRCODE+1,FALSE)</f>
        <v>Andere Bewertungsmethode (Kommentar)</v>
      </c>
      <c r="D48" s="15"/>
      <c r="E48" s="15"/>
      <c r="F48" s="15"/>
    </row>
    <row r="49" spans="1:6" s="16" customFormat="1" ht="3" customHeight="1">
      <c r="A49" s="61"/>
      <c r="B49" s="32"/>
      <c r="C49" s="32"/>
      <c r="D49" s="15"/>
      <c r="E49" s="15"/>
      <c r="F49" s="15"/>
    </row>
    <row r="50" spans="1:6" s="16" customFormat="1" ht="9.75" customHeight="1">
      <c r="A50" s="61" t="s">
        <v>1827</v>
      </c>
      <c r="B50" s="32" t="str">
        <f>B$9</f>
        <v>Darlehen an verbundene Unternehmen</v>
      </c>
      <c r="C50" s="32" t="str">
        <f>VLOOKUP($A50&amp;C$4,TEXTDF,SPRCODE+1,FALSE)</f>
        <v>Nominalwert*</v>
      </c>
      <c r="D50" s="15"/>
      <c r="E50" s="15"/>
      <c r="F50" s="15"/>
    </row>
    <row r="51" spans="1:6" s="16" customFormat="1" ht="9.75" customHeight="1">
      <c r="A51" s="61" t="s">
        <v>1851</v>
      </c>
      <c r="B51" s="32"/>
      <c r="C51" s="32" t="str">
        <f>VLOOKUP($A51&amp;C$4,TEXTDF,SPRCODE+1,FALSE)</f>
        <v>Andere Bewertungsmethode (Kommentar)</v>
      </c>
      <c r="D51" s="15"/>
      <c r="E51" s="15"/>
      <c r="F51" s="15"/>
    </row>
    <row r="52" spans="1:6" s="16" customFormat="1" ht="3" customHeight="1">
      <c r="A52" s="61"/>
      <c r="B52" s="32"/>
      <c r="C52" s="32"/>
      <c r="D52" s="15"/>
      <c r="E52" s="15"/>
      <c r="F52" s="15"/>
    </row>
    <row r="53" spans="1:6" s="16" customFormat="1" ht="9.75" customHeight="1">
      <c r="A53" s="61" t="s">
        <v>1828</v>
      </c>
      <c r="B53" s="32" t="str">
        <f>B$10</f>
        <v>Beteiligungen</v>
      </c>
      <c r="C53" s="32" t="str">
        <f>VLOOKUP($A53&amp;C$4,TEXTDF,SPRCODE+1,FALSE)</f>
        <v>Anschaffungswert abz. betriebsn. Abschreib.</v>
      </c>
      <c r="D53" s="15"/>
      <c r="E53" s="15"/>
      <c r="F53" s="15"/>
    </row>
    <row r="54" spans="1:6" s="16" customFormat="1" ht="9.75" customHeight="1">
      <c r="A54" s="61" t="s">
        <v>1852</v>
      </c>
      <c r="B54" s="32"/>
      <c r="C54" s="32" t="str">
        <f>VLOOKUP($A54&amp;C$4,TEXTDF,SPRCODE+1,FALSE)</f>
        <v>Net Asset Value falls tiefer als Anschaffungswert</v>
      </c>
      <c r="D54" s="15"/>
      <c r="E54" s="15"/>
      <c r="F54" s="15"/>
    </row>
    <row r="55" spans="1:6" s="16" customFormat="1" ht="9.75" customHeight="1">
      <c r="A55" s="61" t="s">
        <v>1853</v>
      </c>
      <c r="B55" s="32"/>
      <c r="C55" s="32" t="str">
        <f>VLOOKUP($A55&amp;C$4,TEXTDF,SPRCODE+1,FALSE)</f>
        <v>Andere Bewertungsmethode (Kommentar)</v>
      </c>
      <c r="D55" s="15"/>
      <c r="E55" s="15"/>
      <c r="F55" s="15"/>
    </row>
    <row r="56" spans="1:6" s="16" customFormat="1" ht="3" customHeight="1">
      <c r="A56" s="61"/>
      <c r="B56" s="32"/>
      <c r="C56" s="32"/>
      <c r="D56" s="15"/>
      <c r="E56" s="15"/>
      <c r="F56" s="15"/>
    </row>
    <row r="57" spans="1:6" s="16" customFormat="1" ht="9.75" customHeight="1">
      <c r="A57" s="61" t="s">
        <v>1829</v>
      </c>
      <c r="B57" s="36" t="str">
        <f>LEFT(B$11,38)</f>
        <v xml:space="preserve">Darlehen an Unternehmen mit denen ein </v>
      </c>
      <c r="C57" s="32" t="str">
        <f>VLOOKUP($A57&amp;C$4,TEXTDF,SPRCODE+1,FALSE)</f>
        <v>Nominalwert*</v>
      </c>
      <c r="D57" s="15"/>
      <c r="E57" s="15"/>
      <c r="F57" s="15"/>
    </row>
    <row r="58" spans="1:6" s="16" customFormat="1" ht="9.75" customHeight="1">
      <c r="A58" s="61" t="s">
        <v>1839</v>
      </c>
      <c r="B58" s="36" t="str">
        <f>RIGHT(B$11,LEN(B$11)-LEN(B57))</f>
        <v>Beteiligungsverhältnis besteht</v>
      </c>
      <c r="C58" s="32" t="str">
        <f>VLOOKUP($A58&amp;C$4,TEXTDF,SPRCODE+1,FALSE)</f>
        <v>Andere Bewertungsmethode (Kommentar)</v>
      </c>
      <c r="D58" s="15"/>
      <c r="E58" s="15"/>
      <c r="F58" s="15"/>
    </row>
    <row r="59" spans="1:6" s="16" customFormat="1" ht="3" customHeight="1">
      <c r="A59" s="61"/>
      <c r="B59" s="32"/>
      <c r="C59" s="32"/>
      <c r="D59" s="15"/>
      <c r="E59" s="15"/>
      <c r="F59" s="15"/>
    </row>
    <row r="60" spans="1:6" s="16" customFormat="1" ht="9.75" customHeight="1">
      <c r="A60" s="61" t="s">
        <v>1830</v>
      </c>
      <c r="B60" s="32" t="str">
        <f>B$12</f>
        <v>Darlehen an Muttergesellschaft und Aktionäre</v>
      </c>
      <c r="C60" s="32" t="str">
        <f>VLOOKUP($A60&amp;C$4,TEXTDF,SPRCODE+1,FALSE)</f>
        <v>Nominalwert*</v>
      </c>
      <c r="D60" s="15"/>
      <c r="E60" s="15"/>
      <c r="F60" s="15"/>
    </row>
    <row r="61" spans="1:6" s="16" customFormat="1" ht="9.75" customHeight="1">
      <c r="A61" s="61" t="s">
        <v>1854</v>
      </c>
      <c r="B61" s="32"/>
      <c r="C61" s="32" t="str">
        <f>VLOOKUP($A61&amp;C$4,TEXTDF,SPRCODE+1,FALSE)</f>
        <v>Andere Bewertungsmethode (Kommentar)</v>
      </c>
      <c r="D61" s="15"/>
      <c r="E61" s="15"/>
      <c r="F61" s="15"/>
    </row>
    <row r="62" spans="1:6" s="16" customFormat="1" ht="3" customHeight="1">
      <c r="A62" s="61"/>
      <c r="B62" s="32"/>
      <c r="C62" s="32"/>
      <c r="D62" s="15"/>
      <c r="E62" s="15"/>
      <c r="F62" s="15"/>
    </row>
    <row r="63" spans="1:6" s="16" customFormat="1" ht="9.75" customHeight="1">
      <c r="A63" s="61" t="s">
        <v>1831</v>
      </c>
      <c r="B63" s="32" t="str">
        <f>B$13</f>
        <v>Aktien und Anteile an Anlagefonds</v>
      </c>
      <c r="C63" s="32" t="str">
        <f>VLOOKUP($A63&amp;C$4,TEXTDF,SPRCODE+1,FALSE)</f>
        <v>Nied.-wert ind.Anschaffungs-/Buch-/Marktwert**</v>
      </c>
      <c r="D63" s="15"/>
      <c r="E63" s="15"/>
      <c r="F63" s="15"/>
    </row>
    <row r="64" spans="1:6" s="16" customFormat="1" ht="9.75" customHeight="1">
      <c r="A64" s="61" t="s">
        <v>1855</v>
      </c>
      <c r="B64" s="32"/>
      <c r="C64" s="32" t="str">
        <f>VLOOKUP($A64&amp;C$4,TEXTDF,SPRCODE+1,FALSE)</f>
        <v>Nied.-wert ind.Anschaffungs-/Marktwert***</v>
      </c>
      <c r="D64" s="15"/>
      <c r="E64" s="15"/>
      <c r="F64" s="15"/>
    </row>
    <row r="65" spans="1:6" s="16" customFormat="1" ht="9.75" customHeight="1">
      <c r="A65" s="61" t="s">
        <v>1856</v>
      </c>
      <c r="B65" s="32"/>
      <c r="C65" s="32" t="str">
        <f>VLOOKUP($A65&amp;C$4,TEXTDF,SPRCODE+1,FALSE)</f>
        <v>Marktwert</v>
      </c>
      <c r="D65" s="15"/>
      <c r="E65" s="15"/>
      <c r="F65" s="15"/>
    </row>
    <row r="66" spans="1:6" s="16" customFormat="1" ht="9.75" customHeight="1">
      <c r="A66" s="61" t="s">
        <v>1857</v>
      </c>
      <c r="B66" s="32"/>
      <c r="C66" s="32" t="str">
        <f>VLOOKUP($A66&amp;C$4,TEXTDF,SPRCODE+1,FALSE)</f>
        <v>Andere Bewertungsmethode (Kommentar)</v>
      </c>
      <c r="D66" s="15"/>
      <c r="E66" s="15"/>
      <c r="F66" s="15"/>
    </row>
    <row r="67" spans="1:6" s="16" customFormat="1" ht="3" customHeight="1">
      <c r="A67" s="61"/>
      <c r="B67" s="32"/>
      <c r="C67" s="32"/>
      <c r="D67" s="15"/>
      <c r="E67" s="15"/>
      <c r="F67" s="15"/>
    </row>
    <row r="68" spans="1:6" s="16" customFormat="1" ht="9.75" customHeight="1">
      <c r="A68" s="61" t="s">
        <v>1832</v>
      </c>
      <c r="B68" s="32"/>
      <c r="C68" s="32" t="str">
        <f>VLOOKUP($A68&amp;C$4,TEXTDF,SPRCODE+1,FALSE)</f>
        <v>Nied.-wert ind.Anschaffungs-/Buch-/Marktwert**</v>
      </c>
      <c r="D68" s="15"/>
      <c r="E68" s="15"/>
      <c r="F68" s="15"/>
    </row>
    <row r="69" spans="1:6" s="16" customFormat="1" ht="9.75" customHeight="1">
      <c r="A69" s="61" t="s">
        <v>1858</v>
      </c>
      <c r="B69" s="32"/>
      <c r="C69" s="32" t="str">
        <f>VLOOKUP($A69&amp;C$4,TEXTDF,SPRCODE+1,FALSE)</f>
        <v>Nied.-wert ind.Anschaffungs-/Marktwert***</v>
      </c>
      <c r="D69" s="15"/>
      <c r="E69" s="15"/>
      <c r="F69" s="15"/>
    </row>
    <row r="70" spans="1:6" s="16" customFormat="1" ht="9.75" customHeight="1">
      <c r="A70" s="61" t="s">
        <v>1859</v>
      </c>
      <c r="B70" s="32"/>
      <c r="C70" s="32" t="str">
        <f>VLOOKUP($A70&amp;C$4,TEXTDF,SPRCODE+1,FALSE)</f>
        <v>Marktwert</v>
      </c>
      <c r="D70" s="15"/>
      <c r="E70" s="15"/>
      <c r="F70" s="15"/>
    </row>
    <row r="71" spans="1:6" s="16" customFormat="1" ht="9.75" customHeight="1">
      <c r="A71" s="61" t="s">
        <v>1860</v>
      </c>
      <c r="B71" s="32"/>
      <c r="C71" s="32" t="str">
        <f>VLOOKUP($A71&amp;C$4,TEXTDF,SPRCODE+1,FALSE)</f>
        <v>Andere Bewertungsmethode (Kommentar)</v>
      </c>
      <c r="D71" s="15"/>
      <c r="E71" s="15"/>
      <c r="F71" s="15"/>
    </row>
    <row r="72" spans="1:6" s="16" customFormat="1" ht="3" customHeight="1">
      <c r="A72" s="61"/>
      <c r="B72" s="32"/>
      <c r="C72" s="32"/>
      <c r="D72" s="15"/>
      <c r="E72" s="15"/>
      <c r="F72" s="15"/>
    </row>
    <row r="73" spans="1:6" s="16" customFormat="1" ht="9.75" customHeight="1">
      <c r="A73" s="61" t="s">
        <v>1833</v>
      </c>
      <c r="B73" s="32" t="str">
        <f>B$14</f>
        <v>Eigene Aktien</v>
      </c>
      <c r="C73" s="32" t="str">
        <f>VLOOKUP($A73&amp;C$4,TEXTDF,SPRCODE+1,FALSE)</f>
        <v>Anschaffungswert</v>
      </c>
      <c r="D73" s="15"/>
      <c r="E73" s="15"/>
      <c r="F73" s="15"/>
    </row>
    <row r="74" spans="1:6" s="16" customFormat="1" ht="9.75" customHeight="1">
      <c r="A74" s="61" t="s">
        <v>1861</v>
      </c>
      <c r="B74" s="32"/>
      <c r="C74" s="32" t="str">
        <f>VLOOKUP($A74&amp;C$4,TEXTDF,SPRCODE+1,FALSE)</f>
        <v>Kein Buchwert als Folge Direktabschreibung</v>
      </c>
      <c r="D74" s="15"/>
      <c r="E74" s="15"/>
      <c r="F74" s="15"/>
    </row>
    <row r="75" spans="1:6" s="16" customFormat="1" ht="9.75" customHeight="1">
      <c r="A75" s="61" t="s">
        <v>1862</v>
      </c>
      <c r="B75" s="32"/>
      <c r="C75" s="32" t="str">
        <f>VLOOKUP($A75&amp;C$4,TEXTDF,SPRCODE+1,FALSE)</f>
        <v>Niederstwert Anschaffungs-/Marktwert</v>
      </c>
      <c r="D75" s="15"/>
      <c r="E75" s="15"/>
      <c r="F75" s="15"/>
    </row>
    <row r="76" spans="1:6" s="16" customFormat="1" ht="9.75" customHeight="1">
      <c r="A76" s="61" t="s">
        <v>1863</v>
      </c>
      <c r="B76" s="32"/>
      <c r="C76" s="32" t="str">
        <f>VLOOKUP($A76&amp;C$4,TEXTDF,SPRCODE+1,FALSE)</f>
        <v>Niederstwert Anschaffungs-/Buch-/Marktwert</v>
      </c>
      <c r="D76" s="15"/>
      <c r="E76" s="15"/>
      <c r="F76" s="15"/>
    </row>
    <row r="77" spans="1:6" s="16" customFormat="1" ht="9.75" customHeight="1">
      <c r="A77" s="61" t="s">
        <v>1864</v>
      </c>
      <c r="B77" s="32"/>
      <c r="C77" s="32" t="str">
        <f>VLOOKUP($A77&amp;C$4,TEXTDF,SPRCODE+1,FALSE)</f>
        <v>Andere Bewertungsmethode (Kommentar)</v>
      </c>
      <c r="D77" s="15"/>
      <c r="E77" s="15"/>
      <c r="F77" s="15"/>
    </row>
    <row r="78" spans="1:6" s="16" customFormat="1" ht="3" customHeight="1">
      <c r="A78" s="61"/>
      <c r="B78" s="32"/>
      <c r="C78" s="32"/>
      <c r="D78" s="15"/>
      <c r="E78" s="15"/>
      <c r="F78" s="15"/>
    </row>
    <row r="79" spans="1:6" s="16" customFormat="1" ht="9.75" customHeight="1">
      <c r="A79" s="61" t="s">
        <v>1834</v>
      </c>
      <c r="B79" s="32" t="str">
        <f>B$15</f>
        <v>Festverzinsliche Wertpapiere</v>
      </c>
      <c r="C79" s="32" t="str">
        <f>VLOOKUP($A79&amp;C$4,TEXTDF,SPRCODE+1,FALSE)</f>
        <v>Kostenamortisations-Methode wissenschaftlich*</v>
      </c>
      <c r="D79" s="15"/>
      <c r="E79" s="15"/>
      <c r="F79" s="15"/>
    </row>
    <row r="80" spans="1:6" s="16" customFormat="1" ht="9.75" customHeight="1">
      <c r="A80" s="61" t="s">
        <v>1865</v>
      </c>
      <c r="B80" s="32"/>
      <c r="C80" s="32" t="str">
        <f>VLOOKUP($A80&amp;C$4,TEXTDF,SPRCODE+1,FALSE)</f>
        <v>Kostenamortisations-Methode linear*</v>
      </c>
      <c r="D80" s="15"/>
      <c r="E80" s="15"/>
      <c r="F80" s="15"/>
    </row>
    <row r="81" spans="1:6" s="16" customFormat="1" ht="9.75" customHeight="1">
      <c r="A81" s="61" t="s">
        <v>1866</v>
      </c>
      <c r="B81" s="32"/>
      <c r="C81" s="32" t="str">
        <f>VLOOKUP($A81&amp;C$4,TEXTDF,SPRCODE+1,FALSE)</f>
        <v>Mathematische Bewertung*</v>
      </c>
      <c r="D81" s="32"/>
      <c r="E81" s="32"/>
      <c r="F81" s="15">
        <f>F$52+F$54+F$79</f>
        <v>0</v>
      </c>
    </row>
    <row r="82" spans="1:6" s="16" customFormat="1" ht="9.75" customHeight="1">
      <c r="A82" s="61" t="s">
        <v>1867</v>
      </c>
      <c r="B82" s="32"/>
      <c r="C82" s="32" t="str">
        <f>VLOOKUP($A82&amp;C$4,TEXTDF,SPRCODE+1,FALSE)</f>
        <v>Andere Bewertungsmethode (Kommentar)</v>
      </c>
      <c r="D82" s="15"/>
      <c r="E82" s="15"/>
      <c r="F82" s="15"/>
    </row>
    <row r="83" spans="1:6" s="16" customFormat="1" ht="3" customHeight="1">
      <c r="A83" s="61"/>
      <c r="B83" s="32"/>
      <c r="C83" s="32"/>
      <c r="D83" s="15"/>
      <c r="E83" s="15"/>
      <c r="F83" s="15"/>
    </row>
    <row r="84" spans="1:6" s="16" customFormat="1" ht="24" customHeight="1">
      <c r="A84" s="61" t="s">
        <v>1835</v>
      </c>
      <c r="B84" s="63" t="str">
        <f>B$16</f>
        <v>Schuldscheindarlehen und Schuldbuchforderungen</v>
      </c>
      <c r="C84" s="32" t="str">
        <f>VLOOKUP($A84&amp;C$4,TEXTDF,SPRCODE+1,FALSE)</f>
        <v>Nominalwert*</v>
      </c>
      <c r="D84" s="15"/>
      <c r="E84" s="15"/>
      <c r="F84" s="15"/>
    </row>
    <row r="85" spans="1:6" s="16" customFormat="1" ht="9.75" customHeight="1">
      <c r="A85" s="61" t="s">
        <v>1868</v>
      </c>
      <c r="B85" s="32"/>
      <c r="C85" s="32" t="str">
        <f>VLOOKUP($A85&amp;C$4,TEXTDF,SPRCODE+1,FALSE)</f>
        <v>Kostenamortisations-Methode linear*</v>
      </c>
      <c r="D85" s="15"/>
      <c r="E85" s="15"/>
      <c r="F85" s="15"/>
    </row>
    <row r="86" spans="1:6" s="16" customFormat="1" ht="9.75" customHeight="1">
      <c r="A86" s="61" t="s">
        <v>1869</v>
      </c>
      <c r="B86" s="32"/>
      <c r="C86" s="32" t="str">
        <f>VLOOKUP($A86&amp;C$4,TEXTDF,SPRCODE+1,FALSE)</f>
        <v>Kostenamortisations-Methode wissenschaftlich*</v>
      </c>
      <c r="D86" s="15"/>
      <c r="E86" s="15"/>
      <c r="F86" s="15"/>
    </row>
    <row r="87" spans="1:6" s="16" customFormat="1" ht="9.75" customHeight="1">
      <c r="A87" s="61" t="s">
        <v>1870</v>
      </c>
      <c r="B87" s="32"/>
      <c r="C87" s="32" t="str">
        <f>VLOOKUP($A87&amp;C$4,TEXTDF,SPRCODE+1,FALSE)</f>
        <v>Andere Bewertungsmethode (Kommentar)</v>
      </c>
      <c r="D87" s="15"/>
      <c r="E87" s="15"/>
      <c r="F87" s="15"/>
    </row>
    <row r="88" spans="1:6" s="16" customFormat="1" ht="3" customHeight="1">
      <c r="A88" s="61"/>
      <c r="B88" s="32"/>
      <c r="C88" s="32"/>
      <c r="D88" s="15"/>
      <c r="E88" s="15"/>
      <c r="F88" s="15"/>
    </row>
    <row r="89" spans="1:6" s="16" customFormat="1" ht="9.75" customHeight="1">
      <c r="A89" s="61" t="s">
        <v>1836</v>
      </c>
      <c r="B89" s="32" t="str">
        <f>B$17</f>
        <v>Hypothekenforderungen</v>
      </c>
      <c r="C89" s="32" t="str">
        <f>VLOOKUP($A89&amp;C$4,TEXTDF,SPRCODE+1,FALSE)</f>
        <v>Nominalwert*</v>
      </c>
      <c r="D89" s="15"/>
      <c r="E89" s="15"/>
      <c r="F89" s="15"/>
    </row>
    <row r="90" spans="1:6" s="16" customFormat="1" ht="9.75" customHeight="1">
      <c r="A90" s="61" t="s">
        <v>1871</v>
      </c>
      <c r="B90" s="32"/>
      <c r="C90" s="32" t="str">
        <f>VLOOKUP($A90&amp;C$4,TEXTDF,SPRCODE+1,FALSE)</f>
        <v>Kostenamortisations-Methode linear*</v>
      </c>
      <c r="D90" s="15"/>
      <c r="E90" s="15"/>
      <c r="F90" s="15"/>
    </row>
    <row r="91" spans="1:6" s="16" customFormat="1" ht="9.75" customHeight="1">
      <c r="A91" s="61" t="s">
        <v>1872</v>
      </c>
      <c r="B91" s="32"/>
      <c r="C91" s="32" t="str">
        <f>VLOOKUP($A91&amp;C$4,TEXTDF,SPRCODE+1,FALSE)</f>
        <v>Kostenamortisations-Methode wissenschaftlich*</v>
      </c>
      <c r="D91" s="15"/>
      <c r="E91" s="15"/>
      <c r="F91" s="15"/>
    </row>
    <row r="92" spans="1:6" s="16" customFormat="1" ht="9.75" customHeight="1">
      <c r="A92" s="61" t="s">
        <v>1873</v>
      </c>
      <c r="B92" s="32"/>
      <c r="C92" s="32" t="str">
        <f>VLOOKUP($A92&amp;C$4,TEXTDF,SPRCODE+1,FALSE)</f>
        <v>Andere Bewertungsmethode (Kommentar)</v>
      </c>
      <c r="D92" s="15"/>
      <c r="E92" s="15"/>
      <c r="F92" s="15"/>
    </row>
    <row r="93" spans="1:6" s="16" customFormat="1" ht="3" customHeight="1">
      <c r="A93" s="61"/>
      <c r="B93" s="32"/>
      <c r="C93" s="32"/>
      <c r="D93" s="15"/>
      <c r="E93" s="15"/>
      <c r="F93" s="15"/>
    </row>
    <row r="94" spans="1:6" s="16" customFormat="1" ht="9.75" customHeight="1">
      <c r="A94" s="61" t="s">
        <v>1874</v>
      </c>
      <c r="B94" s="32" t="str">
        <f>B$18</f>
        <v>Policendarlehen</v>
      </c>
      <c r="C94" s="32" t="str">
        <f>VLOOKUP($A94&amp;C$4,TEXTDF,SPRCODE+1,FALSE)</f>
        <v>Nominalwert</v>
      </c>
      <c r="D94" s="15"/>
      <c r="E94" s="15"/>
      <c r="F94" s="15"/>
    </row>
    <row r="95" spans="1:6" s="16" customFormat="1" ht="9.75" customHeight="1">
      <c r="A95" s="61" t="s">
        <v>1875</v>
      </c>
      <c r="B95" s="32"/>
      <c r="C95" s="32" t="str">
        <f>VLOOKUP($A95&amp;C$4,TEXTDF,SPRCODE+1,FALSE)</f>
        <v>Andere Bewertungsmethode (Kommentar)</v>
      </c>
      <c r="D95" s="15"/>
      <c r="E95" s="15"/>
      <c r="F95" s="15"/>
    </row>
    <row r="96" spans="1:6" s="16" customFormat="1" ht="3" customHeight="1">
      <c r="A96" s="61"/>
      <c r="B96" s="32"/>
      <c r="C96" s="32"/>
      <c r="D96" s="15"/>
      <c r="E96" s="15"/>
      <c r="F96" s="15"/>
    </row>
    <row r="97" spans="1:6" s="16" customFormat="1" ht="9.75" customHeight="1">
      <c r="A97" s="61" t="s">
        <v>1876</v>
      </c>
      <c r="B97" s="32"/>
      <c r="C97" s="32" t="str">
        <f>VLOOKUP($A97&amp;C$4,TEXTDF,SPRCODE+1,FALSE)</f>
        <v>Nominalwert*</v>
      </c>
      <c r="D97" s="15"/>
      <c r="E97" s="15"/>
      <c r="F97" s="15"/>
    </row>
    <row r="98" spans="1:6" s="16" customFormat="1" ht="9.75" customHeight="1">
      <c r="A98" s="61" t="s">
        <v>1877</v>
      </c>
      <c r="B98" s="32"/>
      <c r="C98" s="32" t="str">
        <f>VLOOKUP($A98&amp;C$4,TEXTDF,SPRCODE+1,FALSE)</f>
        <v>Andere Bewertungsmethode (Kommentar)</v>
      </c>
      <c r="D98" s="15"/>
      <c r="E98" s="15"/>
      <c r="F98" s="15"/>
    </row>
    <row r="99" spans="1:6" s="16" customFormat="1" ht="3" customHeight="1">
      <c r="A99" s="61"/>
      <c r="B99" s="32"/>
      <c r="C99" s="32"/>
      <c r="D99" s="15"/>
      <c r="E99" s="15"/>
      <c r="F99" s="15"/>
    </row>
    <row r="100" spans="1:6" s="16" customFormat="1" ht="9.75" customHeight="1">
      <c r="A100" s="61" t="s">
        <v>1878</v>
      </c>
      <c r="B100" s="32" t="str">
        <f>B$19</f>
        <v>Hedge Funds</v>
      </c>
      <c r="C100" s="32" t="str">
        <f>VLOOKUP($A100&amp;C$4,TEXTDF,SPRCODE+1,FALSE)</f>
        <v>Anschaffungswert</v>
      </c>
      <c r="D100" s="15"/>
      <c r="E100" s="15"/>
      <c r="F100" s="15"/>
    </row>
    <row r="101" spans="1:6" s="16" customFormat="1" ht="9.75" customHeight="1">
      <c r="A101" s="61" t="s">
        <v>1888</v>
      </c>
      <c r="B101" s="32"/>
      <c r="C101" s="32" t="str">
        <f>VLOOKUP($A101&amp;C$4,TEXTDF,SPRCODE+1,FALSE)</f>
        <v>Niederstw. Anschaffungsw. /Net asset value</v>
      </c>
      <c r="D101" s="15"/>
      <c r="E101" s="15"/>
      <c r="F101" s="15"/>
    </row>
    <row r="102" spans="1:6" s="16" customFormat="1" ht="9.75" customHeight="1">
      <c r="A102" s="61" t="s">
        <v>1889</v>
      </c>
      <c r="B102" s="32"/>
      <c r="C102" s="32" t="str">
        <f>VLOOKUP($A102&amp;C$4,TEXTDF,SPRCODE+1,FALSE)</f>
        <v>Net asset value</v>
      </c>
      <c r="D102" s="15"/>
      <c r="E102" s="15"/>
      <c r="F102" s="15"/>
    </row>
    <row r="103" spans="1:6" s="16" customFormat="1" ht="9.75" customHeight="1">
      <c r="A103" s="61" t="s">
        <v>1890</v>
      </c>
      <c r="B103" s="32"/>
      <c r="C103" s="32" t="str">
        <f>VLOOKUP($A103&amp;C$4,TEXTDF,SPRCODE+1,FALSE)</f>
        <v>Andere Bewertungsmethode (Kommentar)</v>
      </c>
      <c r="D103" s="15"/>
      <c r="E103" s="15"/>
      <c r="F103" s="15"/>
    </row>
    <row r="104" spans="1:6" s="16" customFormat="1" ht="3" customHeight="1">
      <c r="A104" s="61"/>
      <c r="B104" s="32"/>
      <c r="C104" s="32"/>
      <c r="D104" s="15"/>
      <c r="E104" s="15"/>
      <c r="F104" s="15"/>
    </row>
    <row r="105" spans="1:6" s="16" customFormat="1" ht="9.75" customHeight="1">
      <c r="A105" s="61" t="s">
        <v>1879</v>
      </c>
      <c r="B105" s="32" t="str">
        <f>B$20</f>
        <v>Private Equity</v>
      </c>
      <c r="C105" s="32" t="str">
        <f>VLOOKUP($A105&amp;C$4,TEXTDF,SPRCODE+1,FALSE)</f>
        <v>Anschaffungswert</v>
      </c>
      <c r="D105" s="15"/>
      <c r="E105" s="15"/>
      <c r="F105" s="15"/>
    </row>
    <row r="106" spans="1:6" s="16" customFormat="1" ht="9.75" customHeight="1">
      <c r="A106" s="61" t="s">
        <v>1885</v>
      </c>
      <c r="B106" s="32"/>
      <c r="C106" s="32" t="str">
        <f>VLOOKUP($A106&amp;C$4,TEXTDF,SPRCODE+1,FALSE)</f>
        <v>Niederstw. Anschaffungsw. /Net asset value</v>
      </c>
      <c r="D106" s="15"/>
      <c r="E106" s="15"/>
      <c r="F106" s="15"/>
    </row>
    <row r="107" spans="1:6" s="16" customFormat="1" ht="9.75" customHeight="1">
      <c r="A107" s="61" t="s">
        <v>1886</v>
      </c>
      <c r="B107" s="32"/>
      <c r="C107" s="32" t="str">
        <f>VLOOKUP($A107&amp;C$4,TEXTDF,SPRCODE+1,FALSE)</f>
        <v>Net asset value</v>
      </c>
      <c r="D107" s="15"/>
      <c r="E107" s="15"/>
      <c r="F107" s="15"/>
    </row>
    <row r="108" spans="1:6" s="16" customFormat="1" ht="9.75" customHeight="1">
      <c r="A108" s="61" t="s">
        <v>1887</v>
      </c>
      <c r="B108" s="32"/>
      <c r="C108" s="32" t="str">
        <f>VLOOKUP($A108&amp;C$4,TEXTDF,SPRCODE+1,FALSE)</f>
        <v>Andere Bewertungsmethode (Kommentar)</v>
      </c>
      <c r="D108" s="15"/>
      <c r="E108" s="15"/>
      <c r="F108" s="15"/>
    </row>
    <row r="109" spans="1:6" s="16" customFormat="1" ht="3" customHeight="1">
      <c r="A109" s="61"/>
      <c r="B109" s="32"/>
      <c r="C109" s="32"/>
      <c r="D109" s="15"/>
      <c r="E109" s="15"/>
      <c r="F109" s="15"/>
    </row>
    <row r="110" spans="1:6" s="16" customFormat="1" ht="9.75" customHeight="1">
      <c r="A110" s="61" t="s">
        <v>1880</v>
      </c>
      <c r="B110" s="32" t="str">
        <f>B$21</f>
        <v>Sonstige Kapitalanlagen</v>
      </c>
      <c r="C110" s="32" t="str">
        <f>VLOOKUP($A110&amp;C$4,TEXTDF,SPRCODE+1,FALSE)</f>
        <v>Nominalwert*</v>
      </c>
      <c r="D110" s="15"/>
      <c r="E110" s="15"/>
      <c r="F110" s="15"/>
    </row>
    <row r="111" spans="1:6" s="16" customFormat="1" ht="9.75" customHeight="1">
      <c r="A111" s="61" t="s">
        <v>1884</v>
      </c>
      <c r="B111" s="32"/>
      <c r="C111" s="32" t="str">
        <f>VLOOKUP($A111&amp;C$4,TEXTDF,SPRCODE+1,FALSE)</f>
        <v>Andere Bewertungsmethode (Kommentar)</v>
      </c>
      <c r="D111" s="15"/>
      <c r="E111" s="15"/>
      <c r="F111" s="15"/>
    </row>
    <row r="112" spans="1:6" s="16" customFormat="1" ht="3" customHeight="1">
      <c r="A112" s="61"/>
      <c r="B112" s="32"/>
      <c r="C112" s="32"/>
      <c r="D112" s="15"/>
      <c r="E112" s="15"/>
      <c r="F112" s="15"/>
    </row>
    <row r="113" spans="1:6" s="16" customFormat="1" ht="9.75" customHeight="1">
      <c r="A113" s="61" t="s">
        <v>1881</v>
      </c>
      <c r="B113" s="32" t="str">
        <f>B$22</f>
        <v>Sachanlagen</v>
      </c>
      <c r="C113" s="32" t="str">
        <f>VLOOKUP($A113&amp;C$4,TEXTDF,SPRCODE+1,FALSE)</f>
        <v>Steuer-/Handelsrechtliche Abschreibungen</v>
      </c>
      <c r="D113" s="15"/>
      <c r="E113" s="15"/>
      <c r="F113" s="15"/>
    </row>
    <row r="114" spans="1:6" s="16" customFormat="1" ht="9.75" customHeight="1">
      <c r="A114" s="61" t="s">
        <v>1882</v>
      </c>
      <c r="B114" s="32"/>
      <c r="C114" s="32" t="str">
        <f>VLOOKUP($A114&amp;C$4,TEXTDF,SPRCODE+1,FALSE)</f>
        <v>Abschreibungen nach internat. Standard</v>
      </c>
      <c r="D114" s="15"/>
      <c r="E114" s="15"/>
      <c r="F114" s="15"/>
    </row>
    <row r="115" spans="1:6" s="16" customFormat="1" ht="9.75" customHeight="1">
      <c r="A115" s="61" t="s">
        <v>1883</v>
      </c>
      <c r="B115" s="32"/>
      <c r="C115" s="32" t="str">
        <f>VLOOKUP($A115&amp;C$4,TEXTDF,SPRCODE+1,FALSE)</f>
        <v>Andere Bewertungsmethode (Kommentar)</v>
      </c>
      <c r="D115" s="15"/>
      <c r="E115" s="15"/>
      <c r="F115" s="15"/>
    </row>
    <row r="116" spans="1:6" s="16" customFormat="1">
      <c r="A116" s="15"/>
      <c r="B116" s="15"/>
      <c r="C116" s="15"/>
      <c r="D116" s="15"/>
      <c r="E116" s="15"/>
      <c r="F116" s="15"/>
    </row>
    <row r="117" spans="1:6" s="16" customFormat="1"/>
  </sheetData>
  <sheetProtection algorithmName="SHA-512" hashValue="8puCmNhzHrrPtc3MLA29ibW3vA9Ma1jHrGlMhkAIxBOsfkNsayTORfc041S+gQMz+CZW0PrlLtMiF2yRusvjiA==" saltValue="PJM5ZshcHltx4dQ5oY4UKQ==" spinCount="100000" sheet="1" objects="1" scenarios="1"/>
  <customSheetViews>
    <customSheetView guid="{ECF4189F-4624-4725-BD5A-98214EF42022}" scale="75" showRuler="0">
      <pane ySplit="4" topLeftCell="A5" activePane="bottomLeft" state="frozen"/>
      <selection pane="bottomLeft" activeCell="A2" sqref="A2"/>
      <rowBreaks count="2" manualBreakCount="2">
        <brk id="29" max="16383" man="1"/>
        <brk id="118" max="16383" man="1"/>
      </rowBreaks>
      <colBreaks count="1" manualBreakCount="1">
        <brk id="6" max="1048575" man="1"/>
      </colBreaks>
      <pageMargins left="0.17" right="0.17" top="0.27" bottom="0.18" header="0.17" footer="0.16"/>
      <printOptions headings="1"/>
      <pageSetup paperSize="9" scale="75" orientation="landscape" horizontalDpi="4294967295"/>
      <headerFooter alignWithMargins="0">
        <oddFooter>&amp;L&amp;D   &amp;T&amp;C&amp;A&amp;R&amp;P / &amp;N</oddFooter>
      </headerFooter>
    </customSheetView>
  </customSheetViews>
  <phoneticPr fontId="9" type="noConversion"/>
  <conditionalFormatting sqref="E5:E20">
    <cfRule type="expression" dxfId="5" priority="2" stopIfTrue="1">
      <formula>IF(ISBLANK(E5),1,0)</formula>
    </cfRule>
  </conditionalFormatting>
  <conditionalFormatting sqref="E21:E22">
    <cfRule type="expression" dxfId="4" priority="1" stopIfTrue="1">
      <formula>IF(ISBLANK(E21),1,0)</formula>
    </cfRule>
  </conditionalFormatting>
  <dataValidations count="17">
    <dataValidation type="list" allowBlank="1" showInputMessage="1" showErrorMessage="1" sqref="C5" xr:uid="{E9206554-9B04-4255-8BB1-74B6BEEC824A}">
      <formula1>$C$30:$C$34</formula1>
    </dataValidation>
    <dataValidation type="list" allowBlank="1" showInputMessage="1" showErrorMessage="1" sqref="C6" xr:uid="{6E39654B-6C1E-47E6-844B-1E913BC2AA23}">
      <formula1>$C$36:$C$38</formula1>
    </dataValidation>
    <dataValidation type="list" allowBlank="1" showInputMessage="1" showErrorMessage="1" sqref="C7" xr:uid="{56A56E55-22EF-4D01-9FA2-377E850B512A}">
      <formula1>$C$40:$C$43</formula1>
    </dataValidation>
    <dataValidation type="list" allowBlank="1" showInputMessage="1" showErrorMessage="1" sqref="C8" xr:uid="{883D94A2-EE38-41DE-BDDF-C9A2A1708619}">
      <formula1>$C$45:$C$48</formula1>
    </dataValidation>
    <dataValidation type="list" allowBlank="1" showInputMessage="1" showErrorMessage="1" sqref="C9 C11" xr:uid="{EDD8943F-0348-4231-AFF3-5FAB5B646827}">
      <formula1>$C$50:$C$51</formula1>
    </dataValidation>
    <dataValidation type="list" allowBlank="1" showInputMessage="1" showErrorMessage="1" sqref="C10" xr:uid="{7D404A03-989E-4C1F-B9A3-75A88F96C84E}">
      <formula1>$C$53:$C$55</formula1>
    </dataValidation>
    <dataValidation type="list" allowBlank="1" showInputMessage="1" showErrorMessage="1" sqref="C12" xr:uid="{914EC3FD-53CC-4F5E-801C-1E6835574347}">
      <formula1>$C$60:$C$61</formula1>
    </dataValidation>
    <dataValidation type="list" allowBlank="1" showInputMessage="1" showErrorMessage="1" sqref="C13" xr:uid="{72FD2F80-4012-4204-8F34-7476BD845AD9}">
      <formula1>$C$63:$C$66</formula1>
    </dataValidation>
    <dataValidation type="list" allowBlank="1" showInputMessage="1" showErrorMessage="1" sqref="C14" xr:uid="{2C494388-8FDC-476E-B03A-C3DD0481E960}">
      <formula1>$C$73:$C$77</formula1>
    </dataValidation>
    <dataValidation type="list" allowBlank="1" showInputMessage="1" showErrorMessage="1" sqref="C15" xr:uid="{4080A263-A865-40FA-AA7D-96971185BBC9}">
      <formula1>$C$79:$C$82</formula1>
    </dataValidation>
    <dataValidation type="list" allowBlank="1" showInputMessage="1" showErrorMessage="1" sqref="C16" xr:uid="{23046855-4E8D-40D5-A3CA-DF4615C74444}">
      <formula1>$C$84:$C$87</formula1>
    </dataValidation>
    <dataValidation type="list" allowBlank="1" showInputMessage="1" showErrorMessage="1" sqref="C17" xr:uid="{A6C97C8A-F6BF-4DBE-BAD5-83A61A38ED16}">
      <formula1>$C$89:$C$92</formula1>
    </dataValidation>
    <dataValidation type="list" allowBlank="1" showInputMessage="1" showErrorMessage="1" sqref="C18" xr:uid="{E935F704-8CFA-4C7A-9520-58D8940837F2}">
      <formula1>$C$94:$C$95</formula1>
    </dataValidation>
    <dataValidation type="list" allowBlank="1" showInputMessage="1" showErrorMessage="1" sqref="C19" xr:uid="{655F0EE9-B7F2-49DC-9EE9-25E12F4C7221}">
      <formula1>$C$100:$C$103</formula1>
    </dataValidation>
    <dataValidation type="list" allowBlank="1" showInputMessage="1" showErrorMessage="1" sqref="C20" xr:uid="{4CABC609-F967-47CD-AB10-A11C89F4BEA0}">
      <formula1>$C$105:$C$108</formula1>
    </dataValidation>
    <dataValidation type="list" allowBlank="1" showInputMessage="1" showErrorMessage="1" sqref="C21" xr:uid="{8E73DE39-1B3F-4569-83DB-7C1340E327F3}">
      <formula1>$C$110:$C$111</formula1>
    </dataValidation>
    <dataValidation type="list" allowBlank="1" showInputMessage="1" showErrorMessage="1" sqref="C22" xr:uid="{199D16E1-A8CF-4591-8005-459CD42F2397}">
      <formula1>$C$113:$C$115</formula1>
    </dataValidation>
  </dataValidations>
  <hyperlinks>
    <hyperlink ref="B1" location="UEBERSICHT!G12" display="UEBERSICHT!G12" xr:uid="{E7DB77D6-75F3-4405-A054-D6244019C69D}"/>
  </hyperlinks>
  <printOptions headings="1" gridLines="1"/>
  <pageMargins left="0.39370078740157483" right="0.35433070866141736" top="0.57999999999999996" bottom="0.47244094488188981" header="0.35" footer="0.23622047244094491"/>
  <pageSetup paperSize="9" scale="65" orientation="landscape"/>
  <headerFooter alignWithMargins="0">
    <oddFooter>&amp;L&amp;D   &amp;T&amp;C&amp;A&amp;R&amp;P / &amp;N</oddFooter>
  </headerFooter>
  <rowBreaks count="2" manualBreakCount="2">
    <brk id="27" max="16383" man="1"/>
    <brk id="116" max="16383" man="1"/>
  </rowBreaks>
  <ignoredErrors>
    <ignoredError sqref="A31:A34 A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BRBV_07">
    <tabColor indexed="56"/>
  </sheetPr>
  <dimension ref="A1:Q58"/>
  <sheetViews>
    <sheetView zoomScaleNormal="100" workbookViewId="0">
      <pane xSplit="3" ySplit="6" topLeftCell="D7" activePane="bottomRight" state="frozen"/>
      <selection pane="topRight" activeCell="D1" sqref="D1"/>
      <selection pane="bottomLeft" activeCell="A7" sqref="A7"/>
      <selection pane="bottomRight" activeCell="E7" sqref="E7"/>
    </sheetView>
  </sheetViews>
  <sheetFormatPr baseColWidth="10" defaultColWidth="9.140625" defaultRowHeight="12.75" customHeight="1"/>
  <cols>
    <col min="1" max="1" width="5.140625" style="16" bestFit="1" customWidth="1"/>
    <col min="2" max="2" width="40.5703125" style="16" customWidth="1"/>
    <col min="3" max="3" width="15.42578125" style="16" customWidth="1"/>
    <col min="4" max="6" width="13.7109375" style="16" customWidth="1"/>
    <col min="7" max="7" width="10.42578125" style="16" customWidth="1"/>
    <col min="8" max="10" width="13.7109375" style="16" customWidth="1"/>
    <col min="11" max="11" width="10.42578125" style="16" customWidth="1"/>
    <col min="12" max="14" width="14.7109375" style="16" customWidth="1"/>
    <col min="15" max="15" width="10.42578125" style="16" customWidth="1"/>
    <col min="16" max="16" width="3.42578125" style="16" customWidth="1"/>
    <col min="17" max="16384" width="9.140625" style="16"/>
  </cols>
  <sheetData>
    <row r="1" spans="1:17" ht="15.75" customHeight="1">
      <c r="A1" s="659" t="s">
        <v>1993</v>
      </c>
      <c r="B1" s="310" t="str">
        <f>VLOOKUP($A1&amp;B$2,TEXTDF,SPRCODE+1,FALSE)</f>
        <v>Bewertungsreserven</v>
      </c>
      <c r="C1" s="660"/>
      <c r="D1" s="22"/>
      <c r="E1" s="22"/>
      <c r="F1" s="22" t="str">
        <f>VLOOKUP("6.d",TEXTDF,SPRCODE+1,FALSE)</f>
        <v>Frankenbeträge in 1000 CHF</v>
      </c>
      <c r="G1" s="22"/>
      <c r="H1" s="22"/>
      <c r="I1" s="22"/>
      <c r="J1" s="22"/>
      <c r="K1" s="22"/>
      <c r="L1" s="656"/>
      <c r="M1" s="656"/>
      <c r="N1" s="657" t="str">
        <f>VLOOKUP($A1&amp;J$2,TEXTDF,SPRCODE+1,FALSE)</f>
        <v>Berichtsjahr:</v>
      </c>
      <c r="O1" s="656">
        <f>jahr</f>
        <v>2023</v>
      </c>
      <c r="P1" s="287"/>
      <c r="Q1" s="302"/>
    </row>
    <row r="2" spans="1:17" ht="15.75" customHeight="1">
      <c r="A2" s="22"/>
      <c r="B2" s="22" t="s">
        <v>66</v>
      </c>
      <c r="C2" s="658" t="s" vm="11">
        <v>469</v>
      </c>
      <c r="D2" s="658" t="s" vm="10">
        <v>470</v>
      </c>
      <c r="E2" s="658" t="s" vm="9">
        <v>57</v>
      </c>
      <c r="F2" s="658" t="s" vm="1">
        <v>58</v>
      </c>
      <c r="G2" s="658" t="s" vm="2">
        <v>54</v>
      </c>
      <c r="H2" s="658" t="s" vm="8">
        <v>238</v>
      </c>
      <c r="I2" s="658" t="s" vm="3">
        <v>239</v>
      </c>
      <c r="J2" s="658" t="s" vm="4">
        <v>240</v>
      </c>
      <c r="K2" s="658" t="s" vm="6">
        <v>241</v>
      </c>
      <c r="L2" s="658" t="s" vm="7">
        <v>293</v>
      </c>
      <c r="M2" s="658" t="s" vm="12">
        <v>719</v>
      </c>
      <c r="N2" s="658" t="s" vm="13">
        <v>3179</v>
      </c>
      <c r="O2" s="658" t="s" vm="14">
        <v>3180</v>
      </c>
      <c r="P2" s="288"/>
      <c r="Q2" s="302"/>
    </row>
    <row r="3" spans="1:17" ht="12.75" customHeight="1">
      <c r="A3" s="178" t="s">
        <v>1997</v>
      </c>
      <c r="B3" s="661" t="str">
        <f>Vr&amp;"  "</f>
        <v xml:space="preserve">  </v>
      </c>
      <c r="C3" s="22"/>
      <c r="D3" s="22"/>
      <c r="E3" s="22"/>
      <c r="F3" s="22"/>
      <c r="G3" s="22"/>
      <c r="H3" s="22"/>
      <c r="I3" s="22"/>
      <c r="J3" s="662"/>
      <c r="L3" s="663"/>
      <c r="M3" s="663"/>
      <c r="N3" s="663"/>
      <c r="O3" s="663"/>
      <c r="P3" s="289"/>
      <c r="Q3" s="303"/>
    </row>
    <row r="4" spans="1:17" ht="12.75" customHeight="1" thickBot="1">
      <c r="A4" s="178"/>
      <c r="B4" s="663" t="str">
        <f xml:space="preserve"> CHOOSE(SPRCODE,"D","F")</f>
        <v>D</v>
      </c>
      <c r="C4" s="664"/>
      <c r="D4" s="664"/>
      <c r="E4" s="22"/>
      <c r="F4" s="664"/>
      <c r="G4" s="664"/>
      <c r="H4" s="22"/>
      <c r="I4" s="22"/>
      <c r="J4" s="22"/>
      <c r="K4" s="22"/>
      <c r="L4" s="22"/>
      <c r="M4" s="22"/>
      <c r="N4" s="22"/>
      <c r="O4" s="22"/>
      <c r="P4" s="289"/>
      <c r="Q4" s="304" t="s">
        <v>3955</v>
      </c>
    </row>
    <row r="5" spans="1:17" s="65" customFormat="1" ht="21.95" customHeight="1" thickBot="1">
      <c r="A5" s="699"/>
      <c r="B5" s="700"/>
      <c r="C5" s="700"/>
      <c r="D5" s="701" t="str">
        <f>VLOOKUP($A6&amp;B$2,TEXTDF,SPRCODE+1,FALSE)</f>
        <v>Berufliche Vorsorge</v>
      </c>
      <c r="E5" s="705"/>
      <c r="F5" s="705"/>
      <c r="G5" s="705">
        <f>+jahr</f>
        <v>2023</v>
      </c>
      <c r="H5" s="702" t="str">
        <f>+D5</f>
        <v>Berufliche Vorsorge</v>
      </c>
      <c r="I5" s="702"/>
      <c r="J5" s="702"/>
      <c r="K5" s="702">
        <f>+G5-1</f>
        <v>2022</v>
      </c>
      <c r="L5" s="706" t="str">
        <f>+H5</f>
        <v>Berufliche Vorsorge</v>
      </c>
      <c r="M5" s="706"/>
      <c r="N5" s="706"/>
      <c r="O5" s="707">
        <f>+K5-1</f>
        <v>2021</v>
      </c>
      <c r="P5" s="290"/>
      <c r="Q5" s="304"/>
    </row>
    <row r="6" spans="1:17" ht="26.25" thickBot="1">
      <c r="A6" s="696" t="s">
        <v>1996</v>
      </c>
      <c r="B6" s="689"/>
      <c r="C6" s="690"/>
      <c r="D6" s="668" t="str">
        <f>VLOOKUP($A6&amp;D$2,TEXTDF,SPRCODE+1,FALSE)</f>
        <v>Buchwert</v>
      </c>
      <c r="E6" s="669" t="str">
        <f>VLOOKUP($A6&amp;E$2,TEXTDF,SPRCODE+1,FALSE)</f>
        <v>Marktwert</v>
      </c>
      <c r="F6" s="669" t="str">
        <f>VLOOKUP($A6&amp;F$2,TEXTDF,SPRCODE+1,FALSE)</f>
        <v>Bewertungs-Reserven</v>
      </c>
      <c r="G6" s="669" t="str">
        <f>VLOOKUP($A6&amp;G$2,TEXTDF,SPRCODE+1,FALSE)</f>
        <v>in % Buchwert</v>
      </c>
      <c r="H6" s="670" t="str">
        <f>+D6</f>
        <v>Buchwert</v>
      </c>
      <c r="I6" s="670" t="str">
        <f t="shared" ref="I6:M6" si="0">+E6</f>
        <v>Marktwert</v>
      </c>
      <c r="J6" s="670" t="str">
        <f t="shared" si="0"/>
        <v>Bewertungs-Reserven</v>
      </c>
      <c r="K6" s="670" t="str">
        <f t="shared" si="0"/>
        <v>in % Buchwert</v>
      </c>
      <c r="L6" s="671" t="str">
        <f t="shared" si="0"/>
        <v>Buchwert</v>
      </c>
      <c r="M6" s="671" t="str">
        <f t="shared" si="0"/>
        <v>Marktwert</v>
      </c>
      <c r="N6" s="671" t="str">
        <f t="shared" ref="N6:O6" si="1">+J6</f>
        <v>Bewertungs-Reserven</v>
      </c>
      <c r="O6" s="672" t="str">
        <f t="shared" si="1"/>
        <v>in % Buchwert</v>
      </c>
      <c r="P6" s="17"/>
      <c r="Q6" s="304"/>
    </row>
    <row r="7" spans="1:17" ht="15" customHeight="1">
      <c r="A7" s="716">
        <v>369</v>
      </c>
      <c r="B7" s="673" t="str">
        <f t="shared" ref="B7:B18" si="2">VLOOKUP($A7&amp;B$2,TEXTDF,SPRCODE+1,FALSE)</f>
        <v>Grundstücke und Bauten</v>
      </c>
      <c r="C7" s="679" t="s">
        <v>380</v>
      </c>
      <c r="D7" s="247">
        <f>BILANZ!$F$6</f>
        <v>0</v>
      </c>
      <c r="E7" s="723">
        <v>0</v>
      </c>
      <c r="F7" s="815">
        <f>E7-D7</f>
        <v>0</v>
      </c>
      <c r="G7" s="686" t="str">
        <f>+IFERROR(F7/D7,"")</f>
        <v/>
      </c>
      <c r="H7" s="818">
        <f>BILANZ!$G$6</f>
        <v>0</v>
      </c>
      <c r="I7" s="723">
        <v>0</v>
      </c>
      <c r="J7" s="818">
        <f t="shared" ref="J7:J17" si="3">I7-H7</f>
        <v>0</v>
      </c>
      <c r="K7" s="687" t="str">
        <f t="shared" ref="K7:K19" si="4">+IFERROR(J7/H7,"")</f>
        <v/>
      </c>
      <c r="L7" s="723">
        <v>0</v>
      </c>
      <c r="M7" s="723">
        <v>0</v>
      </c>
      <c r="N7" s="820">
        <f t="shared" ref="N7:N15" si="5">M7-L7</f>
        <v>0</v>
      </c>
      <c r="O7" s="251" t="str">
        <f t="shared" ref="O7:O19" si="6">+IFERROR(N7/L7,"")</f>
        <v/>
      </c>
      <c r="P7" s="182"/>
      <c r="Q7" s="304"/>
    </row>
    <row r="8" spans="1:17" ht="15" customHeight="1">
      <c r="A8" s="717">
        <v>370</v>
      </c>
      <c r="B8" s="674" t="str">
        <f t="shared" si="2"/>
        <v>Anteile an Immobiliengesellschaften</v>
      </c>
      <c r="C8" s="680" t="s">
        <v>381</v>
      </c>
      <c r="D8" s="211">
        <f>BILANZ!$F$7</f>
        <v>0</v>
      </c>
      <c r="E8" s="232">
        <v>0</v>
      </c>
      <c r="F8" s="816">
        <f t="shared" ref="F8:F17" si="7">E8-D8</f>
        <v>0</v>
      </c>
      <c r="G8" s="654" t="str">
        <f t="shared" ref="G8:G19" si="8">+IFERROR(F8/D8,"")</f>
        <v/>
      </c>
      <c r="H8" s="207">
        <f>BILANZ!$G$7</f>
        <v>0</v>
      </c>
      <c r="I8" s="232">
        <v>0</v>
      </c>
      <c r="J8" s="207">
        <f t="shared" si="3"/>
        <v>0</v>
      </c>
      <c r="K8" s="653" t="str">
        <f t="shared" si="4"/>
        <v/>
      </c>
      <c r="L8" s="232">
        <v>0</v>
      </c>
      <c r="M8" s="232">
        <v>0</v>
      </c>
      <c r="N8" s="202">
        <f t="shared" si="5"/>
        <v>0</v>
      </c>
      <c r="O8" s="201" t="str">
        <f t="shared" si="6"/>
        <v/>
      </c>
      <c r="P8" s="182"/>
      <c r="Q8" s="304"/>
    </row>
    <row r="9" spans="1:17" ht="15" customHeight="1">
      <c r="A9" s="717">
        <v>371</v>
      </c>
      <c r="B9" s="674" t="str">
        <f t="shared" si="2"/>
        <v>Anteile an verbundenen Unternehmen</v>
      </c>
      <c r="C9" s="680" t="s">
        <v>384</v>
      </c>
      <c r="D9" s="211">
        <f>BILANZ!$F$8</f>
        <v>0</v>
      </c>
      <c r="E9" s="232">
        <v>0</v>
      </c>
      <c r="F9" s="816">
        <f t="shared" si="7"/>
        <v>0</v>
      </c>
      <c r="G9" s="654" t="str">
        <f t="shared" si="8"/>
        <v/>
      </c>
      <c r="H9" s="207">
        <f>BILANZ!$G$8</f>
        <v>0</v>
      </c>
      <c r="I9" s="232">
        <v>0</v>
      </c>
      <c r="J9" s="207">
        <f t="shared" si="3"/>
        <v>0</v>
      </c>
      <c r="K9" s="653" t="str">
        <f t="shared" si="4"/>
        <v/>
      </c>
      <c r="L9" s="232">
        <v>0</v>
      </c>
      <c r="M9" s="232">
        <v>0</v>
      </c>
      <c r="N9" s="202">
        <f t="shared" si="5"/>
        <v>0</v>
      </c>
      <c r="O9" s="201" t="str">
        <f t="shared" si="6"/>
        <v/>
      </c>
      <c r="P9" s="182"/>
      <c r="Q9" s="304"/>
    </row>
    <row r="10" spans="1:17" ht="15" customHeight="1">
      <c r="A10" s="717">
        <v>372</v>
      </c>
      <c r="B10" s="674" t="str">
        <f t="shared" si="2"/>
        <v>Beteiligungen</v>
      </c>
      <c r="C10" s="680" t="s">
        <v>385</v>
      </c>
      <c r="D10" s="211">
        <f>BILANZ!$F$10</f>
        <v>0</v>
      </c>
      <c r="E10" s="232">
        <v>0</v>
      </c>
      <c r="F10" s="816">
        <f t="shared" si="7"/>
        <v>0</v>
      </c>
      <c r="G10" s="654" t="str">
        <f t="shared" si="8"/>
        <v/>
      </c>
      <c r="H10" s="207">
        <f>BILANZ!$G$10</f>
        <v>0</v>
      </c>
      <c r="I10" s="232">
        <v>0</v>
      </c>
      <c r="J10" s="207">
        <f t="shared" si="3"/>
        <v>0</v>
      </c>
      <c r="K10" s="653" t="str">
        <f t="shared" si="4"/>
        <v/>
      </c>
      <c r="L10" s="232">
        <v>0</v>
      </c>
      <c r="M10" s="232">
        <v>0</v>
      </c>
      <c r="N10" s="202">
        <f t="shared" si="5"/>
        <v>0</v>
      </c>
      <c r="O10" s="201" t="str">
        <f t="shared" si="6"/>
        <v/>
      </c>
      <c r="P10" s="182"/>
      <c r="Q10" s="304"/>
    </row>
    <row r="11" spans="1:17" ht="15" customHeight="1">
      <c r="A11" s="717">
        <v>373</v>
      </c>
      <c r="B11" s="674" t="str">
        <f t="shared" si="2"/>
        <v>Aktien und Anteile an Anlagefonds</v>
      </c>
      <c r="C11" s="680" t="s">
        <v>386</v>
      </c>
      <c r="D11" s="211">
        <f>BILANZ!$F$13+BILANZ!$F$14+BILANZ!$F$15</f>
        <v>0</v>
      </c>
      <c r="E11" s="232">
        <v>0</v>
      </c>
      <c r="F11" s="816">
        <f t="shared" si="7"/>
        <v>0</v>
      </c>
      <c r="G11" s="654" t="str">
        <f t="shared" si="8"/>
        <v/>
      </c>
      <c r="H11" s="207">
        <f>BILANZ!$G$13+BILANZ!$G$14+BILANZ!$G$15</f>
        <v>0</v>
      </c>
      <c r="I11" s="232">
        <v>0</v>
      </c>
      <c r="J11" s="207">
        <f t="shared" si="3"/>
        <v>0</v>
      </c>
      <c r="K11" s="653" t="str">
        <f t="shared" si="4"/>
        <v/>
      </c>
      <c r="L11" s="232">
        <v>0</v>
      </c>
      <c r="M11" s="232">
        <v>0</v>
      </c>
      <c r="N11" s="202">
        <f t="shared" si="5"/>
        <v>0</v>
      </c>
      <c r="O11" s="201" t="str">
        <f t="shared" si="6"/>
        <v/>
      </c>
      <c r="P11" s="182"/>
      <c r="Q11" s="304"/>
    </row>
    <row r="12" spans="1:17" ht="15" customHeight="1">
      <c r="A12" s="717">
        <v>375</v>
      </c>
      <c r="B12" s="674" t="str">
        <f t="shared" si="2"/>
        <v>Eigene Aktien</v>
      </c>
      <c r="C12" s="680" t="s">
        <v>387</v>
      </c>
      <c r="D12" s="211">
        <f>BILANZ!$F$16</f>
        <v>0</v>
      </c>
      <c r="E12" s="232">
        <v>0</v>
      </c>
      <c r="F12" s="816">
        <f t="shared" si="7"/>
        <v>0</v>
      </c>
      <c r="G12" s="654" t="str">
        <f t="shared" si="8"/>
        <v/>
      </c>
      <c r="H12" s="207">
        <f>BILANZ!$G$16</f>
        <v>0</v>
      </c>
      <c r="I12" s="232">
        <v>0</v>
      </c>
      <c r="J12" s="207">
        <f t="shared" si="3"/>
        <v>0</v>
      </c>
      <c r="K12" s="653" t="str">
        <f t="shared" si="4"/>
        <v/>
      </c>
      <c r="L12" s="232">
        <v>0</v>
      </c>
      <c r="M12" s="232">
        <v>0</v>
      </c>
      <c r="N12" s="202">
        <f t="shared" si="5"/>
        <v>0</v>
      </c>
      <c r="O12" s="201" t="str">
        <f t="shared" si="6"/>
        <v/>
      </c>
      <c r="P12" s="182"/>
      <c r="Q12" s="304"/>
    </row>
    <row r="13" spans="1:17" ht="15" customHeight="1">
      <c r="A13" s="717">
        <v>376</v>
      </c>
      <c r="B13" s="674" t="str">
        <f t="shared" si="2"/>
        <v>Festverzinsliche Wertpapiere</v>
      </c>
      <c r="C13" s="680" t="s">
        <v>388</v>
      </c>
      <c r="D13" s="211">
        <f>BILANZ!$F$17+BILANZ!$F$18+BILANZ!$F$19</f>
        <v>0</v>
      </c>
      <c r="E13" s="232">
        <v>0</v>
      </c>
      <c r="F13" s="816">
        <f t="shared" si="7"/>
        <v>0</v>
      </c>
      <c r="G13" s="654" t="str">
        <f t="shared" si="8"/>
        <v/>
      </c>
      <c r="H13" s="207">
        <f>BILANZ!$G$17+BILANZ!$G$18+BILANZ!$G$19</f>
        <v>0</v>
      </c>
      <c r="I13" s="232">
        <v>0</v>
      </c>
      <c r="J13" s="207">
        <f t="shared" si="3"/>
        <v>0</v>
      </c>
      <c r="K13" s="653" t="str">
        <f t="shared" si="4"/>
        <v/>
      </c>
      <c r="L13" s="232">
        <v>0</v>
      </c>
      <c r="M13" s="232">
        <v>0</v>
      </c>
      <c r="N13" s="202">
        <f t="shared" si="5"/>
        <v>0</v>
      </c>
      <c r="O13" s="201" t="str">
        <f t="shared" si="6"/>
        <v/>
      </c>
      <c r="P13" s="182"/>
      <c r="Q13" s="304"/>
    </row>
    <row r="14" spans="1:17" ht="15" customHeight="1">
      <c r="A14" s="717">
        <v>377</v>
      </c>
      <c r="B14" s="674" t="str">
        <f t="shared" si="2"/>
        <v>Hedge Funds</v>
      </c>
      <c r="C14" s="680" t="s">
        <v>389</v>
      </c>
      <c r="D14" s="211">
        <f>BILANZ!$F$23</f>
        <v>0</v>
      </c>
      <c r="E14" s="232">
        <v>0</v>
      </c>
      <c r="F14" s="816">
        <f t="shared" si="7"/>
        <v>0</v>
      </c>
      <c r="G14" s="654" t="str">
        <f t="shared" si="8"/>
        <v/>
      </c>
      <c r="H14" s="207">
        <f>BILANZ!$G$23</f>
        <v>0</v>
      </c>
      <c r="I14" s="232">
        <v>0</v>
      </c>
      <c r="J14" s="207">
        <f t="shared" si="3"/>
        <v>0</v>
      </c>
      <c r="K14" s="653" t="str">
        <f t="shared" si="4"/>
        <v/>
      </c>
      <c r="L14" s="232">
        <v>0</v>
      </c>
      <c r="M14" s="232">
        <v>0</v>
      </c>
      <c r="N14" s="202">
        <f t="shared" si="5"/>
        <v>0</v>
      </c>
      <c r="O14" s="201" t="str">
        <f t="shared" si="6"/>
        <v/>
      </c>
      <c r="P14" s="182"/>
      <c r="Q14" s="304"/>
    </row>
    <row r="15" spans="1:17" ht="15" customHeight="1">
      <c r="A15" s="717">
        <v>378</v>
      </c>
      <c r="B15" s="674" t="str">
        <f t="shared" si="2"/>
        <v>Private Equity</v>
      </c>
      <c r="C15" s="680" t="s">
        <v>390</v>
      </c>
      <c r="D15" s="211">
        <f>BILANZ!$F$24</f>
        <v>0</v>
      </c>
      <c r="E15" s="232">
        <v>0</v>
      </c>
      <c r="F15" s="816">
        <f t="shared" si="7"/>
        <v>0</v>
      </c>
      <c r="G15" s="654" t="str">
        <f t="shared" si="8"/>
        <v/>
      </c>
      <c r="H15" s="207">
        <f>BILANZ!$G$24</f>
        <v>0</v>
      </c>
      <c r="I15" s="232">
        <v>0</v>
      </c>
      <c r="J15" s="207">
        <f t="shared" si="3"/>
        <v>0</v>
      </c>
      <c r="K15" s="653" t="str">
        <f t="shared" si="4"/>
        <v/>
      </c>
      <c r="L15" s="232">
        <v>0</v>
      </c>
      <c r="M15" s="232">
        <v>0</v>
      </c>
      <c r="N15" s="202">
        <f t="shared" si="5"/>
        <v>0</v>
      </c>
      <c r="O15" s="201" t="str">
        <f t="shared" si="6"/>
        <v/>
      </c>
      <c r="P15" s="182"/>
      <c r="Q15" s="304"/>
    </row>
    <row r="16" spans="1:17" ht="15" customHeight="1">
      <c r="A16" s="717" t="s">
        <v>563</v>
      </c>
      <c r="B16" s="674" t="str">
        <f t="shared" si="2"/>
        <v>N e t t o - Guthaben aus derivativen Finanzinstrumenten  a)</v>
      </c>
      <c r="C16" s="680" t="s">
        <v>564</v>
      </c>
      <c r="D16" s="211">
        <f>BILANZ!$F$25-BILANZ!$F$89</f>
        <v>0</v>
      </c>
      <c r="E16" s="232">
        <v>0</v>
      </c>
      <c r="F16" s="816">
        <f>E16-D16</f>
        <v>0</v>
      </c>
      <c r="G16" s="654" t="str">
        <f t="shared" si="8"/>
        <v/>
      </c>
      <c r="H16" s="207">
        <f>BILANZ!$G$25-BILANZ!$G$89</f>
        <v>0</v>
      </c>
      <c r="I16" s="232">
        <v>0</v>
      </c>
      <c r="J16" s="207">
        <f>I16-H16</f>
        <v>0</v>
      </c>
      <c r="K16" s="653" t="str">
        <f t="shared" si="4"/>
        <v/>
      </c>
      <c r="L16" s="232">
        <v>0</v>
      </c>
      <c r="M16" s="232">
        <v>0</v>
      </c>
      <c r="N16" s="202">
        <f>M16-L16</f>
        <v>0</v>
      </c>
      <c r="O16" s="201" t="str">
        <f t="shared" si="6"/>
        <v/>
      </c>
      <c r="P16" s="183"/>
      <c r="Q16" s="304"/>
    </row>
    <row r="17" spans="1:17" ht="15" customHeight="1">
      <c r="A17" s="717">
        <v>379</v>
      </c>
      <c r="B17" s="674" t="str">
        <f t="shared" si="2"/>
        <v>Sonstige Kapitalanlagen  c)</v>
      </c>
      <c r="C17" s="680"/>
      <c r="D17" s="231">
        <v>0</v>
      </c>
      <c r="E17" s="232">
        <v>0</v>
      </c>
      <c r="F17" s="816">
        <f t="shared" si="7"/>
        <v>0</v>
      </c>
      <c r="G17" s="654" t="str">
        <f t="shared" si="8"/>
        <v/>
      </c>
      <c r="H17" s="232">
        <v>0</v>
      </c>
      <c r="I17" s="232">
        <v>0</v>
      </c>
      <c r="J17" s="207">
        <f t="shared" si="3"/>
        <v>0</v>
      </c>
      <c r="K17" s="653" t="str">
        <f t="shared" si="4"/>
        <v/>
      </c>
      <c r="L17" s="232">
        <v>0</v>
      </c>
      <c r="M17" s="232">
        <v>0</v>
      </c>
      <c r="N17" s="202">
        <f>M17-L17</f>
        <v>0</v>
      </c>
      <c r="O17" s="201" t="str">
        <f t="shared" si="6"/>
        <v/>
      </c>
      <c r="P17" s="280"/>
      <c r="Q17" s="304"/>
    </row>
    <row r="18" spans="1:17" ht="15" customHeight="1">
      <c r="A18" s="684" t="s">
        <v>437</v>
      </c>
      <c r="B18" s="675" t="str">
        <f t="shared" si="2"/>
        <v>Kapitalanlagen für fremde Rechnung</v>
      </c>
      <c r="C18" s="681" t="s">
        <v>200</v>
      </c>
      <c r="D18" s="211"/>
      <c r="E18" s="212"/>
      <c r="F18" s="816"/>
      <c r="G18" s="654"/>
      <c r="H18" s="207"/>
      <c r="I18" s="207"/>
      <c r="J18" s="207"/>
      <c r="K18" s="653"/>
      <c r="L18" s="202"/>
      <c r="M18" s="202"/>
      <c r="N18" s="202"/>
      <c r="O18" s="201"/>
      <c r="P18" s="291"/>
      <c r="Q18" s="305"/>
    </row>
    <row r="19" spans="1:17" ht="20.100000000000001" customHeight="1" thickBot="1">
      <c r="A19" s="684">
        <v>381</v>
      </c>
      <c r="B19" s="697" t="str">
        <f>"Total "&amp;VLOOKUP($A6&amp;B$2,TEXTDF,SPRCODE+1,FALSE)&amp;"  b)"</f>
        <v>Total Berufliche Vorsorge  b)</v>
      </c>
      <c r="C19" s="698" t="s">
        <v>566</v>
      </c>
      <c r="D19" s="813">
        <f>SUM(D7:D17)</f>
        <v>0</v>
      </c>
      <c r="E19" s="814">
        <f>SUM(E7:E17)</f>
        <v>0</v>
      </c>
      <c r="F19" s="817">
        <f>E19-D19</f>
        <v>0</v>
      </c>
      <c r="G19" s="692" t="str">
        <f t="shared" si="8"/>
        <v/>
      </c>
      <c r="H19" s="819">
        <f>H$7+H$8+H$9+H$10+H$11+H$12+H$13+H$14+H$15+H$16+H$17</f>
        <v>0</v>
      </c>
      <c r="I19" s="227">
        <f>I$7+I$8+I$9+I$10+I$11+I$12+I$13+I$14+I$15+I$16+I$17</f>
        <v>0</v>
      </c>
      <c r="J19" s="227">
        <f>I19-H19</f>
        <v>0</v>
      </c>
      <c r="K19" s="693" t="str">
        <f t="shared" si="4"/>
        <v/>
      </c>
      <c r="L19" s="821">
        <f>L$7+L$8+L$9+L$10+L$11+L$12+L$13+L$14+L$15+L$16+L$17</f>
        <v>0</v>
      </c>
      <c r="M19" s="229">
        <f>M$7+M$8+M$9+M$10+M$11+M$12+M$13+M$14+M$15+M$16+M$17</f>
        <v>0</v>
      </c>
      <c r="N19" s="229">
        <f>M19-L19</f>
        <v>0</v>
      </c>
      <c r="O19" s="230" t="str">
        <f t="shared" si="6"/>
        <v/>
      </c>
      <c r="P19" s="292"/>
      <c r="Q19" s="242" t="str">
        <f>IF(ABS(BILANZ!$F$30-BILANZ!$F$89-$D$19)&lt;5,"ok",VLOOKUP("381ac",TEXTDF,SPRCODE+1,FALSE))</f>
        <v>ok</v>
      </c>
    </row>
    <row r="20" spans="1:17" ht="23.45" customHeight="1" thickTop="1" thickBot="1">
      <c r="A20" s="684"/>
      <c r="B20" s="676"/>
      <c r="C20" s="682"/>
      <c r="D20" s="703" t="str">
        <f>VLOOKUP("382ua",TEXTDF,SPRCODE+1,FALSE)</f>
        <v>Übriges Geschäft</v>
      </c>
      <c r="E20" s="665"/>
      <c r="F20" s="666"/>
      <c r="G20" s="708">
        <f>+G5</f>
        <v>2023</v>
      </c>
      <c r="H20" s="704" t="str">
        <f>+D20</f>
        <v>Übriges Geschäft</v>
      </c>
      <c r="I20" s="667"/>
      <c r="J20" s="667"/>
      <c r="K20" s="709">
        <f>+K5</f>
        <v>2022</v>
      </c>
      <c r="L20" s="685"/>
      <c r="M20" s="655"/>
      <c r="N20" s="655"/>
      <c r="O20" s="244"/>
      <c r="P20" s="293"/>
      <c r="Q20" s="242" t="str">
        <f>IF(ABS(BILANZ!$G$30-BILANZ!$G$89-$H$19)&lt;5,"ok",VLOOKUP("381ag",TEXTDF,SPRCODE+1,FALSE))</f>
        <v>ok</v>
      </c>
    </row>
    <row r="21" spans="1:17" s="24" customFormat="1" ht="26.25" thickBot="1">
      <c r="A21" s="718"/>
      <c r="B21" s="188"/>
      <c r="C21" s="719"/>
      <c r="D21" s="651" t="str">
        <f>+D6</f>
        <v>Buchwert</v>
      </c>
      <c r="E21" s="652" t="str">
        <f t="shared" ref="E21:K21" si="9">+E6</f>
        <v>Marktwert</v>
      </c>
      <c r="F21" s="652" t="str">
        <f t="shared" si="9"/>
        <v>Bewertungs-Reserven</v>
      </c>
      <c r="G21" s="652" t="str">
        <f t="shared" si="9"/>
        <v>in % Buchwert</v>
      </c>
      <c r="H21" s="650" t="str">
        <f t="shared" si="9"/>
        <v>Buchwert</v>
      </c>
      <c r="I21" s="650" t="str">
        <f t="shared" si="9"/>
        <v>Marktwert</v>
      </c>
      <c r="J21" s="650" t="str">
        <f t="shared" si="9"/>
        <v>Bewertungs-Reserven</v>
      </c>
      <c r="K21" s="688" t="str">
        <f t="shared" si="9"/>
        <v>in % Buchwert</v>
      </c>
      <c r="L21" s="16"/>
      <c r="M21" s="16"/>
      <c r="N21" s="16"/>
      <c r="O21" s="16"/>
      <c r="P21" s="182"/>
      <c r="Q21" s="304"/>
    </row>
    <row r="22" spans="1:17" ht="15" customHeight="1">
      <c r="A22" s="717">
        <v>382</v>
      </c>
      <c r="B22" s="677" t="str">
        <f t="shared" ref="B22:B33" si="10">VLOOKUP($A22&amp;B$2,TEXTDF,SPRCODE+1,FALSE)</f>
        <v>Grundstücke und Bauten</v>
      </c>
      <c r="C22" s="682" t="s">
        <v>380</v>
      </c>
      <c r="D22" s="247">
        <f>BILANZ!$I$6</f>
        <v>0</v>
      </c>
      <c r="E22" s="723">
        <v>0</v>
      </c>
      <c r="F22" s="248">
        <f t="shared" ref="F22:F33" si="11">E22-D22</f>
        <v>0</v>
      </c>
      <c r="G22" s="686" t="str">
        <f t="shared" ref="G22:G34" si="12">+IFERROR(F22/D22,"")</f>
        <v/>
      </c>
      <c r="H22" s="818">
        <f>BILANZ!$J$6</f>
        <v>0</v>
      </c>
      <c r="I22" s="723">
        <v>0</v>
      </c>
      <c r="J22" s="818">
        <f t="shared" ref="J22:J33" si="13">I22-H22</f>
        <v>0</v>
      </c>
      <c r="K22" s="250" t="str">
        <f t="shared" ref="K22:K34" si="14">+IFERROR(J22/H22,"")</f>
        <v/>
      </c>
      <c r="P22" s="182"/>
      <c r="Q22" s="304"/>
    </row>
    <row r="23" spans="1:17" ht="15" customHeight="1">
      <c r="A23" s="717">
        <v>383</v>
      </c>
      <c r="B23" s="677" t="str">
        <f t="shared" si="10"/>
        <v>Anteile an Immobiliengesellschaften</v>
      </c>
      <c r="C23" s="682" t="s">
        <v>381</v>
      </c>
      <c r="D23" s="211">
        <f>BILANZ!$I$7</f>
        <v>0</v>
      </c>
      <c r="E23" s="232">
        <v>0</v>
      </c>
      <c r="F23" s="212">
        <f t="shared" si="11"/>
        <v>0</v>
      </c>
      <c r="G23" s="654" t="str">
        <f t="shared" si="12"/>
        <v/>
      </c>
      <c r="H23" s="207">
        <f>BILANZ!$J$7</f>
        <v>0</v>
      </c>
      <c r="I23" s="232">
        <v>0</v>
      </c>
      <c r="J23" s="207">
        <f t="shared" si="13"/>
        <v>0</v>
      </c>
      <c r="K23" s="205" t="str">
        <f t="shared" si="14"/>
        <v/>
      </c>
      <c r="P23" s="182"/>
      <c r="Q23" s="304"/>
    </row>
    <row r="24" spans="1:17" ht="15" customHeight="1">
      <c r="A24" s="717">
        <v>384</v>
      </c>
      <c r="B24" s="677" t="str">
        <f t="shared" si="10"/>
        <v>Anteile an verbundenen Unternehmen</v>
      </c>
      <c r="C24" s="682" t="s">
        <v>384</v>
      </c>
      <c r="D24" s="211">
        <f>BILANZ!$I$8</f>
        <v>0</v>
      </c>
      <c r="E24" s="232">
        <v>0</v>
      </c>
      <c r="F24" s="212">
        <f t="shared" si="11"/>
        <v>0</v>
      </c>
      <c r="G24" s="654" t="str">
        <f t="shared" si="12"/>
        <v/>
      </c>
      <c r="H24" s="207">
        <f>BILANZ!$J$8</f>
        <v>0</v>
      </c>
      <c r="I24" s="232">
        <v>0</v>
      </c>
      <c r="J24" s="207">
        <f t="shared" si="13"/>
        <v>0</v>
      </c>
      <c r="K24" s="205" t="str">
        <f t="shared" si="14"/>
        <v/>
      </c>
      <c r="P24" s="182"/>
      <c r="Q24" s="304"/>
    </row>
    <row r="25" spans="1:17" ht="15" customHeight="1">
      <c r="A25" s="717">
        <v>385</v>
      </c>
      <c r="B25" s="677" t="str">
        <f t="shared" si="10"/>
        <v>Beteiligungen</v>
      </c>
      <c r="C25" s="682" t="s">
        <v>385</v>
      </c>
      <c r="D25" s="211">
        <f>BILANZ!$I$10</f>
        <v>0</v>
      </c>
      <c r="E25" s="232">
        <v>0</v>
      </c>
      <c r="F25" s="212">
        <f t="shared" si="11"/>
        <v>0</v>
      </c>
      <c r="G25" s="654" t="str">
        <f t="shared" si="12"/>
        <v/>
      </c>
      <c r="H25" s="207">
        <f>BILANZ!$J$10</f>
        <v>0</v>
      </c>
      <c r="I25" s="232">
        <v>0</v>
      </c>
      <c r="J25" s="207">
        <f t="shared" si="13"/>
        <v>0</v>
      </c>
      <c r="K25" s="205" t="str">
        <f t="shared" si="14"/>
        <v/>
      </c>
      <c r="P25" s="182"/>
      <c r="Q25" s="304"/>
    </row>
    <row r="26" spans="1:17" ht="15" customHeight="1">
      <c r="A26" s="717">
        <v>386</v>
      </c>
      <c r="B26" s="677" t="str">
        <f t="shared" si="10"/>
        <v>Aktien und Anteile an Anlagefonds</v>
      </c>
      <c r="C26" s="682" t="s">
        <v>386</v>
      </c>
      <c r="D26" s="211">
        <f>BILANZ!$I$13+BILANZ!$I$14+BILANZ!$I$15</f>
        <v>0</v>
      </c>
      <c r="E26" s="232">
        <v>0</v>
      </c>
      <c r="F26" s="212">
        <f t="shared" si="11"/>
        <v>0</v>
      </c>
      <c r="G26" s="654" t="str">
        <f t="shared" si="12"/>
        <v/>
      </c>
      <c r="H26" s="207">
        <f>BILANZ!$J$13+BILANZ!$J$14+BILANZ!$J$15</f>
        <v>0</v>
      </c>
      <c r="I26" s="232">
        <v>0</v>
      </c>
      <c r="J26" s="207">
        <f t="shared" si="13"/>
        <v>0</v>
      </c>
      <c r="K26" s="205" t="str">
        <f t="shared" si="14"/>
        <v/>
      </c>
      <c r="P26" s="182"/>
      <c r="Q26" s="304"/>
    </row>
    <row r="27" spans="1:17" ht="15" customHeight="1">
      <c r="A27" s="717">
        <v>388</v>
      </c>
      <c r="B27" s="677" t="str">
        <f t="shared" si="10"/>
        <v>Eigene Aktien</v>
      </c>
      <c r="C27" s="682" t="s">
        <v>387</v>
      </c>
      <c r="D27" s="211">
        <f>BILANZ!$I$16</f>
        <v>0</v>
      </c>
      <c r="E27" s="232">
        <v>0</v>
      </c>
      <c r="F27" s="212">
        <f t="shared" si="11"/>
        <v>0</v>
      </c>
      <c r="G27" s="654" t="str">
        <f t="shared" si="12"/>
        <v/>
      </c>
      <c r="H27" s="207">
        <f>BILANZ!$J$16</f>
        <v>0</v>
      </c>
      <c r="I27" s="232">
        <v>0</v>
      </c>
      <c r="J27" s="207">
        <f t="shared" si="13"/>
        <v>0</v>
      </c>
      <c r="K27" s="205" t="str">
        <f t="shared" si="14"/>
        <v/>
      </c>
      <c r="P27" s="182"/>
      <c r="Q27" s="304"/>
    </row>
    <row r="28" spans="1:17" ht="15" customHeight="1">
      <c r="A28" s="717">
        <v>389</v>
      </c>
      <c r="B28" s="677" t="str">
        <f t="shared" si="10"/>
        <v>Festverzinsliche Wertpapiere</v>
      </c>
      <c r="C28" s="682" t="s">
        <v>388</v>
      </c>
      <c r="D28" s="211">
        <f>BILANZ!$I$17+BILANZ!$I$18+BILANZ!$I$19</f>
        <v>0</v>
      </c>
      <c r="E28" s="232">
        <v>0</v>
      </c>
      <c r="F28" s="212">
        <f t="shared" si="11"/>
        <v>0</v>
      </c>
      <c r="G28" s="654" t="str">
        <f t="shared" si="12"/>
        <v/>
      </c>
      <c r="H28" s="207">
        <f>BILANZ!$J$17+BILANZ!$J$18+BILANZ!$J$19</f>
        <v>0</v>
      </c>
      <c r="I28" s="232">
        <v>0</v>
      </c>
      <c r="J28" s="207">
        <f t="shared" si="13"/>
        <v>0</v>
      </c>
      <c r="K28" s="205" t="str">
        <f t="shared" si="14"/>
        <v/>
      </c>
      <c r="P28" s="182"/>
      <c r="Q28" s="304"/>
    </row>
    <row r="29" spans="1:17" ht="15" customHeight="1">
      <c r="A29" s="717">
        <v>390</v>
      </c>
      <c r="B29" s="677" t="str">
        <f t="shared" si="10"/>
        <v>Hedge Funds</v>
      </c>
      <c r="C29" s="682" t="s">
        <v>389</v>
      </c>
      <c r="D29" s="211">
        <f>BILANZ!$I$23</f>
        <v>0</v>
      </c>
      <c r="E29" s="232">
        <v>0</v>
      </c>
      <c r="F29" s="212">
        <f t="shared" si="11"/>
        <v>0</v>
      </c>
      <c r="G29" s="654" t="str">
        <f t="shared" si="12"/>
        <v/>
      </c>
      <c r="H29" s="207">
        <f>BILANZ!$J$23</f>
        <v>0</v>
      </c>
      <c r="I29" s="232">
        <v>0</v>
      </c>
      <c r="J29" s="207">
        <f t="shared" si="13"/>
        <v>0</v>
      </c>
      <c r="K29" s="205" t="str">
        <f t="shared" si="14"/>
        <v/>
      </c>
      <c r="P29" s="17"/>
      <c r="Q29" s="304"/>
    </row>
    <row r="30" spans="1:17" ht="15" customHeight="1">
      <c r="A30" s="717">
        <v>391</v>
      </c>
      <c r="B30" s="677" t="str">
        <f t="shared" si="10"/>
        <v>Private Equity</v>
      </c>
      <c r="C30" s="682" t="s">
        <v>390</v>
      </c>
      <c r="D30" s="211">
        <f>BILANZ!$I$24</f>
        <v>0</v>
      </c>
      <c r="E30" s="232">
        <v>0</v>
      </c>
      <c r="F30" s="212">
        <f t="shared" si="11"/>
        <v>0</v>
      </c>
      <c r="G30" s="654" t="str">
        <f t="shared" si="12"/>
        <v/>
      </c>
      <c r="H30" s="207">
        <f>BILANZ!$J$24</f>
        <v>0</v>
      </c>
      <c r="I30" s="232">
        <v>0</v>
      </c>
      <c r="J30" s="207">
        <f t="shared" si="13"/>
        <v>0</v>
      </c>
      <c r="K30" s="205" t="str">
        <f t="shared" si="14"/>
        <v/>
      </c>
      <c r="P30" s="182"/>
      <c r="Q30" s="304"/>
    </row>
    <row r="31" spans="1:17" ht="15" customHeight="1">
      <c r="A31" s="717" t="s">
        <v>565</v>
      </c>
      <c r="B31" s="677" t="str">
        <f t="shared" si="10"/>
        <v>Netto-Guthaben aus derivativen Finanzinstrumenten  e)</v>
      </c>
      <c r="C31" s="682" t="s">
        <v>564</v>
      </c>
      <c r="D31" s="211">
        <f>BILANZ!$I$25-BILANZ!$I$89</f>
        <v>0</v>
      </c>
      <c r="E31" s="232">
        <v>0</v>
      </c>
      <c r="F31" s="212">
        <f>E31-D31</f>
        <v>0</v>
      </c>
      <c r="G31" s="654" t="str">
        <f t="shared" si="12"/>
        <v/>
      </c>
      <c r="H31" s="207">
        <f>BILANZ!$J$25-BILANZ!$J$89</f>
        <v>0</v>
      </c>
      <c r="I31" s="232">
        <v>0</v>
      </c>
      <c r="J31" s="207">
        <f>I31-H31</f>
        <v>0</v>
      </c>
      <c r="K31" s="205" t="str">
        <f t="shared" si="14"/>
        <v/>
      </c>
      <c r="P31" s="182"/>
      <c r="Q31" s="304"/>
    </row>
    <row r="32" spans="1:17" ht="15" customHeight="1">
      <c r="A32" s="717">
        <v>392</v>
      </c>
      <c r="B32" s="677" t="str">
        <f t="shared" si="10"/>
        <v>Sonstige Kapitalanlagen  g)</v>
      </c>
      <c r="C32" s="682"/>
      <c r="D32" s="231">
        <v>0</v>
      </c>
      <c r="E32" s="232">
        <v>0</v>
      </c>
      <c r="F32" s="212">
        <f t="shared" si="11"/>
        <v>0</v>
      </c>
      <c r="G32" s="654" t="str">
        <f t="shared" si="12"/>
        <v/>
      </c>
      <c r="H32" s="232">
        <v>0</v>
      </c>
      <c r="I32" s="232">
        <v>0</v>
      </c>
      <c r="J32" s="207">
        <f t="shared" si="13"/>
        <v>0</v>
      </c>
      <c r="K32" s="205" t="str">
        <f t="shared" si="14"/>
        <v/>
      </c>
      <c r="P32" s="182"/>
      <c r="Q32" s="304"/>
    </row>
    <row r="33" spans="1:17" ht="15" customHeight="1">
      <c r="A33" s="684" t="s">
        <v>438</v>
      </c>
      <c r="B33" s="677" t="str">
        <f t="shared" si="10"/>
        <v>Kapitalanlagen für fremde Rechnung</v>
      </c>
      <c r="C33" s="682" t="s">
        <v>200</v>
      </c>
      <c r="D33" s="211">
        <f>BILANZ!$I$29</f>
        <v>0</v>
      </c>
      <c r="E33" s="232">
        <v>0</v>
      </c>
      <c r="F33" s="212">
        <f t="shared" si="11"/>
        <v>0</v>
      </c>
      <c r="G33" s="654" t="str">
        <f t="shared" si="12"/>
        <v/>
      </c>
      <c r="H33" s="207">
        <f>BILANZ!$J$29</f>
        <v>0</v>
      </c>
      <c r="I33" s="232">
        <v>0</v>
      </c>
      <c r="J33" s="207">
        <f t="shared" si="13"/>
        <v>0</v>
      </c>
      <c r="K33" s="205" t="str">
        <f t="shared" si="14"/>
        <v/>
      </c>
      <c r="P33" s="183"/>
      <c r="Q33" s="304"/>
    </row>
    <row r="34" spans="1:17" ht="23.1" customHeight="1" thickBot="1">
      <c r="A34" s="684">
        <v>394</v>
      </c>
      <c r="B34" s="676" t="str">
        <f>"Total "&amp;VLOOKUP("382ua",TEXTDF,SPRCODE+1,FALSE)&amp;"  f)"</f>
        <v>Total Übriges Geschäft  f)</v>
      </c>
      <c r="C34" s="682" t="s">
        <v>566</v>
      </c>
      <c r="D34" s="813">
        <f>D$22+D$23+D$24+D$25+D$26+D$27+D$28+D$29+D$30+D$31+D$32+D$33</f>
        <v>0</v>
      </c>
      <c r="E34" s="814">
        <f>E$22+E$23+E$24+E$25+E$26+E$27+E$28+E$29+E$30+E$31+E$32+E$33</f>
        <v>0</v>
      </c>
      <c r="F34" s="225">
        <f>E34-D34</f>
        <v>0</v>
      </c>
      <c r="G34" s="692" t="str">
        <f t="shared" si="12"/>
        <v/>
      </c>
      <c r="H34" s="819">
        <f>H$22+H$23+H$24+H$25+H$26+H$27+H$28+H$29+H$30+H$31+H$32+H$33</f>
        <v>0</v>
      </c>
      <c r="I34" s="227">
        <f>I$22+I$23+I$24+I$25+I$26+I$27+I$28+I$29+I$30+I$31+I$32+I$33</f>
        <v>0</v>
      </c>
      <c r="J34" s="227">
        <f>I34-H34</f>
        <v>0</v>
      </c>
      <c r="K34" s="228" t="str">
        <f t="shared" si="14"/>
        <v/>
      </c>
      <c r="P34" s="182"/>
      <c r="Q34" s="242" t="str">
        <f>IF(ABS(BILANZ!$I$30-BILANZ!$I$89-$D$34)&lt;5,"ok",VLOOKUP("394ac",TEXTDF,SPRCODE+1,FALSE))</f>
        <v>ok</v>
      </c>
    </row>
    <row r="35" spans="1:17" ht="23.1" customHeight="1" thickTop="1" thickBot="1">
      <c r="A35" s="684"/>
      <c r="B35" s="676"/>
      <c r="C35" s="682"/>
      <c r="D35" s="703" t="str">
        <f>VLOOKUP("0ab",TEXTDF,SPRCODE+1,FALSE)</f>
        <v>Schweizergeschäft</v>
      </c>
      <c r="E35" s="665"/>
      <c r="F35" s="666"/>
      <c r="G35" s="708">
        <f>+G20</f>
        <v>2023</v>
      </c>
      <c r="H35" s="704" t="str">
        <f>+D35</f>
        <v>Schweizergeschäft</v>
      </c>
      <c r="I35" s="667"/>
      <c r="J35" s="667"/>
      <c r="K35" s="709">
        <f>+K20</f>
        <v>2022</v>
      </c>
      <c r="P35" s="182"/>
      <c r="Q35" s="242" t="str">
        <f>IF(ABS(BILANZ!$J$30-BILANZ!$J$89-$H$34)&lt;5,"ok",VLOOKUP("394ag",TEXTDF,SPRCODE+1,FALSE))</f>
        <v>ok</v>
      </c>
    </row>
    <row r="36" spans="1:17" ht="30" customHeight="1" thickBot="1">
      <c r="A36" s="718"/>
      <c r="B36" s="188"/>
      <c r="C36" s="719"/>
      <c r="D36" s="668" t="str">
        <f>+D21</f>
        <v>Buchwert</v>
      </c>
      <c r="E36" s="669" t="str">
        <f t="shared" ref="E36:K36" si="15">+E21</f>
        <v>Marktwert</v>
      </c>
      <c r="F36" s="669" t="str">
        <f t="shared" si="15"/>
        <v>Bewertungs-Reserven</v>
      </c>
      <c r="G36" s="669" t="str">
        <f t="shared" si="15"/>
        <v>in % Buchwert</v>
      </c>
      <c r="H36" s="670" t="str">
        <f t="shared" si="15"/>
        <v>Buchwert</v>
      </c>
      <c r="I36" s="670" t="str">
        <f t="shared" si="15"/>
        <v>Marktwert</v>
      </c>
      <c r="J36" s="670" t="str">
        <f t="shared" si="15"/>
        <v>Bewertungs-Reserven</v>
      </c>
      <c r="K36" s="694" t="str">
        <f t="shared" si="15"/>
        <v>in % Buchwert</v>
      </c>
      <c r="P36" s="182"/>
      <c r="Q36" s="304"/>
    </row>
    <row r="37" spans="1:17" ht="15" customHeight="1">
      <c r="A37" s="717"/>
      <c r="B37" s="677" t="str">
        <f>+B22</f>
        <v>Grundstücke und Bauten</v>
      </c>
      <c r="C37" s="682"/>
      <c r="D37" s="247">
        <f t="shared" ref="D37:E49" si="16">+D7+D22</f>
        <v>0</v>
      </c>
      <c r="E37" s="822">
        <f t="shared" si="16"/>
        <v>0</v>
      </c>
      <c r="F37" s="248">
        <f t="shared" ref="F37:F45" si="17">E37-D37</f>
        <v>0</v>
      </c>
      <c r="G37" s="686" t="str">
        <f t="shared" ref="G37:G49" si="18">+IFERROR(F37/D37,"")</f>
        <v/>
      </c>
      <c r="H37" s="818">
        <f t="shared" ref="H37:I49" si="19">+H7+H22</f>
        <v>0</v>
      </c>
      <c r="I37" s="823">
        <f t="shared" si="19"/>
        <v>0</v>
      </c>
      <c r="J37" s="818">
        <f t="shared" ref="J37:J45" si="20">I37-H37</f>
        <v>0</v>
      </c>
      <c r="K37" s="250" t="str">
        <f t="shared" ref="K37:K49" si="21">+IFERROR(J37/H37,"")</f>
        <v/>
      </c>
      <c r="P37" s="182"/>
      <c r="Q37" s="304"/>
    </row>
    <row r="38" spans="1:17" ht="15" customHeight="1">
      <c r="A38" s="717"/>
      <c r="B38" s="677" t="str">
        <f t="shared" ref="B38:B48" si="22">+B23</f>
        <v>Anteile an Immobiliengesellschaften</v>
      </c>
      <c r="C38" s="682"/>
      <c r="D38" s="211">
        <f t="shared" si="16"/>
        <v>0</v>
      </c>
      <c r="E38" s="327">
        <f t="shared" si="16"/>
        <v>0</v>
      </c>
      <c r="F38" s="212">
        <f t="shared" si="17"/>
        <v>0</v>
      </c>
      <c r="G38" s="654" t="str">
        <f t="shared" si="18"/>
        <v/>
      </c>
      <c r="H38" s="207">
        <f t="shared" si="19"/>
        <v>0</v>
      </c>
      <c r="I38" s="332">
        <f t="shared" si="19"/>
        <v>0</v>
      </c>
      <c r="J38" s="207">
        <f t="shared" si="20"/>
        <v>0</v>
      </c>
      <c r="K38" s="205" t="str">
        <f t="shared" si="21"/>
        <v/>
      </c>
      <c r="P38" s="182"/>
      <c r="Q38" s="304"/>
    </row>
    <row r="39" spans="1:17" ht="15" customHeight="1">
      <c r="A39" s="717"/>
      <c r="B39" s="677" t="str">
        <f t="shared" si="22"/>
        <v>Anteile an verbundenen Unternehmen</v>
      </c>
      <c r="C39" s="682"/>
      <c r="D39" s="211">
        <f t="shared" si="16"/>
        <v>0</v>
      </c>
      <c r="E39" s="327">
        <f t="shared" si="16"/>
        <v>0</v>
      </c>
      <c r="F39" s="212">
        <f t="shared" si="17"/>
        <v>0</v>
      </c>
      <c r="G39" s="654" t="str">
        <f t="shared" si="18"/>
        <v/>
      </c>
      <c r="H39" s="207">
        <f t="shared" si="19"/>
        <v>0</v>
      </c>
      <c r="I39" s="332">
        <f t="shared" si="19"/>
        <v>0</v>
      </c>
      <c r="J39" s="207">
        <f t="shared" si="20"/>
        <v>0</v>
      </c>
      <c r="K39" s="205" t="str">
        <f t="shared" si="21"/>
        <v/>
      </c>
      <c r="P39" s="182"/>
      <c r="Q39" s="304"/>
    </row>
    <row r="40" spans="1:17" ht="15" customHeight="1">
      <c r="A40" s="717"/>
      <c r="B40" s="677" t="str">
        <f t="shared" si="22"/>
        <v>Beteiligungen</v>
      </c>
      <c r="C40" s="682"/>
      <c r="D40" s="211">
        <f t="shared" si="16"/>
        <v>0</v>
      </c>
      <c r="E40" s="327">
        <f t="shared" si="16"/>
        <v>0</v>
      </c>
      <c r="F40" s="212">
        <f t="shared" si="17"/>
        <v>0</v>
      </c>
      <c r="G40" s="654" t="str">
        <f t="shared" si="18"/>
        <v/>
      </c>
      <c r="H40" s="207">
        <f t="shared" si="19"/>
        <v>0</v>
      </c>
      <c r="I40" s="332">
        <f t="shared" si="19"/>
        <v>0</v>
      </c>
      <c r="J40" s="207">
        <f t="shared" si="20"/>
        <v>0</v>
      </c>
      <c r="K40" s="205" t="str">
        <f t="shared" si="21"/>
        <v/>
      </c>
      <c r="P40" s="182"/>
      <c r="Q40" s="304"/>
    </row>
    <row r="41" spans="1:17" ht="15" customHeight="1">
      <c r="A41" s="717"/>
      <c r="B41" s="677" t="str">
        <f t="shared" si="22"/>
        <v>Aktien und Anteile an Anlagefonds</v>
      </c>
      <c r="C41" s="682"/>
      <c r="D41" s="211">
        <f t="shared" si="16"/>
        <v>0</v>
      </c>
      <c r="E41" s="327">
        <f t="shared" si="16"/>
        <v>0</v>
      </c>
      <c r="F41" s="212">
        <f t="shared" si="17"/>
        <v>0</v>
      </c>
      <c r="G41" s="654" t="str">
        <f t="shared" si="18"/>
        <v/>
      </c>
      <c r="H41" s="207">
        <f t="shared" si="19"/>
        <v>0</v>
      </c>
      <c r="I41" s="332">
        <f t="shared" si="19"/>
        <v>0</v>
      </c>
      <c r="J41" s="207">
        <f t="shared" si="20"/>
        <v>0</v>
      </c>
      <c r="K41" s="205" t="str">
        <f t="shared" si="21"/>
        <v/>
      </c>
      <c r="P41" s="182"/>
      <c r="Q41" s="304"/>
    </row>
    <row r="42" spans="1:17" ht="15" customHeight="1">
      <c r="A42" s="717"/>
      <c r="B42" s="677" t="str">
        <f t="shared" si="22"/>
        <v>Eigene Aktien</v>
      </c>
      <c r="C42" s="682"/>
      <c r="D42" s="211">
        <f t="shared" si="16"/>
        <v>0</v>
      </c>
      <c r="E42" s="327">
        <f t="shared" si="16"/>
        <v>0</v>
      </c>
      <c r="F42" s="212">
        <f t="shared" si="17"/>
        <v>0</v>
      </c>
      <c r="G42" s="654" t="str">
        <f t="shared" si="18"/>
        <v/>
      </c>
      <c r="H42" s="207">
        <f t="shared" si="19"/>
        <v>0</v>
      </c>
      <c r="I42" s="332">
        <f t="shared" si="19"/>
        <v>0</v>
      </c>
      <c r="J42" s="207">
        <f t="shared" si="20"/>
        <v>0</v>
      </c>
      <c r="K42" s="205" t="str">
        <f t="shared" si="21"/>
        <v/>
      </c>
      <c r="P42" s="182"/>
      <c r="Q42" s="304"/>
    </row>
    <row r="43" spans="1:17" ht="15" customHeight="1">
      <c r="A43" s="717"/>
      <c r="B43" s="677" t="str">
        <f t="shared" si="22"/>
        <v>Festverzinsliche Wertpapiere</v>
      </c>
      <c r="C43" s="682"/>
      <c r="D43" s="211">
        <f t="shared" si="16"/>
        <v>0</v>
      </c>
      <c r="E43" s="327">
        <f t="shared" si="16"/>
        <v>0</v>
      </c>
      <c r="F43" s="212">
        <f t="shared" si="17"/>
        <v>0</v>
      </c>
      <c r="G43" s="654" t="str">
        <f t="shared" si="18"/>
        <v/>
      </c>
      <c r="H43" s="207">
        <f t="shared" si="19"/>
        <v>0</v>
      </c>
      <c r="I43" s="332">
        <f t="shared" si="19"/>
        <v>0</v>
      </c>
      <c r="J43" s="207">
        <f t="shared" si="20"/>
        <v>0</v>
      </c>
      <c r="K43" s="205" t="str">
        <f t="shared" si="21"/>
        <v/>
      </c>
      <c r="P43" s="182"/>
      <c r="Q43" s="304"/>
    </row>
    <row r="44" spans="1:17" ht="15" customHeight="1">
      <c r="A44" s="717"/>
      <c r="B44" s="677" t="str">
        <f t="shared" si="22"/>
        <v>Hedge Funds</v>
      </c>
      <c r="C44" s="682"/>
      <c r="D44" s="211">
        <f t="shared" si="16"/>
        <v>0</v>
      </c>
      <c r="E44" s="327">
        <f t="shared" si="16"/>
        <v>0</v>
      </c>
      <c r="F44" s="212">
        <f t="shared" si="17"/>
        <v>0</v>
      </c>
      <c r="G44" s="654" t="str">
        <f t="shared" si="18"/>
        <v/>
      </c>
      <c r="H44" s="207">
        <f t="shared" si="19"/>
        <v>0</v>
      </c>
      <c r="I44" s="332">
        <f t="shared" si="19"/>
        <v>0</v>
      </c>
      <c r="J44" s="207">
        <f t="shared" si="20"/>
        <v>0</v>
      </c>
      <c r="K44" s="205" t="str">
        <f t="shared" si="21"/>
        <v/>
      </c>
      <c r="P44" s="182"/>
      <c r="Q44" s="304"/>
    </row>
    <row r="45" spans="1:17" ht="15" customHeight="1">
      <c r="A45" s="717"/>
      <c r="B45" s="677" t="str">
        <f t="shared" si="22"/>
        <v>Private Equity</v>
      </c>
      <c r="C45" s="682"/>
      <c r="D45" s="211">
        <f t="shared" si="16"/>
        <v>0</v>
      </c>
      <c r="E45" s="327">
        <f t="shared" si="16"/>
        <v>0</v>
      </c>
      <c r="F45" s="212">
        <f t="shared" si="17"/>
        <v>0</v>
      </c>
      <c r="G45" s="654" t="str">
        <f t="shared" si="18"/>
        <v/>
      </c>
      <c r="H45" s="207">
        <f t="shared" si="19"/>
        <v>0</v>
      </c>
      <c r="I45" s="332">
        <f t="shared" si="19"/>
        <v>0</v>
      </c>
      <c r="J45" s="207">
        <f t="shared" si="20"/>
        <v>0</v>
      </c>
      <c r="K45" s="205" t="str">
        <f t="shared" si="21"/>
        <v/>
      </c>
      <c r="P45" s="183"/>
      <c r="Q45" s="304"/>
    </row>
    <row r="46" spans="1:17" ht="15" customHeight="1">
      <c r="A46" s="717"/>
      <c r="B46" s="677" t="str">
        <f t="shared" si="22"/>
        <v>Netto-Guthaben aus derivativen Finanzinstrumenten  e)</v>
      </c>
      <c r="C46" s="682"/>
      <c r="D46" s="211">
        <f t="shared" si="16"/>
        <v>0</v>
      </c>
      <c r="E46" s="327">
        <f t="shared" si="16"/>
        <v>0</v>
      </c>
      <c r="F46" s="212">
        <f>E46-D46</f>
        <v>0</v>
      </c>
      <c r="G46" s="654" t="str">
        <f t="shared" si="18"/>
        <v/>
      </c>
      <c r="H46" s="207">
        <f t="shared" si="19"/>
        <v>0</v>
      </c>
      <c r="I46" s="332">
        <f t="shared" si="19"/>
        <v>0</v>
      </c>
      <c r="J46" s="207">
        <f>I46-H46</f>
        <v>0</v>
      </c>
      <c r="K46" s="205" t="str">
        <f t="shared" si="21"/>
        <v/>
      </c>
      <c r="P46" s="183"/>
      <c r="Q46" s="304"/>
    </row>
    <row r="47" spans="1:17" ht="15" customHeight="1">
      <c r="A47" s="717"/>
      <c r="B47" s="677" t="str">
        <f t="shared" si="22"/>
        <v>Sonstige Kapitalanlagen  g)</v>
      </c>
      <c r="C47" s="682"/>
      <c r="D47" s="326">
        <f t="shared" si="16"/>
        <v>0</v>
      </c>
      <c r="E47" s="327">
        <f t="shared" si="16"/>
        <v>0</v>
      </c>
      <c r="F47" s="212">
        <f t="shared" ref="F47:F48" si="23">E47-D47</f>
        <v>0</v>
      </c>
      <c r="G47" s="654" t="str">
        <f t="shared" si="18"/>
        <v/>
      </c>
      <c r="H47" s="332">
        <f t="shared" si="19"/>
        <v>0</v>
      </c>
      <c r="I47" s="332">
        <f t="shared" si="19"/>
        <v>0</v>
      </c>
      <c r="J47" s="207">
        <f t="shared" ref="J47:J48" si="24">I47-H47</f>
        <v>0</v>
      </c>
      <c r="K47" s="205" t="str">
        <f t="shared" si="21"/>
        <v/>
      </c>
      <c r="P47" s="17"/>
      <c r="Q47" s="304"/>
    </row>
    <row r="48" spans="1:17" ht="15" customHeight="1">
      <c r="A48" s="684"/>
      <c r="B48" s="677" t="str">
        <f t="shared" si="22"/>
        <v>Kapitalanlagen für fremde Rechnung</v>
      </c>
      <c r="C48" s="682"/>
      <c r="D48" s="211">
        <f t="shared" si="16"/>
        <v>0</v>
      </c>
      <c r="E48" s="212">
        <f t="shared" si="16"/>
        <v>0</v>
      </c>
      <c r="F48" s="212">
        <f t="shared" si="23"/>
        <v>0</v>
      </c>
      <c r="G48" s="654" t="str">
        <f t="shared" si="18"/>
        <v/>
      </c>
      <c r="H48" s="207">
        <f t="shared" si="19"/>
        <v>0</v>
      </c>
      <c r="I48" s="207">
        <f t="shared" si="19"/>
        <v>0</v>
      </c>
      <c r="J48" s="207">
        <f t="shared" si="24"/>
        <v>0</v>
      </c>
      <c r="K48" s="205" t="str">
        <f t="shared" si="21"/>
        <v/>
      </c>
      <c r="P48" s="182"/>
      <c r="Q48" s="304"/>
    </row>
    <row r="49" spans="1:17" ht="19.5" customHeight="1" thickBot="1">
      <c r="A49" s="720"/>
      <c r="B49" s="678" t="str">
        <f>"Total "&amp;VLOOKUP("0ab",TEXTDF,SPRCODE+1,FALSE)</f>
        <v>Total Schweizergeschäft</v>
      </c>
      <c r="C49" s="683"/>
      <c r="D49" s="813">
        <f t="shared" si="16"/>
        <v>0</v>
      </c>
      <c r="E49" s="814">
        <f t="shared" si="16"/>
        <v>0</v>
      </c>
      <c r="F49" s="225">
        <f>E49-D49</f>
        <v>0</v>
      </c>
      <c r="G49" s="692" t="str">
        <f t="shared" si="18"/>
        <v/>
      </c>
      <c r="H49" s="819">
        <f t="shared" si="19"/>
        <v>0</v>
      </c>
      <c r="I49" s="227">
        <f t="shared" si="19"/>
        <v>0</v>
      </c>
      <c r="J49" s="227">
        <f>I49-H49</f>
        <v>0</v>
      </c>
      <c r="K49" s="228" t="str">
        <f t="shared" si="21"/>
        <v/>
      </c>
      <c r="P49" s="183"/>
      <c r="Q49" s="304"/>
    </row>
    <row r="50" spans="1:17" ht="15" customHeight="1">
      <c r="A50" s="53"/>
      <c r="B50" s="24"/>
      <c r="C50" s="24"/>
      <c r="D50" s="710"/>
      <c r="E50" s="24"/>
      <c r="F50" s="24"/>
      <c r="G50" s="24"/>
      <c r="H50" s="710"/>
      <c r="I50" s="24"/>
      <c r="J50" s="24"/>
      <c r="K50" s="24"/>
      <c r="L50" s="24"/>
      <c r="M50" s="24"/>
      <c r="N50" s="24"/>
      <c r="O50" s="24"/>
      <c r="P50" s="197"/>
      <c r="Q50" s="304"/>
    </row>
    <row r="51" spans="1:17" ht="12.75" customHeight="1">
      <c r="A51" s="53" t="s">
        <v>2058</v>
      </c>
      <c r="B51" s="711" t="str">
        <f t="shared" ref="B51:B58" si="25">VLOOKUP($A51&amp;B$2,TEXTDF,SPRCODE+1,FALSE)</f>
        <v xml:space="preserve">a)  Ab Berichtsjahr 2012 ist der Saldo Guthaben minus Verpflichtungen aus derivativen Finanzinstrumenten unter Position 378a einzutragen. </v>
      </c>
      <c r="C51" s="24"/>
      <c r="D51" s="712"/>
      <c r="E51" s="24"/>
      <c r="F51" s="24"/>
      <c r="G51" s="24"/>
      <c r="H51" s="712"/>
      <c r="I51" s="24"/>
      <c r="J51" s="24"/>
      <c r="K51" s="24"/>
      <c r="L51" s="24"/>
      <c r="M51" s="24"/>
      <c r="N51" s="24"/>
      <c r="O51" s="24"/>
      <c r="P51" s="182"/>
      <c r="Q51" s="304"/>
    </row>
    <row r="52" spans="1:17" ht="12.75" customHeight="1">
      <c r="A52" s="53" t="s">
        <v>2059</v>
      </c>
      <c r="B52" s="711" t="str">
        <f t="shared" si="25"/>
        <v xml:space="preserve">      Dies im Gegensatz zur Bilanz, wo Guthaben und Verpflichtungen aus derivaten Finanzinstrumenten getrennt unter Aktiven und Passiven auszuweisen sind.</v>
      </c>
      <c r="C52" s="24"/>
      <c r="D52" s="712"/>
      <c r="E52" s="24"/>
      <c r="F52" s="24"/>
      <c r="G52" s="24"/>
      <c r="H52" s="712"/>
      <c r="I52" s="24"/>
      <c r="J52" s="24"/>
      <c r="K52" s="24"/>
      <c r="L52" s="24"/>
      <c r="M52" s="24"/>
      <c r="N52" s="24"/>
      <c r="O52" s="24"/>
      <c r="P52" s="182"/>
      <c r="Q52" s="304"/>
    </row>
    <row r="53" spans="1:17" ht="12.75" customHeight="1">
      <c r="A53" s="53" t="s">
        <v>2060</v>
      </c>
      <c r="B53" s="713" t="str">
        <f t="shared" si="25"/>
        <v>b)  Infolgedessen wird das Total Position 381 um den Betrag von Pos. 130a (Bilanz, Passivseite) vom Total der Kapitalanlagen Pos. 79 (Bilanz, Aktivseite) abweichen. Pos. 381 ist für die Renditeberechnungen massgebend.</v>
      </c>
      <c r="C53" s="24"/>
      <c r="D53" s="712"/>
      <c r="E53" s="24"/>
      <c r="F53" s="24"/>
      <c r="G53" s="24"/>
      <c r="H53" s="712"/>
      <c r="I53" s="24"/>
      <c r="J53" s="24"/>
      <c r="K53" s="24"/>
      <c r="L53" s="24"/>
      <c r="M53" s="24"/>
      <c r="N53" s="24"/>
      <c r="O53" s="24"/>
      <c r="P53" s="183"/>
      <c r="Q53" s="304"/>
    </row>
    <row r="54" spans="1:17" ht="12.75" customHeight="1">
      <c r="A54" s="53" t="s">
        <v>2061</v>
      </c>
      <c r="B54" s="711" t="str">
        <f t="shared" si="25"/>
        <v>c)  Die Summe der Position 379, Spalten c resp. g, sollte in der Bilanz mit der Summe der Positionen 56, 58, 59, 68 bis 71, 74 und 75 der Spalten e resp. f übereinstimmen. Sonst ist das Total rot hinterlegt.</v>
      </c>
      <c r="C54" s="24"/>
      <c r="D54" s="24"/>
      <c r="E54" s="24"/>
      <c r="F54" s="24"/>
      <c r="G54" s="24"/>
      <c r="H54" s="24"/>
      <c r="I54" s="24"/>
      <c r="J54" s="24"/>
      <c r="K54" s="24"/>
      <c r="L54" s="24"/>
      <c r="M54" s="24"/>
      <c r="N54" s="24"/>
      <c r="O54" s="24"/>
      <c r="P54" s="182"/>
      <c r="Q54" s="304"/>
    </row>
    <row r="55" spans="1:17" ht="12.75" customHeight="1">
      <c r="A55" s="53" t="s">
        <v>2121</v>
      </c>
      <c r="B55" s="711" t="str">
        <f t="shared" si="25"/>
        <v>e)  Ab Berichtsjahr 2012 ist der Saldo Guthaben minus Verpflichtungen aus derivativen Finanzinstrumenten unter Position 391a einzutragen.</v>
      </c>
      <c r="C55" s="24"/>
      <c r="D55" s="712"/>
      <c r="E55" s="24"/>
      <c r="F55" s="24"/>
      <c r="G55" s="24"/>
      <c r="H55" s="712"/>
      <c r="I55" s="24"/>
      <c r="J55" s="24"/>
      <c r="K55" s="24"/>
      <c r="L55" s="24"/>
      <c r="M55" s="24"/>
      <c r="N55" s="24"/>
      <c r="O55" s="24"/>
      <c r="P55" s="182"/>
      <c r="Q55" s="304"/>
    </row>
    <row r="56" spans="1:17" ht="12.75" customHeight="1">
      <c r="A56" s="714" t="s">
        <v>2122</v>
      </c>
      <c r="B56" s="711" t="str">
        <f t="shared" si="25"/>
        <v xml:space="preserve">      Dies im Gegensatz zur Bilanz, wo Guthaben und Verpflichtungen aus derivaten Finanzinstrumenten getrennt unter Aktiven und Passiven auszuweisen sind.</v>
      </c>
      <c r="C56" s="715"/>
      <c r="D56" s="715"/>
      <c r="E56" s="715"/>
      <c r="F56" s="715"/>
      <c r="G56" s="715"/>
      <c r="H56" s="715"/>
      <c r="I56" s="715"/>
      <c r="J56" s="715"/>
      <c r="K56" s="715"/>
      <c r="L56" s="24"/>
      <c r="M56" s="24"/>
      <c r="N56" s="24"/>
      <c r="O56" s="24"/>
      <c r="P56" s="182"/>
      <c r="Q56" s="304"/>
    </row>
    <row r="57" spans="1:17" ht="12.75" customHeight="1">
      <c r="A57" s="53" t="s">
        <v>2123</v>
      </c>
      <c r="B57" s="713" t="str">
        <f t="shared" si="25"/>
        <v>f)  Infolgedessen wird das Total Position 394 um den Betrag von Pos. 130a (Bilanz, Passivseite) vom Total der Kapitalanlagen Pos. 79 (Bilanz, Aktivseite) abweichen.</v>
      </c>
      <c r="C57" s="24"/>
      <c r="D57" s="712"/>
      <c r="E57" s="24"/>
      <c r="F57" s="24"/>
      <c r="G57" s="24"/>
      <c r="H57" s="712"/>
      <c r="I57" s="24"/>
      <c r="J57" s="24"/>
      <c r="K57" s="24"/>
      <c r="L57" s="24"/>
      <c r="M57" s="24"/>
      <c r="N57" s="24"/>
      <c r="O57" s="24"/>
      <c r="P57" s="182"/>
      <c r="Q57" s="304"/>
    </row>
    <row r="58" spans="1:17" ht="12.75" customHeight="1">
      <c r="A58" s="53" t="s">
        <v>2124</v>
      </c>
      <c r="B58" s="711" t="str">
        <f t="shared" si="25"/>
        <v>g)  Die Summe der Position 392, Spalten c resp. g, sollte in der Bilanz mit der Summe der Positionen 56, 58, 59, 68 bis 71, 74 und 75 der Spalten h resp. i übereinstimmen. Sonst ist das Total rot hinterlegt.</v>
      </c>
      <c r="C58" s="24"/>
      <c r="D58" s="24"/>
      <c r="E58" s="24"/>
      <c r="F58" s="24"/>
      <c r="G58" s="24"/>
      <c r="H58" s="24"/>
      <c r="I58" s="24"/>
      <c r="J58" s="24"/>
      <c r="K58" s="24"/>
      <c r="L58" s="24"/>
      <c r="M58" s="24"/>
      <c r="N58" s="24"/>
      <c r="O58" s="24"/>
      <c r="P58" s="182"/>
      <c r="Q58" s="304"/>
    </row>
  </sheetData>
  <sheetProtection algorithmName="SHA-512" hashValue="T/Zirges97ueR4aw22D9enK/b23OtiwfQQ3dyoCthel6k3px27cKA2zVHRHVsWCEqm1di0AuV/tGtLHnNOadmQ==" saltValue="8aXYEsRb7R7lbXS4KCAdbQ==" spinCount="100000" sheet="1" objects="1" scenarios="1"/>
  <customSheetViews>
    <customSheetView guid="{ECF4189F-4624-4725-BD5A-98214EF42022}" scale="75" showRuler="0">
      <selection activeCell="A3" sqref="A3"/>
      <rowBreaks count="1" manualBreakCount="1">
        <brk id="28" max="16383" man="1"/>
      </rowBreaks>
      <colBreaks count="1" manualBreakCount="1">
        <brk id="12" max="1048575" man="1"/>
      </colBreaks>
      <pageMargins left="0.24" right="0.19" top="0.27" bottom="0.18" header="0.17" footer="0.16"/>
      <printOptions headings="1"/>
      <pageSetup paperSize="9" scale="75" orientation="landscape" horizontalDpi="4294967295"/>
      <headerFooter alignWithMargins="0">
        <oddFooter>&amp;L&amp;D   &amp;T&amp;C&amp;A&amp;R&amp;P / &amp;N</oddFooter>
      </headerFooter>
    </customSheetView>
  </customSheetViews>
  <phoneticPr fontId="9" type="noConversion"/>
  <conditionalFormatting sqref="Q19">
    <cfRule type="cellIs" dxfId="3" priority="4" operator="notEqual">
      <formula>"ok"</formula>
    </cfRule>
  </conditionalFormatting>
  <conditionalFormatting sqref="Q20">
    <cfRule type="cellIs" dxfId="2" priority="3" operator="notEqual">
      <formula>"ok"</formula>
    </cfRule>
  </conditionalFormatting>
  <conditionalFormatting sqref="Q34">
    <cfRule type="cellIs" dxfId="1" priority="2" operator="notEqual">
      <formula>"ok"</formula>
    </cfRule>
  </conditionalFormatting>
  <conditionalFormatting sqref="Q35">
    <cfRule type="cellIs" dxfId="0" priority="1" operator="notEqual">
      <formula>"ok"</formula>
    </cfRule>
  </conditionalFormatting>
  <hyperlinks>
    <hyperlink ref="B1" location="UEBERSICHT!G12" display="UEBERSICHT!G12" xr:uid="{6DE13E36-4414-4810-B910-C09A9BA8DE46}"/>
  </hyperlinks>
  <printOptions headings="1" gridLines="1"/>
  <pageMargins left="0.39370078740157483" right="0.35433070866141736" top="0.22" bottom="0.34" header="0.16" footer="0.16"/>
  <pageSetup paperSize="9" scale="61" orientation="landscape"/>
  <headerFooter alignWithMargins="0">
    <oddFooter>&amp;L&amp;D   &amp;T&amp;C&amp;A&amp;R&amp;P / &amp;N</oddFooter>
  </headerFooter>
  <ignoredErrors>
    <ignoredError sqref="A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BRBV_08">
    <tabColor theme="1"/>
  </sheetPr>
  <dimension ref="A1:U245"/>
  <sheetViews>
    <sheetView zoomScaleNormal="100" workbookViewId="0">
      <pane xSplit="5" ySplit="5" topLeftCell="F6" activePane="bottomRight" state="frozen"/>
      <selection pane="topRight" activeCell="F1" sqref="F1"/>
      <selection pane="bottomLeft" activeCell="A6" sqref="A6"/>
      <selection pane="bottomRight" activeCell="F8" sqref="F8"/>
    </sheetView>
  </sheetViews>
  <sheetFormatPr baseColWidth="10" defaultColWidth="9.140625" defaultRowHeight="12.75"/>
  <cols>
    <col min="1" max="1" width="6.28515625" customWidth="1"/>
    <col min="2" max="2" width="9.85546875" customWidth="1"/>
    <col min="3" max="3" width="11.7109375" customWidth="1"/>
    <col min="4" max="4" width="20.140625" customWidth="1"/>
    <col min="5" max="5" width="47" bestFit="1" customWidth="1"/>
    <col min="6" max="7" width="15" customWidth="1"/>
    <col min="8" max="9" width="10" customWidth="1"/>
    <col min="10" max="10" width="2.140625" customWidth="1"/>
    <col min="11" max="12" width="15" customWidth="1"/>
    <col min="13" max="14" width="10" customWidth="1"/>
    <col min="15" max="15" width="2.140625" customWidth="1"/>
    <col min="16" max="17" width="15" customWidth="1"/>
    <col min="18" max="19" width="10" customWidth="1"/>
    <col min="20" max="20" width="2.140625" customWidth="1"/>
    <col min="21" max="21" width="15" customWidth="1"/>
  </cols>
  <sheetData>
    <row r="1" spans="1:21">
      <c r="A1" s="76"/>
      <c r="B1" s="76" t="s">
        <v>66</v>
      </c>
      <c r="C1" s="76" t="s">
        <v>469</v>
      </c>
      <c r="D1" s="76" t="s">
        <v>470</v>
      </c>
      <c r="E1" s="76" t="s">
        <v>57</v>
      </c>
      <c r="F1" s="77" t="s">
        <v>58</v>
      </c>
      <c r="G1" s="77" t="s">
        <v>54</v>
      </c>
      <c r="H1" s="77" t="s">
        <v>238</v>
      </c>
      <c r="I1" s="77" t="s">
        <v>239</v>
      </c>
      <c r="J1" s="77" t="s">
        <v>240</v>
      </c>
      <c r="K1" s="77" t="s">
        <v>241</v>
      </c>
      <c r="L1" s="77" t="s">
        <v>293</v>
      </c>
      <c r="M1" s="77" t="s">
        <v>719</v>
      </c>
      <c r="N1" s="77" t="s">
        <v>3179</v>
      </c>
      <c r="O1" s="77" t="s">
        <v>3180</v>
      </c>
      <c r="P1" s="77" t="s">
        <v>3358</v>
      </c>
      <c r="Q1" s="77" t="s">
        <v>3359</v>
      </c>
      <c r="R1" s="77" t="s">
        <v>3360</v>
      </c>
      <c r="S1" s="77" t="s">
        <v>3361</v>
      </c>
      <c r="T1" s="77" t="s">
        <v>3387</v>
      </c>
      <c r="U1" s="77" t="s">
        <v>3388</v>
      </c>
    </row>
    <row r="2" spans="1:21" ht="15.75">
      <c r="A2" s="76">
        <v>600</v>
      </c>
      <c r="B2" s="310" t="str">
        <f>"18.     "&amp;VLOOKUP($A2&amp;B$1,TEXTDF,SPRCODE+1,FALSE)</f>
        <v>18.     Offenlegungsschema gegenüber den versicherten Vorsorgeeinrichtungen</v>
      </c>
      <c r="C2" s="78"/>
      <c r="D2" s="78"/>
      <c r="E2" s="78"/>
      <c r="F2" s="78"/>
      <c r="G2" s="78"/>
      <c r="H2" s="79"/>
      <c r="I2" s="79"/>
      <c r="J2" s="78"/>
      <c r="K2" s="78"/>
      <c r="L2" s="78"/>
      <c r="M2" s="78"/>
      <c r="N2" s="78"/>
      <c r="O2" s="78"/>
      <c r="P2" s="78"/>
      <c r="Q2" s="78"/>
      <c r="R2" s="78"/>
      <c r="S2" s="78"/>
      <c r="T2" s="78"/>
      <c r="U2" s="78"/>
    </row>
    <row r="3" spans="1:21">
      <c r="A3" s="76">
        <v>601</v>
      </c>
      <c r="B3" s="80" t="str">
        <f>VLOOKUP($A3&amp;B$1,TEXTDF,SPRCODE+1,FALSE)</f>
        <v>Betriebsrechnung berufliche Vorsorge</v>
      </c>
      <c r="C3" s="78"/>
      <c r="D3" s="78"/>
      <c r="E3" s="78"/>
      <c r="F3" s="78"/>
      <c r="G3" s="78"/>
      <c r="H3" s="79"/>
      <c r="I3" s="79"/>
      <c r="J3" s="78"/>
      <c r="K3" s="78"/>
      <c r="L3" s="78"/>
      <c r="M3" s="78"/>
      <c r="N3" s="78"/>
      <c r="O3" s="78"/>
      <c r="P3" s="78"/>
      <c r="Q3" s="78"/>
      <c r="R3" s="78"/>
      <c r="S3" s="78"/>
      <c r="T3" s="78"/>
      <c r="U3" s="78"/>
    </row>
    <row r="4" spans="1:21">
      <c r="A4" s="76">
        <v>602</v>
      </c>
      <c r="B4" s="78" t="str">
        <f>VLOOKUP($A4&amp;B$1,TEXTDF,SPRCODE+1,FALSE)</f>
        <v>Minimal-Anforderungen der FINMA</v>
      </c>
      <c r="C4" s="78"/>
      <c r="D4" s="78"/>
      <c r="E4" s="78"/>
      <c r="F4" s="78"/>
      <c r="G4" s="78"/>
      <c r="H4" s="79"/>
      <c r="I4" s="79"/>
      <c r="J4" s="78"/>
      <c r="K4" s="78"/>
      <c r="L4" s="78"/>
      <c r="M4" s="78"/>
      <c r="N4" s="78"/>
      <c r="O4" s="78"/>
      <c r="P4" s="78"/>
      <c r="Q4" s="78"/>
      <c r="R4" s="78"/>
      <c r="S4" s="78"/>
      <c r="T4" s="78"/>
      <c r="U4" s="78"/>
    </row>
    <row r="5" spans="1:21">
      <c r="A5" s="76">
        <v>603</v>
      </c>
      <c r="B5" s="78" t="str">
        <f>VLOOKUP($A5&amp;B$1,TEXTDF,SPRCODE+1,FALSE)</f>
        <v xml:space="preserve">Lebensversicherungsunternehmen: </v>
      </c>
      <c r="C5" s="78"/>
      <c r="D5" s="78"/>
      <c r="E5" s="78"/>
      <c r="F5" s="78"/>
      <c r="G5" s="78"/>
      <c r="H5" s="79"/>
      <c r="I5" s="79"/>
      <c r="J5" s="78"/>
      <c r="K5" s="78"/>
      <c r="L5" s="78"/>
      <c r="M5" s="78"/>
      <c r="N5" s="78"/>
      <c r="O5" s="78"/>
      <c r="P5" s="78"/>
      <c r="Q5" s="78"/>
      <c r="R5" s="78"/>
      <c r="S5" s="78"/>
      <c r="T5" s="78"/>
      <c r="U5" s="78"/>
    </row>
    <row r="6" spans="1:21">
      <c r="A6" s="76">
        <v>604</v>
      </c>
      <c r="B6" s="78" t="str">
        <f>VLOOKUP($A6&amp;B$1,TEXTDF,SPRCODE+1,FALSE)</f>
        <v>Frankenbeträge in 1000 CHF, gemäss statutarischem Rechnungsabschluss,  a u t o m a t i s c h  ausgefüllt</v>
      </c>
      <c r="C6" s="78"/>
      <c r="D6" s="78"/>
      <c r="E6" s="78"/>
      <c r="F6" s="81"/>
      <c r="G6" s="78"/>
      <c r="H6" s="79"/>
      <c r="I6" s="79"/>
      <c r="J6" s="78"/>
      <c r="K6" s="78"/>
      <c r="L6" s="78"/>
      <c r="M6" s="78"/>
      <c r="N6" s="78"/>
      <c r="O6" s="78"/>
      <c r="P6" s="78"/>
      <c r="Q6" s="78"/>
      <c r="R6" s="78"/>
      <c r="S6" s="78"/>
      <c r="T6" s="78"/>
      <c r="U6" s="78"/>
    </row>
    <row r="7" spans="1:21" ht="5.25" customHeight="1">
      <c r="A7" s="76"/>
      <c r="B7" s="78"/>
      <c r="C7" s="78"/>
      <c r="D7" s="78"/>
      <c r="E7" s="78"/>
      <c r="F7" s="78"/>
      <c r="G7" s="78"/>
      <c r="H7" s="79"/>
      <c r="I7" s="79"/>
      <c r="J7" s="78"/>
      <c r="K7" s="78"/>
      <c r="L7" s="78"/>
      <c r="M7" s="78"/>
      <c r="N7" s="78"/>
      <c r="O7" s="78"/>
      <c r="P7" s="78"/>
      <c r="Q7" s="78"/>
      <c r="R7" s="78"/>
      <c r="S7" s="78"/>
      <c r="T7" s="78"/>
      <c r="U7" s="78"/>
    </row>
    <row r="8" spans="1:21" ht="15.75">
      <c r="A8" s="76">
        <v>605</v>
      </c>
      <c r="B8" s="82" t="str">
        <f>VLOOKUP($A8&amp;B$1,TEXTDF,SPRCODE+1,FALSE)</f>
        <v>I.  Erfolgsrechnung</v>
      </c>
      <c r="C8" s="83"/>
      <c r="D8" s="83"/>
      <c r="E8" s="83"/>
      <c r="F8" s="84" t="str">
        <f>VLOOKUP($A8&amp;F$1,TEXTDF,SPRCODE+1,FALSE)</f>
        <v>Total BV</v>
      </c>
      <c r="G8" s="84" t="str">
        <f>+F8</f>
        <v>Total BV</v>
      </c>
      <c r="H8" s="85" t="str">
        <f>+G8</f>
        <v>Total BV</v>
      </c>
      <c r="I8" s="85" t="str">
        <f>+H8</f>
        <v>Total BV</v>
      </c>
      <c r="J8" s="83"/>
      <c r="K8" s="82"/>
      <c r="L8" s="82"/>
      <c r="M8" s="78"/>
      <c r="N8" s="78"/>
      <c r="O8" s="78"/>
      <c r="P8" s="86"/>
      <c r="Q8" s="86"/>
      <c r="R8" s="86"/>
      <c r="S8" s="86"/>
      <c r="T8" s="86"/>
      <c r="U8" s="86"/>
    </row>
    <row r="9" spans="1:21" ht="22.5" customHeight="1">
      <c r="A9" s="76"/>
      <c r="B9" s="78"/>
      <c r="C9" s="78"/>
      <c r="D9" s="78"/>
      <c r="E9" s="78"/>
      <c r="F9" s="80">
        <f>+jahr</f>
        <v>2023</v>
      </c>
      <c r="G9" s="80">
        <f>+F9-1</f>
        <v>2022</v>
      </c>
      <c r="H9" s="87" t="s">
        <v>3208</v>
      </c>
      <c r="I9" s="87" t="s">
        <v>3209</v>
      </c>
      <c r="J9" s="78"/>
      <c r="K9" s="80"/>
      <c r="L9" s="80"/>
      <c r="M9" s="78"/>
      <c r="N9" s="78"/>
      <c r="O9" s="78"/>
      <c r="P9" s="78"/>
      <c r="Q9" s="78"/>
      <c r="R9" s="78"/>
      <c r="S9" s="78"/>
      <c r="T9" s="78"/>
      <c r="U9" s="78"/>
    </row>
    <row r="10" spans="1:21">
      <c r="A10" s="76">
        <v>606</v>
      </c>
      <c r="B10" s="88" t="str">
        <f>VLOOKUP($A10&amp;B$1,TEXTDF,SPRCODE+1,FALSE)</f>
        <v>Ertrag</v>
      </c>
      <c r="C10" s="88"/>
      <c r="D10" s="88"/>
      <c r="E10" s="88"/>
      <c r="F10" s="89">
        <f>+SUBTOTAL(9,F11:F35)</f>
        <v>0</v>
      </c>
      <c r="G10" s="89">
        <f>+SUBTOTAL(9,G11:G35)</f>
        <v>0</v>
      </c>
      <c r="H10" s="90">
        <f>+IFERROR(F10-G10,"")</f>
        <v>0</v>
      </c>
      <c r="I10" s="91" t="str">
        <f>+IFERROR(F10/G10-1,"")</f>
        <v/>
      </c>
      <c r="J10" s="80"/>
      <c r="K10" s="92"/>
      <c r="L10" s="92"/>
      <c r="M10" s="78"/>
      <c r="N10" s="78"/>
      <c r="O10" s="78"/>
      <c r="P10" s="80"/>
      <c r="Q10" s="80"/>
      <c r="R10" s="80"/>
      <c r="S10" s="80"/>
      <c r="T10" s="80"/>
      <c r="U10" s="80"/>
    </row>
    <row r="11" spans="1:21">
      <c r="A11" s="76">
        <v>607</v>
      </c>
      <c r="B11" s="93" t="str">
        <f>VLOOKUP($A11&amp;B$1,TEXTDF,SPRCODE+1,FALSE)</f>
        <v>Gebuchte Brutto-Prämien</v>
      </c>
      <c r="C11" s="93"/>
      <c r="D11" s="93"/>
      <c r="E11" s="93"/>
      <c r="F11" s="94">
        <f>+SUBTOTAL(9,F12:F20)</f>
        <v>0</v>
      </c>
      <c r="G11" s="94">
        <f>+SUBTOTAL(9,G12:G20)</f>
        <v>0</v>
      </c>
      <c r="H11" s="95">
        <f t="shared" ref="H11:H35" si="0">+IFERROR(F11-G11,"")</f>
        <v>0</v>
      </c>
      <c r="I11" s="96" t="str">
        <f t="shared" ref="I11:I35" si="1">+IFERROR(F11/G11-1,"")</f>
        <v/>
      </c>
      <c r="J11" s="78"/>
      <c r="K11" s="92"/>
      <c r="L11" s="92"/>
      <c r="M11" s="78"/>
      <c r="N11" s="78"/>
      <c r="O11" s="78"/>
      <c r="P11" s="78"/>
      <c r="Q11" s="78"/>
      <c r="R11" s="78"/>
      <c r="S11" s="78"/>
      <c r="T11" s="78"/>
      <c r="U11" s="78"/>
    </row>
    <row r="12" spans="1:21">
      <c r="A12" s="76">
        <v>608</v>
      </c>
      <c r="B12" s="78"/>
      <c r="C12" s="97" t="str">
        <f>VLOOKUP($A12&amp;C$1,TEXTDF,SPRCODE+1,FALSE)</f>
        <v>Sparprämien</v>
      </c>
      <c r="D12" s="97"/>
      <c r="E12" s="97"/>
      <c r="F12" s="92">
        <f>+SUBTOTAL(9,F13:F18)</f>
        <v>0</v>
      </c>
      <c r="G12" s="92">
        <f>+SUBTOTAL(9,G13:G18)</f>
        <v>0</v>
      </c>
      <c r="H12" s="98">
        <f t="shared" si="0"/>
        <v>0</v>
      </c>
      <c r="I12" s="99" t="str">
        <f t="shared" si="1"/>
        <v/>
      </c>
      <c r="J12" s="78"/>
      <c r="K12" s="92"/>
      <c r="L12" s="92"/>
      <c r="M12" s="78"/>
      <c r="N12" s="78"/>
      <c r="O12" s="78"/>
      <c r="P12" s="78"/>
      <c r="Q12" s="78"/>
      <c r="R12" s="78"/>
      <c r="S12" s="78"/>
      <c r="T12" s="78"/>
      <c r="U12" s="78"/>
    </row>
    <row r="13" spans="1:21">
      <c r="A13" s="76">
        <v>609</v>
      </c>
      <c r="B13" s="78"/>
      <c r="C13" s="78"/>
      <c r="D13" s="100" t="str">
        <f t="shared" ref="D13:D18" si="2">VLOOKUP($A13&amp;D$1,TEXTDF,SPRCODE+1,FALSE)</f>
        <v>Altersgutschriften</v>
      </c>
      <c r="E13" s="100"/>
      <c r="F13" s="101">
        <f>+'TECHN ZERLEGUNG'!E165</f>
        <v>0</v>
      </c>
      <c r="G13" s="101">
        <f>+'TECHN ZERLEGUNG'!F165</f>
        <v>0</v>
      </c>
      <c r="H13" s="102">
        <f t="shared" si="0"/>
        <v>0</v>
      </c>
      <c r="I13" s="103" t="str">
        <f t="shared" si="1"/>
        <v/>
      </c>
      <c r="J13" s="78"/>
      <c r="K13" s="92"/>
      <c r="L13" s="92"/>
      <c r="M13" s="78"/>
      <c r="N13" s="78"/>
      <c r="O13" s="78"/>
      <c r="P13" s="78"/>
      <c r="Q13" s="78"/>
      <c r="R13" s="78"/>
      <c r="S13" s="78"/>
      <c r="T13" s="78"/>
      <c r="U13" s="78"/>
    </row>
    <row r="14" spans="1:21">
      <c r="A14" s="76">
        <v>610</v>
      </c>
      <c r="B14" s="78"/>
      <c r="C14" s="78"/>
      <c r="D14" s="100" t="str">
        <f t="shared" si="2"/>
        <v>Individuelle Einlagen infolge Diensteintritt, Einkauf, WEF oder Scheidung</v>
      </c>
      <c r="E14" s="100"/>
      <c r="F14" s="101">
        <f>+'TECHN ZERLEGUNG'!E168</f>
        <v>0</v>
      </c>
      <c r="G14" s="101">
        <f>+'TECHN ZERLEGUNG'!F168</f>
        <v>0</v>
      </c>
      <c r="H14" s="102">
        <f t="shared" si="0"/>
        <v>0</v>
      </c>
      <c r="I14" s="103" t="str">
        <f t="shared" si="1"/>
        <v/>
      </c>
      <c r="J14" s="78"/>
      <c r="K14" s="92"/>
      <c r="L14" s="92"/>
      <c r="M14" s="78"/>
      <c r="N14" s="78"/>
      <c r="O14" s="78"/>
      <c r="P14" s="78"/>
      <c r="Q14" s="78"/>
      <c r="R14" s="78"/>
      <c r="S14" s="78"/>
      <c r="T14" s="78"/>
      <c r="U14" s="78"/>
    </row>
    <row r="15" spans="1:21">
      <c r="A15" s="76">
        <v>611</v>
      </c>
      <c r="B15" s="78"/>
      <c r="C15" s="78"/>
      <c r="D15" s="100" t="str">
        <f t="shared" si="2"/>
        <v>Eingebrachte Altersguthaben bei Vertragsübernahmen</v>
      </c>
      <c r="E15" s="100"/>
      <c r="F15" s="101">
        <f>+'TECHN ZERLEGUNG'!E169</f>
        <v>0</v>
      </c>
      <c r="G15" s="101">
        <f>+'TECHN ZERLEGUNG'!F169</f>
        <v>0</v>
      </c>
      <c r="H15" s="102">
        <f t="shared" si="0"/>
        <v>0</v>
      </c>
      <c r="I15" s="103" t="str">
        <f t="shared" si="1"/>
        <v/>
      </c>
      <c r="J15" s="78"/>
      <c r="K15" s="92"/>
      <c r="L15" s="92"/>
      <c r="M15" s="78"/>
      <c r="N15" s="78"/>
      <c r="O15" s="78"/>
      <c r="P15" s="78"/>
      <c r="Q15" s="78"/>
      <c r="R15" s="78"/>
      <c r="S15" s="78"/>
      <c r="T15" s="78"/>
      <c r="U15" s="78"/>
    </row>
    <row r="16" spans="1:21">
      <c r="A16" s="76">
        <v>612</v>
      </c>
      <c r="B16" s="78"/>
      <c r="C16" s="78"/>
      <c r="D16" s="100" t="str">
        <f t="shared" si="2"/>
        <v>Einlagen für Alters- und Hinterbliebenenrenten</v>
      </c>
      <c r="E16" s="100"/>
      <c r="F16" s="101">
        <f>+'TECHN ZERLEGUNG'!E170</f>
        <v>0</v>
      </c>
      <c r="G16" s="101">
        <f>+'TECHN ZERLEGUNG'!F170</f>
        <v>0</v>
      </c>
      <c r="H16" s="102">
        <f t="shared" si="0"/>
        <v>0</v>
      </c>
      <c r="I16" s="103" t="str">
        <f t="shared" si="1"/>
        <v/>
      </c>
      <c r="J16" s="78"/>
      <c r="K16" s="92"/>
      <c r="L16" s="92"/>
      <c r="M16" s="78"/>
      <c r="N16" s="78"/>
      <c r="O16" s="78"/>
      <c r="P16" s="78"/>
      <c r="Q16" s="78"/>
      <c r="R16" s="78"/>
      <c r="S16" s="78"/>
      <c r="T16" s="78"/>
      <c r="U16" s="78"/>
    </row>
    <row r="17" spans="1:21">
      <c r="A17" s="76">
        <v>613</v>
      </c>
      <c r="B17" s="78"/>
      <c r="C17" s="78"/>
      <c r="D17" s="100" t="str">
        <f t="shared" si="2"/>
        <v>Einlagen für Invaliden- und Invalidenkinderrenten</v>
      </c>
      <c r="E17" s="100"/>
      <c r="F17" s="101">
        <f>+'TECHN ZERLEGUNG'!E171</f>
        <v>0</v>
      </c>
      <c r="G17" s="101">
        <f>+'TECHN ZERLEGUNG'!F171</f>
        <v>0</v>
      </c>
      <c r="H17" s="102">
        <f t="shared" si="0"/>
        <v>0</v>
      </c>
      <c r="I17" s="103" t="str">
        <f t="shared" si="1"/>
        <v/>
      </c>
      <c r="J17" s="78"/>
      <c r="K17" s="92"/>
      <c r="L17" s="92"/>
      <c r="M17" s="78"/>
      <c r="N17" s="78"/>
      <c r="O17" s="78"/>
      <c r="P17" s="78"/>
      <c r="Q17" s="78"/>
      <c r="R17" s="78"/>
      <c r="S17" s="78"/>
      <c r="T17" s="78"/>
      <c r="U17" s="78"/>
    </row>
    <row r="18" spans="1:21">
      <c r="A18" s="76">
        <v>614</v>
      </c>
      <c r="B18" s="78"/>
      <c r="C18" s="78"/>
      <c r="D18" s="100" t="str">
        <f t="shared" si="2"/>
        <v>Einlagen für Freizügigkeitspolicen</v>
      </c>
      <c r="E18" s="100"/>
      <c r="F18" s="101">
        <f>+'TECHN ZERLEGUNG'!E172</f>
        <v>0</v>
      </c>
      <c r="G18" s="101">
        <f>+'TECHN ZERLEGUNG'!F172</f>
        <v>0</v>
      </c>
      <c r="H18" s="102">
        <f t="shared" si="0"/>
        <v>0</v>
      </c>
      <c r="I18" s="103" t="str">
        <f t="shared" si="1"/>
        <v/>
      </c>
      <c r="J18" s="78"/>
      <c r="K18" s="92"/>
      <c r="L18" s="92"/>
      <c r="M18" s="78"/>
      <c r="N18" s="78"/>
      <c r="O18" s="78"/>
      <c r="P18" s="78"/>
      <c r="Q18" s="78"/>
      <c r="R18" s="78"/>
      <c r="S18" s="78"/>
      <c r="T18" s="78"/>
      <c r="U18" s="78"/>
    </row>
    <row r="19" spans="1:21">
      <c r="A19" s="76">
        <v>615</v>
      </c>
      <c r="B19" s="78"/>
      <c r="C19" s="97" t="str">
        <f>VLOOKUP($A19&amp;C$1,TEXTDF,SPRCODE+1,FALSE)</f>
        <v>Risikoprämien</v>
      </c>
      <c r="D19" s="97"/>
      <c r="E19" s="97"/>
      <c r="F19" s="92">
        <f>+'TECHN ZERLEGUNG'!E33</f>
        <v>0</v>
      </c>
      <c r="G19" s="92">
        <f>+'TECHN ZERLEGUNG'!F33</f>
        <v>0</v>
      </c>
      <c r="H19" s="98">
        <f t="shared" si="0"/>
        <v>0</v>
      </c>
      <c r="I19" s="99" t="str">
        <f t="shared" si="1"/>
        <v/>
      </c>
      <c r="J19" s="78"/>
      <c r="K19" s="92"/>
      <c r="L19" s="92"/>
      <c r="M19" s="78"/>
      <c r="N19" s="78"/>
      <c r="O19" s="78"/>
      <c r="P19" s="78"/>
      <c r="Q19" s="78"/>
      <c r="R19" s="78"/>
      <c r="S19" s="78"/>
      <c r="T19" s="78"/>
      <c r="U19" s="78"/>
    </row>
    <row r="20" spans="1:21">
      <c r="A20" s="76">
        <v>616</v>
      </c>
      <c r="B20" s="78"/>
      <c r="C20" s="97" t="str">
        <f>VLOOKUP($A20&amp;C$1,TEXTDF,SPRCODE+1,FALSE)</f>
        <v>Kostenprämien</v>
      </c>
      <c r="D20" s="97"/>
      <c r="E20" s="97"/>
      <c r="F20" s="92">
        <f>+'TECHN ZERLEGUNG'!E49</f>
        <v>0</v>
      </c>
      <c r="G20" s="92">
        <f>+'TECHN ZERLEGUNG'!F49</f>
        <v>0</v>
      </c>
      <c r="H20" s="98">
        <f t="shared" si="0"/>
        <v>0</v>
      </c>
      <c r="I20" s="99" t="str">
        <f t="shared" si="1"/>
        <v/>
      </c>
      <c r="J20" s="78"/>
      <c r="K20" s="92"/>
      <c r="L20" s="92"/>
      <c r="M20" s="78"/>
      <c r="N20" s="78"/>
      <c r="O20" s="78"/>
      <c r="P20" s="78"/>
      <c r="Q20" s="78"/>
      <c r="R20" s="78"/>
      <c r="S20" s="78"/>
      <c r="T20" s="78"/>
      <c r="U20" s="78"/>
    </row>
    <row r="21" spans="1:21">
      <c r="A21" s="76">
        <v>617</v>
      </c>
      <c r="B21" s="104" t="str">
        <f>VLOOKUP($A21&amp;B$1,TEXTDF,SPRCODE+1,FALSE)</f>
        <v>Nettokapitalerträge</v>
      </c>
      <c r="C21" s="93"/>
      <c r="D21" s="93"/>
      <c r="E21" s="93"/>
      <c r="F21" s="94">
        <f>+SUBTOTAL(9,F22:F33)</f>
        <v>0</v>
      </c>
      <c r="G21" s="94">
        <f>+SUBTOTAL(9,G22:G33)</f>
        <v>0</v>
      </c>
      <c r="H21" s="95">
        <f t="shared" si="0"/>
        <v>0</v>
      </c>
      <c r="I21" s="96" t="str">
        <f t="shared" si="1"/>
        <v/>
      </c>
      <c r="J21" s="78"/>
      <c r="K21" s="92"/>
      <c r="L21" s="92"/>
      <c r="M21" s="78"/>
      <c r="N21" s="78"/>
      <c r="O21" s="78"/>
      <c r="P21" s="78"/>
      <c r="Q21" s="78"/>
      <c r="R21" s="78"/>
      <c r="S21" s="78"/>
      <c r="T21" s="78"/>
      <c r="U21" s="78"/>
    </row>
    <row r="22" spans="1:21">
      <c r="A22" s="76">
        <v>618</v>
      </c>
      <c r="B22" s="78"/>
      <c r="C22" s="97" t="str">
        <f>VLOOKUP($A22&amp;C$1,TEXTDF,SPRCODE+1,FALSE)</f>
        <v>Bruttokapitalerträge</v>
      </c>
      <c r="D22" s="97"/>
      <c r="E22" s="97"/>
      <c r="F22" s="92">
        <f>+SUBTOTAL(9,F23:F32)</f>
        <v>0</v>
      </c>
      <c r="G22" s="92">
        <f>+SUBTOTAL(9,G23:G32)</f>
        <v>0</v>
      </c>
      <c r="H22" s="98">
        <f t="shared" si="0"/>
        <v>0</v>
      </c>
      <c r="I22" s="99" t="str">
        <f t="shared" si="1"/>
        <v/>
      </c>
      <c r="J22" s="78"/>
      <c r="K22" s="92"/>
      <c r="L22" s="92"/>
      <c r="M22" s="78"/>
      <c r="N22" s="78"/>
      <c r="O22" s="78"/>
      <c r="P22" s="78"/>
      <c r="Q22" s="78"/>
      <c r="R22" s="78"/>
      <c r="S22" s="78"/>
      <c r="T22" s="78"/>
      <c r="U22" s="78"/>
    </row>
    <row r="23" spans="1:21">
      <c r="A23" s="76" t="s">
        <v>3686</v>
      </c>
      <c r="B23" s="78"/>
      <c r="C23" s="97"/>
      <c r="D23" s="105" t="str">
        <f>VLOOKUP($A23&amp;D$1,TEXTDF,SPRCODE+1,FALSE)</f>
        <v>Direkte Kapitalanlageerträge</v>
      </c>
      <c r="E23" s="100"/>
      <c r="F23" s="101">
        <f>+SUBTOTAL(9,F24:F28)</f>
        <v>0</v>
      </c>
      <c r="G23" s="101">
        <f>+SUBTOTAL(9,G24:G28)</f>
        <v>0</v>
      </c>
      <c r="H23" s="102">
        <f>+IFERROR(F23-G23,"")</f>
        <v>0</v>
      </c>
      <c r="I23" s="103" t="str">
        <f>+IFERROR(F23/G23-1,"")</f>
        <v/>
      </c>
      <c r="J23" s="78"/>
      <c r="K23" s="92"/>
      <c r="L23" s="92"/>
      <c r="M23" s="78"/>
      <c r="N23" s="78"/>
      <c r="O23" s="78"/>
      <c r="P23" s="78"/>
      <c r="Q23" s="78"/>
      <c r="R23" s="78"/>
      <c r="S23" s="78"/>
      <c r="T23" s="78"/>
      <c r="U23" s="78"/>
    </row>
    <row r="24" spans="1:21">
      <c r="A24" s="76">
        <v>619</v>
      </c>
      <c r="B24" s="78"/>
      <c r="C24" s="78"/>
      <c r="D24" s="97"/>
      <c r="E24" s="97" t="str">
        <f>VLOOKUP($A24&amp;E$1,TEXTDF,SPRCODE+1,FALSE)</f>
        <v>Flüssige Mittel</v>
      </c>
      <c r="F24" s="92">
        <f>+ER!F62</f>
        <v>0</v>
      </c>
      <c r="G24" s="92">
        <f>+ER!G62</f>
        <v>0</v>
      </c>
      <c r="H24" s="98">
        <f t="shared" si="0"/>
        <v>0</v>
      </c>
      <c r="I24" s="99" t="str">
        <f t="shared" si="1"/>
        <v/>
      </c>
      <c r="J24" s="78"/>
      <c r="K24" s="92"/>
      <c r="L24" s="92"/>
      <c r="M24" s="78"/>
      <c r="N24" s="78"/>
      <c r="O24" s="78"/>
      <c r="P24" s="78"/>
      <c r="Q24" s="78"/>
      <c r="R24" s="78"/>
      <c r="S24" s="78"/>
      <c r="T24" s="78"/>
      <c r="U24" s="78"/>
    </row>
    <row r="25" spans="1:21">
      <c r="A25" s="76">
        <v>620</v>
      </c>
      <c r="B25" s="78"/>
      <c r="C25" s="78"/>
      <c r="D25" s="97"/>
      <c r="E25" s="97" t="str">
        <f>VLOOKUP($A25&amp;E$1,TEXTDF,SPRCODE+1,FALSE)</f>
        <v>Obligationen</v>
      </c>
      <c r="F25" s="92">
        <f>+ER!F60</f>
        <v>0</v>
      </c>
      <c r="G25" s="92">
        <f>+ER!G60</f>
        <v>0</v>
      </c>
      <c r="H25" s="98">
        <f t="shared" si="0"/>
        <v>0</v>
      </c>
      <c r="I25" s="99" t="str">
        <f t="shared" si="1"/>
        <v/>
      </c>
      <c r="J25" s="78"/>
      <c r="K25" s="92"/>
      <c r="L25" s="92"/>
      <c r="M25" s="78"/>
      <c r="N25" s="78"/>
      <c r="O25" s="78"/>
      <c r="P25" s="78"/>
      <c r="Q25" s="78"/>
      <c r="R25" s="78"/>
      <c r="S25" s="78"/>
      <c r="T25" s="78"/>
      <c r="U25" s="78"/>
    </row>
    <row r="26" spans="1:21">
      <c r="A26" s="76">
        <v>621</v>
      </c>
      <c r="B26" s="78"/>
      <c r="C26" s="78"/>
      <c r="D26" s="106"/>
      <c r="E26" s="106" t="str">
        <f>VLOOKUP($A26&amp;E$1,TEXTDF,SPRCODE+1,FALSE)</f>
        <v>Liegenschaften</v>
      </c>
      <c r="F26" s="92">
        <f>+ER!F58-ER!F59</f>
        <v>0</v>
      </c>
      <c r="G26" s="92">
        <f>+ER!G58-ER!G59</f>
        <v>0</v>
      </c>
      <c r="H26" s="98">
        <f t="shared" si="0"/>
        <v>0</v>
      </c>
      <c r="I26" s="99" t="str">
        <f t="shared" si="1"/>
        <v/>
      </c>
      <c r="J26" s="78"/>
      <c r="K26" s="92"/>
      <c r="L26" s="92"/>
      <c r="M26" s="78"/>
      <c r="N26" s="78"/>
      <c r="O26" s="78"/>
      <c r="P26" s="78"/>
      <c r="Q26" s="78"/>
      <c r="R26" s="78"/>
      <c r="S26" s="78"/>
      <c r="T26" s="78"/>
      <c r="U26" s="78"/>
    </row>
    <row r="27" spans="1:21">
      <c r="A27" s="76">
        <v>622</v>
      </c>
      <c r="B27" s="78"/>
      <c r="C27" s="78"/>
      <c r="D27" s="97"/>
      <c r="E27" s="97" t="str">
        <f>VLOOKUP($A27&amp;E$1,TEXTDF,SPRCODE+1,FALSE)</f>
        <v>Hypotheken</v>
      </c>
      <c r="F27" s="92">
        <f>+ER!F61</f>
        <v>0</v>
      </c>
      <c r="G27" s="92">
        <f>+ER!G61</f>
        <v>0</v>
      </c>
      <c r="H27" s="98">
        <f t="shared" si="0"/>
        <v>0</v>
      </c>
      <c r="I27" s="99" t="str">
        <f t="shared" si="1"/>
        <v/>
      </c>
      <c r="J27" s="78"/>
      <c r="K27" s="92"/>
      <c r="L27" s="92"/>
      <c r="M27" s="78"/>
      <c r="N27" s="78"/>
      <c r="O27" s="78"/>
      <c r="P27" s="78"/>
      <c r="Q27" s="78"/>
      <c r="R27" s="78"/>
      <c r="S27" s="78"/>
      <c r="T27" s="78"/>
      <c r="U27" s="78"/>
    </row>
    <row r="28" spans="1:21">
      <c r="A28" s="76">
        <v>623</v>
      </c>
      <c r="B28" s="78"/>
      <c r="C28" s="78"/>
      <c r="D28" s="97"/>
      <c r="E28" s="97" t="str">
        <f>VLOOKUP($A28&amp;E$1,TEXTDF,SPRCODE+1,FALSE)</f>
        <v>Übrige Kapitalanlagen</v>
      </c>
      <c r="F28" s="92">
        <f>+ER!F63</f>
        <v>0</v>
      </c>
      <c r="G28" s="92">
        <f>+ER!G63</f>
        <v>0</v>
      </c>
      <c r="H28" s="98">
        <f t="shared" si="0"/>
        <v>0</v>
      </c>
      <c r="I28" s="99" t="str">
        <f t="shared" si="1"/>
        <v/>
      </c>
      <c r="J28" s="78"/>
      <c r="K28" s="92"/>
      <c r="L28" s="92"/>
      <c r="M28" s="78"/>
      <c r="N28" s="78"/>
      <c r="O28" s="78"/>
      <c r="P28" s="78"/>
      <c r="Q28" s="78"/>
      <c r="R28" s="78"/>
      <c r="S28" s="78"/>
      <c r="T28" s="78"/>
      <c r="U28" s="78"/>
    </row>
    <row r="29" spans="1:21">
      <c r="A29" s="76">
        <v>624</v>
      </c>
      <c r="B29" s="78"/>
      <c r="C29" s="97"/>
      <c r="D29" s="100" t="str">
        <f>VLOOKUP($A29&amp;D$1,TEXTDF,SPRCODE+1,FALSE)</f>
        <v>Ergebnis aus Veräusserungen</v>
      </c>
      <c r="E29" s="100"/>
      <c r="F29" s="101">
        <f>+ER!F65-ER!F66</f>
        <v>0</v>
      </c>
      <c r="G29" s="101">
        <f>+ER!G65-ER!G66</f>
        <v>0</v>
      </c>
      <c r="H29" s="102">
        <f t="shared" si="0"/>
        <v>0</v>
      </c>
      <c r="I29" s="103" t="str">
        <f t="shared" si="1"/>
        <v/>
      </c>
      <c r="J29" s="78"/>
      <c r="K29" s="92"/>
      <c r="L29" s="92"/>
      <c r="M29" s="78"/>
      <c r="N29" s="78"/>
      <c r="O29" s="78"/>
      <c r="P29" s="78"/>
      <c r="Q29" s="78"/>
      <c r="R29" s="78"/>
      <c r="S29" s="78"/>
      <c r="T29" s="78"/>
      <c r="U29" s="78"/>
    </row>
    <row r="30" spans="1:21">
      <c r="A30" s="76">
        <v>625</v>
      </c>
      <c r="B30" s="78"/>
      <c r="C30" s="97"/>
      <c r="D30" s="100" t="str">
        <f>VLOOKUP($A30&amp;D$1,TEXTDF,SPRCODE+1,FALSE)</f>
        <v>Saldo aus Zu- und Abschreibungen</v>
      </c>
      <c r="E30" s="100"/>
      <c r="F30" s="101">
        <f>+ER!F67-ER!F68</f>
        <v>0</v>
      </c>
      <c r="G30" s="101">
        <f>+ER!G67-ER!G68</f>
        <v>0</v>
      </c>
      <c r="H30" s="102">
        <f t="shared" si="0"/>
        <v>0</v>
      </c>
      <c r="I30" s="103" t="str">
        <f t="shared" si="1"/>
        <v/>
      </c>
      <c r="J30" s="78"/>
      <c r="K30" s="92"/>
      <c r="L30" s="92"/>
      <c r="M30" s="78"/>
      <c r="N30" s="78"/>
      <c r="O30" s="78"/>
      <c r="P30" s="78"/>
      <c r="Q30" s="78"/>
      <c r="R30" s="78"/>
      <c r="S30" s="78"/>
      <c r="T30" s="78"/>
      <c r="U30" s="78"/>
    </row>
    <row r="31" spans="1:21">
      <c r="A31" s="76">
        <v>626</v>
      </c>
      <c r="B31" s="78"/>
      <c r="C31" s="97"/>
      <c r="D31" s="100" t="str">
        <f>VLOOKUP($A31&amp;D$1,TEXTDF,SPRCODE+1,FALSE)</f>
        <v>Währungsergebnis</v>
      </c>
      <c r="E31" s="100"/>
      <c r="F31" s="101">
        <f>+ER!F69</f>
        <v>0</v>
      </c>
      <c r="G31" s="101">
        <f>+ER!G69</f>
        <v>0</v>
      </c>
      <c r="H31" s="102">
        <f t="shared" si="0"/>
        <v>0</v>
      </c>
      <c r="I31" s="103" t="str">
        <f t="shared" si="1"/>
        <v/>
      </c>
      <c r="J31" s="78"/>
      <c r="K31" s="92"/>
      <c r="L31" s="92"/>
      <c r="M31" s="78"/>
      <c r="N31" s="78"/>
      <c r="O31" s="78"/>
      <c r="P31" s="78"/>
      <c r="Q31" s="78"/>
      <c r="R31" s="78"/>
      <c r="S31" s="78"/>
      <c r="T31" s="78"/>
      <c r="U31" s="78"/>
    </row>
    <row r="32" spans="1:21">
      <c r="A32" s="76">
        <v>627</v>
      </c>
      <c r="B32" s="78"/>
      <c r="C32" s="106"/>
      <c r="D32" s="105" t="str">
        <f>VLOOKUP($A32&amp;D$1,TEXTDF,SPRCODE+1,FALSE)</f>
        <v>Zinsaufwand</v>
      </c>
      <c r="E32" s="100"/>
      <c r="F32" s="101">
        <f>-ER!F75</f>
        <v>0</v>
      </c>
      <c r="G32" s="101">
        <f>-ER!G75</f>
        <v>0</v>
      </c>
      <c r="H32" s="102">
        <f t="shared" si="0"/>
        <v>0</v>
      </c>
      <c r="I32" s="103" t="str">
        <f t="shared" si="1"/>
        <v/>
      </c>
      <c r="J32" s="78"/>
      <c r="K32" s="92"/>
      <c r="L32" s="92"/>
      <c r="M32" s="78"/>
      <c r="N32" s="78"/>
      <c r="O32" s="78"/>
      <c r="P32" s="78"/>
      <c r="Q32" s="78"/>
      <c r="R32" s="78"/>
      <c r="S32" s="78"/>
      <c r="T32" s="78"/>
      <c r="U32" s="78"/>
    </row>
    <row r="33" spans="1:21">
      <c r="A33" s="76">
        <v>628</v>
      </c>
      <c r="B33" s="78"/>
      <c r="C33" s="97" t="str">
        <f>VLOOKUP($A33&amp;C$1,TEXTDF,SPRCODE+1,FALSE)</f>
        <v>Vermögensverwaltungskosten</v>
      </c>
      <c r="D33" s="97"/>
      <c r="E33" s="97"/>
      <c r="F33" s="92">
        <f>-ER!F81</f>
        <v>0</v>
      </c>
      <c r="G33" s="92">
        <f>-ER!G81</f>
        <v>0</v>
      </c>
      <c r="H33" s="98">
        <f t="shared" si="0"/>
        <v>0</v>
      </c>
      <c r="I33" s="99" t="str">
        <f t="shared" si="1"/>
        <v/>
      </c>
      <c r="J33" s="78"/>
      <c r="K33" s="92"/>
      <c r="L33" s="92"/>
      <c r="M33" s="78"/>
      <c r="N33" s="78"/>
      <c r="O33" s="78"/>
      <c r="P33" s="78"/>
      <c r="Q33" s="78"/>
      <c r="R33" s="78"/>
      <c r="S33" s="78"/>
      <c r="T33" s="78"/>
      <c r="U33" s="78"/>
    </row>
    <row r="34" spans="1:21">
      <c r="A34" s="76">
        <v>629</v>
      </c>
      <c r="B34" s="93" t="str">
        <f>VLOOKUP($A34&amp;B$1,TEXTDF,SPRCODE+1,FALSE)</f>
        <v>Übriger Ertrag</v>
      </c>
      <c r="C34" s="93"/>
      <c r="D34" s="93"/>
      <c r="E34" s="93"/>
      <c r="F34" s="94">
        <f>+ER!F11+ER!F83</f>
        <v>0</v>
      </c>
      <c r="G34" s="94">
        <f>+ER!G11+ER!G83</f>
        <v>0</v>
      </c>
      <c r="H34" s="95">
        <f t="shared" si="0"/>
        <v>0</v>
      </c>
      <c r="I34" s="96" t="str">
        <f t="shared" si="1"/>
        <v/>
      </c>
      <c r="J34" s="78"/>
      <c r="K34" s="92"/>
      <c r="L34" s="92"/>
      <c r="M34" s="78"/>
      <c r="N34" s="78"/>
      <c r="O34" s="78"/>
      <c r="P34" s="78"/>
      <c r="Q34" s="78"/>
      <c r="R34" s="78"/>
      <c r="S34" s="78"/>
      <c r="T34" s="78"/>
      <c r="U34" s="78"/>
    </row>
    <row r="35" spans="1:21">
      <c r="A35" s="76">
        <v>630</v>
      </c>
      <c r="B35" s="93" t="str">
        <f>VLOOKUP($A35&amp;B$1,TEXTDF,SPRCODE+1,FALSE)</f>
        <v>Rückversicherungsergebnis</v>
      </c>
      <c r="C35" s="93"/>
      <c r="D35" s="93"/>
      <c r="E35" s="93"/>
      <c r="F35" s="94">
        <f>-ER!F9+ER!F18+ER!F20+ER!F42+ER!F48</f>
        <v>0</v>
      </c>
      <c r="G35" s="94">
        <f>-ER!G9+ER!G18+ER!G20+ER!G42+ER!G48</f>
        <v>0</v>
      </c>
      <c r="H35" s="95">
        <f t="shared" si="0"/>
        <v>0</v>
      </c>
      <c r="I35" s="96" t="str">
        <f t="shared" si="1"/>
        <v/>
      </c>
      <c r="J35" s="78"/>
      <c r="K35" s="92"/>
      <c r="L35" s="92"/>
      <c r="M35" s="78"/>
      <c r="N35" s="78"/>
      <c r="O35" s="78"/>
      <c r="P35" s="78"/>
      <c r="Q35" s="78"/>
      <c r="R35" s="78"/>
      <c r="S35" s="78"/>
      <c r="T35" s="78"/>
      <c r="U35" s="78"/>
    </row>
    <row r="36" spans="1:21" ht="5.25" customHeight="1">
      <c r="A36" s="76"/>
      <c r="B36" s="97"/>
      <c r="C36" s="97"/>
      <c r="D36" s="97"/>
      <c r="E36" s="97"/>
      <c r="F36" s="92"/>
      <c r="G36" s="92"/>
      <c r="H36" s="107"/>
      <c r="I36" s="108"/>
      <c r="J36" s="97"/>
      <c r="K36" s="92"/>
      <c r="L36" s="92"/>
      <c r="M36" s="97"/>
      <c r="N36" s="97"/>
      <c r="O36" s="97"/>
      <c r="P36" s="97"/>
      <c r="Q36" s="97"/>
      <c r="R36" s="97"/>
      <c r="S36" s="97"/>
      <c r="T36" s="97"/>
      <c r="U36" s="97"/>
    </row>
    <row r="37" spans="1:21" ht="18" customHeight="1">
      <c r="A37" s="76"/>
      <c r="B37" s="78"/>
      <c r="C37" s="78"/>
      <c r="D37" s="78"/>
      <c r="E37" s="78"/>
      <c r="F37" s="80">
        <f>+jahr</f>
        <v>2023</v>
      </c>
      <c r="G37" s="80">
        <f>+F37-1</f>
        <v>2022</v>
      </c>
      <c r="H37" s="109" t="s">
        <v>3208</v>
      </c>
      <c r="I37" s="110" t="s">
        <v>3209</v>
      </c>
      <c r="J37" s="78"/>
      <c r="K37" s="80">
        <f>+F37</f>
        <v>2023</v>
      </c>
      <c r="L37" s="80">
        <f>+G37</f>
        <v>2022</v>
      </c>
      <c r="M37" s="78"/>
      <c r="N37" s="78"/>
      <c r="O37" s="78"/>
      <c r="P37" s="78"/>
      <c r="Q37" s="78"/>
      <c r="R37" s="78"/>
      <c r="S37" s="78"/>
      <c r="T37" s="78"/>
      <c r="U37" s="78"/>
    </row>
    <row r="38" spans="1:21">
      <c r="A38" s="76">
        <v>631</v>
      </c>
      <c r="B38" s="88" t="str">
        <f>VLOOKUP($A38&amp;B$1,TEXTDF,SPRCODE+1,FALSE)</f>
        <v>Aufwand</v>
      </c>
      <c r="C38" s="88"/>
      <c r="D38" s="88"/>
      <c r="E38" s="88"/>
      <c r="F38" s="89">
        <f>+SUBTOTAL(9,F39:F65)</f>
        <v>0</v>
      </c>
      <c r="G38" s="89">
        <f>+SUBTOTAL(9,G39:G65)</f>
        <v>0</v>
      </c>
      <c r="H38" s="90">
        <f t="shared" ref="H38:H65" si="3">+IFERROR(F38-G38,"")</f>
        <v>0</v>
      </c>
      <c r="I38" s="91">
        <f>+IFERROR(F38/G38-1,0)</f>
        <v>0</v>
      </c>
      <c r="J38" s="78"/>
      <c r="K38" s="89"/>
      <c r="L38" s="89"/>
      <c r="M38" s="78"/>
      <c r="N38" s="78"/>
      <c r="O38" s="78"/>
      <c r="P38" s="78"/>
      <c r="Q38" s="78"/>
      <c r="R38" s="78"/>
      <c r="S38" s="78"/>
      <c r="T38" s="78"/>
      <c r="U38" s="78"/>
    </row>
    <row r="39" spans="1:21">
      <c r="A39" s="76">
        <v>632</v>
      </c>
      <c r="B39" s="93" t="str">
        <f>VLOOKUP($A39&amp;B$1,TEXTDF,SPRCODE+1,FALSE)</f>
        <v>Versicherungsleistungen</v>
      </c>
      <c r="C39" s="93"/>
      <c r="D39" s="93"/>
      <c r="E39" s="93"/>
      <c r="F39" s="94">
        <f>+SUBTOTAL(9,F40:F48)</f>
        <v>0</v>
      </c>
      <c r="G39" s="94">
        <f>+SUBTOTAL(9,G40:G48)</f>
        <v>0</v>
      </c>
      <c r="H39" s="95">
        <f t="shared" si="3"/>
        <v>0</v>
      </c>
      <c r="I39" s="96" t="str">
        <f t="shared" ref="I39:I65" si="4">+IFERROR(F39/G39-1,"")</f>
        <v/>
      </c>
      <c r="J39" s="78"/>
      <c r="K39" s="111"/>
      <c r="L39" s="111"/>
      <c r="M39" s="78"/>
      <c r="N39" s="78"/>
      <c r="O39" s="78"/>
      <c r="P39" s="78"/>
      <c r="Q39" s="78"/>
      <c r="R39" s="78"/>
      <c r="S39" s="78"/>
      <c r="T39" s="78"/>
      <c r="U39" s="78"/>
    </row>
    <row r="40" spans="1:21">
      <c r="A40" s="76">
        <v>633</v>
      </c>
      <c r="B40" s="112"/>
      <c r="C40" s="97" t="str">
        <f>VLOOKUP($A40&amp;C$1,TEXTDF,SPRCODE+1,FALSE)</f>
        <v>Leistungen infolge Alter</v>
      </c>
      <c r="D40" s="97"/>
      <c r="E40" s="97"/>
      <c r="F40" s="92">
        <f>+SUBTOTAL(9,F41:F42)</f>
        <v>0</v>
      </c>
      <c r="G40" s="92">
        <f>+SUBTOTAL(9,G41:G42)</f>
        <v>0</v>
      </c>
      <c r="H40" s="98">
        <f t="shared" si="3"/>
        <v>0</v>
      </c>
      <c r="I40" s="99" t="str">
        <f t="shared" si="4"/>
        <v/>
      </c>
      <c r="J40" s="78"/>
      <c r="K40" s="113" t="str">
        <f>VLOOKUP($A40&amp;K$1,TEXTDF,SPRCODE+1,FALSE)</f>
        <v>Quote</v>
      </c>
      <c r="L40" s="113" t="str">
        <f>+K40</f>
        <v>Quote</v>
      </c>
      <c r="M40" s="78"/>
      <c r="N40" s="78"/>
      <c r="O40" s="78"/>
      <c r="P40" s="78"/>
      <c r="Q40" s="78"/>
      <c r="R40" s="78"/>
      <c r="S40" s="78"/>
      <c r="T40" s="78"/>
      <c r="U40" s="78"/>
    </row>
    <row r="41" spans="1:21">
      <c r="A41" s="76">
        <v>634</v>
      </c>
      <c r="B41" s="112"/>
      <c r="C41" s="78"/>
      <c r="D41" s="105" t="str">
        <f>VLOOKUP($A41&amp;D$1,TEXTDF,SPRCODE+1,FALSE)</f>
        <v>Rentenleistungen</v>
      </c>
      <c r="E41" s="100"/>
      <c r="F41" s="101">
        <f>+ER!F12-ER!F26-ER!F27-ER!F24</f>
        <v>0</v>
      </c>
      <c r="G41" s="101">
        <f>+ER!G12-ER!G26-ER!G27-ER!G24</f>
        <v>0</v>
      </c>
      <c r="H41" s="102">
        <f t="shared" si="3"/>
        <v>0</v>
      </c>
      <c r="I41" s="114" t="str">
        <f t="shared" si="4"/>
        <v/>
      </c>
      <c r="J41" s="78"/>
      <c r="K41" s="115" t="str">
        <f>+IFERROR(F41/F40,"")</f>
        <v/>
      </c>
      <c r="L41" s="115" t="str">
        <f>+IFERROR(G41/G40,"")</f>
        <v/>
      </c>
      <c r="M41" s="78"/>
      <c r="N41" s="78"/>
      <c r="O41" s="78"/>
      <c r="P41" s="78"/>
      <c r="Q41" s="78"/>
      <c r="R41" s="78"/>
      <c r="S41" s="78"/>
      <c r="T41" s="78"/>
      <c r="U41" s="78"/>
    </row>
    <row r="42" spans="1:21">
      <c r="A42" s="76">
        <v>635</v>
      </c>
      <c r="B42" s="112"/>
      <c r="C42" s="78"/>
      <c r="D42" s="105" t="str">
        <f>VLOOKUP($A42&amp;D$1,TEXTDF,SPRCODE+1,FALSE)</f>
        <v>Kapitalleistungen</v>
      </c>
      <c r="E42" s="100"/>
      <c r="F42" s="101">
        <f>+ER!F24</f>
        <v>0</v>
      </c>
      <c r="G42" s="101">
        <f>+ER!G24</f>
        <v>0</v>
      </c>
      <c r="H42" s="102">
        <f t="shared" si="3"/>
        <v>0</v>
      </c>
      <c r="I42" s="114" t="str">
        <f t="shared" si="4"/>
        <v/>
      </c>
      <c r="J42" s="78"/>
      <c r="K42" s="115" t="str">
        <f>+IFERROR(F42/F40,"")</f>
        <v/>
      </c>
      <c r="L42" s="115" t="str">
        <f>+IFERROR(G42/G40,"")</f>
        <v/>
      </c>
      <c r="M42" s="78"/>
      <c r="N42" s="78"/>
      <c r="O42" s="78"/>
      <c r="P42" s="78"/>
      <c r="Q42" s="78"/>
      <c r="R42" s="78"/>
      <c r="S42" s="78"/>
      <c r="T42" s="78"/>
      <c r="U42" s="78"/>
    </row>
    <row r="43" spans="1:21">
      <c r="A43" s="76">
        <v>636</v>
      </c>
      <c r="B43" s="112"/>
      <c r="C43" s="97" t="str">
        <f>VLOOKUP($A43&amp;C$1,TEXTDF,SPRCODE+1,FALSE)</f>
        <v>Leistungen infolge Tod und Invalidität</v>
      </c>
      <c r="D43" s="97"/>
      <c r="E43" s="97"/>
      <c r="F43" s="92">
        <f>+SUBTOTAL(9,F44:F45)</f>
        <v>0</v>
      </c>
      <c r="G43" s="92">
        <f>+SUBTOTAL(9,G44:G45)</f>
        <v>0</v>
      </c>
      <c r="H43" s="98">
        <f t="shared" si="3"/>
        <v>0</v>
      </c>
      <c r="I43" s="99" t="str">
        <f t="shared" si="4"/>
        <v/>
      </c>
      <c r="J43" s="78"/>
      <c r="K43" s="111"/>
      <c r="L43" s="111"/>
      <c r="M43" s="78"/>
      <c r="N43" s="78"/>
      <c r="O43" s="78"/>
      <c r="P43" s="78"/>
      <c r="Q43" s="78"/>
      <c r="R43" s="78"/>
      <c r="S43" s="78"/>
      <c r="T43" s="78"/>
      <c r="U43" s="78"/>
    </row>
    <row r="44" spans="1:21">
      <c r="A44" s="76">
        <v>637</v>
      </c>
      <c r="B44" s="112"/>
      <c r="C44" s="78"/>
      <c r="D44" s="105" t="str">
        <f>VLOOKUP($A44&amp;D$1,TEXTDF,SPRCODE+1,FALSE)</f>
        <v>Rentenleistungen</v>
      </c>
      <c r="E44" s="100"/>
      <c r="F44" s="101">
        <f>+ER!F26+ER!F27-(ER!F22-ER!F24)</f>
        <v>0</v>
      </c>
      <c r="G44" s="101">
        <f>+ER!G26+ER!G27-(ER!G22-ER!G24)</f>
        <v>0</v>
      </c>
      <c r="H44" s="102">
        <f t="shared" si="3"/>
        <v>0</v>
      </c>
      <c r="I44" s="114" t="str">
        <f t="shared" si="4"/>
        <v/>
      </c>
      <c r="J44" s="78"/>
      <c r="K44" s="111"/>
      <c r="L44" s="111"/>
      <c r="M44" s="78"/>
      <c r="N44" s="78"/>
      <c r="O44" s="78"/>
      <c r="P44" s="78"/>
      <c r="Q44" s="78"/>
      <c r="R44" s="78"/>
      <c r="S44" s="78"/>
      <c r="T44" s="78"/>
      <c r="U44" s="78"/>
    </row>
    <row r="45" spans="1:21">
      <c r="A45" s="76">
        <v>638</v>
      </c>
      <c r="B45" s="112"/>
      <c r="C45" s="78"/>
      <c r="D45" s="105" t="str">
        <f>VLOOKUP($A45&amp;D$1,TEXTDF,SPRCODE+1,FALSE)</f>
        <v>Kapitalleistungen</v>
      </c>
      <c r="E45" s="100"/>
      <c r="F45" s="101">
        <f>+ER!F22-ER!F24</f>
        <v>0</v>
      </c>
      <c r="G45" s="101">
        <f>+ER!G22-ER!G24</f>
        <v>0</v>
      </c>
      <c r="H45" s="102">
        <f t="shared" si="3"/>
        <v>0</v>
      </c>
      <c r="I45" s="114" t="str">
        <f t="shared" si="4"/>
        <v/>
      </c>
      <c r="J45" s="78"/>
      <c r="K45" s="111"/>
      <c r="L45" s="111"/>
      <c r="M45" s="78"/>
      <c r="N45" s="78"/>
      <c r="O45" s="78"/>
      <c r="P45" s="78"/>
      <c r="Q45" s="78"/>
      <c r="R45" s="78"/>
      <c r="S45" s="78"/>
      <c r="T45" s="78"/>
      <c r="U45" s="78"/>
    </row>
    <row r="46" spans="1:21">
      <c r="A46" s="76">
        <v>639</v>
      </c>
      <c r="B46" s="112"/>
      <c r="C46" s="97" t="str">
        <f>VLOOKUP($A46&amp;C$1,TEXTDF,SPRCODE+1,FALSE)</f>
        <v>Individuelle Kapitalleistungen (FZL, WEF, Scheidung, FZP)</v>
      </c>
      <c r="D46" s="97"/>
      <c r="E46" s="97"/>
      <c r="F46" s="92">
        <f>+ER!F14</f>
        <v>0</v>
      </c>
      <c r="G46" s="92">
        <f>+ER!G14</f>
        <v>0</v>
      </c>
      <c r="H46" s="98">
        <f t="shared" si="3"/>
        <v>0</v>
      </c>
      <c r="I46" s="99" t="str">
        <f t="shared" si="4"/>
        <v/>
      </c>
      <c r="J46" s="78"/>
      <c r="K46" s="111"/>
      <c r="L46" s="111"/>
      <c r="M46" s="78"/>
      <c r="N46" s="78"/>
      <c r="O46" s="78"/>
      <c r="P46" s="78"/>
      <c r="Q46" s="78"/>
      <c r="R46" s="78"/>
      <c r="S46" s="78"/>
      <c r="T46" s="78"/>
      <c r="U46" s="78"/>
    </row>
    <row r="47" spans="1:21">
      <c r="A47" s="76">
        <v>640</v>
      </c>
      <c r="B47" s="112"/>
      <c r="C47" s="97" t="str">
        <f>VLOOKUP($A47&amp;C$1,TEXTDF,SPRCODE+1,FALSE)</f>
        <v>Rückkaufswerte aus Vertragsauflösungen</v>
      </c>
      <c r="D47" s="97"/>
      <c r="E47" s="97"/>
      <c r="F47" s="92">
        <f>+ER!F15</f>
        <v>0</v>
      </c>
      <c r="G47" s="92">
        <f>+ER!G15</f>
        <v>0</v>
      </c>
      <c r="H47" s="98">
        <f t="shared" si="3"/>
        <v>0</v>
      </c>
      <c r="I47" s="99" t="str">
        <f t="shared" si="4"/>
        <v/>
      </c>
      <c r="J47" s="78"/>
      <c r="K47" s="111"/>
      <c r="L47" s="111"/>
      <c r="M47" s="78"/>
      <c r="N47" s="78"/>
      <c r="O47" s="78"/>
      <c r="P47" s="78"/>
      <c r="Q47" s="78"/>
      <c r="R47" s="78"/>
      <c r="S47" s="78"/>
      <c r="T47" s="78"/>
      <c r="U47" s="78"/>
    </row>
    <row r="48" spans="1:21">
      <c r="A48" s="76">
        <v>641</v>
      </c>
      <c r="B48" s="112"/>
      <c r="C48" s="97" t="str">
        <f>VLOOKUP($A48&amp;C$1,TEXTDF,SPRCODE+1,FALSE)</f>
        <v>Leistungsbearbeitungsaufwendungen</v>
      </c>
      <c r="D48" s="97"/>
      <c r="E48" s="97"/>
      <c r="F48" s="92">
        <f>+ER!F19</f>
        <v>0</v>
      </c>
      <c r="G48" s="92">
        <f>+ER!G19</f>
        <v>0</v>
      </c>
      <c r="H48" s="98">
        <f t="shared" si="3"/>
        <v>0</v>
      </c>
      <c r="I48" s="99" t="str">
        <f t="shared" si="4"/>
        <v/>
      </c>
      <c r="J48" s="78"/>
      <c r="K48" s="111"/>
      <c r="L48" s="111"/>
      <c r="M48" s="78"/>
      <c r="N48" s="78"/>
      <c r="O48" s="78"/>
      <c r="P48" s="78"/>
      <c r="Q48" s="78"/>
      <c r="R48" s="78"/>
      <c r="S48" s="78"/>
      <c r="T48" s="78"/>
      <c r="U48" s="78"/>
    </row>
    <row r="49" spans="1:21">
      <c r="A49" s="76">
        <v>642</v>
      </c>
      <c r="B49" s="93" t="str">
        <f>VLOOKUP($A49&amp;B$1,TEXTDF,SPRCODE+1,FALSE)</f>
        <v>Veränderung versicherungstechnische Rückstellungen</v>
      </c>
      <c r="C49" s="93"/>
      <c r="D49" s="93"/>
      <c r="E49" s="93"/>
      <c r="F49" s="94">
        <f>+SUBTOTAL(9,F50:F60)</f>
        <v>0</v>
      </c>
      <c r="G49" s="94">
        <f>+SUBTOTAL(9,G50:G60)</f>
        <v>0</v>
      </c>
      <c r="H49" s="95">
        <f t="shared" si="3"/>
        <v>0</v>
      </c>
      <c r="I49" s="96" t="str">
        <f t="shared" si="4"/>
        <v/>
      </c>
      <c r="J49" s="78"/>
      <c r="K49" s="111"/>
      <c r="L49" s="111"/>
      <c r="M49" s="78"/>
      <c r="N49" s="78"/>
      <c r="O49" s="78"/>
      <c r="P49" s="78"/>
      <c r="Q49" s="78"/>
      <c r="R49" s="78"/>
      <c r="S49" s="78"/>
      <c r="T49" s="78"/>
      <c r="U49" s="78"/>
    </row>
    <row r="50" spans="1:21">
      <c r="A50" s="76">
        <v>643</v>
      </c>
      <c r="B50" s="78"/>
      <c r="C50" s="97" t="str">
        <f t="shared" ref="C50:C60" si="5">VLOOKUP($A50&amp;C$1,TEXTDF,SPRCODE+1,FALSE)</f>
        <v>Altersguthaben</v>
      </c>
      <c r="D50" s="97"/>
      <c r="E50" s="97"/>
      <c r="F50" s="92">
        <f>ER!F28+ER!F29+ER!F30</f>
        <v>0</v>
      </c>
      <c r="G50" s="92">
        <f>ER!G28+ER!G29+ER!G30</f>
        <v>0</v>
      </c>
      <c r="H50" s="98">
        <f t="shared" si="3"/>
        <v>0</v>
      </c>
      <c r="I50" s="99" t="str">
        <f t="shared" si="4"/>
        <v/>
      </c>
      <c r="J50" s="78"/>
      <c r="K50" s="111"/>
      <c r="L50" s="111"/>
      <c r="M50" s="78"/>
      <c r="N50" s="78"/>
      <c r="O50" s="78"/>
      <c r="P50" s="78"/>
      <c r="Q50" s="78"/>
      <c r="R50" s="78"/>
      <c r="S50" s="78"/>
      <c r="T50" s="78"/>
      <c r="U50" s="78"/>
    </row>
    <row r="51" spans="1:21">
      <c r="A51" s="76">
        <v>644</v>
      </c>
      <c r="B51" s="78"/>
      <c r="C51" s="97" t="str">
        <f t="shared" si="5"/>
        <v>Rückstellung für zukünftige Umwandlungssatzverluste</v>
      </c>
      <c r="D51" s="97"/>
      <c r="E51" s="97"/>
      <c r="F51" s="92">
        <f>+ER!F35</f>
        <v>0</v>
      </c>
      <c r="G51" s="92">
        <f>+ER!G35</f>
        <v>0</v>
      </c>
      <c r="H51" s="98">
        <f t="shared" si="3"/>
        <v>0</v>
      </c>
      <c r="I51" s="99" t="str">
        <f t="shared" si="4"/>
        <v/>
      </c>
      <c r="J51" s="78"/>
      <c r="K51" s="111"/>
      <c r="L51" s="111"/>
      <c r="M51" s="78"/>
      <c r="N51" s="78"/>
      <c r="O51" s="78"/>
      <c r="P51" s="78"/>
      <c r="Q51" s="78"/>
      <c r="R51" s="78"/>
      <c r="S51" s="78"/>
      <c r="T51" s="78"/>
      <c r="U51" s="78"/>
    </row>
    <row r="52" spans="1:21">
      <c r="A52" s="76">
        <v>645</v>
      </c>
      <c r="B52" s="78"/>
      <c r="C52" s="97" t="str">
        <f t="shared" si="5"/>
        <v>Deckungskapital für laufende Alters- und Hinterbliebenenrenten</v>
      </c>
      <c r="D52" s="97"/>
      <c r="E52" s="97"/>
      <c r="F52" s="92">
        <f>ER!F31+ER!F32</f>
        <v>0</v>
      </c>
      <c r="G52" s="92">
        <f>ER!G31+ER!G32</f>
        <v>0</v>
      </c>
      <c r="H52" s="98">
        <f t="shared" si="3"/>
        <v>0</v>
      </c>
      <c r="I52" s="99" t="str">
        <f t="shared" si="4"/>
        <v/>
      </c>
      <c r="J52" s="78"/>
      <c r="K52" s="111"/>
      <c r="L52" s="111"/>
      <c r="M52" s="78"/>
      <c r="N52" s="78"/>
      <c r="O52" s="78"/>
      <c r="P52" s="78"/>
      <c r="Q52" s="78"/>
      <c r="R52" s="78"/>
      <c r="S52" s="78"/>
      <c r="T52" s="78"/>
      <c r="U52" s="78"/>
    </row>
    <row r="53" spans="1:21">
      <c r="A53" s="76">
        <v>646</v>
      </c>
      <c r="B53" s="78"/>
      <c r="C53" s="97" t="str">
        <f t="shared" si="5"/>
        <v>Deckungskapital für laufende Invaliden- und Invalidenkinderrenten</v>
      </c>
      <c r="D53" s="97"/>
      <c r="E53" s="97"/>
      <c r="F53" s="92">
        <f>+ER!F33</f>
        <v>0</v>
      </c>
      <c r="G53" s="92">
        <f>+ER!G33</f>
        <v>0</v>
      </c>
      <c r="H53" s="98">
        <f t="shared" si="3"/>
        <v>0</v>
      </c>
      <c r="I53" s="99" t="str">
        <f t="shared" si="4"/>
        <v/>
      </c>
      <c r="J53" s="78"/>
      <c r="K53" s="111"/>
      <c r="L53" s="111"/>
      <c r="M53" s="78"/>
      <c r="N53" s="78"/>
      <c r="O53" s="78"/>
      <c r="P53" s="78"/>
      <c r="Q53" s="78"/>
      <c r="R53" s="78"/>
      <c r="S53" s="78"/>
      <c r="T53" s="78"/>
      <c r="U53" s="78"/>
    </row>
    <row r="54" spans="1:21">
      <c r="A54" s="76">
        <v>647</v>
      </c>
      <c r="B54" s="78"/>
      <c r="C54" s="97" t="str">
        <f t="shared" si="5"/>
        <v>Deckungskapital Freizügigkeitspolicen</v>
      </c>
      <c r="D54" s="97"/>
      <c r="E54" s="97"/>
      <c r="F54" s="92">
        <f>+ER!F37</f>
        <v>0</v>
      </c>
      <c r="G54" s="92">
        <f>+ER!G37</f>
        <v>0</v>
      </c>
      <c r="H54" s="98">
        <f t="shared" si="3"/>
        <v>0</v>
      </c>
      <c r="I54" s="99" t="str">
        <f t="shared" si="4"/>
        <v/>
      </c>
      <c r="J54" s="78"/>
      <c r="K54" s="111"/>
      <c r="L54" s="111"/>
      <c r="M54" s="78"/>
      <c r="N54" s="78"/>
      <c r="O54" s="78"/>
      <c r="P54" s="78"/>
      <c r="Q54" s="78"/>
      <c r="R54" s="78"/>
      <c r="S54" s="78"/>
      <c r="T54" s="78"/>
      <c r="U54" s="78"/>
    </row>
    <row r="55" spans="1:21">
      <c r="A55" s="76">
        <v>648</v>
      </c>
      <c r="B55" s="78"/>
      <c r="C55" s="97" t="str">
        <f t="shared" si="5"/>
        <v>Deckungskapital übrige Deckungen</v>
      </c>
      <c r="D55" s="97"/>
      <c r="E55" s="97"/>
      <c r="F55" s="92">
        <f>+ER!F38</f>
        <v>0</v>
      </c>
      <c r="G55" s="92">
        <f>+ER!G38</f>
        <v>0</v>
      </c>
      <c r="H55" s="98">
        <f t="shared" si="3"/>
        <v>0</v>
      </c>
      <c r="I55" s="99" t="str">
        <f t="shared" si="4"/>
        <v/>
      </c>
      <c r="J55" s="78"/>
      <c r="K55" s="111"/>
      <c r="L55" s="111"/>
      <c r="M55" s="78"/>
      <c r="N55" s="78"/>
      <c r="O55" s="78"/>
      <c r="P55" s="78"/>
      <c r="Q55" s="78"/>
      <c r="R55" s="78"/>
      <c r="S55" s="78"/>
      <c r="T55" s="78"/>
      <c r="U55" s="78"/>
    </row>
    <row r="56" spans="1:21">
      <c r="A56" s="76">
        <v>649</v>
      </c>
      <c r="B56" s="78"/>
      <c r="C56" s="97" t="str">
        <f t="shared" si="5"/>
        <v>DK-Verstärkungen für Rentendeckungskapitalien und Freizügigkeitspolicen</v>
      </c>
      <c r="D56" s="97"/>
      <c r="E56" s="97"/>
      <c r="F56" s="92">
        <f>+ER!F34</f>
        <v>0</v>
      </c>
      <c r="G56" s="92">
        <f>+ER!G34</f>
        <v>0</v>
      </c>
      <c r="H56" s="98">
        <f t="shared" si="3"/>
        <v>0</v>
      </c>
      <c r="I56" s="99" t="str">
        <f t="shared" si="4"/>
        <v/>
      </c>
      <c r="J56" s="78"/>
      <c r="K56" s="111"/>
      <c r="L56" s="111"/>
      <c r="M56" s="78"/>
      <c r="N56" s="78"/>
      <c r="O56" s="78"/>
      <c r="P56" s="78"/>
      <c r="Q56" s="78"/>
      <c r="R56" s="78"/>
      <c r="S56" s="78"/>
      <c r="T56" s="78"/>
      <c r="U56" s="78"/>
    </row>
    <row r="57" spans="1:21">
      <c r="A57" s="76">
        <v>650</v>
      </c>
      <c r="B57" s="78"/>
      <c r="C57" s="97" t="str">
        <f t="shared" si="5"/>
        <v>Rückstellung für eingetretene noch nicht erledigte Versicherungsfälle (RBNS und IBNR)</v>
      </c>
      <c r="D57" s="97"/>
      <c r="E57" s="97"/>
      <c r="F57" s="92">
        <f>+ER!F39</f>
        <v>0</v>
      </c>
      <c r="G57" s="92">
        <f>+ER!G39</f>
        <v>0</v>
      </c>
      <c r="H57" s="98">
        <f t="shared" si="3"/>
        <v>0</v>
      </c>
      <c r="I57" s="99" t="str">
        <f t="shared" si="4"/>
        <v/>
      </c>
      <c r="J57" s="78"/>
      <c r="K57" s="111"/>
      <c r="L57" s="111"/>
      <c r="M57" s="78"/>
      <c r="N57" s="78"/>
      <c r="O57" s="78"/>
      <c r="P57" s="78"/>
      <c r="Q57" s="78"/>
      <c r="R57" s="78"/>
      <c r="S57" s="78"/>
      <c r="T57" s="78"/>
      <c r="U57" s="78"/>
    </row>
    <row r="58" spans="1:21">
      <c r="A58" s="76">
        <v>651</v>
      </c>
      <c r="B58" s="78"/>
      <c r="C58" s="97" t="str">
        <f t="shared" si="5"/>
        <v>Wertschwankungs- und Zinsgarantierückstellungen</v>
      </c>
      <c r="D58" s="97"/>
      <c r="E58" s="97"/>
      <c r="F58" s="92">
        <f>+ER!F40</f>
        <v>0</v>
      </c>
      <c r="G58" s="92">
        <f>+ER!G40</f>
        <v>0</v>
      </c>
      <c r="H58" s="98">
        <f t="shared" si="3"/>
        <v>0</v>
      </c>
      <c r="I58" s="99" t="str">
        <f t="shared" si="4"/>
        <v/>
      </c>
      <c r="J58" s="78"/>
      <c r="K58" s="111"/>
      <c r="L58" s="111"/>
      <c r="M58" s="78"/>
      <c r="N58" s="78"/>
      <c r="O58" s="78"/>
      <c r="P58" s="78"/>
      <c r="Q58" s="78"/>
      <c r="R58" s="78"/>
      <c r="S58" s="78"/>
      <c r="T58" s="78"/>
      <c r="U58" s="78"/>
    </row>
    <row r="59" spans="1:21">
      <c r="A59" s="76">
        <v>652</v>
      </c>
      <c r="B59" s="78"/>
      <c r="C59" s="97" t="str">
        <f t="shared" si="5"/>
        <v>Teuerungsrückstellungen</v>
      </c>
      <c r="D59" s="97"/>
      <c r="E59" s="97"/>
      <c r="F59" s="92">
        <f>+ER!F36</f>
        <v>0</v>
      </c>
      <c r="G59" s="92">
        <f>+ER!G36</f>
        <v>0</v>
      </c>
      <c r="H59" s="98">
        <f t="shared" si="3"/>
        <v>0</v>
      </c>
      <c r="I59" s="99" t="str">
        <f t="shared" si="4"/>
        <v/>
      </c>
      <c r="J59" s="78"/>
      <c r="K59" s="111"/>
      <c r="L59" s="111"/>
      <c r="M59" s="78"/>
      <c r="N59" s="78"/>
      <c r="O59" s="78"/>
      <c r="P59" s="78"/>
      <c r="Q59" s="78"/>
      <c r="R59" s="78"/>
      <c r="S59" s="78"/>
      <c r="T59" s="78"/>
      <c r="U59" s="78"/>
    </row>
    <row r="60" spans="1:21">
      <c r="A60" s="76">
        <v>653</v>
      </c>
      <c r="B60" s="78"/>
      <c r="C60" s="97" t="str">
        <f t="shared" si="5"/>
        <v>Übrige versicherungstechnische Rückstellungen</v>
      </c>
      <c r="D60" s="97"/>
      <c r="E60" s="97"/>
      <c r="F60" s="92">
        <f>+ER!F41</f>
        <v>0</v>
      </c>
      <c r="G60" s="92">
        <f>+ER!G41</f>
        <v>0</v>
      </c>
      <c r="H60" s="98">
        <f t="shared" si="3"/>
        <v>0</v>
      </c>
      <c r="I60" s="99" t="str">
        <f t="shared" si="4"/>
        <v/>
      </c>
      <c r="J60" s="112"/>
      <c r="K60" s="111"/>
      <c r="L60" s="111"/>
      <c r="M60" s="78"/>
      <c r="N60" s="78"/>
      <c r="O60" s="112"/>
      <c r="P60" s="78"/>
      <c r="Q60" s="78"/>
      <c r="R60" s="78"/>
      <c r="S60" s="78"/>
      <c r="T60" s="78"/>
      <c r="U60" s="78"/>
    </row>
    <row r="61" spans="1:21">
      <c r="A61" s="76">
        <v>654</v>
      </c>
      <c r="B61" s="93" t="str">
        <f>VLOOKUP($A61&amp;B$1,TEXTDF,SPRCODE+1,FALSE)</f>
        <v>Zuweisung zum Überschussfonds</v>
      </c>
      <c r="C61" s="93"/>
      <c r="D61" s="93"/>
      <c r="E61" s="93"/>
      <c r="F61" s="94">
        <f>+ER!F51</f>
        <v>0</v>
      </c>
      <c r="G61" s="94">
        <f>+ER!G51</f>
        <v>0</v>
      </c>
      <c r="H61" s="95">
        <f t="shared" si="3"/>
        <v>0</v>
      </c>
      <c r="I61" s="96" t="str">
        <f t="shared" si="4"/>
        <v/>
      </c>
      <c r="J61" s="112"/>
      <c r="K61" s="111"/>
      <c r="L61" s="111"/>
      <c r="M61" s="78"/>
      <c r="N61" s="78"/>
      <c r="O61" s="112"/>
      <c r="P61" s="78"/>
      <c r="Q61" s="78"/>
      <c r="R61" s="78"/>
      <c r="S61" s="78"/>
      <c r="T61" s="78"/>
      <c r="U61" s="78"/>
    </row>
    <row r="62" spans="1:21">
      <c r="A62" s="76">
        <v>655</v>
      </c>
      <c r="B62" s="93" t="str">
        <f>VLOOKUP($A62&amp;B$1,TEXTDF,SPRCODE+1,FALSE)</f>
        <v>Veränderung Prämienüberträge</v>
      </c>
      <c r="C62" s="93"/>
      <c r="D62" s="93"/>
      <c r="E62" s="93"/>
      <c r="F62" s="94">
        <f>+ER!F6</f>
        <v>0</v>
      </c>
      <c r="G62" s="94">
        <f>+ER!G6</f>
        <v>0</v>
      </c>
      <c r="H62" s="95">
        <f t="shared" si="3"/>
        <v>0</v>
      </c>
      <c r="I62" s="96" t="str">
        <f t="shared" si="4"/>
        <v/>
      </c>
      <c r="J62" s="78"/>
      <c r="K62" s="111"/>
      <c r="L62" s="111"/>
      <c r="M62" s="78"/>
      <c r="N62" s="78"/>
      <c r="O62" s="78"/>
      <c r="P62" s="78"/>
      <c r="Q62" s="78"/>
      <c r="R62" s="78"/>
      <c r="S62" s="78"/>
      <c r="T62" s="78"/>
      <c r="U62" s="78"/>
    </row>
    <row r="63" spans="1:21">
      <c r="A63" s="76">
        <v>656</v>
      </c>
      <c r="B63" s="93" t="str">
        <f>VLOOKUP($A63&amp;B$1,TEXTDF,SPRCODE+1,FALSE)</f>
        <v>Abschluss- und Verwaltungskosten</v>
      </c>
      <c r="C63" s="93"/>
      <c r="D63" s="93"/>
      <c r="E63" s="93"/>
      <c r="F63" s="94">
        <f>+ER!F44+ER!F46+ER!F47</f>
        <v>0</v>
      </c>
      <c r="G63" s="94">
        <f>+ER!G44+ER!G46+ER!G47</f>
        <v>0</v>
      </c>
      <c r="H63" s="95">
        <f t="shared" si="3"/>
        <v>0</v>
      </c>
      <c r="I63" s="96" t="str">
        <f t="shared" si="4"/>
        <v/>
      </c>
      <c r="J63" s="78"/>
      <c r="K63" s="111"/>
      <c r="L63" s="111"/>
      <c r="M63" s="78"/>
      <c r="N63" s="78"/>
      <c r="O63" s="78"/>
      <c r="P63" s="78"/>
      <c r="Q63" s="78"/>
      <c r="R63" s="78"/>
      <c r="S63" s="78"/>
      <c r="T63" s="78"/>
      <c r="U63" s="78"/>
    </row>
    <row r="64" spans="1:21">
      <c r="A64" s="76">
        <v>657</v>
      </c>
      <c r="B64" s="93" t="str">
        <f>VLOOKUP($A64&amp;B$1,TEXTDF,SPRCODE+1,FALSE)</f>
        <v>Übriger Aufwand</v>
      </c>
      <c r="C64" s="93"/>
      <c r="D64" s="93"/>
      <c r="E64" s="93"/>
      <c r="F64" s="94">
        <f>+ER!F50+ER!F84+ER!F85</f>
        <v>0</v>
      </c>
      <c r="G64" s="94">
        <f>+ER!G50+ER!G84+ER!G85</f>
        <v>0</v>
      </c>
      <c r="H64" s="95">
        <f t="shared" si="3"/>
        <v>0</v>
      </c>
      <c r="I64" s="96" t="str">
        <f t="shared" si="4"/>
        <v/>
      </c>
      <c r="J64" s="78"/>
      <c r="K64" s="111"/>
      <c r="L64" s="111"/>
      <c r="M64" s="78"/>
      <c r="N64" s="78"/>
      <c r="O64" s="78"/>
      <c r="P64" s="78"/>
      <c r="Q64" s="78"/>
      <c r="R64" s="78"/>
      <c r="S64" s="78"/>
      <c r="T64" s="78"/>
      <c r="U64" s="78"/>
    </row>
    <row r="65" spans="1:21">
      <c r="A65" s="76">
        <v>658</v>
      </c>
      <c r="B65" s="104" t="str">
        <f>VLOOKUP($A65&amp;B$1,TEXTDF,SPRCODE+1,FALSE)</f>
        <v>Betriebsergebnis</v>
      </c>
      <c r="C65" s="104"/>
      <c r="D65" s="104"/>
      <c r="E65" s="104"/>
      <c r="F65" s="116">
        <f>+ER!F88</f>
        <v>0</v>
      </c>
      <c r="G65" s="116">
        <f>+ER!G88</f>
        <v>0</v>
      </c>
      <c r="H65" s="95">
        <f t="shared" si="3"/>
        <v>0</v>
      </c>
      <c r="I65" s="96" t="str">
        <f t="shared" si="4"/>
        <v/>
      </c>
      <c r="J65" s="78"/>
      <c r="K65" s="111"/>
      <c r="L65" s="111"/>
      <c r="M65" s="78"/>
      <c r="N65" s="78"/>
      <c r="O65" s="78"/>
      <c r="P65" s="78"/>
      <c r="Q65" s="78"/>
      <c r="R65" s="78"/>
      <c r="S65" s="78"/>
      <c r="T65" s="78"/>
      <c r="U65" s="78"/>
    </row>
    <row r="66" spans="1:21">
      <c r="A66" s="76"/>
      <c r="B66" s="78"/>
      <c r="C66" s="78"/>
      <c r="D66" s="78"/>
      <c r="E66" s="78"/>
      <c r="F66" s="117"/>
      <c r="G66" s="118"/>
      <c r="H66" s="119"/>
      <c r="I66" s="120"/>
      <c r="J66" s="112"/>
      <c r="K66" s="121"/>
      <c r="L66" s="121"/>
      <c r="M66" s="78"/>
      <c r="N66" s="78"/>
      <c r="O66" s="112"/>
      <c r="P66" s="78"/>
      <c r="Q66" s="78"/>
      <c r="R66" s="78"/>
      <c r="S66" s="78"/>
      <c r="T66" s="78"/>
      <c r="U66" s="78"/>
    </row>
    <row r="67" spans="1:21" ht="15.75">
      <c r="A67" s="76">
        <v>659</v>
      </c>
      <c r="B67" s="82" t="str">
        <f>VLOOKUP($A67&amp;B$1,TEXTDF,SPRCODE+1,FALSE)</f>
        <v>II.  Bilanz</v>
      </c>
      <c r="C67" s="83"/>
      <c r="D67" s="83"/>
      <c r="E67" s="83"/>
      <c r="F67" s="84" t="str">
        <f>+F$8</f>
        <v>Total BV</v>
      </c>
      <c r="G67" s="84" t="str">
        <f>+G$8</f>
        <v>Total BV</v>
      </c>
      <c r="H67" s="85" t="str">
        <f>+H$8</f>
        <v>Total BV</v>
      </c>
      <c r="I67" s="85" t="str">
        <f>+I$8</f>
        <v>Total BV</v>
      </c>
      <c r="J67" s="83"/>
      <c r="K67" s="82"/>
      <c r="L67" s="82"/>
      <c r="M67" s="78"/>
      <c r="N67" s="78"/>
      <c r="O67" s="112"/>
      <c r="P67" s="86"/>
      <c r="Q67" s="86"/>
      <c r="R67" s="86"/>
      <c r="S67" s="86"/>
      <c r="T67" s="86"/>
      <c r="U67" s="86"/>
    </row>
    <row r="68" spans="1:21" ht="22.5" customHeight="1">
      <c r="A68" s="76"/>
      <c r="B68" s="78"/>
      <c r="C68" s="78"/>
      <c r="D68" s="78"/>
      <c r="E68" s="78"/>
      <c r="F68" s="80">
        <f>+jahr</f>
        <v>2023</v>
      </c>
      <c r="G68" s="80">
        <f>+F68-1</f>
        <v>2022</v>
      </c>
      <c r="H68" s="87" t="s">
        <v>3208</v>
      </c>
      <c r="I68" s="87" t="s">
        <v>3209</v>
      </c>
      <c r="J68" s="112"/>
      <c r="K68" s="80">
        <f>+F68</f>
        <v>2023</v>
      </c>
      <c r="L68" s="80">
        <f>+G68</f>
        <v>2022</v>
      </c>
      <c r="M68" s="78"/>
      <c r="N68" s="78"/>
      <c r="O68" s="112"/>
      <c r="P68" s="78"/>
      <c r="Q68" s="78"/>
      <c r="R68" s="78"/>
      <c r="S68" s="78"/>
      <c r="T68" s="78"/>
      <c r="U68" s="78"/>
    </row>
    <row r="69" spans="1:21">
      <c r="A69" s="76">
        <v>660</v>
      </c>
      <c r="B69" s="88" t="s">
        <v>259</v>
      </c>
      <c r="C69" s="88"/>
      <c r="D69" s="88"/>
      <c r="E69" s="88"/>
      <c r="F69" s="89">
        <f>+SUBTOTAL(9,F70:F84)</f>
        <v>0</v>
      </c>
      <c r="G69" s="89">
        <f>G70+SUM(G82:G84)</f>
        <v>0</v>
      </c>
      <c r="H69" s="90">
        <f t="shared" ref="H69:H84" si="6">+IFERROR(F69-G69,"")</f>
        <v>0</v>
      </c>
      <c r="I69" s="91" t="str">
        <f t="shared" ref="I69:I84" si="7">+IFERROR(F69/G69-1,"")</f>
        <v/>
      </c>
      <c r="J69" s="112"/>
      <c r="K69" s="122" t="s">
        <v>3389</v>
      </c>
      <c r="L69" s="122" t="s">
        <v>3389</v>
      </c>
      <c r="M69" s="78"/>
      <c r="N69" s="78"/>
      <c r="O69" s="112"/>
      <c r="P69" s="78"/>
      <c r="Q69" s="78"/>
      <c r="R69" s="78"/>
      <c r="S69" s="78"/>
      <c r="T69" s="78"/>
      <c r="U69" s="78"/>
    </row>
    <row r="70" spans="1:21">
      <c r="A70" s="76">
        <v>661</v>
      </c>
      <c r="B70" s="93" t="str">
        <f>VLOOKUP($A70&amp;B$1,TEXTDF,SPRCODE+1,FALSE)</f>
        <v>Kapitalanlagen</v>
      </c>
      <c r="C70" s="93"/>
      <c r="D70" s="93"/>
      <c r="E70" s="93"/>
      <c r="F70" s="94">
        <f>+SUBTOTAL(9,F71:F81)</f>
        <v>0</v>
      </c>
      <c r="G70" s="94">
        <f>SUM(G71:G81)-SUM(G73:G74)</f>
        <v>0</v>
      </c>
      <c r="H70" s="95">
        <f t="shared" si="6"/>
        <v>0</v>
      </c>
      <c r="I70" s="96" t="str">
        <f t="shared" si="7"/>
        <v/>
      </c>
      <c r="J70" s="112"/>
      <c r="K70" s="123" t="str">
        <f>+IFERROR(F70/F$70,"")</f>
        <v/>
      </c>
      <c r="L70" s="123" t="str">
        <f>+IFERROR(G70/G$70,"")</f>
        <v/>
      </c>
      <c r="M70" s="78"/>
      <c r="N70" s="78"/>
      <c r="O70" s="112"/>
      <c r="P70" s="111"/>
      <c r="Q70" s="78"/>
      <c r="R70" s="78"/>
      <c r="S70" s="78"/>
      <c r="T70" s="78"/>
      <c r="U70" s="78"/>
    </row>
    <row r="71" spans="1:21">
      <c r="A71" s="76">
        <v>662</v>
      </c>
      <c r="B71" s="112"/>
      <c r="C71" s="112" t="str">
        <f>VLOOKUP($A71&amp;C$1,TEXTDF,SPRCODE+1,FALSE)</f>
        <v>Flüssige Mittel</v>
      </c>
      <c r="D71" s="78"/>
      <c r="E71" s="78"/>
      <c r="F71" s="111">
        <f>+BILANZ!F26</f>
        <v>0</v>
      </c>
      <c r="G71" s="111">
        <f>+BILANZ!G26</f>
        <v>0</v>
      </c>
      <c r="H71" s="124">
        <f t="shared" si="6"/>
        <v>0</v>
      </c>
      <c r="I71" s="125" t="str">
        <f t="shared" si="7"/>
        <v/>
      </c>
      <c r="J71" s="112"/>
      <c r="K71" s="126" t="str">
        <f t="shared" ref="K71:K81" si="8">+IFERROR(F71/F$70,"")</f>
        <v/>
      </c>
      <c r="L71" s="126" t="str">
        <f t="shared" ref="L71:L81" si="9">+IFERROR(G71/G$70,"")</f>
        <v/>
      </c>
      <c r="M71" s="78"/>
      <c r="N71" s="78"/>
      <c r="O71" s="112"/>
      <c r="P71" s="78"/>
      <c r="Q71" s="78"/>
      <c r="R71" s="78"/>
      <c r="S71" s="78"/>
      <c r="T71" s="78"/>
      <c r="U71" s="78"/>
    </row>
    <row r="72" spans="1:21">
      <c r="A72" s="76">
        <v>663</v>
      </c>
      <c r="B72" s="112"/>
      <c r="C72" s="112" t="str">
        <f>VLOOKUP($A72&amp;C$1,TEXTDF,SPRCODE+1,FALSE)</f>
        <v>Obligationen</v>
      </c>
      <c r="D72" s="78"/>
      <c r="E72" s="78"/>
      <c r="F72" s="111">
        <f>+SUBTOTAL(9,F73:F74)</f>
        <v>0</v>
      </c>
      <c r="G72" s="111">
        <f>+SUBTOTAL(9,G73:G74)</f>
        <v>0</v>
      </c>
      <c r="H72" s="124">
        <f t="shared" si="6"/>
        <v>0</v>
      </c>
      <c r="I72" s="125" t="str">
        <f t="shared" si="7"/>
        <v/>
      </c>
      <c r="J72" s="78"/>
      <c r="K72" s="126" t="str">
        <f t="shared" si="8"/>
        <v/>
      </c>
      <c r="L72" s="126" t="str">
        <f t="shared" si="9"/>
        <v/>
      </c>
      <c r="M72" s="78"/>
      <c r="N72" s="78"/>
      <c r="O72" s="78"/>
      <c r="P72" s="78"/>
      <c r="Q72" s="78"/>
      <c r="R72" s="78"/>
      <c r="S72" s="78"/>
      <c r="T72" s="78"/>
      <c r="U72" s="78"/>
    </row>
    <row r="73" spans="1:21">
      <c r="A73" s="76">
        <v>664</v>
      </c>
      <c r="B73" s="112"/>
      <c r="C73" s="78"/>
      <c r="D73" s="105" t="str">
        <f>VLOOKUP($A73&amp;D$1,TEXTDF,SPRCODE+1,FALSE)</f>
        <v>CHF</v>
      </c>
      <c r="E73" s="100"/>
      <c r="F73" s="101">
        <f>BILANZ!F17+BILANZ!F18</f>
        <v>0</v>
      </c>
      <c r="G73" s="101">
        <f>BILANZ!G17+BILANZ!G18</f>
        <v>0</v>
      </c>
      <c r="H73" s="102">
        <f t="shared" si="6"/>
        <v>0</v>
      </c>
      <c r="I73" s="114" t="str">
        <f t="shared" si="7"/>
        <v/>
      </c>
      <c r="J73" s="112"/>
      <c r="K73" s="127" t="str">
        <f t="shared" si="8"/>
        <v/>
      </c>
      <c r="L73" s="127" t="str">
        <f t="shared" si="9"/>
        <v/>
      </c>
      <c r="M73" s="78"/>
      <c r="N73" s="78"/>
      <c r="O73" s="112"/>
      <c r="P73" s="78"/>
      <c r="Q73" s="78"/>
      <c r="R73" s="78"/>
      <c r="S73" s="78"/>
      <c r="T73" s="78"/>
      <c r="U73" s="78"/>
    </row>
    <row r="74" spans="1:21">
      <c r="A74" s="76">
        <v>665</v>
      </c>
      <c r="B74" s="112"/>
      <c r="C74" s="78"/>
      <c r="D74" s="105" t="str">
        <f>VLOOKUP($A74&amp;D$1,TEXTDF,SPRCODE+1,FALSE)</f>
        <v>FW</v>
      </c>
      <c r="E74" s="100"/>
      <c r="F74" s="101">
        <f>BILANZ!F19</f>
        <v>0</v>
      </c>
      <c r="G74" s="101">
        <f>BILANZ!G19</f>
        <v>0</v>
      </c>
      <c r="H74" s="102">
        <f t="shared" si="6"/>
        <v>0</v>
      </c>
      <c r="I74" s="114" t="str">
        <f t="shared" si="7"/>
        <v/>
      </c>
      <c r="J74" s="112"/>
      <c r="K74" s="127" t="str">
        <f t="shared" si="8"/>
        <v/>
      </c>
      <c r="L74" s="127" t="str">
        <f t="shared" si="9"/>
        <v/>
      </c>
      <c r="M74" s="78"/>
      <c r="N74" s="78"/>
      <c r="O74" s="112"/>
      <c r="P74" s="78"/>
      <c r="Q74" s="78"/>
      <c r="R74" s="78"/>
      <c r="S74" s="78"/>
      <c r="T74" s="78"/>
      <c r="U74" s="78"/>
    </row>
    <row r="75" spans="1:21">
      <c r="A75" s="76">
        <v>666</v>
      </c>
      <c r="B75" s="112"/>
      <c r="C75" s="112" t="str">
        <f t="shared" ref="C75:C81" si="10">VLOOKUP($A75&amp;C$1,TEXTDF,SPRCODE+1,FALSE)</f>
        <v>Liegenschaften</v>
      </c>
      <c r="D75" s="78"/>
      <c r="E75" s="78"/>
      <c r="F75" s="111">
        <f>BILANZ!F6</f>
        <v>0</v>
      </c>
      <c r="G75" s="111">
        <f>BILANZ!G6</f>
        <v>0</v>
      </c>
      <c r="H75" s="124">
        <f t="shared" si="6"/>
        <v>0</v>
      </c>
      <c r="I75" s="125" t="str">
        <f t="shared" si="7"/>
        <v/>
      </c>
      <c r="J75" s="112"/>
      <c r="K75" s="126" t="str">
        <f t="shared" si="8"/>
        <v/>
      </c>
      <c r="L75" s="126" t="str">
        <f t="shared" si="9"/>
        <v/>
      </c>
      <c r="M75" s="78"/>
      <c r="N75" s="78"/>
      <c r="O75" s="112"/>
      <c r="P75" s="78"/>
      <c r="Q75" s="78"/>
      <c r="R75" s="78"/>
      <c r="S75" s="78"/>
      <c r="T75" s="78"/>
      <c r="U75" s="78"/>
    </row>
    <row r="76" spans="1:21">
      <c r="A76" s="76">
        <v>667</v>
      </c>
      <c r="B76" s="112"/>
      <c r="C76" s="112" t="str">
        <f t="shared" si="10"/>
        <v>Hypotheken</v>
      </c>
      <c r="D76" s="78"/>
      <c r="E76" s="78"/>
      <c r="F76" s="111">
        <f>BILANZ!F21</f>
        <v>0</v>
      </c>
      <c r="G76" s="111">
        <f>BILANZ!G21</f>
        <v>0</v>
      </c>
      <c r="H76" s="124">
        <f t="shared" si="6"/>
        <v>0</v>
      </c>
      <c r="I76" s="125" t="str">
        <f t="shared" si="7"/>
        <v/>
      </c>
      <c r="J76" s="112"/>
      <c r="K76" s="126" t="str">
        <f t="shared" si="8"/>
        <v/>
      </c>
      <c r="L76" s="126" t="str">
        <f t="shared" si="9"/>
        <v/>
      </c>
      <c r="M76" s="78"/>
      <c r="N76" s="78"/>
      <c r="O76" s="112"/>
      <c r="P76" s="78"/>
      <c r="Q76" s="78"/>
      <c r="R76" s="78"/>
      <c r="S76" s="78"/>
      <c r="T76" s="78"/>
      <c r="U76" s="78"/>
    </row>
    <row r="77" spans="1:21">
      <c r="A77" s="76">
        <v>668</v>
      </c>
      <c r="B77" s="112"/>
      <c r="C77" s="112" t="str">
        <f t="shared" si="10"/>
        <v>Aktien und Beteiligungen</v>
      </c>
      <c r="D77" s="78"/>
      <c r="E77" s="78"/>
      <c r="F77" s="111">
        <f>+BILANZ!F7+BILANZ!F8+BILANZ!F10+BILANZ!F13+BILANZ!F14+BILANZ!F16</f>
        <v>0</v>
      </c>
      <c r="G77" s="111">
        <f>+BILANZ!G7+BILANZ!G8+BILANZ!G10+BILANZ!G13+BILANZ!G14+BILANZ!G16</f>
        <v>0</v>
      </c>
      <c r="H77" s="124">
        <f t="shared" si="6"/>
        <v>0</v>
      </c>
      <c r="I77" s="125" t="str">
        <f t="shared" si="7"/>
        <v/>
      </c>
      <c r="J77" s="112"/>
      <c r="K77" s="126" t="str">
        <f t="shared" si="8"/>
        <v/>
      </c>
      <c r="L77" s="126" t="str">
        <f t="shared" si="9"/>
        <v/>
      </c>
      <c r="M77" s="78"/>
      <c r="N77" s="78"/>
      <c r="O77" s="112"/>
      <c r="P77" s="78"/>
      <c r="Q77" s="78"/>
      <c r="R77" s="78"/>
      <c r="S77" s="78"/>
      <c r="T77" s="78"/>
      <c r="U77" s="78"/>
    </row>
    <row r="78" spans="1:21">
      <c r="A78" s="76">
        <v>669</v>
      </c>
      <c r="B78" s="112"/>
      <c r="C78" s="112" t="str">
        <f t="shared" si="10"/>
        <v>Alternative Kapitalanlagen</v>
      </c>
      <c r="D78" s="78"/>
      <c r="E78" s="78"/>
      <c r="F78" s="111">
        <f>BILANZ!F23+BILANZ!F24</f>
        <v>0</v>
      </c>
      <c r="G78" s="111">
        <f>BILANZ!G23+BILANZ!G24</f>
        <v>0</v>
      </c>
      <c r="H78" s="124">
        <f t="shared" si="6"/>
        <v>0</v>
      </c>
      <c r="I78" s="125" t="str">
        <f t="shared" si="7"/>
        <v/>
      </c>
      <c r="J78" s="112"/>
      <c r="K78" s="126" t="str">
        <f t="shared" si="8"/>
        <v/>
      </c>
      <c r="L78" s="126" t="str">
        <f t="shared" si="9"/>
        <v/>
      </c>
      <c r="M78" s="78"/>
      <c r="N78" s="78"/>
      <c r="O78" s="112"/>
      <c r="P78" s="78"/>
      <c r="Q78" s="78"/>
      <c r="R78" s="78"/>
      <c r="S78" s="78"/>
      <c r="T78" s="78"/>
      <c r="U78" s="78"/>
    </row>
    <row r="79" spans="1:21">
      <c r="A79" s="76">
        <v>670</v>
      </c>
      <c r="B79" s="112"/>
      <c r="C79" s="112" t="str">
        <f t="shared" si="10"/>
        <v>Anteile an Anlagefonds</v>
      </c>
      <c r="D79" s="78"/>
      <c r="E79" s="78"/>
      <c r="F79" s="111">
        <f>+BILANZ!F15</f>
        <v>0</v>
      </c>
      <c r="G79" s="111">
        <f>+BILANZ!G15</f>
        <v>0</v>
      </c>
      <c r="H79" s="124">
        <f t="shared" si="6"/>
        <v>0</v>
      </c>
      <c r="I79" s="125" t="str">
        <f t="shared" si="7"/>
        <v/>
      </c>
      <c r="J79" s="112"/>
      <c r="K79" s="126" t="str">
        <f t="shared" si="8"/>
        <v/>
      </c>
      <c r="L79" s="126" t="str">
        <f t="shared" si="9"/>
        <v/>
      </c>
      <c r="M79" s="78"/>
      <c r="N79" s="78"/>
      <c r="O79" s="112"/>
      <c r="P79" s="78"/>
      <c r="Q79" s="78"/>
      <c r="R79" s="78"/>
      <c r="S79" s="78"/>
      <c r="T79" s="78"/>
      <c r="U79" s="78"/>
    </row>
    <row r="80" spans="1:21">
      <c r="A80" s="76">
        <v>671</v>
      </c>
      <c r="B80" s="112"/>
      <c r="C80" s="112" t="str">
        <f t="shared" si="10"/>
        <v>Netto-Guthaben aus derivativen Finanzinstrumenten</v>
      </c>
      <c r="D80" s="78"/>
      <c r="E80" s="78"/>
      <c r="F80" s="111">
        <f>+BILANZ!F25-BILANZ!F89</f>
        <v>0</v>
      </c>
      <c r="G80" s="111">
        <f>+BILANZ!G25-BILANZ!G89</f>
        <v>0</v>
      </c>
      <c r="H80" s="124">
        <f t="shared" si="6"/>
        <v>0</v>
      </c>
      <c r="I80" s="125" t="str">
        <f t="shared" si="7"/>
        <v/>
      </c>
      <c r="J80" s="112"/>
      <c r="K80" s="126" t="str">
        <f t="shared" si="8"/>
        <v/>
      </c>
      <c r="L80" s="126" t="str">
        <f t="shared" si="9"/>
        <v/>
      </c>
      <c r="M80" s="78"/>
      <c r="N80" s="78"/>
      <c r="O80" s="112"/>
      <c r="P80" s="78"/>
      <c r="Q80" s="78"/>
      <c r="R80" s="78"/>
      <c r="S80" s="78"/>
      <c r="T80" s="78"/>
      <c r="U80" s="78"/>
    </row>
    <row r="81" spans="1:21">
      <c r="A81" s="76">
        <v>672</v>
      </c>
      <c r="B81" s="112"/>
      <c r="C81" s="112" t="str">
        <f t="shared" si="10"/>
        <v>Übrige Kapitalanlagen</v>
      </c>
      <c r="D81" s="78"/>
      <c r="E81" s="78"/>
      <c r="F81" s="111">
        <f>+BILANZ!F9+BILANZ!F11+BILANZ!F12+BILANZ!F20+BILANZ!F22+BILANZ!F27</f>
        <v>0</v>
      </c>
      <c r="G81" s="111">
        <f>+BILANZ!G9+BILANZ!G11+BILANZ!G12+BILANZ!G20+BILANZ!G22+BILANZ!G27</f>
        <v>0</v>
      </c>
      <c r="H81" s="124">
        <f t="shared" si="6"/>
        <v>0</v>
      </c>
      <c r="I81" s="125" t="str">
        <f t="shared" si="7"/>
        <v/>
      </c>
      <c r="J81" s="112"/>
      <c r="K81" s="126" t="str">
        <f t="shared" si="8"/>
        <v/>
      </c>
      <c r="L81" s="126" t="str">
        <f t="shared" si="9"/>
        <v/>
      </c>
      <c r="M81" s="78"/>
      <c r="N81" s="78"/>
      <c r="O81" s="112"/>
      <c r="P81" s="78"/>
      <c r="Q81" s="78"/>
      <c r="R81" s="78"/>
      <c r="S81" s="78"/>
      <c r="T81" s="78"/>
      <c r="U81" s="78"/>
    </row>
    <row r="82" spans="1:21">
      <c r="A82" s="76">
        <v>673</v>
      </c>
      <c r="B82" s="93" t="str">
        <f>VLOOKUP($A82&amp;B$1,TEXTDF,SPRCODE+1,FALSE)</f>
        <v>Verpflichtungen aus derivativen Finanzinstrumenten</v>
      </c>
      <c r="C82" s="93"/>
      <c r="D82" s="93"/>
      <c r="E82" s="93"/>
      <c r="F82" s="94">
        <f>+BILANZ!F89</f>
        <v>0</v>
      </c>
      <c r="G82" s="94">
        <f>+BILANZ!G89</f>
        <v>0</v>
      </c>
      <c r="H82" s="95">
        <f t="shared" si="6"/>
        <v>0</v>
      </c>
      <c r="I82" s="96" t="str">
        <f t="shared" si="7"/>
        <v/>
      </c>
      <c r="J82" s="112"/>
      <c r="K82" s="126"/>
      <c r="L82" s="126"/>
      <c r="M82" s="78"/>
      <c r="N82" s="78"/>
      <c r="O82" s="112"/>
      <c r="P82" s="78"/>
      <c r="Q82" s="78"/>
      <c r="R82" s="78"/>
      <c r="S82" s="78"/>
      <c r="T82" s="78"/>
      <c r="U82" s="78"/>
    </row>
    <row r="83" spans="1:21">
      <c r="A83" s="76">
        <v>674</v>
      </c>
      <c r="B83" s="93" t="str">
        <f>VLOOKUP($A83&amp;B$1,TEXTDF,SPRCODE+1,FALSE)</f>
        <v>Übrige Aktiven</v>
      </c>
      <c r="C83" s="93"/>
      <c r="D83" s="93"/>
      <c r="E83" s="93"/>
      <c r="F83" s="94">
        <f>+BILANZ!F5+BILANZ!F38</f>
        <v>0</v>
      </c>
      <c r="G83" s="94">
        <f>+BILANZ!G5+BILANZ!G38</f>
        <v>0</v>
      </c>
      <c r="H83" s="95">
        <f t="shared" si="6"/>
        <v>0</v>
      </c>
      <c r="I83" s="96" t="str">
        <f t="shared" si="7"/>
        <v/>
      </c>
      <c r="J83" s="78"/>
      <c r="K83" s="126"/>
      <c r="L83" s="126"/>
      <c r="M83" s="78"/>
      <c r="N83" s="78"/>
      <c r="O83" s="78"/>
      <c r="P83" s="78"/>
      <c r="Q83" s="78"/>
      <c r="R83" s="78"/>
      <c r="S83" s="78"/>
      <c r="T83" s="78"/>
      <c r="U83" s="78"/>
    </row>
    <row r="84" spans="1:21">
      <c r="A84" s="76">
        <v>675</v>
      </c>
      <c r="B84" s="93" t="str">
        <f>VLOOKUP($A84&amp;B$1,TEXTDF,SPRCODE+1,FALSE)</f>
        <v>Passive Rückversicherung</v>
      </c>
      <c r="C84" s="93"/>
      <c r="D84" s="93"/>
      <c r="E84" s="93"/>
      <c r="F84" s="94">
        <f>+BILANZ!F39+BILANZ!F40</f>
        <v>0</v>
      </c>
      <c r="G84" s="94">
        <f>+BILANZ!G39+BILANZ!G40</f>
        <v>0</v>
      </c>
      <c r="H84" s="95">
        <f t="shared" si="6"/>
        <v>0</v>
      </c>
      <c r="I84" s="96" t="str">
        <f t="shared" si="7"/>
        <v/>
      </c>
      <c r="J84" s="78"/>
      <c r="K84" s="126"/>
      <c r="L84" s="126"/>
      <c r="M84" s="78"/>
      <c r="N84" s="78"/>
      <c r="O84" s="78"/>
      <c r="P84" s="78"/>
      <c r="Q84" s="78"/>
      <c r="R84" s="78"/>
      <c r="S84" s="78"/>
      <c r="T84" s="78"/>
      <c r="U84" s="78"/>
    </row>
    <row r="85" spans="1:21" ht="5.25" customHeight="1">
      <c r="A85" s="76"/>
      <c r="B85" s="97"/>
      <c r="C85" s="97"/>
      <c r="D85" s="97"/>
      <c r="E85" s="97"/>
      <c r="F85" s="92"/>
      <c r="G85" s="92"/>
      <c r="H85" s="107"/>
      <c r="I85" s="108"/>
      <c r="J85" s="97"/>
      <c r="K85" s="92"/>
      <c r="L85" s="92"/>
      <c r="M85" s="97"/>
      <c r="N85" s="97"/>
      <c r="O85" s="97"/>
      <c r="P85" s="97"/>
      <c r="Q85" s="97"/>
      <c r="R85" s="97"/>
      <c r="S85" s="97"/>
      <c r="T85" s="97"/>
      <c r="U85" s="97"/>
    </row>
    <row r="86" spans="1:21" ht="18" customHeight="1">
      <c r="A86" s="76"/>
      <c r="B86" s="78"/>
      <c r="C86" s="78"/>
      <c r="D86" s="78"/>
      <c r="E86" s="78"/>
      <c r="F86" s="80">
        <f>+jahr</f>
        <v>2023</v>
      </c>
      <c r="G86" s="80">
        <f>+F86-1</f>
        <v>2022</v>
      </c>
      <c r="H86" s="109" t="s">
        <v>3208</v>
      </c>
      <c r="I86" s="110" t="s">
        <v>3209</v>
      </c>
      <c r="J86" s="78"/>
      <c r="K86" s="80">
        <f>+K68</f>
        <v>2023</v>
      </c>
      <c r="L86" s="80">
        <f>+L68</f>
        <v>2022</v>
      </c>
      <c r="M86" s="78"/>
      <c r="N86" s="78"/>
      <c r="O86" s="78"/>
      <c r="P86" s="78"/>
      <c r="Q86" s="78"/>
      <c r="R86" s="78"/>
      <c r="S86" s="78"/>
      <c r="T86" s="78"/>
      <c r="U86" s="78"/>
    </row>
    <row r="87" spans="1:21">
      <c r="A87" s="76">
        <v>676</v>
      </c>
      <c r="B87" s="88" t="str">
        <f>VLOOKUP($A87&amp;B$1,TEXTDF,SPRCODE+1,FALSE)</f>
        <v>Passiven</v>
      </c>
      <c r="C87" s="88"/>
      <c r="D87" s="88"/>
      <c r="E87" s="88"/>
      <c r="F87" s="89">
        <f>+SUBTOTAL(9,F88:F123)</f>
        <v>0</v>
      </c>
      <c r="G87" s="89">
        <f>G88+G115+G121+G122+G123</f>
        <v>0</v>
      </c>
      <c r="H87" s="90">
        <f t="shared" ref="H87:H123" si="11">+IFERROR(F87-G87,"")</f>
        <v>0</v>
      </c>
      <c r="I87" s="91">
        <f>+IFERROR(F87/G87-1,0)</f>
        <v>0</v>
      </c>
      <c r="J87" s="78"/>
      <c r="K87" s="122" t="s">
        <v>3389</v>
      </c>
      <c r="L87" s="122" t="s">
        <v>3389</v>
      </c>
      <c r="M87" s="78"/>
      <c r="N87" s="78"/>
      <c r="O87" s="78"/>
      <c r="P87" s="78"/>
      <c r="Q87" s="78"/>
      <c r="R87" s="78"/>
      <c r="S87" s="78"/>
      <c r="T87" s="78"/>
      <c r="U87" s="78"/>
    </row>
    <row r="88" spans="1:21">
      <c r="A88" s="76">
        <v>677</v>
      </c>
      <c r="B88" s="93" t="str">
        <f>VLOOKUP($A88&amp;B$1,TEXTDF,SPRCODE+1,FALSE)</f>
        <v>Versicherungstechnische Rückstellungen</v>
      </c>
      <c r="C88" s="93"/>
      <c r="D88" s="93"/>
      <c r="E88" s="93"/>
      <c r="F88" s="94">
        <f>+SUBTOTAL(9,F89:F114)</f>
        <v>0</v>
      </c>
      <c r="G88" s="94">
        <f>+SUBTOTAL(9,G89:G114)</f>
        <v>0</v>
      </c>
      <c r="H88" s="95">
        <f t="shared" si="11"/>
        <v>0</v>
      </c>
      <c r="I88" s="96" t="str">
        <f t="shared" ref="I88:I123" si="12">+IFERROR(F88/G88-1,"")</f>
        <v/>
      </c>
      <c r="J88" s="78"/>
      <c r="K88" s="123" t="str">
        <f t="shared" ref="K88:K98" si="13">+IFERROR(F88/F$88,"")</f>
        <v/>
      </c>
      <c r="L88" s="123" t="str">
        <f t="shared" ref="L88:L98" si="14">+IFERROR(G88/G$88,"")</f>
        <v/>
      </c>
      <c r="M88" s="78"/>
      <c r="N88" s="78"/>
      <c r="O88" s="78"/>
      <c r="P88" s="78"/>
      <c r="Q88" s="78"/>
      <c r="R88" s="78"/>
      <c r="S88" s="78"/>
      <c r="T88" s="78"/>
      <c r="U88" s="78"/>
    </row>
    <row r="89" spans="1:21">
      <c r="A89" s="76">
        <v>678</v>
      </c>
      <c r="B89" s="78"/>
      <c r="C89" s="78" t="str">
        <f>VLOOKUP($A89&amp;C$1,TEXTDF,SPRCODE+1,FALSE)</f>
        <v>Altersguthaben</v>
      </c>
      <c r="D89" s="78"/>
      <c r="E89" s="78"/>
      <c r="F89" s="111">
        <f>+SUBTOTAL(9,F90:F91)</f>
        <v>0</v>
      </c>
      <c r="G89" s="111">
        <f>+SUBTOTAL(9,G90:G91)</f>
        <v>0</v>
      </c>
      <c r="H89" s="124">
        <f t="shared" si="11"/>
        <v>0</v>
      </c>
      <c r="I89" s="125" t="str">
        <f t="shared" si="12"/>
        <v/>
      </c>
      <c r="J89" s="78"/>
      <c r="K89" s="126" t="str">
        <f t="shared" si="13"/>
        <v/>
      </c>
      <c r="L89" s="126" t="str">
        <f t="shared" si="14"/>
        <v/>
      </c>
      <c r="M89" s="78"/>
      <c r="N89" s="78"/>
      <c r="O89" s="78"/>
      <c r="P89" s="78"/>
      <c r="Q89" s="78"/>
      <c r="R89" s="78"/>
      <c r="S89" s="78"/>
      <c r="T89" s="78"/>
      <c r="U89" s="78"/>
    </row>
    <row r="90" spans="1:21">
      <c r="A90" s="76">
        <v>679</v>
      </c>
      <c r="B90" s="78"/>
      <c r="C90" s="78"/>
      <c r="D90" s="105" t="str">
        <f>VLOOKUP($A90&amp;D$1,TEXTDF,SPRCODE+1,FALSE)</f>
        <v>Obligatorium</v>
      </c>
      <c r="E90" s="100"/>
      <c r="F90" s="101">
        <f>+BILANZ!F48-F91</f>
        <v>0</v>
      </c>
      <c r="G90" s="101">
        <f>+BILANZ!G48-G91</f>
        <v>0</v>
      </c>
      <c r="H90" s="102">
        <f t="shared" si="11"/>
        <v>0</v>
      </c>
      <c r="I90" s="114" t="str">
        <f t="shared" si="12"/>
        <v/>
      </c>
      <c r="J90" s="78"/>
      <c r="K90" s="127" t="str">
        <f t="shared" si="13"/>
        <v/>
      </c>
      <c r="L90" s="127" t="str">
        <f t="shared" si="14"/>
        <v/>
      </c>
      <c r="M90" s="78"/>
      <c r="N90" s="78"/>
      <c r="O90" s="78"/>
      <c r="P90" s="78"/>
      <c r="Q90" s="78"/>
      <c r="R90" s="78"/>
      <c r="S90" s="78"/>
      <c r="T90" s="78"/>
      <c r="U90" s="78"/>
    </row>
    <row r="91" spans="1:21">
      <c r="A91" s="76">
        <v>680</v>
      </c>
      <c r="B91" s="78"/>
      <c r="C91" s="78"/>
      <c r="D91" s="105" t="str">
        <f>VLOOKUP($A91&amp;D$1,TEXTDF,SPRCODE+1,FALSE)</f>
        <v>Überobligatorium</v>
      </c>
      <c r="E91" s="100"/>
      <c r="F91" s="101">
        <f>+BILANZ!F49</f>
        <v>0</v>
      </c>
      <c r="G91" s="101">
        <f>+BILANZ!G49</f>
        <v>0</v>
      </c>
      <c r="H91" s="102">
        <f t="shared" si="11"/>
        <v>0</v>
      </c>
      <c r="I91" s="114" t="str">
        <f t="shared" si="12"/>
        <v/>
      </c>
      <c r="J91" s="78"/>
      <c r="K91" s="127" t="str">
        <f t="shared" si="13"/>
        <v/>
      </c>
      <c r="L91" s="127" t="str">
        <f t="shared" si="14"/>
        <v/>
      </c>
      <c r="M91" s="78"/>
      <c r="N91" s="78"/>
      <c r="O91" s="78"/>
      <c r="P91" s="78"/>
      <c r="Q91" s="78"/>
      <c r="R91" s="78"/>
      <c r="S91" s="78"/>
      <c r="T91" s="78"/>
      <c r="U91" s="78"/>
    </row>
    <row r="92" spans="1:21">
      <c r="A92" s="76">
        <v>681</v>
      </c>
      <c r="B92" s="78"/>
      <c r="C92" s="112" t="str">
        <f>VLOOKUP($A92&amp;C$1,TEXTDF,SPRCODE+1,FALSE)</f>
        <v>Rückstellung für zukünftige Rentenumwandlungssatzverluste</v>
      </c>
      <c r="D92" s="78"/>
      <c r="E92" s="78"/>
      <c r="F92" s="111">
        <f>+SUBTOTAL(9,F93:F94)</f>
        <v>0</v>
      </c>
      <c r="G92" s="111">
        <f>+SUBTOTAL(9,G93:G94)</f>
        <v>0</v>
      </c>
      <c r="H92" s="124">
        <f t="shared" si="11"/>
        <v>0</v>
      </c>
      <c r="I92" s="125" t="str">
        <f t="shared" si="12"/>
        <v/>
      </c>
      <c r="J92" s="78"/>
      <c r="K92" s="126" t="str">
        <f t="shared" si="13"/>
        <v/>
      </c>
      <c r="L92" s="126" t="str">
        <f t="shared" si="14"/>
        <v/>
      </c>
      <c r="M92" s="78"/>
      <c r="N92" s="78"/>
      <c r="O92" s="78"/>
      <c r="P92" s="78"/>
      <c r="Q92" s="78"/>
      <c r="R92" s="78"/>
      <c r="S92" s="78"/>
      <c r="T92" s="78"/>
      <c r="U92" s="78"/>
    </row>
    <row r="93" spans="1:21">
      <c r="A93" s="76">
        <v>682</v>
      </c>
      <c r="B93" s="78"/>
      <c r="C93" s="112"/>
      <c r="D93" s="105" t="str">
        <f>VLOOKUP($A93&amp;D$1,TEXTDF,SPRCODE+1,FALSE)</f>
        <v>Obligatorium</v>
      </c>
      <c r="E93" s="100"/>
      <c r="F93" s="101">
        <f>+BILANZ!F50-F94</f>
        <v>0</v>
      </c>
      <c r="G93" s="101">
        <f>+BILANZ!G50-G94</f>
        <v>0</v>
      </c>
      <c r="H93" s="102">
        <f t="shared" si="11"/>
        <v>0</v>
      </c>
      <c r="I93" s="114" t="str">
        <f t="shared" si="12"/>
        <v/>
      </c>
      <c r="J93" s="78"/>
      <c r="K93" s="127" t="str">
        <f t="shared" si="13"/>
        <v/>
      </c>
      <c r="L93" s="127" t="str">
        <f t="shared" si="14"/>
        <v/>
      </c>
      <c r="M93" s="78"/>
      <c r="N93" s="78"/>
      <c r="O93" s="78"/>
      <c r="P93" s="78"/>
      <c r="Q93" s="78"/>
      <c r="R93" s="78"/>
      <c r="S93" s="78"/>
      <c r="T93" s="78"/>
      <c r="U93" s="78"/>
    </row>
    <row r="94" spans="1:21">
      <c r="A94" s="76">
        <v>683</v>
      </c>
      <c r="B94" s="78"/>
      <c r="C94" s="112"/>
      <c r="D94" s="105" t="str">
        <f>VLOOKUP($A94&amp;D$1,TEXTDF,SPRCODE+1,FALSE)</f>
        <v>Überobligatorium</v>
      </c>
      <c r="E94" s="100"/>
      <c r="F94" s="101">
        <f>+BILANZ!F51</f>
        <v>0</v>
      </c>
      <c r="G94" s="101">
        <f>+BILANZ!G51</f>
        <v>0</v>
      </c>
      <c r="H94" s="102">
        <f t="shared" si="11"/>
        <v>0</v>
      </c>
      <c r="I94" s="114" t="str">
        <f t="shared" si="12"/>
        <v/>
      </c>
      <c r="J94" s="78"/>
      <c r="K94" s="127" t="str">
        <f t="shared" si="13"/>
        <v/>
      </c>
      <c r="L94" s="127" t="str">
        <f t="shared" si="14"/>
        <v/>
      </c>
      <c r="M94" s="78"/>
      <c r="N94" s="78"/>
      <c r="O94" s="78"/>
      <c r="P94" s="78"/>
      <c r="Q94" s="78"/>
      <c r="R94" s="78"/>
      <c r="S94" s="78"/>
      <c r="T94" s="78"/>
      <c r="U94" s="78"/>
    </row>
    <row r="95" spans="1:21">
      <c r="A95" s="76">
        <v>684</v>
      </c>
      <c r="B95" s="78"/>
      <c r="C95" s="78" t="str">
        <f>VLOOKUP($A95&amp;C$1,TEXTDF,SPRCODE+1,FALSE)</f>
        <v>Deckungskapital für laufende Alters- und Hinterbliebenenrenten</v>
      </c>
      <c r="D95" s="78"/>
      <c r="E95" s="78"/>
      <c r="F95" s="111">
        <f>+SUBTOTAL(9,F96:F97)</f>
        <v>0</v>
      </c>
      <c r="G95" s="111">
        <f>+SUBTOTAL(9,G96:G97)</f>
        <v>0</v>
      </c>
      <c r="H95" s="124">
        <f t="shared" si="11"/>
        <v>0</v>
      </c>
      <c r="I95" s="125" t="str">
        <f t="shared" si="12"/>
        <v/>
      </c>
      <c r="J95" s="78"/>
      <c r="K95" s="126" t="str">
        <f t="shared" si="13"/>
        <v/>
      </c>
      <c r="L95" s="126" t="str">
        <f t="shared" si="14"/>
        <v/>
      </c>
      <c r="M95" s="78"/>
      <c r="N95" s="78"/>
      <c r="O95" s="78"/>
      <c r="P95" s="78"/>
      <c r="Q95" s="78"/>
      <c r="R95" s="78"/>
      <c r="S95" s="78"/>
      <c r="T95" s="78"/>
      <c r="U95" s="78"/>
    </row>
    <row r="96" spans="1:21">
      <c r="A96" s="76">
        <v>685</v>
      </c>
      <c r="B96" s="78"/>
      <c r="C96" s="78"/>
      <c r="D96" s="105" t="str">
        <f>VLOOKUP($A96&amp;D$1,TEXTDF,SPRCODE+1,FALSE)</f>
        <v>Obligatorium</v>
      </c>
      <c r="E96" s="100"/>
      <c r="F96" s="101">
        <f>+BILANZ!F52+BILANZ!F56-F97</f>
        <v>0</v>
      </c>
      <c r="G96" s="101">
        <f>+BILANZ!G52+BILANZ!G56-G97</f>
        <v>0</v>
      </c>
      <c r="H96" s="102">
        <f t="shared" si="11"/>
        <v>0</v>
      </c>
      <c r="I96" s="114" t="str">
        <f t="shared" si="12"/>
        <v/>
      </c>
      <c r="J96" s="78"/>
      <c r="K96" s="127" t="str">
        <f t="shared" si="13"/>
        <v/>
      </c>
      <c r="L96" s="127" t="str">
        <f t="shared" si="14"/>
        <v/>
      </c>
      <c r="M96" s="78"/>
      <c r="N96" s="78"/>
      <c r="O96" s="78"/>
      <c r="P96" s="78"/>
      <c r="Q96" s="78"/>
      <c r="R96" s="78"/>
      <c r="S96" s="78"/>
      <c r="T96" s="78"/>
      <c r="U96" s="78"/>
    </row>
    <row r="97" spans="1:21">
      <c r="A97" s="76">
        <v>686</v>
      </c>
      <c r="B97" s="78"/>
      <c r="C97" s="78"/>
      <c r="D97" s="105" t="str">
        <f>VLOOKUP($A97&amp;D$1,TEXTDF,SPRCODE+1,FALSE)</f>
        <v>Überobligatorium</v>
      </c>
      <c r="E97" s="100"/>
      <c r="F97" s="101">
        <f>+BILANZ!F53+BILANZ!F57</f>
        <v>0</v>
      </c>
      <c r="G97" s="101">
        <f>+BILANZ!G53+BILANZ!G57</f>
        <v>0</v>
      </c>
      <c r="H97" s="102">
        <f t="shared" si="11"/>
        <v>0</v>
      </c>
      <c r="I97" s="114" t="str">
        <f t="shared" si="12"/>
        <v/>
      </c>
      <c r="J97" s="78"/>
      <c r="K97" s="127" t="str">
        <f t="shared" si="13"/>
        <v/>
      </c>
      <c r="L97" s="127" t="str">
        <f t="shared" si="14"/>
        <v/>
      </c>
      <c r="M97" s="78"/>
      <c r="N97" s="78"/>
      <c r="O97" s="78"/>
      <c r="P97" s="78"/>
      <c r="Q97" s="78"/>
      <c r="R97" s="78"/>
      <c r="S97" s="78"/>
      <c r="T97" s="78"/>
      <c r="U97" s="78"/>
    </row>
    <row r="98" spans="1:21">
      <c r="A98" s="76">
        <v>687</v>
      </c>
      <c r="B98" s="78"/>
      <c r="C98" s="112" t="str">
        <f>VLOOKUP($A98&amp;C$1,TEXTDF,SPRCODE+1,FALSE)</f>
        <v>Deckungskapital für laufende Invaliden- und Invalidenkinderrenten</v>
      </c>
      <c r="D98" s="78"/>
      <c r="E98" s="78"/>
      <c r="F98" s="111">
        <f>+SUBTOTAL(9,F99:F100)</f>
        <v>0</v>
      </c>
      <c r="G98" s="111">
        <f>+SUBTOTAL(9,G99:G100)</f>
        <v>0</v>
      </c>
      <c r="H98" s="124">
        <f t="shared" si="11"/>
        <v>0</v>
      </c>
      <c r="I98" s="125" t="str">
        <f t="shared" si="12"/>
        <v/>
      </c>
      <c r="J98" s="78"/>
      <c r="K98" s="126" t="str">
        <f t="shared" si="13"/>
        <v/>
      </c>
      <c r="L98" s="126" t="str">
        <f t="shared" si="14"/>
        <v/>
      </c>
      <c r="M98" s="78"/>
      <c r="N98" s="78"/>
      <c r="O98" s="78"/>
      <c r="P98" s="78"/>
      <c r="Q98" s="78"/>
      <c r="R98" s="78"/>
      <c r="S98" s="78"/>
      <c r="T98" s="78"/>
      <c r="U98" s="78"/>
    </row>
    <row r="99" spans="1:21">
      <c r="A99" s="76">
        <v>688</v>
      </c>
      <c r="B99" s="78"/>
      <c r="C99" s="112"/>
      <c r="D99" s="105" t="str">
        <f>VLOOKUP($A99&amp;D$1,TEXTDF,SPRCODE+1,FALSE)</f>
        <v>Obligatorium</v>
      </c>
      <c r="E99" s="100"/>
      <c r="F99" s="101">
        <f>+BILANZ!F60-F100</f>
        <v>0</v>
      </c>
      <c r="G99" s="101">
        <f>+BILANZ!G60-G100</f>
        <v>0</v>
      </c>
      <c r="H99" s="102">
        <f t="shared" si="11"/>
        <v>0</v>
      </c>
      <c r="I99" s="114" t="str">
        <f t="shared" si="12"/>
        <v/>
      </c>
      <c r="J99" s="78"/>
      <c r="K99" s="127" t="str">
        <f t="shared" ref="K99:L101" si="15">+IFERROR(F99/F$88,"")</f>
        <v/>
      </c>
      <c r="L99" s="127" t="str">
        <f t="shared" si="15"/>
        <v/>
      </c>
      <c r="M99" s="78"/>
      <c r="N99" s="78"/>
      <c r="O99" s="78"/>
      <c r="P99" s="78"/>
      <c r="Q99" s="78"/>
      <c r="R99" s="78"/>
      <c r="S99" s="78"/>
      <c r="T99" s="78"/>
      <c r="U99" s="78"/>
    </row>
    <row r="100" spans="1:21">
      <c r="A100" s="76">
        <v>689</v>
      </c>
      <c r="B100" s="78"/>
      <c r="C100" s="112"/>
      <c r="D100" s="105" t="str">
        <f>VLOOKUP($A100&amp;D$1,TEXTDF,SPRCODE+1,FALSE)</f>
        <v>Überobligatorium</v>
      </c>
      <c r="E100" s="100"/>
      <c r="F100" s="101">
        <f>+BILANZ!F61</f>
        <v>0</v>
      </c>
      <c r="G100" s="101">
        <f>+BILANZ!G61</f>
        <v>0</v>
      </c>
      <c r="H100" s="102">
        <f t="shared" si="11"/>
        <v>0</v>
      </c>
      <c r="I100" s="114" t="str">
        <f t="shared" si="12"/>
        <v/>
      </c>
      <c r="J100" s="78"/>
      <c r="K100" s="127" t="str">
        <f t="shared" si="15"/>
        <v/>
      </c>
      <c r="L100" s="127" t="str">
        <f t="shared" si="15"/>
        <v/>
      </c>
      <c r="M100" s="78"/>
      <c r="N100" s="78"/>
      <c r="O100" s="78"/>
      <c r="P100" s="78"/>
      <c r="Q100" s="78"/>
      <c r="R100" s="78"/>
      <c r="S100" s="78"/>
      <c r="T100" s="78"/>
      <c r="U100" s="78"/>
    </row>
    <row r="101" spans="1:21">
      <c r="A101" s="76">
        <v>690</v>
      </c>
      <c r="B101" s="78"/>
      <c r="C101" s="78" t="str">
        <f t="shared" ref="C101:C107" si="16">VLOOKUP($A101&amp;C$1,TEXTDF,SPRCODE+1,FALSE)</f>
        <v>Deckungskapital Freizügigkeitspolicen</v>
      </c>
      <c r="D101" s="78"/>
      <c r="E101" s="78"/>
      <c r="F101" s="111">
        <f>+BILANZ!F64</f>
        <v>0</v>
      </c>
      <c r="G101" s="111">
        <f>+BILANZ!G64</f>
        <v>0</v>
      </c>
      <c r="H101" s="124">
        <f t="shared" si="11"/>
        <v>0</v>
      </c>
      <c r="I101" s="125" t="str">
        <f t="shared" si="12"/>
        <v/>
      </c>
      <c r="J101" s="78"/>
      <c r="K101" s="126" t="str">
        <f t="shared" si="15"/>
        <v/>
      </c>
      <c r="L101" s="126" t="str">
        <f t="shared" si="15"/>
        <v/>
      </c>
      <c r="M101" s="78"/>
      <c r="N101" s="78"/>
      <c r="O101" s="78"/>
      <c r="P101" s="78"/>
      <c r="Q101" s="78"/>
      <c r="R101" s="78"/>
      <c r="S101" s="78"/>
      <c r="T101" s="78"/>
      <c r="U101" s="78"/>
    </row>
    <row r="102" spans="1:21">
      <c r="A102" s="76">
        <v>691</v>
      </c>
      <c r="B102" s="78"/>
      <c r="C102" s="112" t="str">
        <f t="shared" si="16"/>
        <v>Deckungskapital übrige Deckungen</v>
      </c>
      <c r="D102" s="78"/>
      <c r="E102" s="78"/>
      <c r="F102" s="111">
        <f>+BILANZ!F66</f>
        <v>0</v>
      </c>
      <c r="G102" s="111">
        <f>+BILANZ!G66</f>
        <v>0</v>
      </c>
      <c r="H102" s="124">
        <f t="shared" si="11"/>
        <v>0</v>
      </c>
      <c r="I102" s="125" t="str">
        <f t="shared" si="12"/>
        <v/>
      </c>
      <c r="J102" s="78"/>
      <c r="K102" s="126" t="str">
        <f t="shared" ref="K102:K107" si="17">+IFERROR(F102/F$88,"")</f>
        <v/>
      </c>
      <c r="L102" s="126" t="str">
        <f t="shared" ref="L102:L107" si="18">+IFERROR(G102/G$88,"")</f>
        <v/>
      </c>
      <c r="M102" s="78"/>
      <c r="N102" s="78"/>
      <c r="O102" s="78"/>
      <c r="P102" s="78"/>
      <c r="Q102" s="78"/>
      <c r="R102" s="78"/>
      <c r="S102" s="78"/>
      <c r="T102" s="78"/>
      <c r="U102" s="78"/>
    </row>
    <row r="103" spans="1:21">
      <c r="A103" s="76">
        <v>692</v>
      </c>
      <c r="B103" s="78"/>
      <c r="C103" s="112" t="str">
        <f t="shared" si="16"/>
        <v>Verstärkungen für Rentendeckungskapitalien und FZP</v>
      </c>
      <c r="D103" s="78"/>
      <c r="E103" s="78"/>
      <c r="F103" s="111">
        <f>+BILANZ!F54+BILANZ!F58+BILANZ!F62</f>
        <v>0</v>
      </c>
      <c r="G103" s="111">
        <f>+BILANZ!G54+BILANZ!G58+BILANZ!G62</f>
        <v>0</v>
      </c>
      <c r="H103" s="124">
        <f t="shared" si="11"/>
        <v>0</v>
      </c>
      <c r="I103" s="125" t="str">
        <f t="shared" si="12"/>
        <v/>
      </c>
      <c r="J103" s="78"/>
      <c r="K103" s="126" t="str">
        <f t="shared" si="17"/>
        <v/>
      </c>
      <c r="L103" s="126" t="str">
        <f t="shared" si="18"/>
        <v/>
      </c>
      <c r="M103" s="78"/>
      <c r="N103" s="78"/>
      <c r="O103" s="78"/>
      <c r="P103" s="78"/>
      <c r="Q103" s="78"/>
      <c r="R103" s="78"/>
      <c r="S103" s="78"/>
      <c r="T103" s="78"/>
      <c r="U103" s="78"/>
    </row>
    <row r="104" spans="1:21">
      <c r="A104" s="76">
        <v>693</v>
      </c>
      <c r="B104" s="78"/>
      <c r="C104" s="112" t="str">
        <f t="shared" si="16"/>
        <v>Rückstellung für eingetretene, noch nicht erledigte Versicherungsfälle (RBNS und IBNR)</v>
      </c>
      <c r="D104" s="78"/>
      <c r="E104" s="78"/>
      <c r="F104" s="111">
        <f>+BILANZ!F67+BILANZ!F68</f>
        <v>0</v>
      </c>
      <c r="G104" s="111">
        <f>+BILANZ!G67+BILANZ!G68</f>
        <v>0</v>
      </c>
      <c r="H104" s="124">
        <f t="shared" si="11"/>
        <v>0</v>
      </c>
      <c r="I104" s="125" t="str">
        <f t="shared" si="12"/>
        <v/>
      </c>
      <c r="J104" s="78"/>
      <c r="K104" s="126" t="str">
        <f t="shared" si="17"/>
        <v/>
      </c>
      <c r="L104" s="126" t="str">
        <f t="shared" si="18"/>
        <v/>
      </c>
      <c r="M104" s="78"/>
      <c r="N104" s="78"/>
      <c r="O104" s="78"/>
      <c r="P104" s="78"/>
      <c r="Q104" s="78"/>
      <c r="R104" s="78"/>
      <c r="S104" s="78"/>
      <c r="T104" s="78"/>
      <c r="U104" s="78"/>
    </row>
    <row r="105" spans="1:21">
      <c r="A105" s="76">
        <v>694</v>
      </c>
      <c r="B105" s="78"/>
      <c r="C105" s="112" t="str">
        <f t="shared" si="16"/>
        <v>Rückstellungen für Zinsgarantien, Schaden- und Wertschwankungen</v>
      </c>
      <c r="D105" s="78"/>
      <c r="E105" s="78"/>
      <c r="F105" s="111">
        <f>+BILANZ!F71+BILANZ!F72</f>
        <v>0</v>
      </c>
      <c r="G105" s="111">
        <f>+BILANZ!G71+BILANZ!G72</f>
        <v>0</v>
      </c>
      <c r="H105" s="124">
        <f t="shared" si="11"/>
        <v>0</v>
      </c>
      <c r="I105" s="125" t="str">
        <f t="shared" si="12"/>
        <v/>
      </c>
      <c r="J105" s="78"/>
      <c r="K105" s="126" t="str">
        <f t="shared" si="17"/>
        <v/>
      </c>
      <c r="L105" s="126" t="str">
        <f t="shared" si="18"/>
        <v/>
      </c>
      <c r="M105" s="78"/>
      <c r="N105" s="78"/>
      <c r="O105" s="78"/>
      <c r="P105" s="78"/>
      <c r="Q105" s="78"/>
      <c r="R105" s="78"/>
      <c r="S105" s="78"/>
      <c r="T105" s="78"/>
      <c r="U105" s="78"/>
    </row>
    <row r="106" spans="1:21">
      <c r="A106" s="76">
        <v>695</v>
      </c>
      <c r="B106" s="78"/>
      <c r="C106" s="112" t="str">
        <f t="shared" si="16"/>
        <v>Übrige versicherungstechnische Rückstellungen</v>
      </c>
      <c r="D106" s="78"/>
      <c r="E106" s="78"/>
      <c r="F106" s="111">
        <f>+BILANZ!F70+BILANZ!F73</f>
        <v>0</v>
      </c>
      <c r="G106" s="111">
        <f>+BILANZ!G70+BILANZ!G73</f>
        <v>0</v>
      </c>
      <c r="H106" s="124">
        <f t="shared" si="11"/>
        <v>0</v>
      </c>
      <c r="I106" s="125" t="str">
        <f t="shared" si="12"/>
        <v/>
      </c>
      <c r="J106" s="78"/>
      <c r="K106" s="126" t="str">
        <f t="shared" si="17"/>
        <v/>
      </c>
      <c r="L106" s="126" t="str">
        <f t="shared" si="18"/>
        <v/>
      </c>
      <c r="M106" s="78"/>
      <c r="N106" s="78"/>
      <c r="O106" s="78"/>
      <c r="P106" s="78"/>
      <c r="Q106" s="78"/>
      <c r="R106" s="78"/>
      <c r="S106" s="78"/>
      <c r="T106" s="78"/>
      <c r="U106" s="78"/>
    </row>
    <row r="107" spans="1:21">
      <c r="A107" s="76">
        <v>696</v>
      </c>
      <c r="B107" s="78"/>
      <c r="C107" s="112" t="str">
        <f t="shared" si="16"/>
        <v>Teuerungsrückstellungen</v>
      </c>
      <c r="D107" s="78"/>
      <c r="E107" s="78"/>
      <c r="F107" s="111">
        <f>+SUBTOTAL(9,F108:F114)</f>
        <v>0</v>
      </c>
      <c r="G107" s="111">
        <f>+SUBTOTAL(9,G108:G114)</f>
        <v>0</v>
      </c>
      <c r="H107" s="124">
        <f t="shared" si="11"/>
        <v>0</v>
      </c>
      <c r="I107" s="125" t="str">
        <f t="shared" si="12"/>
        <v/>
      </c>
      <c r="J107" s="78"/>
      <c r="K107" s="126" t="str">
        <f t="shared" si="17"/>
        <v/>
      </c>
      <c r="L107" s="126" t="str">
        <f t="shared" si="18"/>
        <v/>
      </c>
      <c r="M107" s="78"/>
      <c r="N107" s="78"/>
      <c r="O107" s="78"/>
      <c r="P107" s="78"/>
      <c r="Q107" s="78"/>
      <c r="R107" s="78"/>
      <c r="S107" s="78"/>
      <c r="T107" s="78"/>
      <c r="U107" s="78"/>
    </row>
    <row r="108" spans="1:21">
      <c r="A108" s="76">
        <v>697</v>
      </c>
      <c r="B108" s="78"/>
      <c r="C108" s="78"/>
      <c r="D108" s="105" t="str">
        <f t="shared" ref="D108:D114" si="19">VLOOKUP($A108&amp;D$1,TEXTDF,SPRCODE+1,FALSE)</f>
        <v>Stand Anfang Jahr</v>
      </c>
      <c r="E108" s="100"/>
      <c r="F108" s="101">
        <f>+'TECHN ZERLEGUNG'!E154</f>
        <v>0</v>
      </c>
      <c r="G108" s="101">
        <f>+'TECHN ZERLEGUNG'!F154</f>
        <v>0</v>
      </c>
      <c r="H108" s="102">
        <f t="shared" si="11"/>
        <v>0</v>
      </c>
      <c r="I108" s="114" t="str">
        <f t="shared" si="12"/>
        <v/>
      </c>
      <c r="J108" s="78"/>
      <c r="K108" s="111"/>
      <c r="L108" s="111"/>
      <c r="M108" s="78"/>
      <c r="N108" s="78"/>
      <c r="O108" s="78"/>
      <c r="P108" s="78"/>
      <c r="Q108" s="78"/>
      <c r="R108" s="78"/>
      <c r="S108" s="78"/>
      <c r="T108" s="78"/>
      <c r="U108" s="78"/>
    </row>
    <row r="109" spans="1:21">
      <c r="A109" s="76">
        <v>698</v>
      </c>
      <c r="B109" s="78"/>
      <c r="C109" s="78"/>
      <c r="D109" s="105" t="str">
        <f t="shared" si="19"/>
        <v>Teuerungsprämien brutto</v>
      </c>
      <c r="E109" s="100"/>
      <c r="F109" s="101">
        <f>+'TECHN ZERLEGUNG'!E156</f>
        <v>0</v>
      </c>
      <c r="G109" s="101">
        <f>+'TECHN ZERLEGUNG'!F156</f>
        <v>0</v>
      </c>
      <c r="H109" s="102">
        <f t="shared" si="11"/>
        <v>0</v>
      </c>
      <c r="I109" s="114" t="str">
        <f t="shared" si="12"/>
        <v/>
      </c>
      <c r="J109" s="78"/>
      <c r="K109" s="111"/>
      <c r="L109" s="111"/>
      <c r="M109" s="78"/>
      <c r="N109" s="78"/>
      <c r="O109" s="78"/>
      <c r="P109" s="78"/>
      <c r="Q109" s="78"/>
      <c r="R109" s="78"/>
      <c r="S109" s="78"/>
      <c r="T109" s="78"/>
      <c r="U109" s="78"/>
    </row>
    <row r="110" spans="1:21">
      <c r="A110" s="76">
        <v>699</v>
      </c>
      <c r="B110" s="78"/>
      <c r="C110" s="78"/>
      <c r="D110" s="105" t="str">
        <f t="shared" si="19"/>
        <v>Kostenaufwand</v>
      </c>
      <c r="E110" s="100"/>
      <c r="F110" s="101">
        <f>-'TECHN ZERLEGUNG'!E158</f>
        <v>0</v>
      </c>
      <c r="G110" s="101">
        <f>-'TECHN ZERLEGUNG'!F158</f>
        <v>0</v>
      </c>
      <c r="H110" s="102">
        <f t="shared" si="11"/>
        <v>0</v>
      </c>
      <c r="I110" s="114" t="str">
        <f t="shared" si="12"/>
        <v/>
      </c>
      <c r="J110" s="78"/>
      <c r="K110" s="111"/>
      <c r="L110" s="111"/>
      <c r="M110" s="78"/>
      <c r="N110" s="78"/>
      <c r="O110" s="78"/>
      <c r="P110" s="78"/>
      <c r="Q110" s="78"/>
      <c r="R110" s="78"/>
      <c r="S110" s="78"/>
      <c r="T110" s="78"/>
      <c r="U110" s="78"/>
    </row>
    <row r="111" spans="1:21">
      <c r="A111" s="76">
        <v>700</v>
      </c>
      <c r="B111" s="78"/>
      <c r="C111" s="78"/>
      <c r="D111" s="105" t="str">
        <f t="shared" si="19"/>
        <v>Aufwand für teuerungsbedingte Erhöhungen der Risikorenten</v>
      </c>
      <c r="E111" s="100"/>
      <c r="F111" s="101">
        <f>-'TECHN ZERLEGUNG'!E157</f>
        <v>0</v>
      </c>
      <c r="G111" s="101">
        <f>-'TECHN ZERLEGUNG'!F157</f>
        <v>0</v>
      </c>
      <c r="H111" s="102">
        <f t="shared" si="11"/>
        <v>0</v>
      </c>
      <c r="I111" s="114" t="str">
        <f t="shared" si="12"/>
        <v/>
      </c>
      <c r="J111" s="78"/>
      <c r="K111" s="111"/>
      <c r="L111" s="111"/>
      <c r="M111" s="78"/>
      <c r="N111" s="78"/>
      <c r="O111" s="78"/>
      <c r="P111" s="78"/>
      <c r="Q111" s="78"/>
      <c r="R111" s="78"/>
      <c r="S111" s="78"/>
      <c r="T111" s="78"/>
      <c r="U111" s="78"/>
    </row>
    <row r="112" spans="1:21">
      <c r="A112" s="76">
        <v>701</v>
      </c>
      <c r="B112" s="78"/>
      <c r="C112" s="78"/>
      <c r="D112" s="105" t="str">
        <f t="shared" si="19"/>
        <v>Auflösung zugunsten Verstärkungen gem. Art. 149 Abs. 1 Bst. a</v>
      </c>
      <c r="E112" s="100"/>
      <c r="F112" s="101">
        <f>-'TECHN ZERLEGUNG'!E159-'TECHN ZERLEGUNG'!E160</f>
        <v>0</v>
      </c>
      <c r="G112" s="101">
        <f>-'TECHN ZERLEGUNG'!F159-'TECHN ZERLEGUNG'!F160</f>
        <v>0</v>
      </c>
      <c r="H112" s="102">
        <f t="shared" si="11"/>
        <v>0</v>
      </c>
      <c r="I112" s="114" t="str">
        <f t="shared" si="12"/>
        <v/>
      </c>
      <c r="J112" s="78"/>
      <c r="K112" s="111"/>
      <c r="L112" s="111"/>
      <c r="M112" s="78"/>
      <c r="N112" s="78"/>
      <c r="O112" s="78"/>
      <c r="P112" s="78"/>
      <c r="Q112" s="78"/>
      <c r="R112" s="78"/>
      <c r="S112" s="78"/>
      <c r="T112" s="78"/>
      <c r="U112" s="78"/>
    </row>
    <row r="113" spans="1:21">
      <c r="A113" s="76">
        <v>702</v>
      </c>
      <c r="B113" s="78"/>
      <c r="C113" s="78"/>
      <c r="D113" s="105" t="str">
        <f t="shared" si="19"/>
        <v>Auflösung zugunsten Überschussfonds</v>
      </c>
      <c r="E113" s="100"/>
      <c r="F113" s="101">
        <f>-'TECHN ZERLEGUNG'!E161</f>
        <v>0</v>
      </c>
      <c r="G113" s="101">
        <f>-'TECHN ZERLEGUNG'!F161</f>
        <v>0</v>
      </c>
      <c r="H113" s="102">
        <f t="shared" si="11"/>
        <v>0</v>
      </c>
      <c r="I113" s="114" t="str">
        <f t="shared" si="12"/>
        <v/>
      </c>
      <c r="J113" s="78"/>
      <c r="K113" s="111"/>
      <c r="L113" s="111"/>
      <c r="M113" s="78"/>
      <c r="N113" s="78"/>
      <c r="O113" s="78"/>
      <c r="P113" s="78"/>
      <c r="Q113" s="78"/>
      <c r="R113" s="78"/>
      <c r="S113" s="78"/>
      <c r="T113" s="78"/>
      <c r="U113" s="78"/>
    </row>
    <row r="114" spans="1:21">
      <c r="A114" s="76">
        <v>703</v>
      </c>
      <c r="B114" s="78"/>
      <c r="C114" s="78"/>
      <c r="D114" s="105" t="str">
        <f t="shared" si="19"/>
        <v>Bildung zusätzliche Teuerungsrückstellungen</v>
      </c>
      <c r="E114" s="100"/>
      <c r="F114" s="101">
        <f>+'TECHN ZERLEGUNG'!E162</f>
        <v>0</v>
      </c>
      <c r="G114" s="101">
        <f>+'TECHN ZERLEGUNG'!F162</f>
        <v>0</v>
      </c>
      <c r="H114" s="102">
        <f t="shared" si="11"/>
        <v>0</v>
      </c>
      <c r="I114" s="114" t="str">
        <f t="shared" si="12"/>
        <v/>
      </c>
      <c r="J114" s="78"/>
      <c r="K114" s="111"/>
      <c r="L114" s="111"/>
      <c r="M114" s="78"/>
      <c r="N114" s="78"/>
      <c r="O114" s="78"/>
      <c r="P114" s="78"/>
      <c r="Q114" s="78"/>
      <c r="R114" s="78"/>
      <c r="S114" s="78"/>
      <c r="T114" s="78"/>
      <c r="U114" s="78"/>
    </row>
    <row r="115" spans="1:21">
      <c r="A115" s="76">
        <v>704</v>
      </c>
      <c r="B115" s="93" t="str">
        <f>VLOOKUP($A115&amp;B$1,TEXTDF,SPRCODE+1,FALSE)</f>
        <v>Überschussfonds</v>
      </c>
      <c r="C115" s="93"/>
      <c r="D115" s="93"/>
      <c r="E115" s="93"/>
      <c r="F115" s="94">
        <f>+SUBTOTAL(9,F116:F120)</f>
        <v>0</v>
      </c>
      <c r="G115" s="94">
        <f>+SUBTOTAL(9,G116:G120)</f>
        <v>0</v>
      </c>
      <c r="H115" s="95">
        <f t="shared" si="11"/>
        <v>0</v>
      </c>
      <c r="I115" s="96" t="str">
        <f t="shared" si="12"/>
        <v/>
      </c>
      <c r="J115" s="78"/>
      <c r="K115" s="126"/>
      <c r="L115" s="126"/>
      <c r="M115" s="78"/>
      <c r="N115" s="112"/>
      <c r="O115" s="78"/>
      <c r="P115" s="78"/>
      <c r="Q115" s="78"/>
      <c r="R115" s="78"/>
      <c r="S115" s="78"/>
      <c r="T115" s="78"/>
      <c r="U115" s="78"/>
    </row>
    <row r="116" spans="1:21">
      <c r="A116" s="76">
        <v>705</v>
      </c>
      <c r="B116" s="112"/>
      <c r="C116" s="112" t="str">
        <f>VLOOKUP($A116&amp;C$1,TEXTDF,SPRCODE+1,FALSE)</f>
        <v>Stand Anfang Jahr</v>
      </c>
      <c r="D116" s="78"/>
      <c r="E116" s="78"/>
      <c r="F116" s="111">
        <f>+'TECHN ZERLEGUNG'!E137</f>
        <v>0</v>
      </c>
      <c r="G116" s="111">
        <f>+'TECHN ZERLEGUNG'!F137</f>
        <v>0</v>
      </c>
      <c r="H116" s="124">
        <f t="shared" si="11"/>
        <v>0</v>
      </c>
      <c r="I116" s="125" t="str">
        <f t="shared" si="12"/>
        <v/>
      </c>
      <c r="J116" s="78"/>
      <c r="K116" s="111"/>
      <c r="L116" s="111"/>
      <c r="M116" s="78"/>
      <c r="N116" s="78"/>
      <c r="O116" s="78"/>
      <c r="P116" s="78"/>
      <c r="Q116" s="78"/>
      <c r="R116" s="78"/>
      <c r="S116" s="78"/>
      <c r="T116" s="78"/>
      <c r="U116" s="78"/>
    </row>
    <row r="117" spans="1:21">
      <c r="A117" s="76">
        <v>706</v>
      </c>
      <c r="B117" s="112"/>
      <c r="C117" s="112" t="str">
        <f>VLOOKUP($A117&amp;C$1,TEXTDF,SPRCODE+1,FALSE)</f>
        <v>Verteilung an Vorsorgeeinrichtungen (Überschusszuteilung)</v>
      </c>
      <c r="D117" s="78"/>
      <c r="E117" s="78"/>
      <c r="F117" s="111">
        <f>-'TECHN ZERLEGUNG'!E140</f>
        <v>0</v>
      </c>
      <c r="G117" s="111">
        <f>-'TECHN ZERLEGUNG'!F140</f>
        <v>0</v>
      </c>
      <c r="H117" s="124">
        <f t="shared" si="11"/>
        <v>0</v>
      </c>
      <c r="I117" s="125" t="str">
        <f t="shared" si="12"/>
        <v/>
      </c>
      <c r="J117" s="78"/>
      <c r="K117" s="111"/>
      <c r="L117" s="111"/>
      <c r="M117" s="78"/>
      <c r="N117" s="78"/>
      <c r="O117" s="78"/>
      <c r="P117" s="78"/>
      <c r="Q117" s="78"/>
      <c r="R117" s="78"/>
      <c r="S117" s="78"/>
      <c r="T117" s="78"/>
      <c r="U117" s="78"/>
    </row>
    <row r="118" spans="1:21">
      <c r="A118" s="76">
        <v>707</v>
      </c>
      <c r="B118" s="112"/>
      <c r="C118" s="112" t="str">
        <f>VLOOKUP($A118&amp;C$1,TEXTDF,SPRCODE+1,FALSE)</f>
        <v>Überschussbeteiligung laufendes Jahr (Überschusszuweisung)</v>
      </c>
      <c r="D118" s="78"/>
      <c r="E118" s="78"/>
      <c r="F118" s="111">
        <f>+'TECHN ZERLEGUNG'!E139</f>
        <v>0</v>
      </c>
      <c r="G118" s="111">
        <f>+'TECHN ZERLEGUNG'!F139</f>
        <v>0</v>
      </c>
      <c r="H118" s="124">
        <f t="shared" si="11"/>
        <v>0</v>
      </c>
      <c r="I118" s="125" t="str">
        <f t="shared" si="12"/>
        <v/>
      </c>
      <c r="J118" s="78"/>
      <c r="K118" s="111"/>
      <c r="L118" s="111"/>
      <c r="M118" s="78"/>
      <c r="N118" s="78"/>
      <c r="O118" s="78"/>
      <c r="P118" s="78"/>
      <c r="Q118" s="78"/>
      <c r="R118" s="78"/>
      <c r="S118" s="78"/>
      <c r="T118" s="78"/>
      <c r="U118" s="78"/>
    </row>
    <row r="119" spans="1:21">
      <c r="A119" s="76">
        <v>708</v>
      </c>
      <c r="B119" s="112"/>
      <c r="C119" s="112" t="str">
        <f>VLOOKUP($A119&amp;C$1,TEXTDF,SPRCODE+1,FALSE)</f>
        <v>Entnahme zur Deckung des Betriebsdefizits</v>
      </c>
      <c r="D119" s="78"/>
      <c r="E119" s="78"/>
      <c r="F119" s="111">
        <f>-'TECHN ZERLEGUNG'!E142</f>
        <v>0</v>
      </c>
      <c r="G119" s="111">
        <f>-'TECHN ZERLEGUNG'!F142</f>
        <v>0</v>
      </c>
      <c r="H119" s="124">
        <f t="shared" si="11"/>
        <v>0</v>
      </c>
      <c r="I119" s="125" t="str">
        <f t="shared" si="12"/>
        <v/>
      </c>
      <c r="J119" s="78"/>
      <c r="K119" s="111"/>
      <c r="L119" s="111"/>
      <c r="M119" s="78"/>
      <c r="N119" s="78"/>
      <c r="O119" s="78"/>
      <c r="P119" s="78"/>
      <c r="Q119" s="78"/>
      <c r="R119" s="78"/>
      <c r="S119" s="78"/>
      <c r="T119" s="78"/>
      <c r="U119" s="78"/>
    </row>
    <row r="120" spans="1:21">
      <c r="A120" s="76">
        <v>709</v>
      </c>
      <c r="B120" s="112"/>
      <c r="C120" s="112" t="str">
        <f>VLOOKUP($A120&amp;C$1,TEXTDF,SPRCODE+1,FALSE)</f>
        <v>Valorisationskorrektur</v>
      </c>
      <c r="D120" s="78"/>
      <c r="E120" s="78"/>
      <c r="F120" s="111">
        <f>+'TECHN ZERLEGUNG'!E141</f>
        <v>0</v>
      </c>
      <c r="G120" s="111">
        <f>+'TECHN ZERLEGUNG'!F141</f>
        <v>0</v>
      </c>
      <c r="H120" s="124">
        <f t="shared" si="11"/>
        <v>0</v>
      </c>
      <c r="I120" s="125" t="str">
        <f t="shared" si="12"/>
        <v/>
      </c>
      <c r="J120" s="78"/>
      <c r="K120" s="111"/>
      <c r="L120" s="111"/>
      <c r="M120" s="78"/>
      <c r="N120" s="78"/>
      <c r="O120" s="78"/>
      <c r="P120" s="78"/>
      <c r="Q120" s="78"/>
      <c r="R120" s="78"/>
      <c r="S120" s="78"/>
      <c r="T120" s="78"/>
      <c r="U120" s="78"/>
    </row>
    <row r="121" spans="1:21">
      <c r="A121" s="76">
        <v>710</v>
      </c>
      <c r="B121" s="93" t="str">
        <f>VLOOKUP($A121&amp;B$1,TEXTDF,SPRCODE+1,FALSE)</f>
        <v>Prämienüberträge</v>
      </c>
      <c r="C121" s="93"/>
      <c r="D121" s="93"/>
      <c r="E121" s="93"/>
      <c r="F121" s="94">
        <f>+BILANZ!F75</f>
        <v>0</v>
      </c>
      <c r="G121" s="94">
        <f>+BILANZ!G75</f>
        <v>0</v>
      </c>
      <c r="H121" s="95">
        <f t="shared" si="11"/>
        <v>0</v>
      </c>
      <c r="I121" s="96" t="str">
        <f t="shared" si="12"/>
        <v/>
      </c>
      <c r="J121" s="78"/>
      <c r="K121" s="111"/>
      <c r="L121" s="111"/>
      <c r="M121" s="78"/>
      <c r="N121" s="78"/>
      <c r="O121" s="78"/>
      <c r="P121" s="78"/>
      <c r="Q121" s="78"/>
      <c r="R121" s="78"/>
      <c r="S121" s="78"/>
      <c r="T121" s="78"/>
      <c r="U121" s="78"/>
    </row>
    <row r="122" spans="1:21">
      <c r="A122" s="76">
        <v>711</v>
      </c>
      <c r="B122" s="93" t="str">
        <f>VLOOKUP($A122&amp;B$1,TEXTDF,SPRCODE+1,FALSE)</f>
        <v>Gutgeschriebene Überschussanteile</v>
      </c>
      <c r="C122" s="93"/>
      <c r="D122" s="93"/>
      <c r="E122" s="93"/>
      <c r="F122" s="94">
        <f>+BILANZ!F76</f>
        <v>0</v>
      </c>
      <c r="G122" s="94">
        <f>+BILANZ!G76</f>
        <v>0</v>
      </c>
      <c r="H122" s="95">
        <f t="shared" si="11"/>
        <v>0</v>
      </c>
      <c r="I122" s="96" t="str">
        <f t="shared" si="12"/>
        <v/>
      </c>
      <c r="J122" s="78"/>
      <c r="K122" s="111"/>
      <c r="L122" s="111"/>
      <c r="M122" s="78"/>
      <c r="N122" s="78"/>
      <c r="O122" s="78"/>
      <c r="P122" s="78"/>
      <c r="Q122" s="78"/>
      <c r="R122" s="78"/>
      <c r="S122" s="78"/>
      <c r="T122" s="78"/>
      <c r="U122" s="78"/>
    </row>
    <row r="123" spans="1:21">
      <c r="A123" s="76">
        <v>712</v>
      </c>
      <c r="B123" s="93" t="str">
        <f>VLOOKUP($A123&amp;B$1,TEXTDF,SPRCODE+1,FALSE)</f>
        <v>Übrige Passiven</v>
      </c>
      <c r="C123" s="93"/>
      <c r="D123" s="93"/>
      <c r="E123" s="93"/>
      <c r="F123" s="94">
        <f>+BILANZ!F46+BILANZ!F47+SUM(BILANZ!F79:F91)</f>
        <v>0</v>
      </c>
      <c r="G123" s="94">
        <f>+BILANZ!G46+BILANZ!G47+SUM(BILANZ!G79:G91)</f>
        <v>0</v>
      </c>
      <c r="H123" s="95">
        <f t="shared" si="11"/>
        <v>0</v>
      </c>
      <c r="I123" s="96" t="str">
        <f t="shared" si="12"/>
        <v/>
      </c>
      <c r="J123" s="78"/>
      <c r="K123" s="111"/>
      <c r="L123" s="111"/>
      <c r="M123" s="78"/>
      <c r="N123" s="78"/>
      <c r="O123" s="78"/>
      <c r="P123" s="78"/>
      <c r="Q123" s="78"/>
      <c r="R123" s="78"/>
      <c r="S123" s="78"/>
      <c r="T123" s="78"/>
      <c r="U123" s="78"/>
    </row>
    <row r="124" spans="1:21">
      <c r="A124" s="76"/>
      <c r="B124" s="78"/>
      <c r="C124" s="78"/>
      <c r="D124" s="78"/>
      <c r="E124" s="78"/>
      <c r="F124" s="128"/>
      <c r="G124" s="129"/>
      <c r="H124" s="119"/>
      <c r="I124" s="120"/>
      <c r="J124" s="112"/>
      <c r="K124" s="78"/>
      <c r="L124" s="111"/>
      <c r="M124" s="78"/>
      <c r="N124" s="78"/>
      <c r="O124" s="78"/>
      <c r="P124" s="78"/>
      <c r="Q124" s="78"/>
      <c r="R124" s="78"/>
      <c r="S124" s="78"/>
      <c r="T124" s="78"/>
      <c r="U124" s="78"/>
    </row>
    <row r="125" spans="1:21" ht="15.75">
      <c r="A125" s="76">
        <v>713</v>
      </c>
      <c r="B125" s="82" t="str">
        <f>VLOOKUP($A125&amp;B$1,TEXTDF,SPRCODE+1,FALSE)</f>
        <v>III.  Ergebnis, Ausschüttungsquoten und Mindestquote</v>
      </c>
      <c r="C125" s="83"/>
      <c r="D125" s="83"/>
      <c r="E125" s="83"/>
      <c r="F125" s="84" t="str">
        <f>+F$8</f>
        <v>Total BV</v>
      </c>
      <c r="G125" s="84" t="str">
        <f>+G$8</f>
        <v>Total BV</v>
      </c>
      <c r="H125" s="85" t="str">
        <f>+H$8</f>
        <v>Total BV</v>
      </c>
      <c r="I125" s="85" t="str">
        <f>+I$8</f>
        <v>Total BV</v>
      </c>
      <c r="J125" s="83"/>
      <c r="K125" s="84" t="str">
        <f>VLOOKUP($A125&amp;K$1,TEXTDF,SPRCODE+1,FALSE)</f>
        <v>MQ</v>
      </c>
      <c r="L125" s="84" t="str">
        <f>+K125</f>
        <v>MQ</v>
      </c>
      <c r="M125" s="85" t="str">
        <f>+L125</f>
        <v>MQ</v>
      </c>
      <c r="N125" s="85" t="str">
        <f>+M125</f>
        <v>MQ</v>
      </c>
      <c r="O125" s="83"/>
      <c r="P125" s="84" t="str">
        <f>VLOOKUP($A125&amp;P$1,TEXTDF,SPRCODE+1,FALSE)</f>
        <v>nMQ</v>
      </c>
      <c r="Q125" s="84" t="str">
        <f>+P125</f>
        <v>nMQ</v>
      </c>
      <c r="R125" s="85" t="str">
        <f>+Q125</f>
        <v>nMQ</v>
      </c>
      <c r="S125" s="85" t="str">
        <f>+R125</f>
        <v>nMQ</v>
      </c>
      <c r="T125" s="86"/>
      <c r="U125" s="86"/>
    </row>
    <row r="126" spans="1:21">
      <c r="A126" s="76"/>
      <c r="B126" s="78"/>
      <c r="C126" s="78"/>
      <c r="D126" s="78"/>
      <c r="E126" s="78"/>
      <c r="F126" s="80">
        <f>+jahr</f>
        <v>2023</v>
      </c>
      <c r="G126" s="80">
        <f>+F126-1</f>
        <v>2022</v>
      </c>
      <c r="H126" s="109" t="s">
        <v>3208</v>
      </c>
      <c r="I126" s="110" t="s">
        <v>3209</v>
      </c>
      <c r="J126" s="78"/>
      <c r="K126" s="80">
        <f>+jahr</f>
        <v>2023</v>
      </c>
      <c r="L126" s="80">
        <f>+K126-1</f>
        <v>2022</v>
      </c>
      <c r="M126" s="109" t="s">
        <v>3208</v>
      </c>
      <c r="N126" s="110" t="s">
        <v>3209</v>
      </c>
      <c r="O126" s="78"/>
      <c r="P126" s="80">
        <f>+jahr</f>
        <v>2023</v>
      </c>
      <c r="Q126" s="80">
        <f>+P126-1</f>
        <v>2022</v>
      </c>
      <c r="R126" s="109" t="s">
        <v>3208</v>
      </c>
      <c r="S126" s="110" t="s">
        <v>3209</v>
      </c>
      <c r="T126" s="78"/>
      <c r="U126" s="78"/>
    </row>
    <row r="127" spans="1:21">
      <c r="A127" s="76">
        <v>714</v>
      </c>
      <c r="B127" s="93" t="str">
        <f>VLOOKUP($A127&amp;B$1,TEXTDF,SPRCODE+1,FALSE)</f>
        <v>Summe der Ertragskomponenten</v>
      </c>
      <c r="C127" s="93"/>
      <c r="D127" s="93"/>
      <c r="E127" s="93"/>
      <c r="F127" s="94">
        <f t="shared" ref="F127:F152" si="20">+K127+P127</f>
        <v>0</v>
      </c>
      <c r="G127" s="94">
        <f t="shared" ref="G127:G152" si="21">+L127+Q127</f>
        <v>0</v>
      </c>
      <c r="H127" s="95">
        <f t="shared" ref="H127:H153" si="22">+IFERROR(F127-G127,"")</f>
        <v>0</v>
      </c>
      <c r="I127" s="96" t="str">
        <f t="shared" ref="I127:I153" si="23">+IFERROR(F127/G127-1,"")</f>
        <v/>
      </c>
      <c r="J127" s="78"/>
      <c r="K127" s="94">
        <f>+SUBTOTAL(9,K128:K130)</f>
        <v>0</v>
      </c>
      <c r="L127" s="94">
        <f>+SUBTOTAL(9,L128:L130)</f>
        <v>0</v>
      </c>
      <c r="M127" s="95">
        <f>+IFERROR(K127-L127,"")</f>
        <v>0</v>
      </c>
      <c r="N127" s="96" t="str">
        <f>+IFERROR(K127/L127-1,"")</f>
        <v/>
      </c>
      <c r="O127" s="78"/>
      <c r="P127" s="94">
        <f>+SUBTOTAL(9,P128:P130)</f>
        <v>0</v>
      </c>
      <c r="Q127" s="94">
        <f>+SUBTOTAL(9,Q128:Q130)</f>
        <v>0</v>
      </c>
      <c r="R127" s="95">
        <f t="shared" ref="R127:R153" si="24">+IFERROR(P127-Q127,"")</f>
        <v>0</v>
      </c>
      <c r="S127" s="96" t="str">
        <f t="shared" ref="S127:S153" si="25">+IFERROR(P127/Q127-1,"")</f>
        <v/>
      </c>
      <c r="T127" s="78"/>
      <c r="U127" s="78"/>
    </row>
    <row r="128" spans="1:21">
      <c r="A128" s="76">
        <v>715</v>
      </c>
      <c r="B128" s="78"/>
      <c r="C128" s="78" t="str">
        <f>VLOOKUP($A128&amp;C$1,TEXTDF,SPRCODE+1,FALSE)</f>
        <v>Sparprozess (Kapitalanlageertrag)</v>
      </c>
      <c r="D128" s="78"/>
      <c r="E128" s="78"/>
      <c r="F128" s="111">
        <f t="shared" si="20"/>
        <v>0</v>
      </c>
      <c r="G128" s="111">
        <f t="shared" si="21"/>
        <v>0</v>
      </c>
      <c r="H128" s="124">
        <f t="shared" si="22"/>
        <v>0</v>
      </c>
      <c r="I128" s="125" t="str">
        <f t="shared" si="23"/>
        <v/>
      </c>
      <c r="J128" s="78"/>
      <c r="K128" s="111">
        <f>+'TECHN ZERLEGUNG'!H72</f>
        <v>0</v>
      </c>
      <c r="L128" s="111">
        <f>+'TECHN ZERLEGUNG'!I72</f>
        <v>0</v>
      </c>
      <c r="M128" s="124">
        <f t="shared" ref="M128:M153" si="26">+IFERROR(K128-L128,"")</f>
        <v>0</v>
      </c>
      <c r="N128" s="125" t="str">
        <f t="shared" ref="N128:N153" si="27">+IFERROR(K128/L128-1,"")</f>
        <v/>
      </c>
      <c r="O128" s="78"/>
      <c r="P128" s="111">
        <f>+'TECHN ZERLEGUNG'!K72</f>
        <v>0</v>
      </c>
      <c r="Q128" s="111">
        <f>+'TECHN ZERLEGUNG'!L72</f>
        <v>0</v>
      </c>
      <c r="R128" s="124">
        <f t="shared" si="24"/>
        <v>0</v>
      </c>
      <c r="S128" s="125" t="str">
        <f t="shared" si="25"/>
        <v/>
      </c>
      <c r="T128" s="78"/>
      <c r="U128" s="78"/>
    </row>
    <row r="129" spans="1:21">
      <c r="A129" s="76">
        <v>716</v>
      </c>
      <c r="B129" s="78"/>
      <c r="C129" s="78" t="str">
        <f>VLOOKUP($A129&amp;C$1,TEXTDF,SPRCODE+1,FALSE)</f>
        <v>Risikoprozess (Risikoprämien)</v>
      </c>
      <c r="D129" s="78"/>
      <c r="E129" s="78"/>
      <c r="F129" s="111">
        <f t="shared" si="20"/>
        <v>0</v>
      </c>
      <c r="G129" s="111">
        <f t="shared" si="21"/>
        <v>0</v>
      </c>
      <c r="H129" s="124">
        <f t="shared" si="22"/>
        <v>0</v>
      </c>
      <c r="I129" s="125" t="str">
        <f t="shared" si="23"/>
        <v/>
      </c>
      <c r="J129" s="78"/>
      <c r="K129" s="111">
        <f>+'TECHN ZERLEGUNG'!H76</f>
        <v>0</v>
      </c>
      <c r="L129" s="111">
        <f>+'TECHN ZERLEGUNG'!I76</f>
        <v>0</v>
      </c>
      <c r="M129" s="124">
        <f t="shared" si="26"/>
        <v>0</v>
      </c>
      <c r="N129" s="125" t="str">
        <f t="shared" si="27"/>
        <v/>
      </c>
      <c r="O129" s="78"/>
      <c r="P129" s="111">
        <f>+'TECHN ZERLEGUNG'!K76</f>
        <v>0</v>
      </c>
      <c r="Q129" s="111">
        <f>+'TECHN ZERLEGUNG'!L76</f>
        <v>0</v>
      </c>
      <c r="R129" s="124">
        <f t="shared" si="24"/>
        <v>0</v>
      </c>
      <c r="S129" s="125" t="str">
        <f t="shared" si="25"/>
        <v/>
      </c>
      <c r="T129" s="78"/>
      <c r="U129" s="78"/>
    </row>
    <row r="130" spans="1:21">
      <c r="A130" s="76">
        <v>717</v>
      </c>
      <c r="B130" s="78"/>
      <c r="C130" s="78" t="str">
        <f>VLOOKUP($A130&amp;C$1,TEXTDF,SPRCODE+1,FALSE)</f>
        <v>Kostenprozess (Kostenprämien)</v>
      </c>
      <c r="D130" s="78"/>
      <c r="E130" s="78"/>
      <c r="F130" s="111">
        <f t="shared" si="20"/>
        <v>0</v>
      </c>
      <c r="G130" s="111">
        <f t="shared" si="21"/>
        <v>0</v>
      </c>
      <c r="H130" s="124">
        <f t="shared" si="22"/>
        <v>0</v>
      </c>
      <c r="I130" s="125" t="str">
        <f t="shared" si="23"/>
        <v/>
      </c>
      <c r="J130" s="78"/>
      <c r="K130" s="111">
        <f>+'TECHN ZERLEGUNG'!H80</f>
        <v>0</v>
      </c>
      <c r="L130" s="111">
        <f>+'TECHN ZERLEGUNG'!I80</f>
        <v>0</v>
      </c>
      <c r="M130" s="124">
        <f t="shared" si="26"/>
        <v>0</v>
      </c>
      <c r="N130" s="125" t="str">
        <f t="shared" si="27"/>
        <v/>
      </c>
      <c r="O130" s="78"/>
      <c r="P130" s="111">
        <f>+'TECHN ZERLEGUNG'!K80</f>
        <v>0</v>
      </c>
      <c r="Q130" s="111">
        <f>+'TECHN ZERLEGUNG'!L80</f>
        <v>0</v>
      </c>
      <c r="R130" s="124">
        <f t="shared" si="24"/>
        <v>0</v>
      </c>
      <c r="S130" s="125" t="str">
        <f t="shared" si="25"/>
        <v/>
      </c>
      <c r="T130" s="78"/>
      <c r="U130" s="78"/>
    </row>
    <row r="131" spans="1:21">
      <c r="A131" s="76">
        <v>718</v>
      </c>
      <c r="B131" s="93" t="str">
        <f>VLOOKUP($A131&amp;B$1,TEXTDF,SPRCODE+1,FALSE)</f>
        <v>Summe der Aufwendungen</v>
      </c>
      <c r="C131" s="93"/>
      <c r="D131" s="93"/>
      <c r="E131" s="93"/>
      <c r="F131" s="94">
        <f t="shared" si="20"/>
        <v>0</v>
      </c>
      <c r="G131" s="94">
        <f t="shared" si="21"/>
        <v>0</v>
      </c>
      <c r="H131" s="95">
        <f t="shared" si="22"/>
        <v>0</v>
      </c>
      <c r="I131" s="96" t="str">
        <f t="shared" si="23"/>
        <v/>
      </c>
      <c r="J131" s="78"/>
      <c r="K131" s="94">
        <f>+SUBTOTAL(9,K132:K134)</f>
        <v>0</v>
      </c>
      <c r="L131" s="94">
        <f>+SUBTOTAL(9,L132:L134)</f>
        <v>0</v>
      </c>
      <c r="M131" s="95">
        <f t="shared" si="26"/>
        <v>0</v>
      </c>
      <c r="N131" s="96" t="str">
        <f t="shared" si="27"/>
        <v/>
      </c>
      <c r="O131" s="78"/>
      <c r="P131" s="94">
        <f>+SUBTOTAL(9,P132:P134)</f>
        <v>0</v>
      </c>
      <c r="Q131" s="94">
        <f>+SUBTOTAL(9,Q132:Q134)</f>
        <v>0</v>
      </c>
      <c r="R131" s="95">
        <f t="shared" si="24"/>
        <v>0</v>
      </c>
      <c r="S131" s="96" t="str">
        <f t="shared" si="25"/>
        <v/>
      </c>
      <c r="T131" s="78"/>
      <c r="U131" s="78"/>
    </row>
    <row r="132" spans="1:21">
      <c r="A132" s="76">
        <v>719</v>
      </c>
      <c r="B132" s="78"/>
      <c r="C132" s="78" t="str">
        <f>VLOOKUP($A132&amp;C$1,TEXTDF,SPRCODE+1,FALSE)</f>
        <v>Sparprozess (hauptsächlich techn. Verzinsung)</v>
      </c>
      <c r="D132" s="78"/>
      <c r="E132" s="78"/>
      <c r="F132" s="111">
        <f t="shared" si="20"/>
        <v>0</v>
      </c>
      <c r="G132" s="111">
        <f t="shared" si="21"/>
        <v>0</v>
      </c>
      <c r="H132" s="124">
        <f t="shared" si="22"/>
        <v>0</v>
      </c>
      <c r="I132" s="125" t="str">
        <f t="shared" si="23"/>
        <v/>
      </c>
      <c r="J132" s="78"/>
      <c r="K132" s="111">
        <f>-'TECHN ZERLEGUNG'!H74</f>
        <v>0</v>
      </c>
      <c r="L132" s="111">
        <f>-'TECHN ZERLEGUNG'!I74</f>
        <v>0</v>
      </c>
      <c r="M132" s="124">
        <f t="shared" si="26"/>
        <v>0</v>
      </c>
      <c r="N132" s="125" t="str">
        <f t="shared" si="27"/>
        <v/>
      </c>
      <c r="O132" s="78"/>
      <c r="P132" s="111">
        <f>-'TECHN ZERLEGUNG'!K74</f>
        <v>0</v>
      </c>
      <c r="Q132" s="111">
        <f>-'TECHN ZERLEGUNG'!L74</f>
        <v>0</v>
      </c>
      <c r="R132" s="124">
        <f t="shared" si="24"/>
        <v>0</v>
      </c>
      <c r="S132" s="125" t="str">
        <f t="shared" si="25"/>
        <v/>
      </c>
      <c r="T132" s="78"/>
      <c r="U132" s="78"/>
    </row>
    <row r="133" spans="1:21">
      <c r="A133" s="76">
        <v>720</v>
      </c>
      <c r="B133" s="78"/>
      <c r="C133" s="78" t="str">
        <f>VLOOKUP($A133&amp;C$1,TEXTDF,SPRCODE+1,FALSE)</f>
        <v>Risikoprozess (hauptsächlich Todesfall- und Inv.leistungen)</v>
      </c>
      <c r="D133" s="78"/>
      <c r="E133" s="78"/>
      <c r="F133" s="111">
        <f t="shared" si="20"/>
        <v>0</v>
      </c>
      <c r="G133" s="111">
        <f t="shared" si="21"/>
        <v>0</v>
      </c>
      <c r="H133" s="124">
        <f t="shared" si="22"/>
        <v>0</v>
      </c>
      <c r="I133" s="125" t="str">
        <f t="shared" si="23"/>
        <v/>
      </c>
      <c r="J133" s="78"/>
      <c r="K133" s="111">
        <f>-'TECHN ZERLEGUNG'!H78</f>
        <v>0</v>
      </c>
      <c r="L133" s="111">
        <f>-'TECHN ZERLEGUNG'!I78</f>
        <v>0</v>
      </c>
      <c r="M133" s="124">
        <f t="shared" si="26"/>
        <v>0</v>
      </c>
      <c r="N133" s="125" t="str">
        <f t="shared" si="27"/>
        <v/>
      </c>
      <c r="O133" s="78"/>
      <c r="P133" s="111">
        <f>-'TECHN ZERLEGUNG'!K78</f>
        <v>0</v>
      </c>
      <c r="Q133" s="111">
        <f>-'TECHN ZERLEGUNG'!L78</f>
        <v>0</v>
      </c>
      <c r="R133" s="124">
        <f t="shared" si="24"/>
        <v>0</v>
      </c>
      <c r="S133" s="125" t="str">
        <f t="shared" si="25"/>
        <v/>
      </c>
      <c r="T133" s="78"/>
      <c r="U133" s="78"/>
    </row>
    <row r="134" spans="1:21">
      <c r="A134" s="76">
        <v>721</v>
      </c>
      <c r="B134" s="78"/>
      <c r="C134" s="78" t="str">
        <f>VLOOKUP($A134&amp;C$1,TEXTDF,SPRCODE+1,FALSE)</f>
        <v>Kostenprozess (hauptsächlich Verwaltungskosten)</v>
      </c>
      <c r="D134" s="78"/>
      <c r="E134" s="78"/>
      <c r="F134" s="111">
        <f t="shared" si="20"/>
        <v>0</v>
      </c>
      <c r="G134" s="111">
        <f t="shared" si="21"/>
        <v>0</v>
      </c>
      <c r="H134" s="124">
        <f t="shared" si="22"/>
        <v>0</v>
      </c>
      <c r="I134" s="125" t="str">
        <f t="shared" si="23"/>
        <v/>
      </c>
      <c r="J134" s="78"/>
      <c r="K134" s="111">
        <f>-'TECHN ZERLEGUNG'!H82</f>
        <v>0</v>
      </c>
      <c r="L134" s="111">
        <f>-'TECHN ZERLEGUNG'!I82</f>
        <v>0</v>
      </c>
      <c r="M134" s="124">
        <f t="shared" si="26"/>
        <v>0</v>
      </c>
      <c r="N134" s="125" t="str">
        <f t="shared" si="27"/>
        <v/>
      </c>
      <c r="O134" s="78"/>
      <c r="P134" s="111">
        <f>-'TECHN ZERLEGUNG'!K82</f>
        <v>0</v>
      </c>
      <c r="Q134" s="111">
        <f>-'TECHN ZERLEGUNG'!L82</f>
        <v>0</v>
      </c>
      <c r="R134" s="124">
        <f t="shared" si="24"/>
        <v>0</v>
      </c>
      <c r="S134" s="125" t="str">
        <f t="shared" si="25"/>
        <v/>
      </c>
      <c r="T134" s="78"/>
      <c r="U134" s="78"/>
    </row>
    <row r="135" spans="1:21">
      <c r="A135" s="76">
        <v>722</v>
      </c>
      <c r="B135" s="88" t="str">
        <f>VLOOKUP($A135&amp;B$1,TEXTDF,SPRCODE+1,FALSE)</f>
        <v>Bruttoergebnis der Betriebsrechnung</v>
      </c>
      <c r="C135" s="88"/>
      <c r="D135" s="88"/>
      <c r="E135" s="88"/>
      <c r="F135" s="89">
        <f t="shared" si="20"/>
        <v>0</v>
      </c>
      <c r="G135" s="89">
        <f t="shared" si="21"/>
        <v>0</v>
      </c>
      <c r="H135" s="90">
        <f t="shared" si="22"/>
        <v>0</v>
      </c>
      <c r="I135" s="91" t="str">
        <f t="shared" si="23"/>
        <v/>
      </c>
      <c r="J135" s="78"/>
      <c r="K135" s="89">
        <f>+SUBTOTAL(9,K127:K134)</f>
        <v>0</v>
      </c>
      <c r="L135" s="89">
        <f>+SUBTOTAL(9,L127:L134)</f>
        <v>0</v>
      </c>
      <c r="M135" s="90">
        <f t="shared" si="26"/>
        <v>0</v>
      </c>
      <c r="N135" s="91" t="str">
        <f t="shared" si="27"/>
        <v/>
      </c>
      <c r="O135" s="78"/>
      <c r="P135" s="89">
        <f>+SUBTOTAL(9,P127:P134)</f>
        <v>0</v>
      </c>
      <c r="Q135" s="89">
        <f>+SUBTOTAL(9,Q127:Q134)</f>
        <v>0</v>
      </c>
      <c r="R135" s="90">
        <f t="shared" si="24"/>
        <v>0</v>
      </c>
      <c r="S135" s="91" t="str">
        <f t="shared" si="25"/>
        <v/>
      </c>
      <c r="T135" s="78"/>
      <c r="U135" s="78"/>
    </row>
    <row r="136" spans="1:21">
      <c r="A136" s="76">
        <v>723</v>
      </c>
      <c r="B136" s="93" t="str">
        <f>VLOOKUP($A136&amp;B$1,TEXTDF,SPRCODE+1,FALSE)</f>
        <v>Bildung (-) und Auflösung (+) technischer Rückstellungen</v>
      </c>
      <c r="C136" s="93"/>
      <c r="D136" s="93"/>
      <c r="E136" s="93"/>
      <c r="F136" s="94">
        <f t="shared" si="20"/>
        <v>0</v>
      </c>
      <c r="G136" s="94">
        <f t="shared" si="21"/>
        <v>0</v>
      </c>
      <c r="H136" s="95">
        <f t="shared" si="22"/>
        <v>0</v>
      </c>
      <c r="I136" s="96" t="str">
        <f t="shared" si="23"/>
        <v/>
      </c>
      <c r="J136" s="78"/>
      <c r="K136" s="94">
        <f>+SUBTOTAL(9,K137:K150)</f>
        <v>0</v>
      </c>
      <c r="L136" s="94">
        <f>+SUBTOTAL(9,L137:L150)</f>
        <v>0</v>
      </c>
      <c r="M136" s="95">
        <f t="shared" si="26"/>
        <v>0</v>
      </c>
      <c r="N136" s="96" t="str">
        <f t="shared" si="27"/>
        <v/>
      </c>
      <c r="O136" s="78"/>
      <c r="P136" s="94">
        <f>+SUBTOTAL(9,P137:P150)</f>
        <v>0</v>
      </c>
      <c r="Q136" s="94">
        <f>+SUBTOTAL(9,Q137:Q150)</f>
        <v>0</v>
      </c>
      <c r="R136" s="95">
        <f t="shared" si="24"/>
        <v>0</v>
      </c>
      <c r="S136" s="96" t="str">
        <f t="shared" si="25"/>
        <v/>
      </c>
      <c r="T136" s="78"/>
      <c r="U136" s="78"/>
    </row>
    <row r="137" spans="1:21">
      <c r="A137" s="76">
        <v>724</v>
      </c>
      <c r="B137" s="78"/>
      <c r="C137" s="112" t="str">
        <f>VLOOKUP($A137&amp;C$1,TEXTDF,SPRCODE+1,FALSE)</f>
        <v>im Sparprozess</v>
      </c>
      <c r="D137" s="78"/>
      <c r="E137" s="78"/>
      <c r="F137" s="111">
        <f t="shared" si="20"/>
        <v>0</v>
      </c>
      <c r="G137" s="111">
        <f t="shared" si="21"/>
        <v>0</v>
      </c>
      <c r="H137" s="124">
        <f t="shared" si="22"/>
        <v>0</v>
      </c>
      <c r="I137" s="125" t="str">
        <f t="shared" si="23"/>
        <v/>
      </c>
      <c r="J137" s="78"/>
      <c r="K137" s="111">
        <f>+SUBTOTAL(9,K138:K142)</f>
        <v>0</v>
      </c>
      <c r="L137" s="111">
        <f>+SUBTOTAL(9,L138:L142)</f>
        <v>0</v>
      </c>
      <c r="M137" s="124">
        <f t="shared" si="26"/>
        <v>0</v>
      </c>
      <c r="N137" s="125" t="str">
        <f t="shared" si="27"/>
        <v/>
      </c>
      <c r="O137" s="78"/>
      <c r="P137" s="111">
        <f>+SUBTOTAL(9,P138:P142)</f>
        <v>0</v>
      </c>
      <c r="Q137" s="111">
        <f>+SUBTOTAL(9,Q138:Q142)</f>
        <v>0</v>
      </c>
      <c r="R137" s="124">
        <f t="shared" si="24"/>
        <v>0</v>
      </c>
      <c r="S137" s="125" t="str">
        <f t="shared" si="25"/>
        <v/>
      </c>
      <c r="T137" s="78"/>
      <c r="U137" s="78"/>
    </row>
    <row r="138" spans="1:21">
      <c r="A138" s="76">
        <v>725</v>
      </c>
      <c r="B138" s="78"/>
      <c r="C138" s="78"/>
      <c r="D138" s="78" t="str">
        <f>VLOOKUP($A138&amp;D$1,TEXTDF,SPRCODE+1,FALSE)</f>
        <v>Langlebigkeitsrisiko</v>
      </c>
      <c r="E138" s="78"/>
      <c r="F138" s="111">
        <f t="shared" si="20"/>
        <v>0</v>
      </c>
      <c r="G138" s="111">
        <f t="shared" si="21"/>
        <v>0</v>
      </c>
      <c r="H138" s="124">
        <f t="shared" si="22"/>
        <v>0</v>
      </c>
      <c r="I138" s="125" t="str">
        <f t="shared" si="23"/>
        <v/>
      </c>
      <c r="J138" s="78"/>
      <c r="K138" s="111">
        <f>-'TECHN ZERLEGUNG'!H86-'TECHN ZERLEGUNG'!H87</f>
        <v>0</v>
      </c>
      <c r="L138" s="111">
        <f>-'TECHN ZERLEGUNG'!I86-'TECHN ZERLEGUNG'!I87</f>
        <v>0</v>
      </c>
      <c r="M138" s="124">
        <f t="shared" si="26"/>
        <v>0</v>
      </c>
      <c r="N138" s="125" t="str">
        <f t="shared" si="27"/>
        <v/>
      </c>
      <c r="O138" s="78"/>
      <c r="P138" s="111">
        <f>-'TECHN ZERLEGUNG'!K86-'TECHN ZERLEGUNG'!K87</f>
        <v>0</v>
      </c>
      <c r="Q138" s="111">
        <f>-'TECHN ZERLEGUNG'!L86-'TECHN ZERLEGUNG'!L87</f>
        <v>0</v>
      </c>
      <c r="R138" s="124">
        <f t="shared" si="24"/>
        <v>0</v>
      </c>
      <c r="S138" s="125" t="str">
        <f t="shared" si="25"/>
        <v/>
      </c>
      <c r="T138" s="78"/>
      <c r="U138" s="78"/>
    </row>
    <row r="139" spans="1:21">
      <c r="A139" s="76">
        <v>726</v>
      </c>
      <c r="B139" s="78"/>
      <c r="C139" s="78"/>
      <c r="D139" s="78" t="str">
        <f>VLOOKUP($A139&amp;D$1,TEXTDF,SPRCODE+1,FALSE)</f>
        <v>Deckungslücken bei Rentenumwandlung</v>
      </c>
      <c r="E139" s="78"/>
      <c r="F139" s="111">
        <f t="shared" si="20"/>
        <v>0</v>
      </c>
      <c r="G139" s="111">
        <f t="shared" si="21"/>
        <v>0</v>
      </c>
      <c r="H139" s="124">
        <f t="shared" si="22"/>
        <v>0</v>
      </c>
      <c r="I139" s="125" t="str">
        <f t="shared" si="23"/>
        <v/>
      </c>
      <c r="J139" s="78"/>
      <c r="K139" s="111">
        <f>-'TECHN ZERLEGUNG'!H88</f>
        <v>0</v>
      </c>
      <c r="L139" s="111">
        <f>-'TECHN ZERLEGUNG'!I88</f>
        <v>0</v>
      </c>
      <c r="M139" s="124">
        <f t="shared" si="26"/>
        <v>0</v>
      </c>
      <c r="N139" s="125" t="str">
        <f t="shared" si="27"/>
        <v/>
      </c>
      <c r="O139" s="78"/>
      <c r="P139" s="111">
        <f>-'TECHN ZERLEGUNG'!K88</f>
        <v>0</v>
      </c>
      <c r="Q139" s="111">
        <f>-'TECHN ZERLEGUNG'!L88</f>
        <v>0</v>
      </c>
      <c r="R139" s="124">
        <f t="shared" si="24"/>
        <v>0</v>
      </c>
      <c r="S139" s="125" t="str">
        <f t="shared" si="25"/>
        <v/>
      </c>
      <c r="T139" s="78"/>
      <c r="U139" s="78"/>
    </row>
    <row r="140" spans="1:21">
      <c r="A140" s="76">
        <v>727</v>
      </c>
      <c r="B140" s="78"/>
      <c r="C140" s="78"/>
      <c r="D140" s="78" t="str">
        <f>VLOOKUP($A140&amp;D$1,TEXTDF,SPRCODE+1,FALSE)</f>
        <v>Zinsgarantien</v>
      </c>
      <c r="E140" s="78"/>
      <c r="F140" s="111">
        <f t="shared" si="20"/>
        <v>0</v>
      </c>
      <c r="G140" s="111">
        <f t="shared" si="21"/>
        <v>0</v>
      </c>
      <c r="H140" s="124">
        <f t="shared" si="22"/>
        <v>0</v>
      </c>
      <c r="I140" s="125" t="str">
        <f t="shared" si="23"/>
        <v/>
      </c>
      <c r="J140" s="78"/>
      <c r="K140" s="111">
        <f>-'TECHN ZERLEGUNG'!H94</f>
        <v>0</v>
      </c>
      <c r="L140" s="111">
        <f>-'TECHN ZERLEGUNG'!I94</f>
        <v>0</v>
      </c>
      <c r="M140" s="124">
        <f t="shared" si="26"/>
        <v>0</v>
      </c>
      <c r="N140" s="125" t="str">
        <f t="shared" si="27"/>
        <v/>
      </c>
      <c r="O140" s="78"/>
      <c r="P140" s="111">
        <f>-'TECHN ZERLEGUNG'!K94</f>
        <v>0</v>
      </c>
      <c r="Q140" s="111">
        <f>-'TECHN ZERLEGUNG'!L94</f>
        <v>0</v>
      </c>
      <c r="R140" s="124">
        <f t="shared" si="24"/>
        <v>0</v>
      </c>
      <c r="S140" s="125" t="str">
        <f t="shared" si="25"/>
        <v/>
      </c>
      <c r="T140" s="78"/>
      <c r="U140" s="78"/>
    </row>
    <row r="141" spans="1:21">
      <c r="A141" s="76">
        <v>728</v>
      </c>
      <c r="B141" s="78"/>
      <c r="C141" s="78"/>
      <c r="D141" s="112" t="str">
        <f>VLOOKUP($A141&amp;D$1,TEXTDF,SPRCODE+1,FALSE)</f>
        <v>Auflösung Teuerungsrückstellungen zugunsten Verstärkungen</v>
      </c>
      <c r="E141" s="78"/>
      <c r="F141" s="111">
        <f t="shared" si="20"/>
        <v>0</v>
      </c>
      <c r="G141" s="111">
        <f t="shared" si="21"/>
        <v>0</v>
      </c>
      <c r="H141" s="124">
        <f t="shared" si="22"/>
        <v>0</v>
      </c>
      <c r="I141" s="125" t="str">
        <f t="shared" si="23"/>
        <v/>
      </c>
      <c r="J141" s="78"/>
      <c r="K141" s="111">
        <f>-'TECHN ZERLEGUNG'!H95</f>
        <v>0</v>
      </c>
      <c r="L141" s="111">
        <f>-'TECHN ZERLEGUNG'!I95</f>
        <v>0</v>
      </c>
      <c r="M141" s="124">
        <f t="shared" si="26"/>
        <v>0</v>
      </c>
      <c r="N141" s="125" t="str">
        <f t="shared" si="27"/>
        <v/>
      </c>
      <c r="O141" s="78"/>
      <c r="P141" s="111">
        <f>-'TECHN ZERLEGUNG'!K95</f>
        <v>0</v>
      </c>
      <c r="Q141" s="111">
        <f>-'TECHN ZERLEGUNG'!L95</f>
        <v>0</v>
      </c>
      <c r="R141" s="124">
        <f t="shared" si="24"/>
        <v>0</v>
      </c>
      <c r="S141" s="125" t="str">
        <f t="shared" si="25"/>
        <v/>
      </c>
      <c r="T141" s="78"/>
      <c r="U141" s="78"/>
    </row>
    <row r="142" spans="1:21">
      <c r="A142" s="76">
        <v>729</v>
      </c>
      <c r="B142" s="78"/>
      <c r="C142" s="78"/>
      <c r="D142" s="78" t="str">
        <f>VLOOKUP($A142&amp;D$1,TEXTDF,SPRCODE+1,FALSE)</f>
        <v>Wertschwankungen Kapitalanlagen</v>
      </c>
      <c r="E142" s="78"/>
      <c r="F142" s="111">
        <f t="shared" si="20"/>
        <v>0</v>
      </c>
      <c r="G142" s="111">
        <f t="shared" si="21"/>
        <v>0</v>
      </c>
      <c r="H142" s="124">
        <f t="shared" si="22"/>
        <v>0</v>
      </c>
      <c r="I142" s="125" t="str">
        <f t="shared" si="23"/>
        <v/>
      </c>
      <c r="J142" s="78"/>
      <c r="K142" s="111">
        <f>-'TECHN ZERLEGUNG'!H93</f>
        <v>0</v>
      </c>
      <c r="L142" s="111">
        <f>-'TECHN ZERLEGUNG'!I93</f>
        <v>0</v>
      </c>
      <c r="M142" s="124">
        <f t="shared" si="26"/>
        <v>0</v>
      </c>
      <c r="N142" s="125" t="str">
        <f t="shared" si="27"/>
        <v/>
      </c>
      <c r="O142" s="78"/>
      <c r="P142" s="111">
        <f>-'TECHN ZERLEGUNG'!K93</f>
        <v>0</v>
      </c>
      <c r="Q142" s="111">
        <f>-'TECHN ZERLEGUNG'!L93</f>
        <v>0</v>
      </c>
      <c r="R142" s="124">
        <f t="shared" si="24"/>
        <v>0</v>
      </c>
      <c r="S142" s="125" t="str">
        <f t="shared" si="25"/>
        <v/>
      </c>
      <c r="T142" s="78"/>
      <c r="U142" s="78"/>
    </row>
    <row r="143" spans="1:21">
      <c r="A143" s="76">
        <v>730</v>
      </c>
      <c r="B143" s="78"/>
      <c r="C143" s="112" t="str">
        <f>VLOOKUP($A143&amp;C$1,TEXTDF,SPRCODE+1,FALSE)</f>
        <v>im Risikoprozess</v>
      </c>
      <c r="D143" s="78"/>
      <c r="E143" s="78"/>
      <c r="F143" s="111">
        <f t="shared" si="20"/>
        <v>0</v>
      </c>
      <c r="G143" s="111">
        <f t="shared" si="21"/>
        <v>0</v>
      </c>
      <c r="H143" s="124">
        <f t="shared" si="22"/>
        <v>0</v>
      </c>
      <c r="I143" s="125" t="str">
        <f t="shared" si="23"/>
        <v/>
      </c>
      <c r="J143" s="78"/>
      <c r="K143" s="111">
        <f>+SUBTOTAL(9,K144:K149)</f>
        <v>0</v>
      </c>
      <c r="L143" s="111">
        <f>+SUBTOTAL(9,L144:L149)</f>
        <v>0</v>
      </c>
      <c r="M143" s="124">
        <f t="shared" si="26"/>
        <v>0</v>
      </c>
      <c r="N143" s="125" t="str">
        <f t="shared" si="27"/>
        <v/>
      </c>
      <c r="O143" s="78"/>
      <c r="P143" s="111">
        <f>+SUBTOTAL(9,P144:P149)</f>
        <v>0</v>
      </c>
      <c r="Q143" s="111">
        <f>+SUBTOTAL(9,Q144:Q149)</f>
        <v>0</v>
      </c>
      <c r="R143" s="124">
        <f t="shared" si="24"/>
        <v>0</v>
      </c>
      <c r="S143" s="125" t="str">
        <f t="shared" si="25"/>
        <v/>
      </c>
      <c r="T143" s="78"/>
      <c r="U143" s="78"/>
    </row>
    <row r="144" spans="1:21">
      <c r="A144" s="76">
        <v>731</v>
      </c>
      <c r="B144" s="78"/>
      <c r="C144" s="78"/>
      <c r="D144" s="78" t="str">
        <f t="shared" ref="D144:D149" si="28">VLOOKUP($A144&amp;D$1,TEXTDF,SPRCODE+1,FALSE)</f>
        <v>Gemeldete noch nicht erledigte Versicherungsfälle</v>
      </c>
      <c r="E144" s="78"/>
      <c r="F144" s="111">
        <f t="shared" si="20"/>
        <v>0</v>
      </c>
      <c r="G144" s="111">
        <f t="shared" si="21"/>
        <v>0</v>
      </c>
      <c r="H144" s="124">
        <f t="shared" si="22"/>
        <v>0</v>
      </c>
      <c r="I144" s="125" t="str">
        <f t="shared" si="23"/>
        <v/>
      </c>
      <c r="J144" s="78"/>
      <c r="K144" s="111">
        <f>-'TECHN ZERLEGUNG'!H89-'TECHN ZERLEGUNG'!H90</f>
        <v>0</v>
      </c>
      <c r="L144" s="111">
        <f>-'TECHN ZERLEGUNG'!I89-'TECHN ZERLEGUNG'!I90</f>
        <v>0</v>
      </c>
      <c r="M144" s="124">
        <f t="shared" si="26"/>
        <v>0</v>
      </c>
      <c r="N144" s="125" t="str">
        <f t="shared" si="27"/>
        <v/>
      </c>
      <c r="O144" s="78"/>
      <c r="P144" s="111">
        <f>-'TECHN ZERLEGUNG'!K89-'TECHN ZERLEGUNG'!K90</f>
        <v>0</v>
      </c>
      <c r="Q144" s="111">
        <f>-'TECHN ZERLEGUNG'!L89-'TECHN ZERLEGUNG'!L90</f>
        <v>0</v>
      </c>
      <c r="R144" s="124">
        <f t="shared" si="24"/>
        <v>0</v>
      </c>
      <c r="S144" s="125" t="str">
        <f t="shared" si="25"/>
        <v/>
      </c>
      <c r="T144" s="78"/>
      <c r="U144" s="78"/>
    </row>
    <row r="145" spans="1:21">
      <c r="A145" s="76">
        <v>732</v>
      </c>
      <c r="B145" s="78"/>
      <c r="C145" s="78"/>
      <c r="D145" s="78" t="str">
        <f t="shared" si="28"/>
        <v>Eingetretene noch nicht gemeldete Versicherungsfälle</v>
      </c>
      <c r="E145" s="78"/>
      <c r="F145" s="111">
        <f t="shared" si="20"/>
        <v>0</v>
      </c>
      <c r="G145" s="111">
        <f t="shared" si="21"/>
        <v>0</v>
      </c>
      <c r="H145" s="124">
        <f t="shared" si="22"/>
        <v>0</v>
      </c>
      <c r="I145" s="125" t="str">
        <f t="shared" si="23"/>
        <v/>
      </c>
      <c r="J145" s="78"/>
      <c r="K145" s="111">
        <f>-'TECHN ZERLEGUNG'!H91</f>
        <v>0</v>
      </c>
      <c r="L145" s="111">
        <f>-'TECHN ZERLEGUNG'!I91</f>
        <v>0</v>
      </c>
      <c r="M145" s="124">
        <f t="shared" si="26"/>
        <v>0</v>
      </c>
      <c r="N145" s="125" t="str">
        <f t="shared" si="27"/>
        <v/>
      </c>
      <c r="O145" s="78"/>
      <c r="P145" s="111">
        <f>-'TECHN ZERLEGUNG'!K91</f>
        <v>0</v>
      </c>
      <c r="Q145" s="111">
        <f>-'TECHN ZERLEGUNG'!L91</f>
        <v>0</v>
      </c>
      <c r="R145" s="124">
        <f t="shared" si="24"/>
        <v>0</v>
      </c>
      <c r="S145" s="125" t="str">
        <f t="shared" si="25"/>
        <v/>
      </c>
      <c r="T145" s="78"/>
      <c r="U145" s="78"/>
    </row>
    <row r="146" spans="1:21">
      <c r="A146" s="76">
        <v>733</v>
      </c>
      <c r="B146" s="78"/>
      <c r="C146" s="78"/>
      <c r="D146" s="78" t="str">
        <f t="shared" si="28"/>
        <v>Schadenschwankungen</v>
      </c>
      <c r="E146" s="78"/>
      <c r="F146" s="111">
        <f t="shared" si="20"/>
        <v>0</v>
      </c>
      <c r="G146" s="111">
        <f t="shared" si="21"/>
        <v>0</v>
      </c>
      <c r="H146" s="124">
        <f t="shared" si="22"/>
        <v>0</v>
      </c>
      <c r="I146" s="125" t="str">
        <f t="shared" si="23"/>
        <v/>
      </c>
      <c r="J146" s="78"/>
      <c r="K146" s="111">
        <f>-'TECHN ZERLEGUNG'!H92</f>
        <v>0</v>
      </c>
      <c r="L146" s="111">
        <f>-'TECHN ZERLEGUNG'!I92</f>
        <v>0</v>
      </c>
      <c r="M146" s="124">
        <f t="shared" si="26"/>
        <v>0</v>
      </c>
      <c r="N146" s="125" t="str">
        <f t="shared" si="27"/>
        <v/>
      </c>
      <c r="O146" s="78"/>
      <c r="P146" s="111">
        <f>-'TECHN ZERLEGUNG'!K92</f>
        <v>0</v>
      </c>
      <c r="Q146" s="111">
        <f>-'TECHN ZERLEGUNG'!L92</f>
        <v>0</v>
      </c>
      <c r="R146" s="124">
        <f t="shared" si="24"/>
        <v>0</v>
      </c>
      <c r="S146" s="125" t="str">
        <f t="shared" si="25"/>
        <v/>
      </c>
      <c r="T146" s="78"/>
      <c r="U146" s="78"/>
    </row>
    <row r="147" spans="1:21">
      <c r="A147" s="76">
        <v>734</v>
      </c>
      <c r="B147" s="78"/>
      <c r="C147" s="78"/>
      <c r="D147" s="78" t="str">
        <f t="shared" si="28"/>
        <v>Tarifumstellungen und Tarifsanierungen</v>
      </c>
      <c r="E147" s="78"/>
      <c r="F147" s="111">
        <f t="shared" si="20"/>
        <v>0</v>
      </c>
      <c r="G147" s="111">
        <f t="shared" si="21"/>
        <v>0</v>
      </c>
      <c r="H147" s="124">
        <f t="shared" si="22"/>
        <v>0</v>
      </c>
      <c r="I147" s="125" t="str">
        <f t="shared" si="23"/>
        <v/>
      </c>
      <c r="J147" s="78"/>
      <c r="K147" s="111">
        <f>-'TECHN ZERLEGUNG'!H99</f>
        <v>0</v>
      </c>
      <c r="L147" s="111">
        <f>-'TECHN ZERLEGUNG'!I99</f>
        <v>0</v>
      </c>
      <c r="M147" s="124">
        <f t="shared" si="26"/>
        <v>0</v>
      </c>
      <c r="N147" s="125" t="str">
        <f t="shared" si="27"/>
        <v/>
      </c>
      <c r="O147" s="78"/>
      <c r="P147" s="111">
        <f>-'TECHN ZERLEGUNG'!K99</f>
        <v>0</v>
      </c>
      <c r="Q147" s="111">
        <f>-'TECHN ZERLEGUNG'!L99</f>
        <v>0</v>
      </c>
      <c r="R147" s="124">
        <f t="shared" si="24"/>
        <v>0</v>
      </c>
      <c r="S147" s="125" t="str">
        <f t="shared" si="25"/>
        <v/>
      </c>
      <c r="T147" s="78"/>
      <c r="U147" s="78"/>
    </row>
    <row r="148" spans="1:21">
      <c r="A148" s="76">
        <v>735</v>
      </c>
      <c r="B148" s="78"/>
      <c r="C148" s="78"/>
      <c r="D148" s="112" t="str">
        <f t="shared" si="28"/>
        <v>Auflösung Teuerungsrückstellungen zugunsten Verstärkungen</v>
      </c>
      <c r="E148" s="78"/>
      <c r="F148" s="111">
        <f t="shared" si="20"/>
        <v>0</v>
      </c>
      <c r="G148" s="111">
        <f t="shared" si="21"/>
        <v>0</v>
      </c>
      <c r="H148" s="124">
        <f t="shared" si="22"/>
        <v>0</v>
      </c>
      <c r="I148" s="125" t="str">
        <f t="shared" si="23"/>
        <v/>
      </c>
      <c r="J148" s="78"/>
      <c r="K148" s="111">
        <f>-'TECHN ZERLEGUNG'!H96</f>
        <v>0</v>
      </c>
      <c r="L148" s="111">
        <f>-'TECHN ZERLEGUNG'!I96</f>
        <v>0</v>
      </c>
      <c r="M148" s="124">
        <f t="shared" si="26"/>
        <v>0</v>
      </c>
      <c r="N148" s="125" t="str">
        <f t="shared" si="27"/>
        <v/>
      </c>
      <c r="O148" s="78"/>
      <c r="P148" s="111">
        <f>-'TECHN ZERLEGUNG'!K96</f>
        <v>0</v>
      </c>
      <c r="Q148" s="111">
        <f>-'TECHN ZERLEGUNG'!L96</f>
        <v>0</v>
      </c>
      <c r="R148" s="124">
        <f t="shared" si="24"/>
        <v>0</v>
      </c>
      <c r="S148" s="125" t="str">
        <f t="shared" si="25"/>
        <v/>
      </c>
      <c r="T148" s="78"/>
      <c r="U148" s="78"/>
    </row>
    <row r="149" spans="1:21">
      <c r="A149" s="76">
        <v>736</v>
      </c>
      <c r="B149" s="78"/>
      <c r="C149" s="78"/>
      <c r="D149" s="112" t="str">
        <f t="shared" si="28"/>
        <v>Bildung zusätzliche Teuerungsrückstellungen</v>
      </c>
      <c r="E149" s="78"/>
      <c r="F149" s="111">
        <f t="shared" si="20"/>
        <v>0</v>
      </c>
      <c r="G149" s="111">
        <f t="shared" si="21"/>
        <v>0</v>
      </c>
      <c r="H149" s="124">
        <f t="shared" si="22"/>
        <v>0</v>
      </c>
      <c r="I149" s="125" t="str">
        <f t="shared" si="23"/>
        <v/>
      </c>
      <c r="J149" s="78"/>
      <c r="K149" s="111">
        <f>-'TECHN ZERLEGUNG'!H98</f>
        <v>0</v>
      </c>
      <c r="L149" s="111">
        <f>-'TECHN ZERLEGUNG'!I98</f>
        <v>0</v>
      </c>
      <c r="M149" s="124">
        <f t="shared" si="26"/>
        <v>0</v>
      </c>
      <c r="N149" s="125" t="str">
        <f t="shared" si="27"/>
        <v/>
      </c>
      <c r="O149" s="78"/>
      <c r="P149" s="111">
        <f>-'TECHN ZERLEGUNG'!K98</f>
        <v>0</v>
      </c>
      <c r="Q149" s="111">
        <f>-'TECHN ZERLEGUNG'!L98</f>
        <v>0</v>
      </c>
      <c r="R149" s="124">
        <f t="shared" si="24"/>
        <v>0</v>
      </c>
      <c r="S149" s="125" t="str">
        <f t="shared" si="25"/>
        <v/>
      </c>
      <c r="T149" s="78"/>
      <c r="U149" s="78"/>
    </row>
    <row r="150" spans="1:21">
      <c r="A150" s="76">
        <v>737</v>
      </c>
      <c r="B150" s="78"/>
      <c r="C150" s="112" t="str">
        <f>VLOOKUP($A150&amp;C$1,TEXTDF,SPRCODE+1,FALSE)</f>
        <v>Auflösung Teuerungsrückstellungen zugunsten Überschussfonds</v>
      </c>
      <c r="D150" s="112"/>
      <c r="E150" s="78"/>
      <c r="F150" s="111">
        <f t="shared" si="20"/>
        <v>0</v>
      </c>
      <c r="G150" s="111">
        <f t="shared" si="21"/>
        <v>0</v>
      </c>
      <c r="H150" s="124">
        <f t="shared" si="22"/>
        <v>0</v>
      </c>
      <c r="I150" s="125" t="str">
        <f t="shared" si="23"/>
        <v/>
      </c>
      <c r="J150" s="78"/>
      <c r="K150" s="111">
        <f>-'TECHN ZERLEGUNG'!H97</f>
        <v>0</v>
      </c>
      <c r="L150" s="111">
        <f>-'TECHN ZERLEGUNG'!I97</f>
        <v>0</v>
      </c>
      <c r="M150" s="124">
        <f t="shared" si="26"/>
        <v>0</v>
      </c>
      <c r="N150" s="125" t="str">
        <f t="shared" si="27"/>
        <v/>
      </c>
      <c r="O150" s="78"/>
      <c r="P150" s="111">
        <f>-'TECHN ZERLEGUNG'!K97</f>
        <v>0</v>
      </c>
      <c r="Q150" s="111">
        <f>-'TECHN ZERLEGUNG'!L97</f>
        <v>0</v>
      </c>
      <c r="R150" s="124">
        <f t="shared" si="24"/>
        <v>0</v>
      </c>
      <c r="S150" s="125" t="str">
        <f t="shared" si="25"/>
        <v/>
      </c>
      <c r="T150" s="78"/>
      <c r="U150" s="78"/>
    </row>
    <row r="151" spans="1:21">
      <c r="A151" s="76">
        <v>738</v>
      </c>
      <c r="B151" s="93" t="str">
        <f>VLOOKUP($A151&amp;B$1,TEXTDF,SPRCODE+1,FALSE)</f>
        <v>Kosten für zusätzlich aufgenommenes Risikokapital</v>
      </c>
      <c r="C151" s="93"/>
      <c r="D151" s="93"/>
      <c r="E151" s="93"/>
      <c r="F151" s="94">
        <f t="shared" si="20"/>
        <v>0</v>
      </c>
      <c r="G151" s="94">
        <f t="shared" si="21"/>
        <v>0</v>
      </c>
      <c r="H151" s="95">
        <f t="shared" si="22"/>
        <v>0</v>
      </c>
      <c r="I151" s="96" t="str">
        <f t="shared" si="23"/>
        <v/>
      </c>
      <c r="J151" s="78"/>
      <c r="K151" s="94">
        <f>-'TECHN ZERLEGUNG'!H118</f>
        <v>0</v>
      </c>
      <c r="L151" s="94">
        <f>-'TECHN ZERLEGUNG'!I118</f>
        <v>0</v>
      </c>
      <c r="M151" s="95">
        <f t="shared" si="26"/>
        <v>0</v>
      </c>
      <c r="N151" s="96" t="str">
        <f t="shared" si="27"/>
        <v/>
      </c>
      <c r="O151" s="78"/>
      <c r="P151" s="94"/>
      <c r="Q151" s="94"/>
      <c r="R151" s="95">
        <f t="shared" si="24"/>
        <v>0</v>
      </c>
      <c r="S151" s="96" t="str">
        <f t="shared" si="25"/>
        <v/>
      </c>
      <c r="T151" s="78"/>
      <c r="U151" s="78"/>
    </row>
    <row r="152" spans="1:21">
      <c r="A152" s="76">
        <v>739</v>
      </c>
      <c r="B152" s="93" t="str">
        <f>VLOOKUP($A152&amp;B$1,TEXTDF,SPRCODE+1,FALSE)</f>
        <v>Zuweisung an den Überschussfonds</v>
      </c>
      <c r="C152" s="93"/>
      <c r="D152" s="93"/>
      <c r="E152" s="93"/>
      <c r="F152" s="94">
        <f t="shared" si="20"/>
        <v>0</v>
      </c>
      <c r="G152" s="94">
        <f t="shared" si="21"/>
        <v>0</v>
      </c>
      <c r="H152" s="95">
        <f t="shared" si="22"/>
        <v>0</v>
      </c>
      <c r="I152" s="96" t="str">
        <f t="shared" si="23"/>
        <v/>
      </c>
      <c r="J152" s="78"/>
      <c r="K152" s="94">
        <f>-'TECHN ZERLEGUNG'!H122</f>
        <v>0</v>
      </c>
      <c r="L152" s="94">
        <f>-'TECHN ZERLEGUNG'!I122</f>
        <v>0</v>
      </c>
      <c r="M152" s="95">
        <f t="shared" si="26"/>
        <v>0</v>
      </c>
      <c r="N152" s="96" t="str">
        <f t="shared" si="27"/>
        <v/>
      </c>
      <c r="O152" s="78"/>
      <c r="P152" s="94">
        <f>-'TECHN ZERLEGUNG'!K122</f>
        <v>0</v>
      </c>
      <c r="Q152" s="94">
        <f>-'TECHN ZERLEGUNG'!L122</f>
        <v>0</v>
      </c>
      <c r="R152" s="95">
        <f t="shared" si="24"/>
        <v>0</v>
      </c>
      <c r="S152" s="96" t="str">
        <f t="shared" si="25"/>
        <v/>
      </c>
      <c r="T152" s="78"/>
      <c r="U152" s="78"/>
    </row>
    <row r="153" spans="1:21">
      <c r="A153" s="76">
        <v>740</v>
      </c>
      <c r="B153" s="88" t="str">
        <f>VLOOKUP($A153&amp;B$1,TEXTDF,SPRCODE+1,FALSE)</f>
        <v>Ergebnis der Betriebsrechnung</v>
      </c>
      <c r="C153" s="88"/>
      <c r="D153" s="88"/>
      <c r="E153" s="88"/>
      <c r="F153" s="89">
        <f>+K153+P153</f>
        <v>0</v>
      </c>
      <c r="G153" s="89">
        <f>+L153+Q153</f>
        <v>0</v>
      </c>
      <c r="H153" s="90">
        <f t="shared" si="22"/>
        <v>0</v>
      </c>
      <c r="I153" s="91" t="str">
        <f t="shared" si="23"/>
        <v/>
      </c>
      <c r="J153" s="78"/>
      <c r="K153" s="89">
        <f>+SUBTOTAL(9,K127:K152)</f>
        <v>0</v>
      </c>
      <c r="L153" s="89">
        <f>+SUBTOTAL(9,L127:L152)</f>
        <v>0</v>
      </c>
      <c r="M153" s="90">
        <f t="shared" si="26"/>
        <v>0</v>
      </c>
      <c r="N153" s="91" t="str">
        <f t="shared" si="27"/>
        <v/>
      </c>
      <c r="O153" s="78"/>
      <c r="P153" s="89">
        <f>+SUBTOTAL(9,P127:P152)</f>
        <v>0</v>
      </c>
      <c r="Q153" s="89">
        <f>+SUBTOTAL(9,Q127:Q152)</f>
        <v>0</v>
      </c>
      <c r="R153" s="90">
        <f t="shared" si="24"/>
        <v>0</v>
      </c>
      <c r="S153" s="91" t="str">
        <f t="shared" si="25"/>
        <v/>
      </c>
      <c r="T153" s="78"/>
      <c r="U153" s="78"/>
    </row>
    <row r="154" spans="1:21" ht="6" customHeight="1">
      <c r="A154" s="76"/>
      <c r="B154" s="130"/>
      <c r="C154" s="130"/>
      <c r="D154" s="130"/>
      <c r="E154" s="130"/>
      <c r="F154" s="131"/>
      <c r="G154" s="131"/>
      <c r="H154" s="132"/>
      <c r="I154" s="133"/>
      <c r="J154" s="78"/>
      <c r="K154" s="131"/>
      <c r="L154" s="131"/>
      <c r="M154" s="132"/>
      <c r="N154" s="133"/>
      <c r="O154" s="78"/>
      <c r="P154" s="131"/>
      <c r="Q154" s="131"/>
      <c r="R154" s="132"/>
      <c r="S154" s="133"/>
      <c r="T154" s="97"/>
      <c r="U154" s="97"/>
    </row>
    <row r="155" spans="1:21">
      <c r="A155" s="76">
        <v>741</v>
      </c>
      <c r="B155" s="88" t="str">
        <f>VLOOKUP($A155&amp;B$1,TEXTDF,SPRCODE+1,FALSE)</f>
        <v>Ausschüttungsquote</v>
      </c>
      <c r="C155" s="88"/>
      <c r="D155" s="88"/>
      <c r="E155" s="88"/>
      <c r="F155" s="134" t="str">
        <f>+IFERROR((-F131-F136-F151-F152)/F127,"")</f>
        <v/>
      </c>
      <c r="G155" s="134" t="str">
        <f>+IFERROR((-G131-G136-G151-G152)/G127,"")</f>
        <v/>
      </c>
      <c r="H155" s="90"/>
      <c r="I155" s="91"/>
      <c r="J155" s="78"/>
      <c r="K155" s="134" t="str">
        <f>+IFERROR((-K131-K136-K151-K152)/K127,"")</f>
        <v/>
      </c>
      <c r="L155" s="134" t="str">
        <f>+IFERROR((-L131-L136-L151-L152)/L127,"")</f>
        <v/>
      </c>
      <c r="M155" s="90"/>
      <c r="N155" s="91"/>
      <c r="O155" s="78"/>
      <c r="P155" s="134" t="str">
        <f>+IFERROR((-P131-P136-P151-P152)/P127,"")</f>
        <v/>
      </c>
      <c r="Q155" s="134" t="str">
        <f>+IFERROR((-Q131-Q136-Q151-Q152)/Q127,"")</f>
        <v/>
      </c>
      <c r="R155" s="90"/>
      <c r="S155" s="91"/>
      <c r="T155" s="78"/>
      <c r="U155" s="78"/>
    </row>
    <row r="156" spans="1:21">
      <c r="A156" s="76">
        <v>742</v>
      </c>
      <c r="B156" s="88" t="str">
        <f>VLOOKUP($A156&amp;B$1,TEXTDF,SPRCODE+1,FALSE)</f>
        <v>Mindestquote</v>
      </c>
      <c r="C156" s="88"/>
      <c r="D156" s="88"/>
      <c r="E156" s="88"/>
      <c r="F156" s="89"/>
      <c r="G156" s="89"/>
      <c r="H156" s="90"/>
      <c r="I156" s="91"/>
      <c r="J156" s="78"/>
      <c r="K156" s="135">
        <v>0.9</v>
      </c>
      <c r="L156" s="135">
        <v>0.9</v>
      </c>
      <c r="M156" s="90"/>
      <c r="N156" s="91"/>
      <c r="O156" s="78"/>
      <c r="P156" s="89"/>
      <c r="Q156" s="89"/>
      <c r="R156" s="90"/>
      <c r="S156" s="91"/>
      <c r="T156" s="78"/>
      <c r="U156" s="78"/>
    </row>
    <row r="157" spans="1:21">
      <c r="A157" s="76"/>
      <c r="B157" s="80"/>
      <c r="C157" s="78"/>
      <c r="D157" s="78"/>
      <c r="E157" s="78"/>
      <c r="F157" s="111"/>
      <c r="G157" s="111"/>
      <c r="H157" s="119"/>
      <c r="I157" s="120"/>
      <c r="J157" s="78"/>
      <c r="K157" s="111"/>
      <c r="L157" s="111"/>
      <c r="M157" s="78"/>
      <c r="N157" s="78"/>
      <c r="O157" s="78"/>
      <c r="P157" s="78"/>
      <c r="Q157" s="78"/>
      <c r="R157" s="78"/>
      <c r="S157" s="78"/>
      <c r="T157" s="78"/>
      <c r="U157" s="78"/>
    </row>
    <row r="158" spans="1:21" ht="15.75">
      <c r="A158" s="76">
        <v>743</v>
      </c>
      <c r="B158" s="82" t="str">
        <f>VLOOKUP($A158&amp;B$1,TEXTDF,SPRCODE+1,FALSE)</f>
        <v>IV.  Weitere Kennzahlen</v>
      </c>
      <c r="C158" s="83"/>
      <c r="D158" s="83"/>
      <c r="E158" s="83"/>
      <c r="F158" s="84" t="str">
        <f>+F125</f>
        <v>Total BV</v>
      </c>
      <c r="G158" s="84" t="str">
        <f>+G125</f>
        <v>Total BV</v>
      </c>
      <c r="H158" s="85" t="str">
        <f>+H125</f>
        <v>Total BV</v>
      </c>
      <c r="I158" s="85" t="str">
        <f>+I125</f>
        <v>Total BV</v>
      </c>
      <c r="J158" s="83"/>
      <c r="K158" s="84"/>
      <c r="L158" s="84"/>
      <c r="M158" s="85"/>
      <c r="N158" s="85"/>
      <c r="O158" s="83"/>
      <c r="P158" s="84"/>
      <c r="Q158" s="84"/>
      <c r="R158" s="85"/>
      <c r="S158" s="85"/>
      <c r="T158" s="86"/>
      <c r="U158" s="86"/>
    </row>
    <row r="159" spans="1:21">
      <c r="A159" s="76"/>
      <c r="B159" s="78"/>
      <c r="C159" s="78"/>
      <c r="D159" s="78"/>
      <c r="E159" s="78"/>
      <c r="F159" s="111"/>
      <c r="G159" s="111"/>
      <c r="H159" s="119"/>
      <c r="I159" s="120"/>
      <c r="J159" s="78"/>
      <c r="K159" s="113" t="str">
        <f>+K125</f>
        <v>MQ</v>
      </c>
      <c r="L159" s="113" t="str">
        <f>+L125</f>
        <v>MQ</v>
      </c>
      <c r="M159" s="136" t="str">
        <f>+M125</f>
        <v>MQ</v>
      </c>
      <c r="N159" s="136" t="str">
        <f>+N125</f>
        <v>MQ</v>
      </c>
      <c r="O159" s="78"/>
      <c r="P159" s="137" t="str">
        <f>+P125</f>
        <v>nMQ</v>
      </c>
      <c r="Q159" s="137" t="str">
        <f>+Q125</f>
        <v>nMQ</v>
      </c>
      <c r="R159" s="136" t="str">
        <f>+R125</f>
        <v>nMQ</v>
      </c>
      <c r="S159" s="136" t="str">
        <f>+S125</f>
        <v>nMQ</v>
      </c>
      <c r="T159" s="78"/>
      <c r="U159" s="78"/>
    </row>
    <row r="160" spans="1:21">
      <c r="A160" s="76"/>
      <c r="B160" s="78"/>
      <c r="C160" s="78"/>
      <c r="D160" s="78"/>
      <c r="E160" s="78"/>
      <c r="F160" s="80">
        <f>+jahr</f>
        <v>2023</v>
      </c>
      <c r="G160" s="80">
        <f>+F160-1</f>
        <v>2022</v>
      </c>
      <c r="H160" s="109" t="s">
        <v>3208</v>
      </c>
      <c r="I160" s="110" t="s">
        <v>3209</v>
      </c>
      <c r="J160" s="78"/>
      <c r="K160" s="80">
        <f>+jahr</f>
        <v>2023</v>
      </c>
      <c r="L160" s="80">
        <f>+K160-1</f>
        <v>2022</v>
      </c>
      <c r="M160" s="109" t="s">
        <v>3208</v>
      </c>
      <c r="N160" s="110" t="s">
        <v>3209</v>
      </c>
      <c r="O160" s="78"/>
      <c r="P160" s="80">
        <f>+jahr</f>
        <v>2023</v>
      </c>
      <c r="Q160" s="80">
        <f>+P160-1</f>
        <v>2022</v>
      </c>
      <c r="R160" s="109" t="s">
        <v>3208</v>
      </c>
      <c r="S160" s="110" t="s">
        <v>3209</v>
      </c>
      <c r="T160" s="78"/>
      <c r="U160" s="78"/>
    </row>
    <row r="161" spans="1:21">
      <c r="A161" s="76">
        <v>744</v>
      </c>
      <c r="B161" s="88" t="str">
        <f>VLOOKUP($A161&amp;B$1,TEXTDF,SPRCODE+1,FALSE)</f>
        <v>Überschussfonds</v>
      </c>
      <c r="C161" s="88"/>
      <c r="D161" s="88"/>
      <c r="E161" s="88"/>
      <c r="F161" s="89">
        <f>+SUBTOTAL(9,F162:F163)</f>
        <v>0</v>
      </c>
      <c r="G161" s="89">
        <f>+SUBTOTAL(9,G162:G163)</f>
        <v>0</v>
      </c>
      <c r="H161" s="90">
        <f>+IFERROR(F161-G161,"")</f>
        <v>0</v>
      </c>
      <c r="I161" s="91" t="str">
        <f>+IFERROR(F161/G161-1,"")</f>
        <v/>
      </c>
      <c r="J161" s="78"/>
      <c r="K161" s="89">
        <f>+'TECHN ZERLEGUNG'!H143</f>
        <v>0</v>
      </c>
      <c r="L161" s="89">
        <f>+'TECHN ZERLEGUNG'!I143</f>
        <v>0</v>
      </c>
      <c r="M161" s="90">
        <f>+IFERROR(K161-L161,"")</f>
        <v>0</v>
      </c>
      <c r="N161" s="91" t="str">
        <f>+IFERROR(K161/L161-1,"")</f>
        <v/>
      </c>
      <c r="O161" s="78"/>
      <c r="P161" s="89">
        <f>+'TECHN ZERLEGUNG'!K143</f>
        <v>0</v>
      </c>
      <c r="Q161" s="89">
        <f>+'TECHN ZERLEGUNG'!L143</f>
        <v>0</v>
      </c>
      <c r="R161" s="90">
        <f>+IFERROR(P161-Q161,"")</f>
        <v>0</v>
      </c>
      <c r="S161" s="91" t="str">
        <f>+IFERROR(P161/Q161-1,"")</f>
        <v/>
      </c>
      <c r="T161" s="78"/>
      <c r="U161" s="78"/>
    </row>
    <row r="162" spans="1:21">
      <c r="A162" s="76">
        <v>745</v>
      </c>
      <c r="B162" s="78"/>
      <c r="C162" s="112" t="str">
        <f>VLOOKUP($A162&amp;C$1,TEXTDF,SPRCODE+1,FALSE)</f>
        <v>gebundener Teil</v>
      </c>
      <c r="D162" s="78"/>
      <c r="E162" s="78"/>
      <c r="F162" s="111">
        <f>+BILANZ!F77</f>
        <v>0</v>
      </c>
      <c r="G162" s="111">
        <f>+BILANZ!G77</f>
        <v>0</v>
      </c>
      <c r="H162" s="124">
        <f>+IFERROR(F162-G162,"")</f>
        <v>0</v>
      </c>
      <c r="I162" s="125" t="str">
        <f>+IFERROR(F162/G162-1,"")</f>
        <v/>
      </c>
      <c r="J162" s="78"/>
      <c r="K162" s="111"/>
      <c r="L162" s="111"/>
      <c r="M162" s="78"/>
      <c r="N162" s="78"/>
      <c r="O162" s="78"/>
      <c r="P162" s="78"/>
      <c r="Q162" s="78"/>
      <c r="R162" s="78"/>
      <c r="S162" s="78"/>
      <c r="T162" s="78"/>
      <c r="U162" s="78"/>
    </row>
    <row r="163" spans="1:21">
      <c r="A163" s="76">
        <v>746</v>
      </c>
      <c r="B163" s="78"/>
      <c r="C163" s="112" t="str">
        <f>VLOOKUP($A163&amp;C$1,TEXTDF,SPRCODE+1,FALSE)</f>
        <v>freier Teil</v>
      </c>
      <c r="D163" s="78"/>
      <c r="E163" s="78"/>
      <c r="F163" s="111">
        <f>+BILANZ!F78</f>
        <v>0</v>
      </c>
      <c r="G163" s="111">
        <f>+BILANZ!G78</f>
        <v>0</v>
      </c>
      <c r="H163" s="124">
        <f>+IFERROR(F163-G163,"")</f>
        <v>0</v>
      </c>
      <c r="I163" s="125" t="str">
        <f>+IFERROR(F163/G163-1,"")</f>
        <v/>
      </c>
      <c r="J163" s="78"/>
      <c r="K163" s="111"/>
      <c r="L163" s="111"/>
      <c r="M163" s="78"/>
      <c r="N163" s="78"/>
      <c r="O163" s="78"/>
      <c r="P163" s="78"/>
      <c r="Q163" s="78"/>
      <c r="R163" s="78"/>
      <c r="S163" s="78"/>
      <c r="T163" s="78"/>
      <c r="U163" s="78"/>
    </row>
    <row r="164" spans="1:21">
      <c r="A164" s="76"/>
      <c r="B164" s="78"/>
      <c r="C164" s="78"/>
      <c r="D164" s="78"/>
      <c r="E164" s="78"/>
      <c r="F164" s="111"/>
      <c r="G164" s="111"/>
      <c r="H164" s="124"/>
      <c r="I164" s="125"/>
      <c r="J164" s="78"/>
      <c r="K164" s="111"/>
      <c r="L164" s="111"/>
      <c r="M164" s="78"/>
      <c r="N164" s="78"/>
      <c r="O164" s="78"/>
      <c r="P164" s="78"/>
      <c r="Q164" s="78"/>
      <c r="R164" s="78"/>
      <c r="S164" s="78"/>
      <c r="T164" s="78"/>
      <c r="U164" s="78"/>
    </row>
    <row r="165" spans="1:21">
      <c r="A165" s="76"/>
      <c r="B165" s="78"/>
      <c r="C165" s="78"/>
      <c r="D165" s="78"/>
      <c r="E165" s="78"/>
      <c r="F165" s="80">
        <f>+jahr</f>
        <v>2023</v>
      </c>
      <c r="G165" s="80">
        <f>+F165-1</f>
        <v>2022</v>
      </c>
      <c r="H165" s="109" t="s">
        <v>3208</v>
      </c>
      <c r="I165" s="110" t="s">
        <v>3209</v>
      </c>
      <c r="J165" s="78"/>
      <c r="K165" s="111"/>
      <c r="L165" s="111"/>
      <c r="M165" s="78"/>
      <c r="N165" s="78"/>
      <c r="O165" s="78"/>
      <c r="P165" s="78"/>
      <c r="Q165" s="78"/>
      <c r="R165" s="78"/>
      <c r="S165" s="78"/>
      <c r="T165" s="78"/>
      <c r="U165" s="78"/>
    </row>
    <row r="166" spans="1:21">
      <c r="A166" s="76">
        <v>747</v>
      </c>
      <c r="B166" s="88" t="str">
        <f>VLOOKUP($A166&amp;B$1,TEXTDF,SPRCODE+1,FALSE)</f>
        <v>Nettokapitalerträge</v>
      </c>
      <c r="C166" s="88"/>
      <c r="D166" s="88"/>
      <c r="E166" s="88"/>
      <c r="F166" s="89">
        <f>+F21</f>
        <v>0</v>
      </c>
      <c r="G166" s="89">
        <f>+G21</f>
        <v>0</v>
      </c>
      <c r="H166" s="90">
        <f>+IFERROR(F166-G166,"")</f>
        <v>0</v>
      </c>
      <c r="I166" s="91" t="str">
        <f>+IFERROR(F166/G166-1,"")</f>
        <v/>
      </c>
      <c r="J166" s="78"/>
      <c r="K166" s="111"/>
      <c r="L166" s="111"/>
      <c r="M166" s="78"/>
      <c r="N166" s="78"/>
      <c r="O166" s="78"/>
      <c r="P166" s="78"/>
      <c r="Q166" s="78"/>
      <c r="R166" s="78"/>
      <c r="S166" s="78"/>
      <c r="T166" s="78"/>
      <c r="U166" s="78"/>
    </row>
    <row r="167" spans="1:21">
      <c r="A167" s="76">
        <v>748</v>
      </c>
      <c r="B167" s="112"/>
      <c r="C167" s="112" t="str">
        <f>VLOOKUP($A167&amp;C$1,TEXTDF,SPRCODE+1,FALSE)</f>
        <v>Bruttokapitalerträge</v>
      </c>
      <c r="D167" s="78"/>
      <c r="E167" s="78"/>
      <c r="F167" s="111">
        <f>+F166-F168</f>
        <v>0</v>
      </c>
      <c r="G167" s="111">
        <f>+G166-G168</f>
        <v>0</v>
      </c>
      <c r="H167" s="124">
        <f>+IFERROR(F167-G167,"")</f>
        <v>0</v>
      </c>
      <c r="I167" s="125" t="str">
        <f>+IFERROR(F167/G167-1,"")</f>
        <v/>
      </c>
      <c r="J167" s="78"/>
      <c r="K167" s="111"/>
      <c r="L167" s="111"/>
      <c r="M167" s="78"/>
      <c r="N167" s="78"/>
      <c r="O167" s="78"/>
      <c r="P167" s="78"/>
      <c r="Q167" s="78"/>
      <c r="R167" s="78"/>
      <c r="S167" s="78"/>
      <c r="T167" s="78"/>
      <c r="U167" s="78"/>
    </row>
    <row r="168" spans="1:21">
      <c r="A168" s="76">
        <v>749</v>
      </c>
      <c r="B168" s="112"/>
      <c r="C168" s="112" t="str">
        <f>VLOOKUP($A168&amp;C$1,TEXTDF,SPRCODE+1,FALSE)</f>
        <v>Vermögensverwaltungskosten</v>
      </c>
      <c r="D168" s="78"/>
      <c r="E168" s="78"/>
      <c r="F168" s="111">
        <f>+F33</f>
        <v>0</v>
      </c>
      <c r="G168" s="111">
        <f>+G33</f>
        <v>0</v>
      </c>
      <c r="H168" s="124">
        <f>+IFERROR(F168-G168,"")</f>
        <v>0</v>
      </c>
      <c r="I168" s="125" t="str">
        <f>+IFERROR(F168/G168-1,"")</f>
        <v/>
      </c>
      <c r="J168" s="78"/>
      <c r="K168" s="111"/>
      <c r="L168" s="111"/>
      <c r="M168" s="78"/>
      <c r="N168" s="78"/>
      <c r="O168" s="78"/>
      <c r="P168" s="78"/>
      <c r="Q168" s="78"/>
      <c r="R168" s="78"/>
      <c r="S168" s="78"/>
      <c r="T168" s="78"/>
      <c r="U168" s="78"/>
    </row>
    <row r="169" spans="1:21">
      <c r="A169" s="76"/>
      <c r="B169" s="78"/>
      <c r="C169" s="78"/>
      <c r="D169" s="78"/>
      <c r="E169" s="78"/>
      <c r="F169" s="111"/>
      <c r="G169" s="111"/>
      <c r="H169" s="124"/>
      <c r="I169" s="125"/>
      <c r="J169" s="78"/>
      <c r="K169" s="111"/>
      <c r="L169" s="111"/>
      <c r="M169" s="78"/>
      <c r="N169" s="78"/>
      <c r="O169" s="78"/>
      <c r="P169" s="78"/>
      <c r="Q169" s="78"/>
      <c r="R169" s="78"/>
      <c r="S169" s="78"/>
      <c r="T169" s="112"/>
      <c r="U169" s="78"/>
    </row>
    <row r="170" spans="1:21">
      <c r="A170" s="76">
        <v>750</v>
      </c>
      <c r="B170" s="88" t="str">
        <f>VLOOKUP($A170&amp;B$1,TEXTDF,SPRCODE+1,FALSE)</f>
        <v>Kapitalanlagen und stille Reserven</v>
      </c>
      <c r="C170" s="88"/>
      <c r="D170" s="88"/>
      <c r="E170" s="88"/>
      <c r="F170" s="138">
        <f>+jahr</f>
        <v>2023</v>
      </c>
      <c r="G170" s="138">
        <f>+F170-1</f>
        <v>2022</v>
      </c>
      <c r="H170" s="139" t="s">
        <v>3208</v>
      </c>
      <c r="I170" s="140" t="s">
        <v>3209</v>
      </c>
      <c r="J170" s="78"/>
      <c r="K170" s="78"/>
      <c r="L170" s="111"/>
      <c r="M170" s="78"/>
      <c r="N170" s="78"/>
      <c r="O170" s="78"/>
      <c r="P170" s="78"/>
      <c r="Q170" s="78"/>
      <c r="R170" s="78"/>
      <c r="S170" s="78"/>
      <c r="T170" s="112"/>
      <c r="U170" s="138">
        <f>+G170-1</f>
        <v>2021</v>
      </c>
    </row>
    <row r="171" spans="1:21">
      <c r="A171" s="76">
        <v>751</v>
      </c>
      <c r="B171" s="112" t="str">
        <f>VLOOKUP($A171&amp;B$1,TEXTDF,SPRCODE+1,FALSE)</f>
        <v>Buchwert der Kapitalanlagen</v>
      </c>
      <c r="C171" s="78"/>
      <c r="D171" s="78"/>
      <c r="E171" s="78"/>
      <c r="F171" s="111">
        <f>+BEWERTUNGSRESERVEN!D19</f>
        <v>0</v>
      </c>
      <c r="G171" s="111">
        <f>+BEWERTUNGSRESERVEN!H19</f>
        <v>0</v>
      </c>
      <c r="H171" s="124">
        <f>+IFERROR(F171-G171,"")</f>
        <v>0</v>
      </c>
      <c r="I171" s="125" t="str">
        <f>+IFERROR(F171/G171-1,"")</f>
        <v/>
      </c>
      <c r="J171" s="78"/>
      <c r="K171" s="78"/>
      <c r="L171" s="111"/>
      <c r="M171" s="78"/>
      <c r="N171" s="78"/>
      <c r="O171" s="78"/>
      <c r="P171" s="78"/>
      <c r="Q171" s="78"/>
      <c r="R171" s="78"/>
      <c r="S171" s="78"/>
      <c r="T171" s="78"/>
      <c r="U171" s="111">
        <f>+BEWERTUNGSRESERVEN!L19</f>
        <v>0</v>
      </c>
    </row>
    <row r="172" spans="1:21">
      <c r="A172" s="76">
        <v>752</v>
      </c>
      <c r="B172" s="112" t="str">
        <f>VLOOKUP($A172&amp;B$1,TEXTDF,SPRCODE+1,FALSE)</f>
        <v>Marktwert der Kapitalanlagen</v>
      </c>
      <c r="C172" s="78"/>
      <c r="D172" s="78"/>
      <c r="E172" s="78"/>
      <c r="F172" s="111">
        <f>+BEWERTUNGSRESERVEN!E19</f>
        <v>0</v>
      </c>
      <c r="G172" s="111">
        <f>+BEWERTUNGSRESERVEN!I19</f>
        <v>0</v>
      </c>
      <c r="H172" s="124">
        <f>+IFERROR(F172-G172,"")</f>
        <v>0</v>
      </c>
      <c r="I172" s="125" t="str">
        <f>+IFERROR(F172/G172-1,"")</f>
        <v/>
      </c>
      <c r="J172" s="78"/>
      <c r="K172" s="78"/>
      <c r="L172" s="111"/>
      <c r="M172" s="78"/>
      <c r="N172" s="78"/>
      <c r="O172" s="78"/>
      <c r="P172" s="78"/>
      <c r="Q172" s="78"/>
      <c r="R172" s="78"/>
      <c r="S172" s="78"/>
      <c r="T172" s="78"/>
      <c r="U172" s="111">
        <f>+BEWERTUNGSRESERVEN!M19</f>
        <v>0</v>
      </c>
    </row>
    <row r="173" spans="1:21">
      <c r="A173" s="76">
        <v>753</v>
      </c>
      <c r="B173" s="112" t="str">
        <f>VLOOKUP($A173&amp;B$1,TEXTDF,SPRCODE+1,FALSE)</f>
        <v>Stille Reserven</v>
      </c>
      <c r="C173" s="78"/>
      <c r="D173" s="78"/>
      <c r="E173" s="78"/>
      <c r="F173" s="111">
        <f>+F172-F171</f>
        <v>0</v>
      </c>
      <c r="G173" s="111">
        <f>+G172-G171</f>
        <v>0</v>
      </c>
      <c r="H173" s="124">
        <f>+IFERROR(F173-G173,"")</f>
        <v>0</v>
      </c>
      <c r="I173" s="125" t="str">
        <f>+IFERROR(F173/G173-1,"")</f>
        <v/>
      </c>
      <c r="J173" s="78"/>
      <c r="K173" s="78"/>
      <c r="L173" s="111"/>
      <c r="M173" s="78"/>
      <c r="N173" s="78"/>
      <c r="O173" s="78"/>
      <c r="P173" s="78"/>
      <c r="Q173" s="78"/>
      <c r="R173" s="78"/>
      <c r="S173" s="78"/>
      <c r="T173" s="78"/>
      <c r="U173" s="111">
        <f>+U172-U171</f>
        <v>0</v>
      </c>
    </row>
    <row r="174" spans="1:21">
      <c r="A174" s="76"/>
      <c r="B174" s="78"/>
      <c r="C174" s="78"/>
      <c r="D174" s="78"/>
      <c r="E174" s="78"/>
      <c r="F174" s="111"/>
      <c r="G174" s="111"/>
      <c r="H174" s="124"/>
      <c r="I174" s="125"/>
      <c r="J174" s="78"/>
      <c r="K174" s="111"/>
      <c r="L174" s="111"/>
      <c r="M174" s="78"/>
      <c r="N174" s="78"/>
      <c r="O174" s="78"/>
      <c r="P174" s="78"/>
      <c r="Q174" s="78"/>
      <c r="R174" s="78"/>
      <c r="S174" s="78"/>
      <c r="T174" s="78"/>
      <c r="U174" s="78"/>
    </row>
    <row r="175" spans="1:21">
      <c r="A175" s="76">
        <v>754</v>
      </c>
      <c r="B175" s="88" t="str">
        <f>VLOOKUP($A175&amp;B$1,TEXTDF,SPRCODE+1,FALSE)</f>
        <v>Rendite auf Buchwerten und Performance auf Marktwerten</v>
      </c>
      <c r="C175" s="88"/>
      <c r="D175" s="88"/>
      <c r="E175" s="88"/>
      <c r="F175" s="138">
        <f>+jahr</f>
        <v>2023</v>
      </c>
      <c r="G175" s="138">
        <f>+F175-1</f>
        <v>2022</v>
      </c>
      <c r="H175" s="139" t="s">
        <v>3208</v>
      </c>
      <c r="I175" s="140" t="s">
        <v>3209</v>
      </c>
      <c r="J175" s="78"/>
      <c r="K175" s="111"/>
      <c r="L175" s="111"/>
      <c r="M175" s="78"/>
      <c r="N175" s="78"/>
      <c r="O175" s="78"/>
      <c r="P175" s="78"/>
      <c r="Q175" s="78"/>
      <c r="R175" s="78"/>
      <c r="S175" s="78"/>
      <c r="T175" s="78"/>
      <c r="U175" s="78"/>
    </row>
    <row r="176" spans="1:21">
      <c r="A176" s="76">
        <v>755</v>
      </c>
      <c r="B176" s="112" t="str">
        <f>VLOOKUP($A176&amp;B$1,TEXTDF,SPRCODE+1,FALSE)</f>
        <v>Netto-Rendite auf Buchwerten</v>
      </c>
      <c r="C176" s="78"/>
      <c r="D176" s="78"/>
      <c r="E176" s="78"/>
      <c r="F176" s="141">
        <f>+IFERROR(F166/(0.5*(F171+G171)),0)</f>
        <v>0</v>
      </c>
      <c r="G176" s="141">
        <f>+IFERROR(G166/(0.5*(G171+U171)),0)</f>
        <v>0</v>
      </c>
      <c r="H176" s="142">
        <f>+IFERROR(F176-G176,"")</f>
        <v>0</v>
      </c>
      <c r="I176" s="125" t="str">
        <f>+IFERROR(F176/G176-1,"")</f>
        <v/>
      </c>
      <c r="J176" s="78"/>
      <c r="K176" s="111"/>
      <c r="L176" s="111"/>
      <c r="M176" s="78"/>
      <c r="N176" s="78"/>
      <c r="O176" s="78"/>
      <c r="P176" s="78"/>
      <c r="Q176" s="78"/>
      <c r="R176" s="78"/>
      <c r="S176" s="78"/>
      <c r="T176" s="78"/>
      <c r="U176" s="78"/>
    </row>
    <row r="177" spans="1:21">
      <c r="A177" s="76">
        <v>756</v>
      </c>
      <c r="B177" s="112" t="str">
        <f>VLOOKUP($A177&amp;B$1,TEXTDF,SPRCODE+1,FALSE)</f>
        <v>Netto-Performance auf Marktwerten</v>
      </c>
      <c r="C177" s="78"/>
      <c r="D177" s="78"/>
      <c r="E177" s="78"/>
      <c r="F177" s="141">
        <f>+IFERROR((F166+F173-G173)/(0.5*(F172+G172)),0)</f>
        <v>0</v>
      </c>
      <c r="G177" s="141">
        <f>+IFERROR((G166+G173-U173)/(0.5*(G172+U172)),0)</f>
        <v>0</v>
      </c>
      <c r="H177" s="142">
        <f>+IFERROR(F177-G177,"")</f>
        <v>0</v>
      </c>
      <c r="I177" s="125" t="str">
        <f>+IFERROR(F177/G177-1,"")</f>
        <v/>
      </c>
      <c r="J177" s="78"/>
      <c r="K177" s="111"/>
      <c r="L177" s="111"/>
      <c r="M177" s="78"/>
      <c r="N177" s="78"/>
      <c r="O177" s="78"/>
      <c r="P177" s="78"/>
      <c r="Q177" s="78"/>
      <c r="R177" s="78"/>
      <c r="S177" s="78"/>
      <c r="T177" s="78"/>
      <c r="U177" s="78"/>
    </row>
    <row r="178" spans="1:21">
      <c r="A178" s="76">
        <v>757</v>
      </c>
      <c r="B178" s="112" t="str">
        <f>VLOOKUP($A178&amp;B$1,TEXTDF,SPRCODE+1,FALSE)</f>
        <v>Brutto-Rendite auf Buchwerten</v>
      </c>
      <c r="C178" s="78"/>
      <c r="D178" s="78"/>
      <c r="E178" s="78"/>
      <c r="F178" s="141">
        <f>+IFERROR(F167/(0.5*(F171+G171)),0)</f>
        <v>0</v>
      </c>
      <c r="G178" s="141">
        <f>+IFERROR(G167/(0.5*(G171+U171)),0)</f>
        <v>0</v>
      </c>
      <c r="H178" s="142">
        <f>+IFERROR(F178-G178,"")</f>
        <v>0</v>
      </c>
      <c r="I178" s="125" t="str">
        <f>+IFERROR(F178/G178-1,"")</f>
        <v/>
      </c>
      <c r="J178" s="78"/>
      <c r="K178" s="111"/>
      <c r="L178" s="111"/>
      <c r="M178" s="78"/>
      <c r="N178" s="78"/>
      <c r="O178" s="78"/>
      <c r="P178" s="78"/>
      <c r="Q178" s="78"/>
      <c r="R178" s="78"/>
      <c r="S178" s="78"/>
      <c r="T178" s="78"/>
      <c r="U178" s="78"/>
    </row>
    <row r="179" spans="1:21">
      <c r="A179" s="76">
        <v>758</v>
      </c>
      <c r="B179" s="112" t="str">
        <f>VLOOKUP($A179&amp;B$1,TEXTDF,SPRCODE+1,FALSE)</f>
        <v>Brutto-Performance auf Marktwerten</v>
      </c>
      <c r="C179" s="78"/>
      <c r="D179" s="78"/>
      <c r="E179" s="78"/>
      <c r="F179" s="141">
        <f>+IFERROR((F167+F173-G173)/(0.5*(F172+G172)),0)</f>
        <v>0</v>
      </c>
      <c r="G179" s="141">
        <f>+IFERROR((G167+G173-U173)/(0.5*(G172+U172)),0)</f>
        <v>0</v>
      </c>
      <c r="H179" s="142">
        <f>+IFERROR(F179-G179,"")</f>
        <v>0</v>
      </c>
      <c r="I179" s="125" t="str">
        <f>+IFERROR(F179/G179-1,"")</f>
        <v/>
      </c>
      <c r="J179" s="78"/>
      <c r="K179" s="111"/>
      <c r="L179" s="111"/>
      <c r="M179" s="78"/>
      <c r="N179" s="78"/>
      <c r="O179" s="78"/>
      <c r="P179" s="78"/>
      <c r="Q179" s="78"/>
      <c r="R179" s="78"/>
      <c r="S179" s="78"/>
      <c r="T179" s="78"/>
      <c r="U179" s="78"/>
    </row>
    <row r="180" spans="1:21">
      <c r="A180" s="76"/>
      <c r="B180" s="78"/>
      <c r="C180" s="78"/>
      <c r="D180" s="78"/>
      <c r="E180" s="78"/>
      <c r="F180" s="111"/>
      <c r="G180" s="111"/>
      <c r="H180" s="124"/>
      <c r="I180" s="125"/>
      <c r="J180" s="78"/>
      <c r="K180" s="111"/>
      <c r="L180" s="111"/>
      <c r="M180" s="78"/>
      <c r="N180" s="78"/>
      <c r="O180" s="78"/>
      <c r="P180" s="78"/>
      <c r="Q180" s="78"/>
      <c r="R180" s="78"/>
      <c r="S180" s="78"/>
      <c r="T180" s="78"/>
      <c r="U180" s="78"/>
    </row>
    <row r="181" spans="1:21">
      <c r="A181" s="76">
        <v>759</v>
      </c>
      <c r="B181" s="88" t="str">
        <f t="shared" ref="B181:B190" si="29">VLOOKUP($A181&amp;B$1,TEXTDF,SPRCODE+1,FALSE)</f>
        <v>Zins- und Umwandlungssätze</v>
      </c>
      <c r="C181" s="88"/>
      <c r="D181" s="88"/>
      <c r="E181" s="88"/>
      <c r="F181" s="138">
        <f>+jahr</f>
        <v>2023</v>
      </c>
      <c r="G181" s="138">
        <f>+F181-1</f>
        <v>2022</v>
      </c>
      <c r="H181" s="139" t="s">
        <v>3208</v>
      </c>
      <c r="I181" s="140" t="s">
        <v>3209</v>
      </c>
      <c r="J181" s="78"/>
      <c r="K181" s="111"/>
      <c r="L181" s="111"/>
      <c r="M181" s="78"/>
      <c r="N181" s="78"/>
      <c r="O181" s="78"/>
      <c r="P181" s="78"/>
      <c r="Q181" s="78"/>
      <c r="R181" s="78"/>
      <c r="S181" s="78"/>
      <c r="T181" s="78"/>
      <c r="U181" s="78"/>
    </row>
    <row r="182" spans="1:21">
      <c r="A182" s="76">
        <v>760</v>
      </c>
      <c r="B182" s="78" t="str">
        <f t="shared" si="29"/>
        <v>Technischer Zinssatz für die Bewertung der Rentenverpflichtungen</v>
      </c>
      <c r="C182" s="78"/>
      <c r="D182" s="78"/>
      <c r="E182" s="78"/>
      <c r="F182" s="141">
        <f>+BESTANDESSTATISTIK!I218</f>
        <v>0</v>
      </c>
      <c r="G182" s="141">
        <f>+BESTANDESSTATISTIK!J218</f>
        <v>0</v>
      </c>
      <c r="H182" s="142">
        <f t="shared" ref="H182:H189" si="30">+IFERROR(F182-G182,"")</f>
        <v>0</v>
      </c>
      <c r="I182" s="125" t="str">
        <f t="shared" ref="I182:I189" si="31">+IFERROR(F182/G182-1,"")</f>
        <v/>
      </c>
      <c r="J182" s="78"/>
      <c r="K182" s="111"/>
      <c r="L182" s="111"/>
      <c r="M182" s="78"/>
      <c r="N182" s="78"/>
      <c r="O182" s="78"/>
      <c r="P182" s="78"/>
      <c r="Q182" s="78"/>
      <c r="R182" s="78"/>
      <c r="S182" s="78"/>
      <c r="T182" s="78"/>
      <c r="U182" s="78"/>
    </row>
    <row r="183" spans="1:21">
      <c r="A183" s="76" t="s">
        <v>3291</v>
      </c>
      <c r="B183" s="78" t="str">
        <f t="shared" si="29"/>
        <v>Zinssatz für die Verzinsung der obligatorischen Altersguthaben</v>
      </c>
      <c r="C183" s="78"/>
      <c r="D183" s="78"/>
      <c r="E183" s="78"/>
      <c r="F183" s="141">
        <f>+BESTANDESSTATISTIK!I213</f>
        <v>0</v>
      </c>
      <c r="G183" s="141">
        <f>+BESTANDESSTATISTIK!J213</f>
        <v>0</v>
      </c>
      <c r="H183" s="142">
        <f t="shared" ref="H183" si="32">+IFERROR(F183-G183,"")</f>
        <v>0</v>
      </c>
      <c r="I183" s="125" t="str">
        <f t="shared" ref="I183" si="33">+IFERROR(F183/G183-1,"")</f>
        <v/>
      </c>
      <c r="J183" s="78"/>
      <c r="K183" s="111"/>
      <c r="L183" s="111"/>
      <c r="M183" s="78"/>
      <c r="N183" s="78"/>
      <c r="O183" s="78"/>
      <c r="P183" s="78"/>
      <c r="Q183" s="78"/>
      <c r="R183" s="78"/>
      <c r="S183" s="78"/>
      <c r="T183" s="78"/>
      <c r="U183" s="78"/>
    </row>
    <row r="184" spans="1:21">
      <c r="A184" s="76">
        <v>761</v>
      </c>
      <c r="B184" s="78" t="str">
        <f t="shared" si="29"/>
        <v>Zinssatz für die Verzinsung der überobligatorischen Altersguthaben</v>
      </c>
      <c r="C184" s="78"/>
      <c r="D184" s="78"/>
      <c r="E184" s="78"/>
      <c r="F184" s="141">
        <f>+BESTANDESSTATISTIK!I215</f>
        <v>0</v>
      </c>
      <c r="G184" s="141">
        <f>+BESTANDESSTATISTIK!J215</f>
        <v>0</v>
      </c>
      <c r="H184" s="142">
        <f t="shared" si="30"/>
        <v>0</v>
      </c>
      <c r="I184" s="125" t="str">
        <f t="shared" si="31"/>
        <v/>
      </c>
      <c r="J184" s="78"/>
      <c r="K184" s="111"/>
      <c r="L184" s="111"/>
      <c r="M184" s="78"/>
      <c r="N184" s="78"/>
      <c r="O184" s="78"/>
      <c r="P184" s="78"/>
      <c r="Q184" s="78"/>
      <c r="R184" s="78"/>
      <c r="S184" s="78"/>
      <c r="T184" s="78"/>
      <c r="U184" s="78"/>
    </row>
    <row r="185" spans="1:21">
      <c r="A185" s="76" t="s">
        <v>3697</v>
      </c>
      <c r="B185" s="78" t="str">
        <f t="shared" si="29"/>
        <v>Obligatorischer BVG-Mindestzinssatz (Schattenrechnung)</v>
      </c>
      <c r="C185" s="78"/>
      <c r="D185" s="78"/>
      <c r="E185" s="78"/>
      <c r="F185" s="141">
        <f>+BESTANDESSTATISTIK!I217</f>
        <v>0.01</v>
      </c>
      <c r="G185" s="141">
        <f>+BESTANDESSTATISTIK!J217</f>
        <v>0.01</v>
      </c>
      <c r="H185" s="142">
        <f t="shared" ref="H185" si="34">+IFERROR(F185-G185,"")</f>
        <v>0</v>
      </c>
      <c r="I185" s="125">
        <f t="shared" ref="I185" si="35">+IFERROR(F185/G185-1,"")</f>
        <v>0</v>
      </c>
      <c r="J185" s="78"/>
      <c r="K185" s="111"/>
      <c r="L185" s="111"/>
      <c r="M185" s="78"/>
      <c r="N185" s="78"/>
      <c r="O185" s="78"/>
      <c r="P185" s="78"/>
      <c r="Q185" s="78"/>
      <c r="R185" s="78"/>
      <c r="S185" s="78"/>
      <c r="T185" s="78"/>
      <c r="U185" s="78"/>
    </row>
    <row r="186" spans="1:21">
      <c r="A186" s="76" t="s">
        <v>3292</v>
      </c>
      <c r="B186" s="78" t="str">
        <f t="shared" si="29"/>
        <v>Umwandlungssatz M65 für obligatorische Altersguthaben</v>
      </c>
      <c r="C186" s="78"/>
      <c r="D186" s="78"/>
      <c r="E186" s="78"/>
      <c r="F186" s="141">
        <f>+BESTANDESSTATISTIK!I220</f>
        <v>0</v>
      </c>
      <c r="G186" s="141">
        <f>+BESTANDESSTATISTIK!J220</f>
        <v>0</v>
      </c>
      <c r="H186" s="142">
        <f t="shared" ref="H186" si="36">+IFERROR(F186-G186,"")</f>
        <v>0</v>
      </c>
      <c r="I186" s="125" t="str">
        <f t="shared" ref="I186" si="37">+IFERROR(F186/G186-1,"")</f>
        <v/>
      </c>
      <c r="J186" s="78"/>
      <c r="K186" s="111"/>
      <c r="L186" s="111"/>
      <c r="M186" s="78"/>
      <c r="N186" s="78"/>
      <c r="O186" s="78"/>
      <c r="P186" s="78"/>
      <c r="Q186" s="78"/>
      <c r="R186" s="78"/>
      <c r="S186" s="78"/>
      <c r="T186" s="78"/>
      <c r="U186" s="78"/>
    </row>
    <row r="187" spans="1:21">
      <c r="A187" s="76">
        <v>762</v>
      </c>
      <c r="B187" s="78" t="str">
        <f t="shared" si="29"/>
        <v>Umwandlungssatz M65 für überobligatorische Altersguthaben</v>
      </c>
      <c r="C187" s="78"/>
      <c r="D187" s="78"/>
      <c r="E187" s="78"/>
      <c r="F187" s="141">
        <f>+BESTANDESSTATISTIK!I223</f>
        <v>0</v>
      </c>
      <c r="G187" s="141">
        <f>+BESTANDESSTATISTIK!J223</f>
        <v>0</v>
      </c>
      <c r="H187" s="142">
        <f t="shared" si="30"/>
        <v>0</v>
      </c>
      <c r="I187" s="125" t="str">
        <f t="shared" si="31"/>
        <v/>
      </c>
      <c r="J187" s="78"/>
      <c r="K187" s="111"/>
      <c r="L187" s="111"/>
      <c r="M187" s="78"/>
      <c r="N187" s="78"/>
      <c r="O187" s="78"/>
      <c r="P187" s="78"/>
      <c r="Q187" s="78"/>
      <c r="R187" s="78"/>
      <c r="S187" s="78"/>
      <c r="T187" s="78"/>
      <c r="U187" s="78"/>
    </row>
    <row r="188" spans="1:21">
      <c r="A188" s="76" t="s">
        <v>3293</v>
      </c>
      <c r="B188" s="78" t="str">
        <f t="shared" si="29"/>
        <v>Umwandlungssatz F64 für obligatorische Altersguthaben</v>
      </c>
      <c r="C188" s="78"/>
      <c r="D188" s="78"/>
      <c r="E188" s="78"/>
      <c r="F188" s="141">
        <f>+BESTANDESSTATISTIK!I221</f>
        <v>0</v>
      </c>
      <c r="G188" s="141">
        <f>+BESTANDESSTATISTIK!J221</f>
        <v>0</v>
      </c>
      <c r="H188" s="142">
        <f t="shared" ref="H188" si="38">+IFERROR(F188-G188,"")</f>
        <v>0</v>
      </c>
      <c r="I188" s="125" t="str">
        <f t="shared" ref="I188" si="39">+IFERROR(F188/G188-1,"")</f>
        <v/>
      </c>
      <c r="J188" s="78"/>
      <c r="K188" s="111"/>
      <c r="L188" s="111"/>
      <c r="M188" s="78"/>
      <c r="N188" s="78"/>
      <c r="O188" s="78"/>
      <c r="P188" s="78"/>
      <c r="Q188" s="78"/>
      <c r="R188" s="78"/>
      <c r="S188" s="78"/>
      <c r="T188" s="78"/>
      <c r="U188" s="78"/>
    </row>
    <row r="189" spans="1:21">
      <c r="A189" s="76">
        <v>763</v>
      </c>
      <c r="B189" s="78" t="str">
        <f t="shared" si="29"/>
        <v>Umwandlungssatz F64 für überobligatorische Altersguthaben</v>
      </c>
      <c r="C189" s="78"/>
      <c r="D189" s="78"/>
      <c r="E189" s="78"/>
      <c r="F189" s="141">
        <f>+BESTANDESSTATISTIK!I224</f>
        <v>0</v>
      </c>
      <c r="G189" s="141">
        <f>+BESTANDESSTATISTIK!J224</f>
        <v>0</v>
      </c>
      <c r="H189" s="142">
        <f t="shared" si="30"/>
        <v>0</v>
      </c>
      <c r="I189" s="125" t="str">
        <f t="shared" si="31"/>
        <v/>
      </c>
      <c r="J189" s="78"/>
      <c r="K189" s="111"/>
      <c r="L189" s="111"/>
      <c r="M189" s="78"/>
      <c r="N189" s="78"/>
      <c r="O189" s="78"/>
      <c r="P189" s="78"/>
      <c r="Q189" s="78"/>
      <c r="R189" s="78"/>
      <c r="S189" s="78"/>
      <c r="T189" s="78"/>
      <c r="U189" s="78"/>
    </row>
    <row r="190" spans="1:21">
      <c r="A190" s="76" t="s">
        <v>3710</v>
      </c>
      <c r="B190" s="78" t="str">
        <f t="shared" si="29"/>
        <v>Obligatorischer Rentenmindestumwandlungssatz M65/F64 (Schattenrechnung)</v>
      </c>
      <c r="C190" s="78"/>
      <c r="D190" s="78"/>
      <c r="E190" s="78"/>
      <c r="F190" s="141">
        <f>+BESTANDESSTATISTIK!I225</f>
        <v>6.8000000000000005E-2</v>
      </c>
      <c r="G190" s="141">
        <f>+BESTANDESSTATISTIK!J225</f>
        <v>6.8000000000000005E-2</v>
      </c>
      <c r="H190" s="142">
        <f t="shared" ref="H190" si="40">+IFERROR(F190-G190,"")</f>
        <v>0</v>
      </c>
      <c r="I190" s="125">
        <f t="shared" ref="I190" si="41">+IFERROR(F190/G190-1,"")</f>
        <v>0</v>
      </c>
      <c r="J190" s="78"/>
      <c r="K190" s="111"/>
      <c r="L190" s="111"/>
      <c r="M190" s="78"/>
      <c r="N190" s="78"/>
      <c r="O190" s="78"/>
      <c r="P190" s="78"/>
      <c r="Q190" s="78"/>
      <c r="R190" s="78"/>
      <c r="S190" s="78"/>
      <c r="T190" s="78"/>
      <c r="U190" s="78"/>
    </row>
    <row r="191" spans="1:21">
      <c r="A191" s="76"/>
      <c r="B191" s="78"/>
      <c r="C191" s="78"/>
      <c r="D191" s="78"/>
      <c r="E191" s="78"/>
      <c r="F191" s="111"/>
      <c r="G191" s="111"/>
      <c r="H191" s="124"/>
      <c r="I191" s="125"/>
      <c r="J191" s="78"/>
      <c r="K191" s="111"/>
      <c r="L191" s="111"/>
      <c r="M191" s="78"/>
      <c r="N191" s="78"/>
      <c r="O191" s="78"/>
      <c r="P191" s="78"/>
      <c r="Q191" s="78"/>
      <c r="R191" s="78"/>
      <c r="S191" s="78"/>
      <c r="T191" s="78"/>
      <c r="U191" s="78"/>
    </row>
    <row r="192" spans="1:21">
      <c r="A192" s="76"/>
      <c r="B192" s="78"/>
      <c r="C192" s="78"/>
      <c r="D192" s="78"/>
      <c r="E192" s="78"/>
      <c r="F192" s="80">
        <f>+jahr</f>
        <v>2023</v>
      </c>
      <c r="G192" s="80">
        <f>+F192-1</f>
        <v>2022</v>
      </c>
      <c r="H192" s="109" t="s">
        <v>3208</v>
      </c>
      <c r="I192" s="110" t="s">
        <v>3209</v>
      </c>
      <c r="J192" s="78"/>
      <c r="K192" s="111"/>
      <c r="L192" s="111"/>
      <c r="M192" s="78"/>
      <c r="N192" s="78"/>
      <c r="O192" s="78"/>
      <c r="P192" s="78"/>
      <c r="Q192" s="78"/>
      <c r="R192" s="78"/>
      <c r="S192" s="78"/>
      <c r="T192" s="78"/>
      <c r="U192" s="78"/>
    </row>
    <row r="193" spans="1:21">
      <c r="A193" s="76">
        <v>764</v>
      </c>
      <c r="B193" s="88" t="str">
        <f>VLOOKUP($A193&amp;B$1,TEXTDF,SPRCODE+1,FALSE)</f>
        <v>Anzahl Versicherte</v>
      </c>
      <c r="C193" s="88"/>
      <c r="D193" s="88"/>
      <c r="E193" s="88"/>
      <c r="F193" s="89">
        <f>+SUBTOTAL(9,F194:F198)</f>
        <v>0</v>
      </c>
      <c r="G193" s="89">
        <f>+SUBTOTAL(9,G194:G198)</f>
        <v>0</v>
      </c>
      <c r="H193" s="139">
        <f t="shared" ref="H193:H198" si="42">+IFERROR(F193-G193,"")</f>
        <v>0</v>
      </c>
      <c r="I193" s="140" t="str">
        <f t="shared" ref="I193:I198" si="43">+IFERROR(F193/G193-1,"")</f>
        <v/>
      </c>
      <c r="J193" s="78"/>
      <c r="K193" s="111"/>
      <c r="L193" s="111"/>
      <c r="M193" s="78"/>
      <c r="N193" s="78"/>
      <c r="O193" s="78"/>
      <c r="P193" s="78"/>
      <c r="Q193" s="78"/>
      <c r="R193" s="78"/>
      <c r="S193" s="78"/>
      <c r="T193" s="78"/>
      <c r="U193" s="78"/>
    </row>
    <row r="194" spans="1:21">
      <c r="A194" s="76">
        <v>765</v>
      </c>
      <c r="B194" s="78"/>
      <c r="C194" s="112" t="str">
        <f>VLOOKUP($A194&amp;C$1,TEXTDF,SPRCODE+1,FALSE)</f>
        <v>Anzahl aktive Versicherte</v>
      </c>
      <c r="D194" s="78"/>
      <c r="E194" s="78"/>
      <c r="F194" s="111">
        <f>+SUBTOTAL(9,F195:F196)</f>
        <v>0</v>
      </c>
      <c r="G194" s="111">
        <f>+SUBTOTAL(9,G195:G196)</f>
        <v>0</v>
      </c>
      <c r="H194" s="124">
        <f t="shared" si="42"/>
        <v>0</v>
      </c>
      <c r="I194" s="125" t="str">
        <f t="shared" si="43"/>
        <v/>
      </c>
      <c r="J194" s="78"/>
      <c r="K194" s="111"/>
      <c r="L194" s="111"/>
      <c r="M194" s="78"/>
      <c r="N194" s="78"/>
      <c r="O194" s="78"/>
      <c r="P194" s="78"/>
      <c r="Q194" s="78"/>
      <c r="R194" s="78"/>
      <c r="S194" s="78"/>
      <c r="T194" s="78"/>
      <c r="U194" s="78"/>
    </row>
    <row r="195" spans="1:21">
      <c r="A195" s="76">
        <v>766</v>
      </c>
      <c r="B195" s="78"/>
      <c r="C195" s="78"/>
      <c r="D195" s="105" t="str">
        <f>VLOOKUP($A195&amp;D$1,TEXTDF,SPRCODE+1,FALSE)</f>
        <v>Anzahl Vollversicherte</v>
      </c>
      <c r="E195" s="100"/>
      <c r="F195" s="101">
        <f>+BESTANDESSTATISTIK!I37</f>
        <v>0</v>
      </c>
      <c r="G195" s="101">
        <f>+BESTANDESSTATISTIK!J37</f>
        <v>0</v>
      </c>
      <c r="H195" s="102">
        <f t="shared" si="42"/>
        <v>0</v>
      </c>
      <c r="I195" s="114" t="str">
        <f t="shared" si="43"/>
        <v/>
      </c>
      <c r="J195" s="78"/>
      <c r="K195" s="161"/>
      <c r="L195" s="111"/>
      <c r="M195" s="78"/>
      <c r="N195" s="78"/>
      <c r="O195" s="78"/>
      <c r="P195" s="78"/>
      <c r="Q195" s="78"/>
      <c r="R195" s="78"/>
      <c r="S195" s="78"/>
      <c r="T195" s="78"/>
      <c r="U195" s="78"/>
    </row>
    <row r="196" spans="1:21">
      <c r="A196" s="76">
        <v>767</v>
      </c>
      <c r="B196" s="78"/>
      <c r="C196" s="78"/>
      <c r="D196" s="105" t="str">
        <f>VLOOKUP($A196&amp;D$1,TEXTDF,SPRCODE+1,FALSE)</f>
        <v>Anzahl übrige aktive Versicherte</v>
      </c>
      <c r="E196" s="100"/>
      <c r="F196" s="101">
        <f>+BESTANDESSTATISTIK!I20+BESTANDESSTATISTIK!I51+BESTANDESSTATISTIK!I62</f>
        <v>0</v>
      </c>
      <c r="G196" s="101">
        <f>+BESTANDESSTATISTIK!J20+BESTANDESSTATISTIK!J51+BESTANDESSTATISTIK!J62</f>
        <v>0</v>
      </c>
      <c r="H196" s="102">
        <f t="shared" si="42"/>
        <v>0</v>
      </c>
      <c r="I196" s="114" t="str">
        <f t="shared" si="43"/>
        <v/>
      </c>
      <c r="J196" s="78"/>
      <c r="K196" s="111"/>
      <c r="L196" s="111"/>
      <c r="M196" s="78"/>
      <c r="N196" s="78"/>
      <c r="O196" s="78"/>
      <c r="P196" s="78"/>
      <c r="Q196" s="78"/>
      <c r="R196" s="78"/>
      <c r="S196" s="78"/>
      <c r="T196" s="78"/>
      <c r="U196" s="78"/>
    </row>
    <row r="197" spans="1:21">
      <c r="A197" s="76">
        <v>768</v>
      </c>
      <c r="B197" s="78"/>
      <c r="C197" s="78" t="str">
        <f>VLOOKUP($A197&amp;C$1,TEXTDF,SPRCODE+1,FALSE)</f>
        <v>Anzahl Rentenbezüger</v>
      </c>
      <c r="D197" s="78"/>
      <c r="E197" s="78"/>
      <c r="F197" s="111">
        <f>+BESTANDESSTATISTIK!I38+BESTANDESSTATISTIK!I52+BESTANDESSTATISTIK!I63+BESTANDESSTATISTIK!I77</f>
        <v>0</v>
      </c>
      <c r="G197" s="111">
        <f>+BESTANDESSTATISTIK!J38+BESTANDESSTATISTIK!J52+BESTANDESSTATISTIK!J63+BESTANDESSTATISTIK!J77</f>
        <v>0</v>
      </c>
      <c r="H197" s="124">
        <f t="shared" si="42"/>
        <v>0</v>
      </c>
      <c r="I197" s="125" t="str">
        <f t="shared" si="43"/>
        <v/>
      </c>
      <c r="J197" s="78"/>
      <c r="K197" s="111"/>
      <c r="L197" s="111"/>
      <c r="M197" s="78"/>
      <c r="N197" s="78"/>
      <c r="O197" s="78"/>
      <c r="P197" s="78"/>
      <c r="Q197" s="78"/>
      <c r="R197" s="78"/>
      <c r="S197" s="78"/>
      <c r="T197" s="78"/>
      <c r="U197" s="78"/>
    </row>
    <row r="198" spans="1:21">
      <c r="A198" s="76">
        <v>769</v>
      </c>
      <c r="B198" s="78"/>
      <c r="C198" s="78" t="str">
        <f>VLOOKUP($A198&amp;C$1,TEXTDF,SPRCODE+1,FALSE)</f>
        <v>Anzahl Freizügigkeitspolicen</v>
      </c>
      <c r="D198" s="78"/>
      <c r="E198" s="78"/>
      <c r="F198" s="111">
        <f>+BESTANDESSTATISTIK!I21</f>
        <v>0</v>
      </c>
      <c r="G198" s="111">
        <f>+BESTANDESSTATISTIK!J21</f>
        <v>0</v>
      </c>
      <c r="H198" s="124">
        <f t="shared" si="42"/>
        <v>0</v>
      </c>
      <c r="I198" s="125" t="str">
        <f t="shared" si="43"/>
        <v/>
      </c>
      <c r="J198" s="78"/>
      <c r="K198" s="78"/>
      <c r="L198" s="78"/>
      <c r="M198" s="78"/>
      <c r="N198" s="78"/>
      <c r="O198" s="78"/>
      <c r="P198" s="78"/>
      <c r="Q198" s="78"/>
      <c r="R198" s="78"/>
      <c r="S198" s="78"/>
      <c r="T198" s="78"/>
      <c r="U198" s="78"/>
    </row>
    <row r="199" spans="1:21">
      <c r="A199" s="76"/>
      <c r="B199" s="78"/>
      <c r="C199" s="78"/>
      <c r="D199" s="78"/>
      <c r="E199" s="78"/>
      <c r="F199" s="111"/>
      <c r="G199" s="111"/>
      <c r="H199" s="124"/>
      <c r="I199" s="125"/>
      <c r="J199" s="78"/>
      <c r="K199" s="78"/>
      <c r="L199" s="78"/>
      <c r="M199" s="78"/>
      <c r="N199" s="78"/>
      <c r="O199" s="78"/>
      <c r="P199" s="78"/>
      <c r="Q199" s="78"/>
      <c r="R199" s="78"/>
      <c r="S199" s="78"/>
      <c r="T199" s="78"/>
      <c r="U199" s="78"/>
    </row>
    <row r="200" spans="1:21">
      <c r="A200" s="76">
        <v>770</v>
      </c>
      <c r="B200" s="78"/>
      <c r="C200" s="78"/>
      <c r="D200" s="78"/>
      <c r="E200" s="78"/>
      <c r="F200" s="78"/>
      <c r="G200" s="78"/>
      <c r="H200" s="79"/>
      <c r="I200" s="79"/>
      <c r="J200" s="78"/>
      <c r="K200" s="113" t="str">
        <f>VLOOKUP($A200&amp;K$1,TEXTDF,SPRCODE+1,FALSE)</f>
        <v>pro Kopf (CHF)</v>
      </c>
      <c r="L200" s="113" t="str">
        <f>+K200</f>
        <v>pro Kopf (CHF)</v>
      </c>
      <c r="M200" s="78"/>
      <c r="N200" s="78"/>
      <c r="O200" s="78"/>
      <c r="P200" s="78"/>
      <c r="Q200" s="78"/>
      <c r="R200" s="78"/>
      <c r="S200" s="78"/>
      <c r="T200" s="78"/>
      <c r="U200" s="78"/>
    </row>
    <row r="201" spans="1:21">
      <c r="A201" s="76">
        <v>771</v>
      </c>
      <c r="B201" s="88" t="str">
        <f>VLOOKUP($A201&amp;B$1,TEXTDF,SPRCODE+1,FALSE)</f>
        <v>Kostenprämien gegliedert nach Kostenträgern</v>
      </c>
      <c r="C201" s="88"/>
      <c r="D201" s="88"/>
      <c r="E201" s="88"/>
      <c r="F201" s="138">
        <f>+jahr</f>
        <v>2023</v>
      </c>
      <c r="G201" s="138">
        <f>+F201-1</f>
        <v>2022</v>
      </c>
      <c r="H201" s="139" t="s">
        <v>3208</v>
      </c>
      <c r="I201" s="140" t="s">
        <v>3209</v>
      </c>
      <c r="J201" s="78"/>
      <c r="K201" s="138">
        <f>+jahr</f>
        <v>2023</v>
      </c>
      <c r="L201" s="138">
        <f>+K201-1</f>
        <v>2022</v>
      </c>
      <c r="M201" s="139" t="s">
        <v>3208</v>
      </c>
      <c r="N201" s="140" t="s">
        <v>3209</v>
      </c>
      <c r="O201" s="78"/>
      <c r="P201" s="78"/>
      <c r="Q201" s="78"/>
      <c r="R201" s="78"/>
      <c r="S201" s="78"/>
      <c r="T201" s="78"/>
      <c r="U201" s="78"/>
    </row>
    <row r="202" spans="1:21">
      <c r="A202" s="76">
        <v>772</v>
      </c>
      <c r="B202" s="93" t="str">
        <f>VLOOKUP($A202&amp;B$1,TEXTDF,SPRCODE+1,FALSE)</f>
        <v>Total Kostenprämien</v>
      </c>
      <c r="C202" s="93"/>
      <c r="D202" s="93"/>
      <c r="E202" s="93"/>
      <c r="F202" s="94">
        <f>+SUBTOTAL(9,F203:F205)</f>
        <v>0</v>
      </c>
      <c r="G202" s="94">
        <f>+SUBTOTAL(9,G203:G205)</f>
        <v>0</v>
      </c>
      <c r="H202" s="95">
        <f>+IFERROR(F202-G202,"")</f>
        <v>0</v>
      </c>
      <c r="I202" s="96" t="str">
        <f>+IFERROR(F202/G202-1,"")</f>
        <v/>
      </c>
      <c r="J202" s="78"/>
      <c r="K202" s="94">
        <f>+IFERROR(F202*1000/F193,0)</f>
        <v>0</v>
      </c>
      <c r="L202" s="94">
        <f>+IFERROR(G202*1000/G193,0)</f>
        <v>0</v>
      </c>
      <c r="M202" s="95">
        <f>+IFERROR(K202-L202,"")</f>
        <v>0</v>
      </c>
      <c r="N202" s="96" t="str">
        <f>+IFERROR(K202/L202-1,"")</f>
        <v/>
      </c>
      <c r="O202" s="78"/>
      <c r="P202" s="78"/>
      <c r="Q202" s="78"/>
      <c r="R202" s="78"/>
      <c r="S202" s="78"/>
      <c r="T202" s="78"/>
      <c r="U202" s="78"/>
    </row>
    <row r="203" spans="1:21">
      <c r="A203" s="76">
        <v>773</v>
      </c>
      <c r="B203" s="78"/>
      <c r="C203" s="112" t="str">
        <f>VLOOKUP($A203&amp;C$1,TEXTDF,SPRCODE+1,FALSE)</f>
        <v>Kostenprämien aktive Versicherte</v>
      </c>
      <c r="D203" s="78"/>
      <c r="E203" s="78"/>
      <c r="F203" s="111">
        <f>+'TECHN ZERLEGUNG'!E51</f>
        <v>0</v>
      </c>
      <c r="G203" s="111">
        <f>+'TECHN ZERLEGUNG'!F51</f>
        <v>0</v>
      </c>
      <c r="H203" s="124">
        <f>+IFERROR(F203-G203,"")</f>
        <v>0</v>
      </c>
      <c r="I203" s="125" t="str">
        <f>+IFERROR(F203/G203-1,"")</f>
        <v/>
      </c>
      <c r="J203" s="78"/>
      <c r="K203" s="111">
        <f>+IFERROR(F203*1000/F194,0)</f>
        <v>0</v>
      </c>
      <c r="L203" s="111">
        <f>+IFERROR(G203*1000/G194,0)</f>
        <v>0</v>
      </c>
      <c r="M203" s="124">
        <f>+IFERROR(K203-L203,"")</f>
        <v>0</v>
      </c>
      <c r="N203" s="125" t="str">
        <f>+IFERROR(K203/L203-1,"")</f>
        <v/>
      </c>
      <c r="O203" s="78"/>
      <c r="P203" s="78"/>
      <c r="Q203" s="78"/>
      <c r="R203" s="78"/>
      <c r="S203" s="78"/>
      <c r="T203" s="78"/>
      <c r="U203" s="78"/>
    </row>
    <row r="204" spans="1:21">
      <c r="A204" s="76">
        <v>774</v>
      </c>
      <c r="B204" s="78"/>
      <c r="C204" s="112" t="str">
        <f>VLOOKUP($A204&amp;C$1,TEXTDF,SPRCODE+1,FALSE)</f>
        <v>Kostenprämien Freizügigkeitspolicen</v>
      </c>
      <c r="D204" s="78"/>
      <c r="E204" s="78"/>
      <c r="F204" s="111">
        <f>+'TECHN ZERLEGUNG'!E52</f>
        <v>0</v>
      </c>
      <c r="G204" s="111">
        <f>+'TECHN ZERLEGUNG'!F52</f>
        <v>0</v>
      </c>
      <c r="H204" s="124">
        <f>+IFERROR(F204-G204,"")</f>
        <v>0</v>
      </c>
      <c r="I204" s="125" t="str">
        <f>+IFERROR(F204/G204-1,"")</f>
        <v/>
      </c>
      <c r="J204" s="78"/>
      <c r="K204" s="111">
        <f>+IFERROR(F204*1000/F198,0)</f>
        <v>0</v>
      </c>
      <c r="L204" s="111">
        <f>+IFERROR(G204*1000/G198,0)</f>
        <v>0</v>
      </c>
      <c r="M204" s="124">
        <f>+IFERROR(K204-L204,"")</f>
        <v>0</v>
      </c>
      <c r="N204" s="125" t="str">
        <f>+IFERROR(K204/L204-1,"")</f>
        <v/>
      </c>
      <c r="O204" s="78"/>
      <c r="P204" s="78"/>
      <c r="Q204" s="78"/>
      <c r="R204" s="78"/>
      <c r="S204" s="78"/>
      <c r="T204" s="78"/>
      <c r="U204" s="78"/>
    </row>
    <row r="205" spans="1:21">
      <c r="A205" s="76">
        <v>775</v>
      </c>
      <c r="B205" s="78"/>
      <c r="C205" s="112" t="str">
        <f>VLOOKUP($A205&amp;C$1,TEXTDF,SPRCODE+1,FALSE)</f>
        <v>Übrige Kostenprämien</v>
      </c>
      <c r="D205" s="78"/>
      <c r="E205" s="78"/>
      <c r="F205" s="111">
        <f>+'TECHN ZERLEGUNG'!E53</f>
        <v>0</v>
      </c>
      <c r="G205" s="111">
        <f>+'TECHN ZERLEGUNG'!F53</f>
        <v>0</v>
      </c>
      <c r="H205" s="124">
        <f>+IFERROR(F205-G205,"")</f>
        <v>0</v>
      </c>
      <c r="I205" s="125" t="str">
        <f>+IFERROR(F205/G205-1,"")</f>
        <v/>
      </c>
      <c r="J205" s="78"/>
      <c r="K205" s="111"/>
      <c r="L205" s="111"/>
      <c r="M205" s="78"/>
      <c r="N205" s="78"/>
      <c r="O205" s="78"/>
      <c r="P205" s="78"/>
      <c r="Q205" s="78"/>
      <c r="R205" s="78"/>
      <c r="S205" s="78"/>
      <c r="T205" s="78"/>
      <c r="U205" s="78"/>
    </row>
    <row r="206" spans="1:21">
      <c r="A206" s="76"/>
      <c r="B206" s="78"/>
      <c r="C206" s="78"/>
      <c r="D206" s="78"/>
      <c r="E206" s="78"/>
      <c r="F206" s="111"/>
      <c r="G206" s="111"/>
      <c r="H206" s="124"/>
      <c r="I206" s="125"/>
      <c r="J206" s="78"/>
      <c r="K206" s="111"/>
      <c r="L206" s="111"/>
      <c r="M206" s="78"/>
      <c r="N206" s="78"/>
      <c r="O206" s="78"/>
      <c r="P206" s="78"/>
      <c r="Q206" s="78"/>
      <c r="R206" s="78"/>
      <c r="S206" s="78"/>
      <c r="T206" s="78"/>
      <c r="U206" s="78"/>
    </row>
    <row r="207" spans="1:21">
      <c r="A207" s="76"/>
      <c r="B207" s="78"/>
      <c r="C207" s="78"/>
      <c r="D207" s="78"/>
      <c r="E207" s="78"/>
      <c r="F207" s="111"/>
      <c r="G207" s="111"/>
      <c r="H207" s="124"/>
      <c r="I207" s="125"/>
      <c r="J207" s="78"/>
      <c r="K207" s="113" t="str">
        <f>+K200</f>
        <v>pro Kopf (CHF)</v>
      </c>
      <c r="L207" s="113" t="str">
        <f>+L200</f>
        <v>pro Kopf (CHF)</v>
      </c>
      <c r="M207" s="78"/>
      <c r="N207" s="78"/>
      <c r="O207" s="78"/>
      <c r="P207" s="78"/>
      <c r="Q207" s="78"/>
      <c r="R207" s="78"/>
      <c r="S207" s="78"/>
      <c r="T207" s="78"/>
      <c r="U207" s="78"/>
    </row>
    <row r="208" spans="1:21">
      <c r="A208" s="76">
        <v>776</v>
      </c>
      <c r="B208" s="88" t="str">
        <f>VLOOKUP($A208&amp;B$1,TEXTDF,SPRCODE+1,FALSE)</f>
        <v>Betriebsaufwand gegliedert nach Kostenträgern</v>
      </c>
      <c r="C208" s="88"/>
      <c r="D208" s="88"/>
      <c r="E208" s="88"/>
      <c r="F208" s="138">
        <f>+jahr</f>
        <v>2023</v>
      </c>
      <c r="G208" s="138">
        <f>+F208-1</f>
        <v>2022</v>
      </c>
      <c r="H208" s="139" t="s">
        <v>3208</v>
      </c>
      <c r="I208" s="140" t="s">
        <v>3209</v>
      </c>
      <c r="J208" s="78"/>
      <c r="K208" s="138">
        <f>+jahr</f>
        <v>2023</v>
      </c>
      <c r="L208" s="138">
        <f>+K208-1</f>
        <v>2022</v>
      </c>
      <c r="M208" s="139" t="s">
        <v>3208</v>
      </c>
      <c r="N208" s="140" t="s">
        <v>3209</v>
      </c>
      <c r="O208" s="78"/>
      <c r="P208" s="78"/>
      <c r="Q208" s="78"/>
      <c r="R208" s="78"/>
      <c r="S208" s="78"/>
      <c r="T208" s="78"/>
      <c r="U208" s="78"/>
    </row>
    <row r="209" spans="1:21">
      <c r="A209" s="76">
        <v>777</v>
      </c>
      <c r="B209" s="93" t="str">
        <f>VLOOKUP($A209&amp;B$1,TEXTDF,SPRCODE+1,FALSE)</f>
        <v>Total Betriebsaufwand</v>
      </c>
      <c r="C209" s="93"/>
      <c r="D209" s="93"/>
      <c r="E209" s="93"/>
      <c r="F209" s="94">
        <f>+SUBTOTAL(9,F210:F213)</f>
        <v>0</v>
      </c>
      <c r="G209" s="94">
        <f>+SUBTOTAL(9,G210:G213)</f>
        <v>0</v>
      </c>
      <c r="H209" s="95">
        <f>+IFERROR(F209-G209,"")</f>
        <v>0</v>
      </c>
      <c r="I209" s="96" t="str">
        <f>+IFERROR(F209/G209-1,"")</f>
        <v/>
      </c>
      <c r="J209" s="78"/>
      <c r="K209" s="94">
        <f>+IFERROR(F209*1000/F193,0)</f>
        <v>0</v>
      </c>
      <c r="L209" s="94">
        <f>+IFERROR(G209*1000/G193,0)</f>
        <v>0</v>
      </c>
      <c r="M209" s="95">
        <f>+IFERROR(K209-L209,"")</f>
        <v>0</v>
      </c>
      <c r="N209" s="96" t="str">
        <f>+IFERROR(K209/L209-1,"")</f>
        <v/>
      </c>
      <c r="O209" s="78"/>
      <c r="P209" s="78"/>
      <c r="Q209" s="78"/>
      <c r="R209" s="78"/>
      <c r="S209" s="78"/>
      <c r="T209" s="78"/>
      <c r="U209" s="78"/>
    </row>
    <row r="210" spans="1:21">
      <c r="A210" s="76">
        <v>778</v>
      </c>
      <c r="B210" s="78"/>
      <c r="C210" s="112" t="str">
        <f>VLOOKUP($A210&amp;C$1,TEXTDF,SPRCODE+1,FALSE)</f>
        <v>Betriebsaufwand aktive Versicherte</v>
      </c>
      <c r="D210" s="78"/>
      <c r="E210" s="78"/>
      <c r="F210" s="111">
        <f>+'TECHN ZERLEGUNG'!E64</f>
        <v>0</v>
      </c>
      <c r="G210" s="111">
        <f>+'TECHN ZERLEGUNG'!F64</f>
        <v>0</v>
      </c>
      <c r="H210" s="124">
        <f>+IFERROR(F210-G210,"")</f>
        <v>0</v>
      </c>
      <c r="I210" s="125" t="str">
        <f>+IFERROR(F210/G210-1,"")</f>
        <v/>
      </c>
      <c r="J210" s="78"/>
      <c r="K210" s="111">
        <f>+IFERROR(F210*1000/F194,0)</f>
        <v>0</v>
      </c>
      <c r="L210" s="111">
        <f>+IFERROR(G210*1000/G194,0)</f>
        <v>0</v>
      </c>
      <c r="M210" s="124">
        <f>+IFERROR(K210-L210,"")</f>
        <v>0</v>
      </c>
      <c r="N210" s="125" t="str">
        <f>+IFERROR(K210/L210-1,"")</f>
        <v/>
      </c>
      <c r="O210" s="78"/>
      <c r="P210" s="78"/>
      <c r="Q210" s="78"/>
      <c r="R210" s="78"/>
      <c r="S210" s="78"/>
      <c r="T210" s="78"/>
      <c r="U210" s="78"/>
    </row>
    <row r="211" spans="1:21">
      <c r="A211" s="76">
        <v>779</v>
      </c>
      <c r="B211" s="78"/>
      <c r="C211" s="112" t="str">
        <f>VLOOKUP($A211&amp;C$1,TEXTDF,SPRCODE+1,FALSE)</f>
        <v>Betriebsaufwand Rentenbezüger</v>
      </c>
      <c r="D211" s="78"/>
      <c r="E211" s="78"/>
      <c r="F211" s="111">
        <f>+'TECHN ZERLEGUNG'!E65</f>
        <v>0</v>
      </c>
      <c r="G211" s="111">
        <f>+'TECHN ZERLEGUNG'!F65</f>
        <v>0</v>
      </c>
      <c r="H211" s="124">
        <f>+IFERROR(F211-G211,"")</f>
        <v>0</v>
      </c>
      <c r="I211" s="125" t="str">
        <f>+IFERROR(F211/G211-1,"")</f>
        <v/>
      </c>
      <c r="J211" s="78"/>
      <c r="K211" s="111">
        <f>+IFERROR(F211*1000/F197,0)</f>
        <v>0</v>
      </c>
      <c r="L211" s="111">
        <f>+IFERROR(G211*1000/G197,0)</f>
        <v>0</v>
      </c>
      <c r="M211" s="124">
        <f>+IFERROR(K211-L211,"")</f>
        <v>0</v>
      </c>
      <c r="N211" s="125" t="str">
        <f>+IFERROR(K211/L211-1,"")</f>
        <v/>
      </c>
      <c r="O211" s="78"/>
      <c r="P211" s="78"/>
      <c r="Q211" s="78"/>
      <c r="R211" s="78"/>
      <c r="S211" s="78"/>
      <c r="T211" s="78"/>
      <c r="U211" s="78"/>
    </row>
    <row r="212" spans="1:21">
      <c r="A212" s="76">
        <v>780</v>
      </c>
      <c r="B212" s="78"/>
      <c r="C212" s="112" t="str">
        <f>VLOOKUP($A212&amp;C$1,TEXTDF,SPRCODE+1,FALSE)</f>
        <v>Betriebsaufwand Freizügigkeitspolicen</v>
      </c>
      <c r="D212" s="78"/>
      <c r="E212" s="78"/>
      <c r="F212" s="111">
        <f>+'TECHN ZERLEGUNG'!E66</f>
        <v>0</v>
      </c>
      <c r="G212" s="111">
        <f>+'TECHN ZERLEGUNG'!F66</f>
        <v>0</v>
      </c>
      <c r="H212" s="124">
        <f>+IFERROR(F212-G212,"")</f>
        <v>0</v>
      </c>
      <c r="I212" s="125" t="str">
        <f>+IFERROR(F212/G212-1,"")</f>
        <v/>
      </c>
      <c r="J212" s="78"/>
      <c r="K212" s="111">
        <f>+IFERROR(F212*1000/F198,0)</f>
        <v>0</v>
      </c>
      <c r="L212" s="111">
        <f>+IFERROR(G212*1000/G198,0)</f>
        <v>0</v>
      </c>
      <c r="M212" s="124">
        <f>+IFERROR(K212-L212,"")</f>
        <v>0</v>
      </c>
      <c r="N212" s="125" t="str">
        <f>+IFERROR(K212/L212-1,"")</f>
        <v/>
      </c>
      <c r="O212" s="78"/>
      <c r="P212" s="78"/>
      <c r="Q212" s="78"/>
      <c r="R212" s="78"/>
      <c r="S212" s="78"/>
      <c r="T212" s="78"/>
      <c r="U212" s="78"/>
    </row>
    <row r="213" spans="1:21">
      <c r="A213" s="76">
        <v>781</v>
      </c>
      <c r="B213" s="78"/>
      <c r="C213" s="112" t="str">
        <f>VLOOKUP($A213&amp;C$1,TEXTDF,SPRCODE+1,FALSE)</f>
        <v>Betriebsaufwand für übrige Kostenträger</v>
      </c>
      <c r="D213" s="78"/>
      <c r="E213" s="78"/>
      <c r="F213" s="111">
        <f>+'TECHN ZERLEGUNG'!E67</f>
        <v>0</v>
      </c>
      <c r="G213" s="111">
        <f>+'TECHN ZERLEGUNG'!F67</f>
        <v>0</v>
      </c>
      <c r="H213" s="124">
        <f>+IFERROR(F213-G213,"")</f>
        <v>0</v>
      </c>
      <c r="I213" s="125" t="str">
        <f>+IFERROR(F213/G213-1,"")</f>
        <v/>
      </c>
      <c r="J213" s="78"/>
      <c r="K213" s="111"/>
      <c r="L213" s="111"/>
      <c r="M213" s="78"/>
      <c r="N213" s="78"/>
      <c r="O213" s="78"/>
      <c r="P213" s="78"/>
      <c r="Q213" s="78"/>
      <c r="R213" s="78"/>
      <c r="S213" s="78"/>
      <c r="T213" s="78"/>
      <c r="U213" s="78"/>
    </row>
    <row r="214" spans="1:21">
      <c r="A214" s="76"/>
      <c r="B214" s="78"/>
      <c r="C214" s="78"/>
      <c r="D214" s="78"/>
      <c r="E214" s="78"/>
      <c r="F214" s="111"/>
      <c r="G214" s="111"/>
      <c r="H214" s="124"/>
      <c r="I214" s="125"/>
      <c r="J214" s="78"/>
      <c r="K214" s="111"/>
      <c r="L214" s="111"/>
      <c r="M214" s="78"/>
      <c r="N214" s="78"/>
      <c r="O214" s="78"/>
      <c r="P214" s="78"/>
      <c r="Q214" s="78"/>
      <c r="R214" s="78"/>
      <c r="S214" s="78"/>
      <c r="T214" s="78"/>
      <c r="U214" s="78"/>
    </row>
    <row r="215" spans="1:21">
      <c r="A215" s="76">
        <v>782</v>
      </c>
      <c r="B215" s="88" t="str">
        <f>VLOOKUP($A215&amp;B$1,TEXTDF,SPRCODE+1,FALSE)</f>
        <v>Betriebsaufwand gegliedert nach Kostenstellen</v>
      </c>
      <c r="C215" s="88"/>
      <c r="D215" s="88"/>
      <c r="E215" s="88"/>
      <c r="F215" s="138">
        <f>+jahr</f>
        <v>2023</v>
      </c>
      <c r="G215" s="138">
        <f>+F215-1</f>
        <v>2022</v>
      </c>
      <c r="H215" s="139" t="s">
        <v>3208</v>
      </c>
      <c r="I215" s="140" t="s">
        <v>3209</v>
      </c>
      <c r="J215" s="78"/>
      <c r="K215" s="111"/>
      <c r="L215" s="111"/>
      <c r="M215" s="78"/>
      <c r="N215" s="78"/>
      <c r="O215" s="78"/>
      <c r="P215" s="78"/>
      <c r="Q215" s="78"/>
      <c r="R215" s="78"/>
      <c r="S215" s="78"/>
      <c r="T215" s="78"/>
      <c r="U215" s="78"/>
    </row>
    <row r="216" spans="1:21">
      <c r="A216" s="76">
        <v>783</v>
      </c>
      <c r="B216" s="93" t="str">
        <f>VLOOKUP($A216&amp;B$1,TEXTDF,SPRCODE+1,FALSE)</f>
        <v>Total Betriebsaufwand</v>
      </c>
      <c r="C216" s="93"/>
      <c r="D216" s="93"/>
      <c r="E216" s="93"/>
      <c r="F216" s="94">
        <f>+SUBTOTAL(9,F217:F225)</f>
        <v>0</v>
      </c>
      <c r="G216" s="94">
        <f>+SUBTOTAL(9,G217:G225)</f>
        <v>0</v>
      </c>
      <c r="H216" s="95">
        <f t="shared" ref="H216:H225" si="44">+IFERROR(F216-G216,"")</f>
        <v>0</v>
      </c>
      <c r="I216" s="96" t="str">
        <f t="shared" ref="I216:I225" si="45">+IFERROR(F216/G216-1,"")</f>
        <v/>
      </c>
      <c r="J216" s="78"/>
      <c r="K216" s="111"/>
      <c r="L216" s="111"/>
      <c r="M216" s="78"/>
      <c r="N216" s="78"/>
      <c r="O216" s="78"/>
      <c r="P216" s="78"/>
      <c r="Q216" s="78"/>
      <c r="R216" s="78"/>
      <c r="S216" s="78"/>
      <c r="T216" s="78"/>
      <c r="U216" s="78"/>
    </row>
    <row r="217" spans="1:21">
      <c r="A217" s="76">
        <v>784</v>
      </c>
      <c r="B217" s="78"/>
      <c r="C217" s="112" t="str">
        <f>VLOOKUP($A217&amp;C$1,TEXTDF,SPRCODE+1,FALSE)</f>
        <v>Abschluss- und Verwaltungskosten</v>
      </c>
      <c r="D217" s="112"/>
      <c r="E217" s="78"/>
      <c r="F217" s="111">
        <f>+SUBTOTAL(9,F218:F223)</f>
        <v>0</v>
      </c>
      <c r="G217" s="111">
        <f>+SUBTOTAL(9,G218:G223)</f>
        <v>0</v>
      </c>
      <c r="H217" s="124">
        <f t="shared" si="44"/>
        <v>0</v>
      </c>
      <c r="I217" s="125" t="str">
        <f t="shared" si="45"/>
        <v/>
      </c>
      <c r="J217" s="78"/>
      <c r="K217" s="111"/>
      <c r="L217" s="111"/>
      <c r="M217" s="78"/>
      <c r="N217" s="78"/>
      <c r="O217" s="78"/>
      <c r="P217" s="78"/>
      <c r="Q217" s="78"/>
      <c r="R217" s="78"/>
      <c r="S217" s="78"/>
      <c r="T217" s="78"/>
      <c r="U217" s="78"/>
    </row>
    <row r="218" spans="1:21">
      <c r="A218" s="76">
        <v>785</v>
      </c>
      <c r="B218" s="78"/>
      <c r="C218" s="112"/>
      <c r="D218" s="105" t="str">
        <f>VLOOKUP($A218&amp;D$1,TEXTDF,SPRCODE+1,FALSE)</f>
        <v>Abschlussaufwendungen</v>
      </c>
      <c r="E218" s="100"/>
      <c r="F218" s="101">
        <f>+SUBTOTAL(9,F219:F221)</f>
        <v>0</v>
      </c>
      <c r="G218" s="101">
        <f>+SUBTOTAL(9,G219:G221)</f>
        <v>0</v>
      </c>
      <c r="H218" s="102">
        <f t="shared" si="44"/>
        <v>0</v>
      </c>
      <c r="I218" s="114" t="str">
        <f t="shared" si="45"/>
        <v/>
      </c>
      <c r="J218" s="78"/>
      <c r="K218" s="111"/>
      <c r="L218" s="111"/>
      <c r="M218" s="78"/>
      <c r="N218" s="78"/>
      <c r="O218" s="78"/>
      <c r="P218" s="78"/>
      <c r="Q218" s="78"/>
      <c r="R218" s="78"/>
      <c r="S218" s="78"/>
      <c r="T218" s="78"/>
      <c r="U218" s="78"/>
    </row>
    <row r="219" spans="1:21">
      <c r="A219" s="76">
        <v>786</v>
      </c>
      <c r="B219" s="78"/>
      <c r="C219" s="78"/>
      <c r="D219" s="78"/>
      <c r="E219" s="106" t="str">
        <f>VLOOKUP($A219&amp;E$1,TEXTDF,SPRCODE+1,FALSE)</f>
        <v>an Broker und Makler</v>
      </c>
      <c r="F219" s="92">
        <f>+'TECHN ZERLEGUNG'!E54</f>
        <v>0</v>
      </c>
      <c r="G219" s="92">
        <f>+'TECHN ZERLEGUNG'!F54</f>
        <v>0</v>
      </c>
      <c r="H219" s="98">
        <f t="shared" si="44"/>
        <v>0</v>
      </c>
      <c r="I219" s="143" t="str">
        <f t="shared" si="45"/>
        <v/>
      </c>
      <c r="J219" s="78"/>
      <c r="K219" s="111"/>
      <c r="L219" s="111"/>
      <c r="M219" s="78"/>
      <c r="N219" s="78"/>
      <c r="O219" s="78"/>
      <c r="P219" s="78"/>
      <c r="Q219" s="78"/>
      <c r="R219" s="78"/>
      <c r="S219" s="78"/>
      <c r="T219" s="78"/>
      <c r="U219" s="78"/>
    </row>
    <row r="220" spans="1:21">
      <c r="A220" s="76">
        <v>787</v>
      </c>
      <c r="B220" s="78"/>
      <c r="C220" s="78"/>
      <c r="D220" s="78"/>
      <c r="E220" s="106" t="str">
        <f>VLOOKUP($A220&amp;E$1,TEXTDF,SPRCODE+1,FALSE)</f>
        <v>an eigenen Aussendienst</v>
      </c>
      <c r="F220" s="92">
        <f>+'TECHN ZERLEGUNG'!E55</f>
        <v>0</v>
      </c>
      <c r="G220" s="92">
        <f>+'TECHN ZERLEGUNG'!F55</f>
        <v>0</v>
      </c>
      <c r="H220" s="98">
        <f t="shared" si="44"/>
        <v>0</v>
      </c>
      <c r="I220" s="143" t="str">
        <f t="shared" si="45"/>
        <v/>
      </c>
      <c r="J220" s="78"/>
      <c r="K220" s="111"/>
      <c r="L220" s="111"/>
      <c r="M220" s="78"/>
      <c r="N220" s="78"/>
      <c r="O220" s="78"/>
      <c r="P220" s="78"/>
      <c r="Q220" s="78"/>
      <c r="R220" s="78"/>
      <c r="S220" s="78"/>
      <c r="T220" s="78"/>
      <c r="U220" s="78"/>
    </row>
    <row r="221" spans="1:21">
      <c r="A221" s="76">
        <v>788</v>
      </c>
      <c r="B221" s="78"/>
      <c r="C221" s="78"/>
      <c r="D221" s="78"/>
      <c r="E221" s="106" t="str">
        <f>VLOOKUP($A221&amp;E$1,TEXTDF,SPRCODE+1,FALSE)</f>
        <v>übrige</v>
      </c>
      <c r="F221" s="92">
        <f>+'TECHN ZERLEGUNG'!E56</f>
        <v>0</v>
      </c>
      <c r="G221" s="92">
        <f>+'TECHN ZERLEGUNG'!F56</f>
        <v>0</v>
      </c>
      <c r="H221" s="98">
        <f t="shared" si="44"/>
        <v>0</v>
      </c>
      <c r="I221" s="143" t="str">
        <f t="shared" si="45"/>
        <v/>
      </c>
      <c r="J221" s="78"/>
      <c r="K221" s="111"/>
      <c r="L221" s="111"/>
      <c r="M221" s="78"/>
      <c r="N221" s="78"/>
      <c r="O221" s="78"/>
      <c r="P221" s="78"/>
      <c r="Q221" s="78"/>
      <c r="R221" s="78"/>
      <c r="S221" s="78"/>
      <c r="T221" s="78"/>
      <c r="U221" s="78"/>
    </row>
    <row r="222" spans="1:21">
      <c r="A222" s="76">
        <v>789</v>
      </c>
      <c r="B222" s="78"/>
      <c r="C222" s="112"/>
      <c r="D222" s="105" t="str">
        <f>VLOOKUP($A222&amp;D$1,TEXTDF,SPRCODE+1,FALSE)</f>
        <v>Aufwendungen für Marketing und Werbung</v>
      </c>
      <c r="E222" s="100"/>
      <c r="F222" s="101">
        <f>+'TECHN ZERLEGUNG'!E57</f>
        <v>0</v>
      </c>
      <c r="G222" s="101">
        <f>+'TECHN ZERLEGUNG'!F57</f>
        <v>0</v>
      </c>
      <c r="H222" s="102">
        <f t="shared" si="44"/>
        <v>0</v>
      </c>
      <c r="I222" s="114" t="str">
        <f t="shared" si="45"/>
        <v/>
      </c>
      <c r="J222" s="78"/>
      <c r="K222" s="111"/>
      <c r="L222" s="111"/>
      <c r="M222" s="78"/>
      <c r="N222" s="78"/>
      <c r="O222" s="78"/>
      <c r="P222" s="78"/>
      <c r="Q222" s="78"/>
      <c r="R222" s="78"/>
      <c r="S222" s="78"/>
      <c r="T222" s="78"/>
      <c r="U222" s="78"/>
    </row>
    <row r="223" spans="1:21">
      <c r="A223" s="76">
        <v>790</v>
      </c>
      <c r="B223" s="78"/>
      <c r="C223" s="112"/>
      <c r="D223" s="105" t="str">
        <f>VLOOKUP($A223&amp;D$1,TEXTDF,SPRCODE+1,FALSE)</f>
        <v>Aufwendungen für die allgemeine Verwaltung</v>
      </c>
      <c r="E223" s="100"/>
      <c r="F223" s="101">
        <f>+'TECHN ZERLEGUNG'!E58</f>
        <v>0</v>
      </c>
      <c r="G223" s="101">
        <f>+'TECHN ZERLEGUNG'!F58</f>
        <v>0</v>
      </c>
      <c r="H223" s="102">
        <f t="shared" si="44"/>
        <v>0</v>
      </c>
      <c r="I223" s="114" t="str">
        <f t="shared" si="45"/>
        <v/>
      </c>
      <c r="J223" s="78"/>
      <c r="K223" s="111"/>
      <c r="L223" s="111"/>
      <c r="M223" s="78"/>
      <c r="N223" s="78"/>
      <c r="O223" s="78"/>
      <c r="P223" s="78"/>
      <c r="Q223" s="78"/>
      <c r="R223" s="78"/>
      <c r="S223" s="78"/>
      <c r="T223" s="78"/>
      <c r="U223" s="78"/>
    </row>
    <row r="224" spans="1:21">
      <c r="A224" s="76">
        <v>791</v>
      </c>
      <c r="B224" s="78"/>
      <c r="C224" s="112" t="str">
        <f>VLOOKUP($A224&amp;C$1,TEXTDF,SPRCODE+1,FALSE)</f>
        <v>Leistungsbearbeitungsaufwendungen</v>
      </c>
      <c r="D224" s="78"/>
      <c r="E224" s="78"/>
      <c r="F224" s="111">
        <f>+F48</f>
        <v>0</v>
      </c>
      <c r="G224" s="111">
        <f>+G48</f>
        <v>0</v>
      </c>
      <c r="H224" s="124">
        <f t="shared" si="44"/>
        <v>0</v>
      </c>
      <c r="I224" s="125" t="str">
        <f t="shared" si="45"/>
        <v/>
      </c>
      <c r="J224" s="78"/>
      <c r="K224" s="111"/>
      <c r="L224" s="111"/>
      <c r="M224" s="78"/>
      <c r="N224" s="78"/>
      <c r="O224" s="78"/>
      <c r="P224" s="78"/>
      <c r="Q224" s="78"/>
      <c r="R224" s="78"/>
      <c r="S224" s="78"/>
      <c r="T224" s="78"/>
      <c r="U224" s="78"/>
    </row>
    <row r="225" spans="1:21">
      <c r="A225" s="76">
        <v>792</v>
      </c>
      <c r="B225" s="78"/>
      <c r="C225" s="112" t="str">
        <f>VLOOKUP($A225&amp;C$1,TEXTDF,SPRCODE+1,FALSE)</f>
        <v>Anteil Rückversicherer am Betriebsaufwand</v>
      </c>
      <c r="D225" s="78"/>
      <c r="E225" s="78"/>
      <c r="F225" s="111">
        <f>-ER!F20-ER!F48</f>
        <v>0</v>
      </c>
      <c r="G225" s="111">
        <f>-ER!G20-ER!G48</f>
        <v>0</v>
      </c>
      <c r="H225" s="124">
        <f t="shared" si="44"/>
        <v>0</v>
      </c>
      <c r="I225" s="125" t="str">
        <f t="shared" si="45"/>
        <v/>
      </c>
      <c r="J225" s="78"/>
      <c r="K225" s="111"/>
      <c r="L225" s="111"/>
      <c r="M225" s="78"/>
      <c r="N225" s="78"/>
      <c r="O225" s="78"/>
      <c r="P225" s="78"/>
      <c r="Q225" s="78"/>
      <c r="R225" s="78"/>
      <c r="S225" s="78"/>
      <c r="T225" s="78"/>
      <c r="U225" s="78"/>
    </row>
    <row r="226" spans="1:21">
      <c r="A226" s="76"/>
      <c r="B226" s="78"/>
      <c r="C226" s="78"/>
      <c r="D226" s="78"/>
      <c r="E226" s="78"/>
      <c r="F226" s="111"/>
      <c r="G226" s="111"/>
      <c r="H226" s="119"/>
      <c r="I226" s="120"/>
      <c r="J226" s="78"/>
      <c r="K226" s="111"/>
      <c r="L226" s="111"/>
      <c r="M226" s="78"/>
      <c r="N226" s="78"/>
      <c r="O226" s="78"/>
      <c r="P226" s="78"/>
      <c r="Q226" s="78"/>
      <c r="R226" s="78"/>
      <c r="S226" s="78"/>
      <c r="T226" s="78"/>
      <c r="U226" s="78"/>
    </row>
    <row r="227" spans="1:21">
      <c r="A227" s="76">
        <v>793</v>
      </c>
      <c r="B227" s="78"/>
      <c r="C227" s="78"/>
      <c r="D227" s="78"/>
      <c r="E227" s="78"/>
      <c r="F227" s="111"/>
      <c r="G227" s="111"/>
      <c r="H227" s="119"/>
      <c r="I227" s="120"/>
      <c r="J227" s="78"/>
      <c r="K227" s="113" t="str">
        <f>VLOOKUP($A227&amp;K$1,TEXTDF,SPRCODE+1,FALSE)</f>
        <v>Quote</v>
      </c>
      <c r="L227" s="113" t="str">
        <f>+K227</f>
        <v>Quote</v>
      </c>
      <c r="M227" s="78"/>
      <c r="N227" s="78"/>
      <c r="O227" s="78"/>
      <c r="P227" s="78"/>
      <c r="Q227" s="78"/>
      <c r="R227" s="78"/>
      <c r="S227" s="78"/>
      <c r="T227" s="78"/>
      <c r="U227" s="78"/>
    </row>
    <row r="228" spans="1:21">
      <c r="A228" s="76"/>
      <c r="B228" s="78"/>
      <c r="C228" s="78"/>
      <c r="D228" s="78"/>
      <c r="E228" s="78"/>
      <c r="F228" s="80">
        <f>+jahr</f>
        <v>2023</v>
      </c>
      <c r="G228" s="80">
        <f>+F228-1</f>
        <v>2022</v>
      </c>
      <c r="H228" s="109" t="s">
        <v>3208</v>
      </c>
      <c r="I228" s="110" t="s">
        <v>3209</v>
      </c>
      <c r="J228" s="78"/>
      <c r="K228" s="80">
        <f>+jahr</f>
        <v>2023</v>
      </c>
      <c r="L228" s="80">
        <f>+K228-1</f>
        <v>2022</v>
      </c>
      <c r="M228" s="109" t="s">
        <v>3208</v>
      </c>
      <c r="N228" s="110" t="s">
        <v>3209</v>
      </c>
      <c r="O228" s="78"/>
      <c r="P228" s="78"/>
      <c r="Q228" s="78"/>
      <c r="R228" s="78"/>
      <c r="S228" s="78"/>
      <c r="T228" s="78"/>
      <c r="U228" s="78"/>
    </row>
    <row r="229" spans="1:21">
      <c r="A229" s="76">
        <v>794</v>
      </c>
      <c r="B229" s="88" t="str">
        <f>VLOOKUP($A229&amp;B$1,TEXTDF,SPRCODE+1,FALSE)</f>
        <v>Marktwert Kapitalanlagen</v>
      </c>
      <c r="C229" s="88"/>
      <c r="D229" s="88"/>
      <c r="E229" s="88"/>
      <c r="F229" s="89">
        <f>+SUBTOTAL(9,F230:F232)</f>
        <v>0</v>
      </c>
      <c r="G229" s="89">
        <f>+SUBTOTAL(9,G230:G232)</f>
        <v>0</v>
      </c>
      <c r="H229" s="139">
        <f>+IFERROR(F229-G229,"")</f>
        <v>0</v>
      </c>
      <c r="I229" s="140">
        <f>+IFERROR(F229/G229-1,0)</f>
        <v>0</v>
      </c>
      <c r="J229" s="78"/>
      <c r="K229" s="134">
        <f t="shared" ref="K229:L231" si="46">+IFERROR(F229/F$229,0)</f>
        <v>0</v>
      </c>
      <c r="L229" s="134">
        <f t="shared" si="46"/>
        <v>0</v>
      </c>
      <c r="M229" s="162">
        <f>+IFERROR(K229-L229,"")</f>
        <v>0</v>
      </c>
      <c r="N229" s="140" t="str">
        <f>+IFERROR(K229/L229-1,"")</f>
        <v/>
      </c>
      <c r="O229" s="78"/>
      <c r="P229" s="78"/>
      <c r="Q229" s="78"/>
      <c r="R229" s="78"/>
      <c r="S229" s="78"/>
      <c r="T229" s="78"/>
      <c r="U229" s="78"/>
    </row>
    <row r="230" spans="1:21">
      <c r="A230" s="76">
        <v>795</v>
      </c>
      <c r="B230" s="78"/>
      <c r="C230" s="112" t="str">
        <f>VLOOKUP($A230&amp;C$1,TEXTDF,SPRCODE+1,FALSE)</f>
        <v>Direkte Kapitalanlagen</v>
      </c>
      <c r="D230" s="78"/>
      <c r="E230" s="78"/>
      <c r="F230" s="111">
        <f>+BESTANDESSTATISTIK!I229</f>
        <v>0</v>
      </c>
      <c r="G230" s="111">
        <f>+BESTANDESSTATISTIK!J229</f>
        <v>0</v>
      </c>
      <c r="H230" s="124">
        <f>+IFERROR(F230-G230,"")</f>
        <v>0</v>
      </c>
      <c r="I230" s="125" t="str">
        <f>+IFERROR(F230/G230-1,"")</f>
        <v/>
      </c>
      <c r="J230" s="78"/>
      <c r="K230" s="126">
        <f t="shared" si="46"/>
        <v>0</v>
      </c>
      <c r="L230" s="126">
        <f t="shared" si="46"/>
        <v>0</v>
      </c>
      <c r="M230" s="163">
        <f>+IFERROR(K230-L230,"")</f>
        <v>0</v>
      </c>
      <c r="N230" s="125" t="str">
        <f>+IFERROR(K230/L230-1,"")</f>
        <v/>
      </c>
      <c r="O230" s="78"/>
      <c r="P230" s="78"/>
      <c r="Q230" s="78"/>
      <c r="R230" s="78"/>
      <c r="S230" s="78"/>
      <c r="T230" s="78"/>
      <c r="U230" s="78"/>
    </row>
    <row r="231" spans="1:21">
      <c r="A231" s="76">
        <v>796</v>
      </c>
      <c r="B231" s="78"/>
      <c r="C231" s="112" t="str">
        <f>VLOOKUP($A231&amp;C$1,TEXTDF,SPRCODE+1,FALSE)</f>
        <v>Ein- und mehrstufige kollektive Kapitalanlagen</v>
      </c>
      <c r="D231" s="78"/>
      <c r="E231" s="78"/>
      <c r="F231" s="111">
        <f>+BESTANDESSTATISTIK!I230</f>
        <v>0</v>
      </c>
      <c r="G231" s="111">
        <f>+BESTANDESSTATISTIK!J230</f>
        <v>0</v>
      </c>
      <c r="H231" s="124">
        <f>+IFERROR(F231-G231,"")</f>
        <v>0</v>
      </c>
      <c r="I231" s="125" t="str">
        <f>+IFERROR(F231/G231-1,"")</f>
        <v/>
      </c>
      <c r="J231" s="78"/>
      <c r="K231" s="126">
        <f t="shared" si="46"/>
        <v>0</v>
      </c>
      <c r="L231" s="126">
        <f t="shared" si="46"/>
        <v>0</v>
      </c>
      <c r="M231" s="163">
        <f>+IFERROR(K231-L231,"")</f>
        <v>0</v>
      </c>
      <c r="N231" s="125" t="str">
        <f>+IFERROR(K231/L231-1,"")</f>
        <v/>
      </c>
      <c r="O231" s="78"/>
      <c r="P231" s="78"/>
      <c r="Q231" s="78"/>
      <c r="R231" s="78"/>
      <c r="S231" s="78"/>
      <c r="T231" s="78"/>
      <c r="U231" s="78"/>
    </row>
    <row r="232" spans="1:21">
      <c r="A232" s="76">
        <v>797</v>
      </c>
      <c r="B232" s="78"/>
      <c r="C232" s="112" t="str">
        <f>VLOOKUP($A232&amp;C$1,TEXTDF,SPRCODE+1,FALSE)</f>
        <v>Nicht kostentransparente Kapitalanlagen</v>
      </c>
      <c r="D232" s="78"/>
      <c r="E232" s="78"/>
      <c r="F232" s="111">
        <f>+BESTANDESSTATISTIK!I231</f>
        <v>0</v>
      </c>
      <c r="G232" s="111">
        <f>+BESTANDESSTATISTIK!J231</f>
        <v>0</v>
      </c>
      <c r="H232" s="124">
        <f>+IFERROR(F232-G232,"")</f>
        <v>0</v>
      </c>
      <c r="I232" s="125" t="str">
        <f>+IFERROR(F232/G232-1,"")</f>
        <v/>
      </c>
      <c r="J232" s="78"/>
      <c r="K232" s="126">
        <f>+IFERROR(F232/F$229,0)</f>
        <v>0</v>
      </c>
      <c r="L232" s="126">
        <f>+IFERROR(G232/G$229,0)</f>
        <v>0</v>
      </c>
      <c r="M232" s="163">
        <f>+IFERROR(K232-L232,"")</f>
        <v>0</v>
      </c>
      <c r="N232" s="125" t="str">
        <f>+IFERROR(K232/L232-1,"")</f>
        <v/>
      </c>
      <c r="O232" s="78"/>
      <c r="P232" s="78"/>
      <c r="Q232" s="78"/>
      <c r="R232" s="78"/>
      <c r="S232" s="78"/>
      <c r="T232" s="78"/>
      <c r="U232" s="78"/>
    </row>
    <row r="233" spans="1:21">
      <c r="A233" s="76"/>
      <c r="B233" s="78"/>
      <c r="C233" s="78"/>
      <c r="D233" s="78"/>
      <c r="E233" s="78"/>
      <c r="F233" s="111"/>
      <c r="G233" s="111"/>
      <c r="H233" s="119"/>
      <c r="I233" s="120"/>
      <c r="J233" s="78"/>
      <c r="K233" s="111"/>
      <c r="L233" s="111"/>
      <c r="M233" s="78"/>
      <c r="N233" s="78"/>
      <c r="O233" s="78"/>
      <c r="P233" s="78"/>
      <c r="Q233" s="78"/>
      <c r="R233" s="78"/>
      <c r="S233" s="78"/>
      <c r="T233" s="78"/>
      <c r="U233" s="78"/>
    </row>
    <row r="234" spans="1:21">
      <c r="A234" s="76"/>
      <c r="B234" s="78"/>
      <c r="C234" s="78"/>
      <c r="D234" s="78"/>
      <c r="E234" s="78"/>
      <c r="F234" s="80">
        <f>+jahr</f>
        <v>2023</v>
      </c>
      <c r="G234" s="80">
        <f>+F234-1</f>
        <v>2022</v>
      </c>
      <c r="H234" s="109" t="s">
        <v>3208</v>
      </c>
      <c r="I234" s="110" t="s">
        <v>3209</v>
      </c>
      <c r="J234" s="78"/>
      <c r="K234" s="111"/>
      <c r="L234" s="111"/>
      <c r="M234" s="78"/>
      <c r="N234" s="78"/>
      <c r="O234" s="78"/>
      <c r="P234" s="78"/>
      <c r="Q234" s="78"/>
      <c r="R234" s="78"/>
      <c r="S234" s="78"/>
      <c r="T234" s="78"/>
      <c r="U234" s="78"/>
    </row>
    <row r="235" spans="1:21">
      <c r="A235" s="76">
        <v>798</v>
      </c>
      <c r="B235" s="88" t="str">
        <f>VLOOKUP($A235&amp;B$1,TEXTDF,SPRCODE+1,FALSE)</f>
        <v>Vermögensverwaltungskosten (netto gemäss Betriebsrechnung BV)</v>
      </c>
      <c r="C235" s="88"/>
      <c r="D235" s="88"/>
      <c r="E235" s="88"/>
      <c r="F235" s="89">
        <f>+SUBTOTAL(9,F236:F243)</f>
        <v>0</v>
      </c>
      <c r="G235" s="89">
        <f>+SUBTOTAL(9,G236:G243)</f>
        <v>0</v>
      </c>
      <c r="H235" s="139">
        <f t="shared" ref="H235:H243" si="47">+IFERROR(F235-G235,"")</f>
        <v>0</v>
      </c>
      <c r="I235" s="140" t="str">
        <f t="shared" ref="I235:I243" si="48">+IFERROR(F235/G235-1,"")</f>
        <v/>
      </c>
      <c r="J235" s="78"/>
      <c r="K235" s="111"/>
      <c r="L235" s="111"/>
      <c r="M235" s="78"/>
      <c r="N235" s="78"/>
      <c r="O235" s="78"/>
      <c r="P235" s="78"/>
      <c r="Q235" s="78"/>
      <c r="R235" s="78"/>
      <c r="S235" s="78"/>
      <c r="T235" s="78"/>
      <c r="U235" s="78"/>
    </row>
    <row r="236" spans="1:21">
      <c r="A236" s="76">
        <v>799</v>
      </c>
      <c r="B236" s="78"/>
      <c r="C236" s="93" t="str">
        <f>VLOOKUP($A236&amp;C$1,TEXTDF,SPRCODE+1,FALSE)</f>
        <v>Vermögensverwaltungskosten (brutto gemäss OAK-Schema)</v>
      </c>
      <c r="D236" s="93"/>
      <c r="E236" s="93"/>
      <c r="F236" s="94">
        <f>+SUBTOTAL(9,F237:F241)</f>
        <v>0</v>
      </c>
      <c r="G236" s="94">
        <f>+SUBTOTAL(9,G237:G241)</f>
        <v>0</v>
      </c>
      <c r="H236" s="95">
        <f t="shared" si="47"/>
        <v>0</v>
      </c>
      <c r="I236" s="96" t="str">
        <f t="shared" si="48"/>
        <v/>
      </c>
      <c r="J236" s="78"/>
      <c r="K236" s="111"/>
      <c r="L236" s="111"/>
      <c r="M236" s="78"/>
      <c r="N236" s="78"/>
      <c r="O236" s="78"/>
      <c r="P236" s="78"/>
      <c r="Q236" s="78"/>
      <c r="R236" s="78"/>
      <c r="S236" s="78"/>
      <c r="T236" s="78"/>
      <c r="U236" s="78"/>
    </row>
    <row r="237" spans="1:21">
      <c r="A237" s="76">
        <v>800</v>
      </c>
      <c r="B237" s="78"/>
      <c r="C237" s="78"/>
      <c r="D237" s="112" t="str">
        <f>VLOOKUP($A237&amp;D$1,TEXTDF,SPRCODE+1,FALSE)</f>
        <v>TER-Kosten</v>
      </c>
      <c r="E237" s="78"/>
      <c r="F237" s="111">
        <f>+SUBTOTAL(9,F238:F239)</f>
        <v>0</v>
      </c>
      <c r="G237" s="111">
        <f>+SUBTOTAL(9,G238:G239)</f>
        <v>0</v>
      </c>
      <c r="H237" s="124">
        <f t="shared" si="47"/>
        <v>0</v>
      </c>
      <c r="I237" s="125" t="str">
        <f t="shared" si="48"/>
        <v/>
      </c>
      <c r="J237" s="78"/>
      <c r="K237" s="111"/>
      <c r="L237" s="111"/>
      <c r="M237" s="78"/>
      <c r="N237" s="78"/>
      <c r="O237" s="78"/>
      <c r="P237" s="78"/>
      <c r="Q237" s="78"/>
      <c r="R237" s="78"/>
      <c r="S237" s="78"/>
      <c r="T237" s="78"/>
      <c r="U237" s="78"/>
    </row>
    <row r="238" spans="1:21">
      <c r="A238" s="76">
        <v>801</v>
      </c>
      <c r="B238" s="78"/>
      <c r="C238" s="78"/>
      <c r="D238" s="78"/>
      <c r="E238" s="105" t="str">
        <f>VLOOKUP($A238&amp;E$1,TEXTDF,SPRCODE+1,FALSE)</f>
        <v>Direkte Kapitalanlagen</v>
      </c>
      <c r="F238" s="101">
        <f>+BESTANDESSTATISTIK!I237</f>
        <v>0</v>
      </c>
      <c r="G238" s="101">
        <f>+BESTANDESSTATISTIK!J237</f>
        <v>0</v>
      </c>
      <c r="H238" s="102">
        <f t="shared" si="47"/>
        <v>0</v>
      </c>
      <c r="I238" s="114" t="str">
        <f t="shared" si="48"/>
        <v/>
      </c>
      <c r="J238" s="78"/>
      <c r="K238" s="111"/>
      <c r="L238" s="111"/>
      <c r="M238" s="78"/>
      <c r="N238" s="78"/>
      <c r="O238" s="78"/>
      <c r="P238" s="78"/>
      <c r="Q238" s="78"/>
      <c r="R238" s="78"/>
      <c r="S238" s="78"/>
      <c r="T238" s="78"/>
      <c r="U238" s="78"/>
    </row>
    <row r="239" spans="1:21">
      <c r="A239" s="76">
        <v>802</v>
      </c>
      <c r="B239" s="78"/>
      <c r="C239" s="78"/>
      <c r="D239" s="78"/>
      <c r="E239" s="105" t="str">
        <f>VLOOKUP($A239&amp;E$1,TEXTDF,SPRCODE+1,FALSE)</f>
        <v>Ein- und mehrstufige Kapitalanlagen (Kostenkennzahl)</v>
      </c>
      <c r="F239" s="101">
        <f>+BESTANDESSTATISTIK!I238</f>
        <v>0</v>
      </c>
      <c r="G239" s="101">
        <f>+BESTANDESSTATISTIK!J238</f>
        <v>0</v>
      </c>
      <c r="H239" s="102">
        <f t="shared" si="47"/>
        <v>0</v>
      </c>
      <c r="I239" s="114" t="str">
        <f t="shared" si="48"/>
        <v/>
      </c>
      <c r="J239" s="78"/>
      <c r="K239" s="111"/>
      <c r="L239" s="111"/>
      <c r="M239" s="78"/>
      <c r="N239" s="78"/>
      <c r="O239" s="78"/>
      <c r="P239" s="78"/>
      <c r="Q239" s="78"/>
      <c r="R239" s="78"/>
      <c r="S239" s="78"/>
      <c r="T239" s="78"/>
      <c r="U239" s="78"/>
    </row>
    <row r="240" spans="1:21">
      <c r="A240" s="76">
        <v>803</v>
      </c>
      <c r="B240" s="78"/>
      <c r="C240" s="78"/>
      <c r="D240" s="112" t="str">
        <f>VLOOKUP($A240&amp;D$1,TEXTDF,SPRCODE+1,FALSE)</f>
        <v>TTC-Kosten</v>
      </c>
      <c r="E240" s="112"/>
      <c r="F240" s="111">
        <f>+BESTANDESSTATISTIK!I239</f>
        <v>0</v>
      </c>
      <c r="G240" s="111">
        <f>+BESTANDESSTATISTIK!J239</f>
        <v>0</v>
      </c>
      <c r="H240" s="124">
        <f t="shared" si="47"/>
        <v>0</v>
      </c>
      <c r="I240" s="125" t="str">
        <f t="shared" si="48"/>
        <v/>
      </c>
      <c r="J240" s="78"/>
      <c r="K240" s="111"/>
      <c r="L240" s="111"/>
      <c r="M240" s="78"/>
      <c r="N240" s="78"/>
      <c r="O240" s="78"/>
      <c r="P240" s="78"/>
      <c r="Q240" s="78"/>
      <c r="R240" s="78"/>
      <c r="S240" s="78"/>
      <c r="T240" s="78"/>
      <c r="U240" s="78"/>
    </row>
    <row r="241" spans="1:21">
      <c r="A241" s="76">
        <v>804</v>
      </c>
      <c r="B241" s="78"/>
      <c r="C241" s="78"/>
      <c r="D241" s="112" t="str">
        <f>VLOOKUP($A241&amp;D$1,TEXTDF,SPRCODE+1,FALSE)</f>
        <v>SC-Kosten</v>
      </c>
      <c r="E241" s="78"/>
      <c r="F241" s="111">
        <f>+BESTANDESSTATISTIK!I240</f>
        <v>0</v>
      </c>
      <c r="G241" s="111">
        <f>+BESTANDESSTATISTIK!J240</f>
        <v>0</v>
      </c>
      <c r="H241" s="124">
        <f t="shared" si="47"/>
        <v>0</v>
      </c>
      <c r="I241" s="125" t="str">
        <f t="shared" si="48"/>
        <v/>
      </c>
      <c r="J241" s="78"/>
      <c r="K241" s="111"/>
      <c r="L241" s="111"/>
      <c r="M241" s="78"/>
      <c r="N241" s="78"/>
      <c r="O241" s="78"/>
      <c r="P241" s="78"/>
      <c r="Q241" s="78"/>
      <c r="R241" s="78"/>
      <c r="S241" s="78"/>
      <c r="T241" s="78"/>
      <c r="U241" s="78"/>
    </row>
    <row r="242" spans="1:21">
      <c r="A242" s="76">
        <v>805</v>
      </c>
      <c r="B242" s="78"/>
      <c r="C242" s="93" t="str">
        <f>VLOOKUP($A242&amp;C$1,TEXTDF,SPRCODE+1,FALSE)</f>
        <v>Aktivierte Kosten</v>
      </c>
      <c r="D242" s="93"/>
      <c r="E242" s="93"/>
      <c r="F242" s="94">
        <f>-BESTANDESSTATISTIK!I241</f>
        <v>0</v>
      </c>
      <c r="G242" s="94">
        <f>-BESTANDESSTATISTIK!J241</f>
        <v>0</v>
      </c>
      <c r="H242" s="95">
        <f t="shared" si="47"/>
        <v>0</v>
      </c>
      <c r="I242" s="96" t="str">
        <f t="shared" si="48"/>
        <v/>
      </c>
      <c r="J242" s="78"/>
      <c r="K242" s="111"/>
      <c r="L242" s="111"/>
      <c r="M242" s="78"/>
      <c r="N242" s="78"/>
      <c r="O242" s="78"/>
      <c r="P242" s="78"/>
      <c r="Q242" s="78"/>
      <c r="R242" s="78"/>
      <c r="S242" s="78"/>
      <c r="T242" s="78"/>
      <c r="U242" s="78"/>
    </row>
    <row r="243" spans="1:21">
      <c r="A243" s="76">
        <v>806</v>
      </c>
      <c r="B243" s="78"/>
      <c r="C243" s="93" t="str">
        <f>VLOOKUP($A243&amp;C$1,TEXTDF,SPRCODE+1,FALSE)</f>
        <v>Unterhalts- und Instandhaltungskosten Liegenschaften</v>
      </c>
      <c r="D243" s="93"/>
      <c r="E243" s="93"/>
      <c r="F243" s="94">
        <f>-ER!F59</f>
        <v>0</v>
      </c>
      <c r="G243" s="94">
        <f>-ER!G59</f>
        <v>0</v>
      </c>
      <c r="H243" s="95">
        <f t="shared" si="47"/>
        <v>0</v>
      </c>
      <c r="I243" s="96" t="str">
        <f t="shared" si="48"/>
        <v/>
      </c>
      <c r="J243" s="78"/>
      <c r="K243" s="144"/>
      <c r="L243" s="111"/>
      <c r="M243" s="78"/>
      <c r="N243" s="78"/>
      <c r="O243" s="78"/>
      <c r="P243" s="78"/>
      <c r="Q243" s="78"/>
      <c r="R243" s="78"/>
      <c r="S243" s="78"/>
      <c r="T243" s="78"/>
      <c r="U243" s="78"/>
    </row>
    <row r="244" spans="1:21">
      <c r="A244" s="76"/>
      <c r="B244" s="78"/>
      <c r="C244" s="78"/>
      <c r="D244" s="78"/>
      <c r="E244" s="78"/>
      <c r="F244" s="78"/>
      <c r="G244" s="111"/>
      <c r="H244" s="119"/>
      <c r="I244" s="120"/>
      <c r="J244" s="78"/>
      <c r="K244" s="111"/>
      <c r="L244" s="111"/>
      <c r="M244" s="78"/>
      <c r="N244" s="78"/>
      <c r="O244" s="78"/>
      <c r="P244" s="78"/>
      <c r="Q244" s="78"/>
      <c r="R244" s="78"/>
      <c r="S244" s="78"/>
      <c r="T244" s="78"/>
      <c r="U244" s="78"/>
    </row>
    <row r="245" spans="1:21" ht="15.75">
      <c r="A245" s="76"/>
      <c r="B245" s="82"/>
      <c r="C245" s="83"/>
      <c r="D245" s="83"/>
      <c r="E245" s="83"/>
      <c r="F245" s="84"/>
      <c r="G245" s="84"/>
      <c r="H245" s="85"/>
      <c r="I245" s="85"/>
      <c r="J245" s="83"/>
      <c r="K245" s="84"/>
      <c r="L245" s="84"/>
      <c r="M245" s="85"/>
      <c r="N245" s="85"/>
      <c r="O245" s="83"/>
      <c r="P245" s="84"/>
      <c r="Q245" s="84"/>
      <c r="R245" s="85"/>
      <c r="S245" s="85"/>
      <c r="T245" s="78"/>
      <c r="U245" s="78"/>
    </row>
  </sheetData>
  <sheetProtection algorithmName="SHA-512" hashValue="889IZoq80DuGdh+5SAud6+kAGid8PgTxJayb/lIG4sgHHQG/VJM4P4ds+4v6C/u5soHAz4WOXOt4xhe1iJmBBA==" saltValue="6a6w05Acc4OAZdmF2GNohg==" spinCount="100000" sheet="1" objects="1" scenarios="1"/>
  <hyperlinks>
    <hyperlink ref="B2" location="UEBERSICHT!G12" display="UEBERSICHT!G12" xr:uid="{DF5A7250-A59A-4360-B12B-2E581C601A85}"/>
  </hyperlinks>
  <pageMargins left="0.70866141732283472" right="0.70866141732283472" top="0.74803149606299213" bottom="0.74803149606299213" header="0.31496062992125984" footer="0.31496062992125984"/>
  <pageSetup paperSize="9" scale="53" fitToHeight="4" orientation="landscape"/>
  <rowBreaks count="3" manualBreakCount="3">
    <brk id="65" max="18" man="1"/>
    <brk id="123" max="18" man="1"/>
    <brk id="189" max="1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BRBV_09">
    <tabColor indexed="12"/>
  </sheetPr>
  <dimension ref="A1:C1654"/>
  <sheetViews>
    <sheetView zoomScaleNormal="100" workbookViewId="0"/>
  </sheetViews>
  <sheetFormatPr baseColWidth="10" defaultColWidth="10.85546875" defaultRowHeight="12.75"/>
  <cols>
    <col min="1" max="1" width="8.85546875" customWidth="1"/>
    <col min="2" max="2" width="73.140625" customWidth="1"/>
    <col min="3" max="3" width="92.42578125" customWidth="1"/>
  </cols>
  <sheetData>
    <row r="1" spans="1:3">
      <c r="A1" t="s">
        <v>686</v>
      </c>
      <c r="B1" s="810" t="s">
        <v>687</v>
      </c>
      <c r="C1" s="810" t="s">
        <v>688</v>
      </c>
    </row>
    <row r="2" spans="1:3">
      <c r="A2" t="s">
        <v>711</v>
      </c>
      <c r="B2" s="71" t="s">
        <v>69</v>
      </c>
      <c r="C2" s="71" t="s">
        <v>601</v>
      </c>
    </row>
    <row r="3" spans="1:3">
      <c r="A3" s="71" t="s">
        <v>720</v>
      </c>
      <c r="B3" s="71" t="s">
        <v>440</v>
      </c>
      <c r="C3" s="71" t="s">
        <v>640</v>
      </c>
    </row>
    <row r="4" spans="1:3">
      <c r="A4" s="71" t="s">
        <v>713</v>
      </c>
      <c r="B4" s="71" t="s">
        <v>55</v>
      </c>
      <c r="C4" s="71" t="s">
        <v>602</v>
      </c>
    </row>
    <row r="5" spans="1:3">
      <c r="A5" s="71" t="s">
        <v>714</v>
      </c>
      <c r="B5" s="71" t="s">
        <v>451</v>
      </c>
      <c r="C5" s="71" t="s">
        <v>603</v>
      </c>
    </row>
    <row r="6" spans="1:3">
      <c r="A6" s="71" t="s">
        <v>715</v>
      </c>
      <c r="B6" s="71" t="s">
        <v>460</v>
      </c>
      <c r="C6" s="71" t="s">
        <v>604</v>
      </c>
    </row>
    <row r="7" spans="1:3">
      <c r="A7" s="71" t="s">
        <v>716</v>
      </c>
      <c r="B7" s="71" t="s">
        <v>459</v>
      </c>
      <c r="C7" s="71" t="s">
        <v>605</v>
      </c>
    </row>
    <row r="8" spans="1:3">
      <c r="A8" s="71" t="s">
        <v>717</v>
      </c>
      <c r="B8" s="71" t="s">
        <v>70</v>
      </c>
      <c r="C8" s="71" t="s">
        <v>606</v>
      </c>
    </row>
    <row r="9" spans="1:3">
      <c r="A9" s="71" t="s">
        <v>709</v>
      </c>
      <c r="B9" s="71" t="s">
        <v>273</v>
      </c>
      <c r="C9" s="71" t="s">
        <v>607</v>
      </c>
    </row>
    <row r="10" spans="1:3">
      <c r="A10" s="71" t="s">
        <v>718</v>
      </c>
      <c r="B10" s="71" t="s">
        <v>274</v>
      </c>
      <c r="C10" s="71" t="s">
        <v>609</v>
      </c>
    </row>
    <row r="11" spans="1:3">
      <c r="A11" s="71" t="s">
        <v>721</v>
      </c>
      <c r="B11" s="71" t="s">
        <v>275</v>
      </c>
      <c r="C11" s="71" t="s">
        <v>612</v>
      </c>
    </row>
    <row r="12" spans="1:3">
      <c r="A12" s="71" t="s">
        <v>722</v>
      </c>
      <c r="B12" s="71" t="s">
        <v>276</v>
      </c>
      <c r="C12" s="71" t="s">
        <v>616</v>
      </c>
    </row>
    <row r="13" spans="1:3">
      <c r="A13" s="71" t="s">
        <v>723</v>
      </c>
      <c r="B13" s="71" t="s">
        <v>277</v>
      </c>
      <c r="C13" s="71" t="s">
        <v>622</v>
      </c>
    </row>
    <row r="14" spans="1:3">
      <c r="A14" s="71" t="s">
        <v>724</v>
      </c>
      <c r="B14" s="71" t="s">
        <v>278</v>
      </c>
      <c r="C14" s="71" t="s">
        <v>623</v>
      </c>
    </row>
    <row r="15" spans="1:3">
      <c r="A15" s="71" t="s">
        <v>2684</v>
      </c>
      <c r="B15" s="71" t="s">
        <v>279</v>
      </c>
      <c r="C15" s="71" t="s">
        <v>3582</v>
      </c>
    </row>
    <row r="16" spans="1:3">
      <c r="A16" s="71" t="s">
        <v>2685</v>
      </c>
      <c r="B16" s="71" t="s">
        <v>288</v>
      </c>
      <c r="C16" s="71" t="s">
        <v>627</v>
      </c>
    </row>
    <row r="17" spans="1:3">
      <c r="A17" s="71" t="s">
        <v>710</v>
      </c>
      <c r="B17" s="71" t="s">
        <v>3740</v>
      </c>
      <c r="C17" s="71" t="s">
        <v>608</v>
      </c>
    </row>
    <row r="18" spans="1:3">
      <c r="A18" s="71" t="s">
        <v>725</v>
      </c>
      <c r="B18" s="71" t="s">
        <v>71</v>
      </c>
      <c r="C18" s="71" t="s">
        <v>610</v>
      </c>
    </row>
    <row r="19" spans="1:3">
      <c r="A19" s="71" t="s">
        <v>726</v>
      </c>
      <c r="B19" s="71" t="s">
        <v>72</v>
      </c>
      <c r="C19" s="71" t="s">
        <v>611</v>
      </c>
    </row>
    <row r="20" spans="1:3">
      <c r="A20" s="71" t="s">
        <v>727</v>
      </c>
      <c r="B20" s="71" t="s">
        <v>73</v>
      </c>
      <c r="C20" s="71" t="s">
        <v>613</v>
      </c>
    </row>
    <row r="21" spans="1:3">
      <c r="A21" s="71" t="s">
        <v>728</v>
      </c>
      <c r="B21" s="71" t="s">
        <v>74</v>
      </c>
      <c r="C21" s="71" t="s">
        <v>614</v>
      </c>
    </row>
    <row r="22" spans="1:3">
      <c r="A22" s="71" t="s">
        <v>729</v>
      </c>
      <c r="B22" s="71" t="s">
        <v>75</v>
      </c>
      <c r="C22" s="71" t="s">
        <v>615</v>
      </c>
    </row>
    <row r="23" spans="1:3">
      <c r="A23" s="71" t="s">
        <v>730</v>
      </c>
      <c r="B23" s="71" t="s">
        <v>76</v>
      </c>
      <c r="C23" s="71" t="s">
        <v>617</v>
      </c>
    </row>
    <row r="24" spans="1:3">
      <c r="A24" s="71" t="s">
        <v>731</v>
      </c>
      <c r="B24" s="71" t="s">
        <v>77</v>
      </c>
      <c r="C24" s="71" t="s">
        <v>618</v>
      </c>
    </row>
    <row r="25" spans="1:3">
      <c r="A25" s="71" t="s">
        <v>732</v>
      </c>
      <c r="B25" s="71" t="s">
        <v>78</v>
      </c>
      <c r="C25" s="71" t="s">
        <v>619</v>
      </c>
    </row>
    <row r="26" spans="1:3">
      <c r="A26" s="71" t="s">
        <v>733</v>
      </c>
      <c r="B26" s="71" t="s">
        <v>79</v>
      </c>
      <c r="C26" s="71" t="s">
        <v>620</v>
      </c>
    </row>
    <row r="27" spans="1:3">
      <c r="A27" s="71" t="s">
        <v>734</v>
      </c>
      <c r="B27" s="71" t="s">
        <v>80</v>
      </c>
      <c r="C27" s="71" t="s">
        <v>621</v>
      </c>
    </row>
    <row r="28" spans="1:3">
      <c r="A28" s="71" t="s">
        <v>735</v>
      </c>
      <c r="B28" s="71" t="s">
        <v>3734</v>
      </c>
      <c r="C28" s="71" t="s">
        <v>4081</v>
      </c>
    </row>
    <row r="29" spans="1:3">
      <c r="A29" s="71" t="s">
        <v>736</v>
      </c>
      <c r="B29" s="71" t="s">
        <v>3735</v>
      </c>
      <c r="C29" s="71" t="s">
        <v>4082</v>
      </c>
    </row>
    <row r="30" spans="1:3">
      <c r="A30" s="71" t="s">
        <v>737</v>
      </c>
      <c r="B30" s="71" t="s">
        <v>3736</v>
      </c>
      <c r="C30" s="71" t="s">
        <v>4083</v>
      </c>
    </row>
    <row r="31" spans="1:3">
      <c r="A31" s="71" t="s">
        <v>738</v>
      </c>
      <c r="B31" s="71" t="s">
        <v>3737</v>
      </c>
      <c r="C31" s="71" t="s">
        <v>4084</v>
      </c>
    </row>
    <row r="32" spans="1:3">
      <c r="A32" s="71" t="s">
        <v>739</v>
      </c>
      <c r="B32" s="71" t="s">
        <v>3738</v>
      </c>
      <c r="C32" s="71" t="s">
        <v>4085</v>
      </c>
    </row>
    <row r="33" spans="1:3">
      <c r="A33" s="71" t="s">
        <v>4176</v>
      </c>
      <c r="B33" s="71" t="s">
        <v>3739</v>
      </c>
      <c r="C33" s="71" t="s">
        <v>2591</v>
      </c>
    </row>
    <row r="34" spans="1:3">
      <c r="A34" s="71" t="s">
        <v>740</v>
      </c>
      <c r="B34" s="71" t="s">
        <v>81</v>
      </c>
      <c r="C34" s="71" t="s">
        <v>624</v>
      </c>
    </row>
    <row r="35" spans="1:3">
      <c r="A35" s="71" t="s">
        <v>741</v>
      </c>
      <c r="B35" s="71" t="s">
        <v>82</v>
      </c>
      <c r="C35" s="71" t="s">
        <v>625</v>
      </c>
    </row>
    <row r="36" spans="1:3">
      <c r="A36" s="71" t="s">
        <v>742</v>
      </c>
      <c r="B36" s="71" t="s">
        <v>83</v>
      </c>
      <c r="C36" s="71" t="s">
        <v>626</v>
      </c>
    </row>
    <row r="37" spans="1:3">
      <c r="A37" s="71" t="s">
        <v>2683</v>
      </c>
      <c r="B37" s="71" t="s">
        <v>84</v>
      </c>
      <c r="C37" s="71" t="s">
        <v>712</v>
      </c>
    </row>
    <row r="38" spans="1:3">
      <c r="A38" s="71" t="s">
        <v>743</v>
      </c>
      <c r="B38" s="71" t="s">
        <v>439</v>
      </c>
      <c r="C38" s="71" t="s">
        <v>628</v>
      </c>
    </row>
    <row r="39" spans="1:3">
      <c r="A39" s="71" t="s">
        <v>744</v>
      </c>
      <c r="B39" s="71" t="s">
        <v>452</v>
      </c>
      <c r="C39" s="71" t="s">
        <v>629</v>
      </c>
    </row>
    <row r="40" spans="1:3">
      <c r="A40" s="71" t="s">
        <v>745</v>
      </c>
      <c r="B40" s="71" t="s">
        <v>453</v>
      </c>
      <c r="C40" s="71" t="s">
        <v>630</v>
      </c>
    </row>
    <row r="41" spans="1:3">
      <c r="A41" s="71" t="s">
        <v>746</v>
      </c>
      <c r="B41" s="71" t="s">
        <v>454</v>
      </c>
      <c r="C41" s="71" t="s">
        <v>631</v>
      </c>
    </row>
    <row r="42" spans="1:3">
      <c r="A42" s="71" t="s">
        <v>747</v>
      </c>
      <c r="B42" s="71" t="s">
        <v>444</v>
      </c>
      <c r="C42" s="71" t="s">
        <v>632</v>
      </c>
    </row>
    <row r="43" spans="1:3">
      <c r="A43" s="71" t="s">
        <v>748</v>
      </c>
      <c r="B43" s="71" t="s">
        <v>455</v>
      </c>
      <c r="C43" s="71" t="s">
        <v>633</v>
      </c>
    </row>
    <row r="44" spans="1:3">
      <c r="A44" s="71" t="s">
        <v>749</v>
      </c>
      <c r="B44" s="71" t="s">
        <v>105</v>
      </c>
      <c r="C44" s="71" t="s">
        <v>634</v>
      </c>
    </row>
    <row r="45" spans="1:3">
      <c r="A45" s="71" t="s">
        <v>750</v>
      </c>
      <c r="B45" s="71" t="s">
        <v>456</v>
      </c>
      <c r="C45" s="71" t="s">
        <v>635</v>
      </c>
    </row>
    <row r="46" spans="1:3">
      <c r="A46" s="71" t="s">
        <v>751</v>
      </c>
      <c r="B46" s="71" t="s">
        <v>445</v>
      </c>
      <c r="C46" s="71" t="s">
        <v>636</v>
      </c>
    </row>
    <row r="47" spans="1:3">
      <c r="A47" s="71" t="s">
        <v>752</v>
      </c>
      <c r="B47" s="71" t="s">
        <v>457</v>
      </c>
      <c r="C47" s="71" t="s">
        <v>637</v>
      </c>
    </row>
    <row r="48" spans="1:3">
      <c r="A48" s="71" t="s">
        <v>753</v>
      </c>
      <c r="B48" s="71" t="s">
        <v>383</v>
      </c>
      <c r="C48" s="71" t="s">
        <v>638</v>
      </c>
    </row>
    <row r="49" spans="1:3">
      <c r="A49" s="71" t="s">
        <v>2967</v>
      </c>
      <c r="B49" s="71" t="s">
        <v>446</v>
      </c>
      <c r="C49" s="71" t="s">
        <v>639</v>
      </c>
    </row>
    <row r="50" spans="1:3">
      <c r="A50" s="71" t="s">
        <v>754</v>
      </c>
      <c r="B50" s="71" t="s">
        <v>755</v>
      </c>
      <c r="C50" s="71" t="s">
        <v>816</v>
      </c>
    </row>
    <row r="51" spans="1:3">
      <c r="A51" s="811" t="s">
        <v>809</v>
      </c>
      <c r="B51" s="56" t="s">
        <v>3928</v>
      </c>
      <c r="C51" s="56" t="s">
        <v>3929</v>
      </c>
    </row>
    <row r="52" spans="1:3">
      <c r="A52" s="56" t="s">
        <v>815</v>
      </c>
      <c r="B52" s="56" t="s">
        <v>4059</v>
      </c>
      <c r="C52" s="57" t="s">
        <v>4058</v>
      </c>
    </row>
    <row r="53" spans="1:3">
      <c r="A53" s="56" t="s">
        <v>817</v>
      </c>
      <c r="B53" s="56" t="s">
        <v>237</v>
      </c>
      <c r="C53" s="57" t="s">
        <v>646</v>
      </c>
    </row>
    <row r="54" spans="1:3">
      <c r="A54" s="56" t="s">
        <v>820</v>
      </c>
      <c r="B54" s="56" t="s">
        <v>242</v>
      </c>
      <c r="C54" s="57" t="s">
        <v>641</v>
      </c>
    </row>
    <row r="55" spans="1:3">
      <c r="A55" s="56" t="s">
        <v>821</v>
      </c>
      <c r="B55" s="56" t="s">
        <v>471</v>
      </c>
      <c r="C55" s="57" t="s">
        <v>1081</v>
      </c>
    </row>
    <row r="56" spans="1:3">
      <c r="A56" s="56" t="s">
        <v>822</v>
      </c>
      <c r="B56" s="56" t="s">
        <v>244</v>
      </c>
      <c r="C56" s="57" t="s">
        <v>643</v>
      </c>
    </row>
    <row r="57" spans="1:3">
      <c r="A57" s="56" t="s">
        <v>823</v>
      </c>
      <c r="B57" s="56" t="str">
        <f>+"Zusatzangaben für "&amp;jahr</f>
        <v>Zusatzangaben für 2023</v>
      </c>
      <c r="C57" s="57" t="str">
        <f>+"Indic. suppl. pour "&amp;jahr</f>
        <v>Indic. suppl. pour 2023</v>
      </c>
    </row>
    <row r="58" spans="1:3">
      <c r="A58" s="56" t="s">
        <v>824</v>
      </c>
      <c r="B58" s="812" t="s">
        <v>3927</v>
      </c>
      <c r="C58" s="812" t="s">
        <v>3927</v>
      </c>
    </row>
    <row r="59" spans="1:3">
      <c r="A59" s="56" t="s">
        <v>825</v>
      </c>
      <c r="B59" s="56" t="s">
        <v>243</v>
      </c>
      <c r="C59" s="56" t="s">
        <v>642</v>
      </c>
    </row>
    <row r="60" spans="1:3">
      <c r="A60" s="56" t="s">
        <v>826</v>
      </c>
      <c r="B60" s="56" t="s">
        <v>243</v>
      </c>
      <c r="C60" s="56" t="s">
        <v>642</v>
      </c>
    </row>
    <row r="61" spans="1:3">
      <c r="A61" s="56" t="s">
        <v>827</v>
      </c>
      <c r="B61" s="56" t="s">
        <v>246</v>
      </c>
      <c r="C61" s="56" t="s">
        <v>644</v>
      </c>
    </row>
    <row r="62" spans="1:3">
      <c r="A62" s="56" t="s">
        <v>828</v>
      </c>
      <c r="B62" s="56" t="s">
        <v>247</v>
      </c>
      <c r="C62" s="56" t="s">
        <v>645</v>
      </c>
    </row>
    <row r="63" spans="1:3">
      <c r="A63" s="56" t="s">
        <v>829</v>
      </c>
      <c r="B63" s="56" t="s">
        <v>246</v>
      </c>
      <c r="C63" s="56" t="s">
        <v>644</v>
      </c>
    </row>
    <row r="64" spans="1:3">
      <c r="A64" s="56" t="s">
        <v>830</v>
      </c>
      <c r="B64" s="56" t="s">
        <v>247</v>
      </c>
      <c r="C64" s="56" t="s">
        <v>645</v>
      </c>
    </row>
    <row r="65" spans="1:3">
      <c r="A65" s="56" t="s">
        <v>831</v>
      </c>
      <c r="B65" s="56" t="s">
        <v>246</v>
      </c>
      <c r="C65" s="56" t="s">
        <v>644</v>
      </c>
    </row>
    <row r="66" spans="1:3">
      <c r="A66" s="56" t="s">
        <v>832</v>
      </c>
      <c r="B66" s="56" t="s">
        <v>247</v>
      </c>
      <c r="C66" s="56" t="s">
        <v>645</v>
      </c>
    </row>
    <row r="67" spans="1:3">
      <c r="A67" s="56" t="s">
        <v>833</v>
      </c>
      <c r="B67" s="56" t="s">
        <v>707</v>
      </c>
      <c r="C67" s="57" t="s">
        <v>834</v>
      </c>
    </row>
    <row r="68" spans="1:3" s="50" customFormat="1">
      <c r="A68" s="147" t="s">
        <v>756</v>
      </c>
      <c r="B68" s="71" t="s">
        <v>85</v>
      </c>
      <c r="C68" s="57" t="s">
        <v>648</v>
      </c>
    </row>
    <row r="69" spans="1:3" s="50" customFormat="1">
      <c r="A69" s="147" t="s">
        <v>757</v>
      </c>
      <c r="B69" s="71" t="s">
        <v>3933</v>
      </c>
      <c r="C69" s="71" t="s">
        <v>3934</v>
      </c>
    </row>
    <row r="70" spans="1:3" s="50" customFormat="1">
      <c r="A70" s="147" t="s">
        <v>758</v>
      </c>
      <c r="B70" s="71" t="s">
        <v>248</v>
      </c>
      <c r="C70" s="71" t="s">
        <v>649</v>
      </c>
    </row>
    <row r="71" spans="1:3" s="50" customFormat="1">
      <c r="A71" s="147" t="s">
        <v>3932</v>
      </c>
      <c r="B71" s="71" t="s">
        <v>4180</v>
      </c>
      <c r="C71" s="71" t="s">
        <v>4181</v>
      </c>
    </row>
    <row r="72" spans="1:3" s="50" customFormat="1">
      <c r="A72" s="147" t="s">
        <v>759</v>
      </c>
      <c r="B72" s="71" t="s">
        <v>3936</v>
      </c>
      <c r="C72" s="71" t="s">
        <v>3935</v>
      </c>
    </row>
    <row r="73" spans="1:3" s="50" customFormat="1">
      <c r="A73" s="147" t="s">
        <v>760</v>
      </c>
      <c r="B73" s="71" t="s">
        <v>249</v>
      </c>
      <c r="C73" s="71" t="s">
        <v>650</v>
      </c>
    </row>
    <row r="74" spans="1:3" s="50" customFormat="1">
      <c r="A74" s="147" t="s">
        <v>2889</v>
      </c>
      <c r="B74" s="71" t="s">
        <v>97</v>
      </c>
      <c r="C74" s="71" t="s">
        <v>651</v>
      </c>
    </row>
    <row r="75" spans="1:3" s="50" customFormat="1">
      <c r="A75" s="147" t="s">
        <v>762</v>
      </c>
      <c r="B75" s="71" t="s">
        <v>98</v>
      </c>
      <c r="C75" s="71" t="s">
        <v>652</v>
      </c>
    </row>
    <row r="76" spans="1:3" s="50" customFormat="1">
      <c r="A76" s="147" t="s">
        <v>3949</v>
      </c>
      <c r="B76" s="71" t="s">
        <v>4182</v>
      </c>
      <c r="C76" s="71" t="s">
        <v>4183</v>
      </c>
    </row>
    <row r="77" spans="1:3" s="50" customFormat="1">
      <c r="A77" s="147" t="s">
        <v>763</v>
      </c>
      <c r="B77" s="71" t="s">
        <v>99</v>
      </c>
      <c r="C77" s="71" t="s">
        <v>653</v>
      </c>
    </row>
    <row r="78" spans="1:3" s="50" customFormat="1">
      <c r="A78" s="147" t="s">
        <v>764</v>
      </c>
      <c r="B78" s="71" t="s">
        <v>100</v>
      </c>
      <c r="C78" s="71" t="s">
        <v>654</v>
      </c>
    </row>
    <row r="79" spans="1:3" s="50" customFormat="1">
      <c r="A79" s="147" t="s">
        <v>574</v>
      </c>
      <c r="B79" s="71" t="s">
        <v>250</v>
      </c>
      <c r="C79" s="71" t="s">
        <v>655</v>
      </c>
    </row>
    <row r="80" spans="1:3" s="50" customFormat="1">
      <c r="A80" s="147" t="s">
        <v>3951</v>
      </c>
      <c r="B80" s="71" t="s">
        <v>4184</v>
      </c>
      <c r="C80" s="71" t="s">
        <v>4185</v>
      </c>
    </row>
    <row r="81" spans="1:3" s="50" customFormat="1">
      <c r="A81" s="147" t="s">
        <v>765</v>
      </c>
      <c r="B81" s="71" t="s">
        <v>3937</v>
      </c>
      <c r="C81" s="71" t="s">
        <v>3938</v>
      </c>
    </row>
    <row r="82" spans="1:3" s="50" customFormat="1">
      <c r="A82" s="147" t="s">
        <v>575</v>
      </c>
      <c r="B82" s="71" t="s">
        <v>101</v>
      </c>
      <c r="C82" s="71" t="s">
        <v>656</v>
      </c>
    </row>
    <row r="83" spans="1:3" s="50" customFormat="1">
      <c r="A83" s="147" t="s">
        <v>766</v>
      </c>
      <c r="B83" s="71" t="s">
        <v>3940</v>
      </c>
      <c r="C83" s="71" t="s">
        <v>3939</v>
      </c>
    </row>
    <row r="84" spans="1:3" s="69" customFormat="1">
      <c r="A84" s="147" t="s">
        <v>767</v>
      </c>
      <c r="B84" s="148" t="s">
        <v>2540</v>
      </c>
      <c r="C84" s="148" t="s">
        <v>2541</v>
      </c>
    </row>
    <row r="85" spans="1:3" s="69" customFormat="1">
      <c r="A85" s="147" t="s">
        <v>2818</v>
      </c>
      <c r="B85" s="148" t="s">
        <v>3941</v>
      </c>
      <c r="C85" s="148" t="s">
        <v>3946</v>
      </c>
    </row>
    <row r="86" spans="1:3" s="69" customFormat="1">
      <c r="A86" s="147" t="s">
        <v>3952</v>
      </c>
      <c r="B86" s="71" t="s">
        <v>4186</v>
      </c>
      <c r="C86" s="71" t="s">
        <v>4187</v>
      </c>
    </row>
    <row r="87" spans="1:3" s="69" customFormat="1">
      <c r="A87" s="147" t="s">
        <v>3123</v>
      </c>
      <c r="B87" s="148" t="s">
        <v>3942</v>
      </c>
      <c r="C87" s="148" t="s">
        <v>3947</v>
      </c>
    </row>
    <row r="88" spans="1:3" s="69" customFormat="1">
      <c r="A88" s="147" t="s">
        <v>3953</v>
      </c>
      <c r="B88" s="71" t="s">
        <v>4188</v>
      </c>
      <c r="C88" s="71" t="s">
        <v>4189</v>
      </c>
    </row>
    <row r="89" spans="1:3" s="69" customFormat="1">
      <c r="A89" s="147" t="s">
        <v>2819</v>
      </c>
      <c r="B89" s="148" t="s">
        <v>3943</v>
      </c>
      <c r="C89" s="148" t="s">
        <v>3948</v>
      </c>
    </row>
    <row r="90" spans="1:3" s="69" customFormat="1">
      <c r="A90" s="147" t="s">
        <v>2820</v>
      </c>
      <c r="B90" s="148" t="s">
        <v>3944</v>
      </c>
      <c r="C90" s="148" t="s">
        <v>3945</v>
      </c>
    </row>
    <row r="91" spans="1:3" s="50" customFormat="1">
      <c r="A91" s="147" t="s">
        <v>543</v>
      </c>
      <c r="B91" s="71" t="s">
        <v>808</v>
      </c>
      <c r="C91" s="71" t="s">
        <v>689</v>
      </c>
    </row>
    <row r="92" spans="1:3" s="50" customFormat="1">
      <c r="A92" s="147" t="s">
        <v>768</v>
      </c>
      <c r="B92" s="71" t="s">
        <v>549</v>
      </c>
      <c r="C92" s="71" t="s">
        <v>658</v>
      </c>
    </row>
    <row r="93" spans="1:3" s="50" customFormat="1">
      <c r="A93" s="147" t="s">
        <v>769</v>
      </c>
      <c r="B93" s="71" t="s">
        <v>2542</v>
      </c>
      <c r="C93" s="71" t="s">
        <v>2543</v>
      </c>
    </row>
    <row r="94" spans="1:3" s="50" customFormat="1">
      <c r="A94" s="147" t="s">
        <v>770</v>
      </c>
      <c r="B94" s="71" t="s">
        <v>550</v>
      </c>
      <c r="C94" s="71" t="s">
        <v>657</v>
      </c>
    </row>
    <row r="95" spans="1:3" s="50" customFormat="1">
      <c r="A95" s="147" t="s">
        <v>771</v>
      </c>
      <c r="B95" s="71" t="s">
        <v>555</v>
      </c>
      <c r="C95" s="71" t="s">
        <v>660</v>
      </c>
    </row>
    <row r="96" spans="1:3" s="50" customFormat="1">
      <c r="A96" s="147" t="s">
        <v>772</v>
      </c>
      <c r="B96" s="71" t="s">
        <v>554</v>
      </c>
      <c r="C96" s="71" t="s">
        <v>659</v>
      </c>
    </row>
    <row r="97" spans="1:3" s="50" customFormat="1">
      <c r="A97" s="147" t="s">
        <v>773</v>
      </c>
      <c r="B97" s="71" t="s">
        <v>553</v>
      </c>
      <c r="C97" s="71" t="s">
        <v>661</v>
      </c>
    </row>
    <row r="98" spans="1:3" s="50" customFormat="1">
      <c r="A98" s="147" t="s">
        <v>551</v>
      </c>
      <c r="B98" s="71" t="s">
        <v>552</v>
      </c>
      <c r="C98" s="71" t="s">
        <v>2547</v>
      </c>
    </row>
    <row r="99" spans="1:3" s="50" customFormat="1">
      <c r="A99" s="147" t="s">
        <v>2544</v>
      </c>
      <c r="B99" s="71" t="s">
        <v>2545</v>
      </c>
      <c r="C99" s="71" t="s">
        <v>2546</v>
      </c>
    </row>
    <row r="100" spans="1:3" s="50" customFormat="1">
      <c r="A100" s="147" t="s">
        <v>3129</v>
      </c>
      <c r="B100" s="71" t="s">
        <v>3741</v>
      </c>
      <c r="C100" s="71" t="s">
        <v>3742</v>
      </c>
    </row>
    <row r="101" spans="1:3" s="50" customFormat="1">
      <c r="A101" s="147" t="s">
        <v>2437</v>
      </c>
      <c r="B101" s="71" t="s">
        <v>556</v>
      </c>
      <c r="C101" s="71" t="s">
        <v>663</v>
      </c>
    </row>
    <row r="102" spans="1:3" s="50" customFormat="1">
      <c r="A102" s="147" t="s">
        <v>2438</v>
      </c>
      <c r="B102" s="71" t="s">
        <v>561</v>
      </c>
      <c r="C102" s="71" t="s">
        <v>662</v>
      </c>
    </row>
    <row r="103" spans="1:3" s="50" customFormat="1">
      <c r="A103" s="147" t="s">
        <v>774</v>
      </c>
      <c r="B103" s="71" t="s">
        <v>557</v>
      </c>
      <c r="C103" s="71" t="s">
        <v>664</v>
      </c>
    </row>
    <row r="104" spans="1:3" s="50" customFormat="1">
      <c r="A104" s="147" t="s">
        <v>775</v>
      </c>
      <c r="B104" s="71" t="s">
        <v>558</v>
      </c>
      <c r="C104" s="71" t="s">
        <v>2469</v>
      </c>
    </row>
    <row r="105" spans="1:3" s="50" customFormat="1">
      <c r="A105" s="147" t="s">
        <v>776</v>
      </c>
      <c r="B105" s="71" t="s">
        <v>3958</v>
      </c>
      <c r="C105" s="71" t="s">
        <v>3959</v>
      </c>
    </row>
    <row r="106" spans="1:3" s="69" customFormat="1" ht="25.5">
      <c r="A106" s="147" t="s">
        <v>777</v>
      </c>
      <c r="B106" s="72" t="s">
        <v>3132</v>
      </c>
      <c r="C106" s="72" t="s">
        <v>3461</v>
      </c>
    </row>
    <row r="107" spans="1:3" s="50" customFormat="1">
      <c r="A107" s="147" t="s">
        <v>778</v>
      </c>
      <c r="B107" s="71" t="s">
        <v>433</v>
      </c>
      <c r="C107" s="71" t="s">
        <v>665</v>
      </c>
    </row>
    <row r="108" spans="1:3" s="50" customFormat="1">
      <c r="A108" s="147" t="s">
        <v>512</v>
      </c>
      <c r="B108" s="71" t="s">
        <v>3962</v>
      </c>
      <c r="C108" s="71" t="s">
        <v>3963</v>
      </c>
    </row>
    <row r="109" spans="1:3" s="50" customFormat="1">
      <c r="A109" s="147" t="s">
        <v>779</v>
      </c>
      <c r="B109" s="71" t="s">
        <v>513</v>
      </c>
      <c r="C109" s="71" t="s">
        <v>3583</v>
      </c>
    </row>
    <row r="110" spans="1:3" s="50" customFormat="1">
      <c r="A110" s="147" t="s">
        <v>472</v>
      </c>
      <c r="B110" s="71" t="s">
        <v>514</v>
      </c>
      <c r="C110" s="71" t="s">
        <v>666</v>
      </c>
    </row>
    <row r="111" spans="1:3" s="50" customFormat="1">
      <c r="A111" s="147" t="s">
        <v>780</v>
      </c>
      <c r="B111" s="71" t="s">
        <v>3960</v>
      </c>
      <c r="C111" s="71" t="s">
        <v>3961</v>
      </c>
    </row>
    <row r="112" spans="1:3" s="50" customFormat="1">
      <c r="A112" s="147" t="s">
        <v>781</v>
      </c>
      <c r="B112" s="71" t="s">
        <v>519</v>
      </c>
      <c r="C112" s="71" t="s">
        <v>667</v>
      </c>
    </row>
    <row r="113" spans="1:3" s="50" customFormat="1">
      <c r="A113" s="147" t="s">
        <v>2888</v>
      </c>
      <c r="B113" s="71" t="s">
        <v>2767</v>
      </c>
      <c r="C113" s="71" t="s">
        <v>2768</v>
      </c>
    </row>
    <row r="114" spans="1:3" s="50" customFormat="1">
      <c r="A114" s="147" t="s">
        <v>783</v>
      </c>
      <c r="B114" s="71" t="s">
        <v>810</v>
      </c>
      <c r="C114" s="71" t="s">
        <v>690</v>
      </c>
    </row>
    <row r="115" spans="1:3" s="50" customFormat="1">
      <c r="A115" s="147" t="s">
        <v>784</v>
      </c>
      <c r="B115" s="71" t="s">
        <v>811</v>
      </c>
      <c r="C115" s="71" t="s">
        <v>691</v>
      </c>
    </row>
    <row r="116" spans="1:3" s="50" customFormat="1">
      <c r="A116" s="147" t="s">
        <v>785</v>
      </c>
      <c r="B116" s="71" t="s">
        <v>812</v>
      </c>
      <c r="C116" s="71" t="s">
        <v>692</v>
      </c>
    </row>
    <row r="117" spans="1:3" s="50" customFormat="1">
      <c r="A117" s="147" t="s">
        <v>786</v>
      </c>
      <c r="B117" s="71" t="s">
        <v>103</v>
      </c>
      <c r="C117" s="71" t="s">
        <v>668</v>
      </c>
    </row>
    <row r="118" spans="1:3" s="50" customFormat="1">
      <c r="A118" s="147" t="s">
        <v>3954</v>
      </c>
      <c r="B118" s="71" t="s">
        <v>4190</v>
      </c>
      <c r="C118" s="71" t="s">
        <v>4191</v>
      </c>
    </row>
    <row r="119" spans="1:3" s="50" customFormat="1">
      <c r="A119" s="147" t="s">
        <v>787</v>
      </c>
      <c r="B119" s="71" t="s">
        <v>813</v>
      </c>
      <c r="C119" s="71" t="s">
        <v>693</v>
      </c>
    </row>
    <row r="120" spans="1:3" s="50" customFormat="1" ht="25.5">
      <c r="A120" s="147" t="s">
        <v>788</v>
      </c>
      <c r="B120" s="72" t="s">
        <v>2765</v>
      </c>
      <c r="C120" s="72" t="s">
        <v>2766</v>
      </c>
    </row>
    <row r="121" spans="1:3" s="50" customFormat="1">
      <c r="A121" s="147" t="s">
        <v>789</v>
      </c>
      <c r="B121" s="71" t="s">
        <v>4075</v>
      </c>
      <c r="C121" s="71" t="s">
        <v>4076</v>
      </c>
    </row>
    <row r="122" spans="1:3" s="50" customFormat="1">
      <c r="A122" s="56" t="s">
        <v>835</v>
      </c>
      <c r="B122" s="56" t="s">
        <v>4059</v>
      </c>
      <c r="C122" s="57" t="s">
        <v>4058</v>
      </c>
    </row>
    <row r="123" spans="1:3" s="50" customFormat="1">
      <c r="A123" s="56" t="s">
        <v>836</v>
      </c>
      <c r="B123" s="56" t="s">
        <v>237</v>
      </c>
      <c r="C123" s="57" t="s">
        <v>646</v>
      </c>
    </row>
    <row r="124" spans="1:3" s="50" customFormat="1">
      <c r="A124" s="56" t="s">
        <v>837</v>
      </c>
      <c r="B124" s="56" t="s">
        <v>242</v>
      </c>
      <c r="C124" s="57" t="s">
        <v>641</v>
      </c>
    </row>
    <row r="125" spans="1:3" s="50" customFormat="1">
      <c r="A125" s="56" t="s">
        <v>838</v>
      </c>
      <c r="B125" s="56" t="s">
        <v>471</v>
      </c>
      <c r="C125" s="57" t="s">
        <v>1081</v>
      </c>
    </row>
    <row r="126" spans="1:3" s="50" customFormat="1">
      <c r="A126" s="56" t="s">
        <v>839</v>
      </c>
      <c r="B126" s="56" t="s">
        <v>244</v>
      </c>
      <c r="C126" s="57" t="s">
        <v>643</v>
      </c>
    </row>
    <row r="127" spans="1:3" s="50" customFormat="1">
      <c r="A127" s="56" t="s">
        <v>840</v>
      </c>
      <c r="B127" s="56" t="s">
        <v>245</v>
      </c>
      <c r="C127" s="57" t="s">
        <v>647</v>
      </c>
    </row>
    <row r="128" spans="1:3" s="50" customFormat="1">
      <c r="A128" s="56" t="s">
        <v>841</v>
      </c>
      <c r="B128" s="56" t="s">
        <v>243</v>
      </c>
      <c r="C128" s="56" t="s">
        <v>642</v>
      </c>
    </row>
    <row r="129" spans="1:3" s="50" customFormat="1">
      <c r="A129" s="56" t="s">
        <v>842</v>
      </c>
      <c r="B129" s="56" t="s">
        <v>243</v>
      </c>
      <c r="C129" s="56" t="s">
        <v>642</v>
      </c>
    </row>
    <row r="130" spans="1:3" s="50" customFormat="1">
      <c r="A130" s="56" t="s">
        <v>843</v>
      </c>
      <c r="B130" s="56" t="s">
        <v>243</v>
      </c>
      <c r="C130" s="56" t="s">
        <v>642</v>
      </c>
    </row>
    <row r="131" spans="1:3" s="50" customFormat="1">
      <c r="A131" s="56" t="s">
        <v>844</v>
      </c>
      <c r="B131" s="56" t="s">
        <v>246</v>
      </c>
      <c r="C131" s="56" t="s">
        <v>644</v>
      </c>
    </row>
    <row r="132" spans="1:3" s="50" customFormat="1">
      <c r="A132" s="56" t="s">
        <v>845</v>
      </c>
      <c r="B132" s="56" t="s">
        <v>247</v>
      </c>
      <c r="C132" s="56" t="s">
        <v>645</v>
      </c>
    </row>
    <row r="133" spans="1:3" s="50" customFormat="1">
      <c r="A133" s="56" t="s">
        <v>846</v>
      </c>
      <c r="B133" s="56" t="s">
        <v>246</v>
      </c>
      <c r="C133" s="56" t="s">
        <v>644</v>
      </c>
    </row>
    <row r="134" spans="1:3" s="50" customFormat="1">
      <c r="A134" s="56" t="s">
        <v>847</v>
      </c>
      <c r="B134" s="56" t="s">
        <v>247</v>
      </c>
      <c r="C134" s="56" t="s">
        <v>645</v>
      </c>
    </row>
    <row r="135" spans="1:3" s="50" customFormat="1">
      <c r="A135" s="56" t="s">
        <v>848</v>
      </c>
      <c r="B135" s="56" t="s">
        <v>246</v>
      </c>
      <c r="C135" s="56" t="s">
        <v>644</v>
      </c>
    </row>
    <row r="136" spans="1:3" s="50" customFormat="1">
      <c r="A136" s="56" t="s">
        <v>849</v>
      </c>
      <c r="B136" s="56" t="s">
        <v>247</v>
      </c>
      <c r="C136" s="56" t="s">
        <v>645</v>
      </c>
    </row>
    <row r="137" spans="1:3" s="50" customFormat="1">
      <c r="A137" s="56" t="s">
        <v>850</v>
      </c>
      <c r="B137" s="56" t="s">
        <v>707</v>
      </c>
      <c r="C137" s="57" t="s">
        <v>834</v>
      </c>
    </row>
    <row r="138" spans="1:3" s="50" customFormat="1">
      <c r="A138" s="147" t="s">
        <v>790</v>
      </c>
      <c r="B138" s="71" t="s">
        <v>254</v>
      </c>
      <c r="C138" s="71" t="s">
        <v>669</v>
      </c>
    </row>
    <row r="139" spans="1:3" s="50" customFormat="1">
      <c r="A139" s="147" t="s">
        <v>2663</v>
      </c>
      <c r="B139" s="71" t="s">
        <v>3115</v>
      </c>
      <c r="C139" s="71" t="s">
        <v>3618</v>
      </c>
    </row>
    <row r="140" spans="1:3" s="50" customFormat="1">
      <c r="A140" s="147" t="s">
        <v>2664</v>
      </c>
      <c r="B140" s="71" t="s">
        <v>3116</v>
      </c>
      <c r="C140" s="71" t="s">
        <v>3619</v>
      </c>
    </row>
    <row r="141" spans="1:3" s="50" customFormat="1">
      <c r="A141" s="147" t="s">
        <v>2665</v>
      </c>
      <c r="B141" s="71" t="s">
        <v>3097</v>
      </c>
      <c r="C141" s="71" t="s">
        <v>2686</v>
      </c>
    </row>
    <row r="142" spans="1:3" s="50" customFormat="1">
      <c r="A142" s="147" t="s">
        <v>3098</v>
      </c>
      <c r="B142" s="71" t="s">
        <v>3743</v>
      </c>
      <c r="C142" s="71" t="s">
        <v>3744</v>
      </c>
    </row>
    <row r="143" spans="1:3" s="50" customFormat="1">
      <c r="A143" s="147" t="s">
        <v>2666</v>
      </c>
      <c r="B143" s="71" t="s">
        <v>2688</v>
      </c>
      <c r="C143" s="71" t="s">
        <v>2689</v>
      </c>
    </row>
    <row r="144" spans="1:3" s="50" customFormat="1">
      <c r="A144" s="147" t="s">
        <v>2667</v>
      </c>
      <c r="B144" s="71" t="s">
        <v>2687</v>
      </c>
      <c r="C144" s="71" t="s">
        <v>2690</v>
      </c>
    </row>
    <row r="145" spans="1:3" s="50" customFormat="1">
      <c r="A145" s="147" t="s">
        <v>791</v>
      </c>
      <c r="B145" s="71" t="s">
        <v>3100</v>
      </c>
      <c r="C145" s="71" t="s">
        <v>2691</v>
      </c>
    </row>
    <row r="146" spans="1:3" s="50" customFormat="1">
      <c r="A146" s="147" t="s">
        <v>792</v>
      </c>
      <c r="B146" s="71" t="s">
        <v>106</v>
      </c>
      <c r="C146" s="71" t="s">
        <v>670</v>
      </c>
    </row>
    <row r="147" spans="1:3" s="50" customFormat="1">
      <c r="A147" s="147" t="s">
        <v>793</v>
      </c>
      <c r="B147" s="71" t="s">
        <v>107</v>
      </c>
      <c r="C147" s="71" t="s">
        <v>671</v>
      </c>
    </row>
    <row r="148" spans="1:3" s="50" customFormat="1">
      <c r="A148" s="147" t="s">
        <v>794</v>
      </c>
      <c r="B148" s="71" t="s">
        <v>108</v>
      </c>
      <c r="C148" s="71" t="s">
        <v>672</v>
      </c>
    </row>
    <row r="149" spans="1:3" s="50" customFormat="1">
      <c r="A149" s="147" t="s">
        <v>795</v>
      </c>
      <c r="B149" s="71" t="s">
        <v>112</v>
      </c>
      <c r="C149" s="71" t="s">
        <v>673</v>
      </c>
    </row>
    <row r="150" spans="1:3" s="50" customFormat="1">
      <c r="A150" s="147" t="s">
        <v>796</v>
      </c>
      <c r="B150" s="71" t="s">
        <v>262</v>
      </c>
      <c r="C150" s="71" t="s">
        <v>674</v>
      </c>
    </row>
    <row r="151" spans="1:3" s="50" customFormat="1">
      <c r="A151" s="147" t="s">
        <v>797</v>
      </c>
      <c r="B151" s="71" t="s">
        <v>263</v>
      </c>
      <c r="C151" s="71" t="s">
        <v>675</v>
      </c>
    </row>
    <row r="152" spans="1:3" s="50" customFormat="1">
      <c r="A152" s="147" t="s">
        <v>798</v>
      </c>
      <c r="B152" s="71" t="s">
        <v>264</v>
      </c>
      <c r="C152" s="71" t="s">
        <v>676</v>
      </c>
    </row>
    <row r="153" spans="1:3" s="50" customFormat="1" ht="30" customHeight="1">
      <c r="A153" s="149" t="s">
        <v>2668</v>
      </c>
      <c r="B153" s="73" t="s">
        <v>3964</v>
      </c>
      <c r="C153" s="73" t="s">
        <v>3965</v>
      </c>
    </row>
    <row r="154" spans="1:3" s="50" customFormat="1" ht="25.5">
      <c r="A154" s="147" t="s">
        <v>799</v>
      </c>
      <c r="B154" s="72" t="s">
        <v>694</v>
      </c>
      <c r="C154" s="72" t="s">
        <v>677</v>
      </c>
    </row>
    <row r="155" spans="1:3" s="50" customFormat="1">
      <c r="A155" s="147" t="s">
        <v>800</v>
      </c>
      <c r="B155" s="71" t="s">
        <v>39</v>
      </c>
      <c r="C155" s="71" t="s">
        <v>678</v>
      </c>
    </row>
    <row r="156" spans="1:3" s="50" customFormat="1">
      <c r="A156" s="147" t="s">
        <v>2770</v>
      </c>
      <c r="B156" s="71" t="s">
        <v>2772</v>
      </c>
      <c r="C156" s="71" t="s">
        <v>2773</v>
      </c>
    </row>
    <row r="157" spans="1:3" s="50" customFormat="1">
      <c r="A157" s="147" t="s">
        <v>2771</v>
      </c>
      <c r="B157" s="71" t="s">
        <v>2774</v>
      </c>
      <c r="C157" s="71" t="s">
        <v>2775</v>
      </c>
    </row>
    <row r="158" spans="1:3" s="50" customFormat="1" ht="25.5">
      <c r="A158" s="147" t="s">
        <v>2779</v>
      </c>
      <c r="B158" s="72" t="s">
        <v>2780</v>
      </c>
      <c r="C158" s="72" t="s">
        <v>2781</v>
      </c>
    </row>
    <row r="159" spans="1:3" s="50" customFormat="1">
      <c r="A159" s="147" t="s">
        <v>801</v>
      </c>
      <c r="B159" s="71" t="s">
        <v>113</v>
      </c>
      <c r="C159" s="71" t="s">
        <v>679</v>
      </c>
    </row>
    <row r="160" spans="1:3" s="50" customFormat="1">
      <c r="A160" s="147" t="s">
        <v>802</v>
      </c>
      <c r="B160" s="71" t="s">
        <v>2675</v>
      </c>
      <c r="C160" s="71" t="s">
        <v>2676</v>
      </c>
    </row>
    <row r="161" spans="1:3" s="50" customFormat="1">
      <c r="A161" s="147" t="s">
        <v>2669</v>
      </c>
      <c r="B161" s="71" t="s">
        <v>3119</v>
      </c>
      <c r="C161" s="71" t="s">
        <v>2692</v>
      </c>
    </row>
    <row r="162" spans="1:3" s="50" customFormat="1">
      <c r="A162" s="147" t="s">
        <v>3120</v>
      </c>
      <c r="B162" s="71" t="s">
        <v>3745</v>
      </c>
      <c r="C162" s="71" t="s">
        <v>3747</v>
      </c>
    </row>
    <row r="163" spans="1:3" s="50" customFormat="1">
      <c r="A163" s="147" t="s">
        <v>3121</v>
      </c>
      <c r="B163" s="71" t="s">
        <v>3746</v>
      </c>
      <c r="C163" s="71" t="s">
        <v>3748</v>
      </c>
    </row>
    <row r="164" spans="1:3" s="50" customFormat="1">
      <c r="A164" s="147" t="s">
        <v>2670</v>
      </c>
      <c r="B164" s="71" t="s">
        <v>2776</v>
      </c>
      <c r="C164" s="71" t="s">
        <v>2777</v>
      </c>
    </row>
    <row r="165" spans="1:3" s="50" customFormat="1">
      <c r="A165" s="147" t="s">
        <v>2671</v>
      </c>
      <c r="B165" s="71" t="s">
        <v>3122</v>
      </c>
      <c r="C165" s="71" t="s">
        <v>2693</v>
      </c>
    </row>
    <row r="166" spans="1:3" s="50" customFormat="1">
      <c r="A166" s="147" t="s">
        <v>2672</v>
      </c>
      <c r="B166" s="71" t="s">
        <v>3624</v>
      </c>
      <c r="C166" s="71" t="s">
        <v>3625</v>
      </c>
    </row>
    <row r="167" spans="1:3" s="50" customFormat="1">
      <c r="A167" s="147" t="s">
        <v>35</v>
      </c>
      <c r="B167" s="71" t="s">
        <v>2673</v>
      </c>
      <c r="C167" s="71" t="s">
        <v>2674</v>
      </c>
    </row>
    <row r="168" spans="1:3" s="50" customFormat="1">
      <c r="A168" s="147" t="s">
        <v>803</v>
      </c>
      <c r="B168" s="71" t="s">
        <v>3</v>
      </c>
      <c r="C168" s="71" t="s">
        <v>680</v>
      </c>
    </row>
    <row r="169" spans="1:3" s="50" customFormat="1">
      <c r="A169" s="147" t="s">
        <v>2885</v>
      </c>
      <c r="B169" s="71" t="s">
        <v>2886</v>
      </c>
      <c r="C169" s="71" t="s">
        <v>2887</v>
      </c>
    </row>
    <row r="170" spans="1:3" s="50" customFormat="1" ht="25.5">
      <c r="A170" s="149" t="s">
        <v>805</v>
      </c>
      <c r="B170" s="72" t="s">
        <v>3930</v>
      </c>
      <c r="C170" s="72" t="s">
        <v>3931</v>
      </c>
    </row>
    <row r="171" spans="1:3" s="50" customFormat="1">
      <c r="A171" s="147" t="s">
        <v>806</v>
      </c>
      <c r="B171" s="71" t="s">
        <v>473</v>
      </c>
      <c r="C171" s="71" t="s">
        <v>681</v>
      </c>
    </row>
    <row r="172" spans="1:3" s="50" customFormat="1">
      <c r="A172" s="147" t="s">
        <v>382</v>
      </c>
      <c r="B172" s="71" t="s">
        <v>38</v>
      </c>
      <c r="C172" s="71" t="s">
        <v>682</v>
      </c>
    </row>
    <row r="173" spans="1:3" s="50" customFormat="1">
      <c r="A173" s="147" t="s">
        <v>807</v>
      </c>
      <c r="B173" s="71" t="s">
        <v>174</v>
      </c>
      <c r="C173" s="71" t="s">
        <v>683</v>
      </c>
    </row>
    <row r="174" spans="1:3" s="50" customFormat="1" ht="25.5">
      <c r="A174" s="71" t="s">
        <v>2482</v>
      </c>
      <c r="B174" s="72" t="s">
        <v>2585</v>
      </c>
      <c r="C174" s="72" t="s">
        <v>2586</v>
      </c>
    </row>
    <row r="175" spans="1:3" s="50" customFormat="1">
      <c r="A175" s="71" t="s">
        <v>2483</v>
      </c>
      <c r="B175" s="71" t="s">
        <v>695</v>
      </c>
      <c r="C175" s="71" t="s">
        <v>700</v>
      </c>
    </row>
    <row r="176" spans="1:3" s="50" customFormat="1" ht="38.25">
      <c r="A176" s="71" t="s">
        <v>2484</v>
      </c>
      <c r="B176" s="72" t="s">
        <v>696</v>
      </c>
      <c r="C176" s="72" t="s">
        <v>701</v>
      </c>
    </row>
    <row r="177" spans="1:3" s="50" customFormat="1" ht="38.25">
      <c r="A177" s="71" t="s">
        <v>2485</v>
      </c>
      <c r="B177" s="72" t="s">
        <v>252</v>
      </c>
      <c r="C177" s="72" t="s">
        <v>685</v>
      </c>
    </row>
    <row r="178" spans="1:3" s="50" customFormat="1" ht="25.5">
      <c r="A178" s="71" t="s">
        <v>2486</v>
      </c>
      <c r="B178" s="72" t="s">
        <v>697</v>
      </c>
      <c r="C178" s="72" t="s">
        <v>702</v>
      </c>
    </row>
    <row r="179" spans="1:3" s="50" customFormat="1" ht="38.25">
      <c r="A179" s="71" t="s">
        <v>2487</v>
      </c>
      <c r="B179" s="72" t="s">
        <v>253</v>
      </c>
      <c r="C179" s="72" t="s">
        <v>684</v>
      </c>
    </row>
    <row r="180" spans="1:3" s="50" customFormat="1" ht="38.25">
      <c r="A180" s="71" t="s">
        <v>2488</v>
      </c>
      <c r="B180" s="72" t="s">
        <v>698</v>
      </c>
      <c r="C180" s="72" t="s">
        <v>703</v>
      </c>
    </row>
    <row r="181" spans="1:3" s="50" customFormat="1">
      <c r="A181" s="71" t="s">
        <v>2489</v>
      </c>
      <c r="B181" s="71" t="s">
        <v>699</v>
      </c>
      <c r="C181" s="71" t="s">
        <v>704</v>
      </c>
    </row>
    <row r="182" spans="1:3" s="50" customFormat="1">
      <c r="A182" s="56" t="s">
        <v>814</v>
      </c>
      <c r="B182" s="56" t="s">
        <v>474</v>
      </c>
      <c r="C182" s="57" t="s">
        <v>869</v>
      </c>
    </row>
    <row r="183" spans="1:3" s="50" customFormat="1">
      <c r="A183" s="56" t="s">
        <v>866</v>
      </c>
      <c r="B183" s="56" t="s">
        <v>2593</v>
      </c>
      <c r="C183" s="57" t="s">
        <v>2594</v>
      </c>
    </row>
    <row r="184" spans="1:3" s="50" customFormat="1">
      <c r="A184" s="56" t="s">
        <v>867</v>
      </c>
      <c r="B184" s="56" t="s">
        <v>237</v>
      </c>
      <c r="C184" s="57" t="s">
        <v>646</v>
      </c>
    </row>
    <row r="185" spans="1:3" s="50" customFormat="1">
      <c r="A185" s="56" t="s">
        <v>851</v>
      </c>
      <c r="B185" s="56" t="s">
        <v>242</v>
      </c>
      <c r="C185" s="57" t="s">
        <v>641</v>
      </c>
    </row>
    <row r="186" spans="1:3" s="50" customFormat="1">
      <c r="A186" s="56" t="s">
        <v>852</v>
      </c>
      <c r="B186" s="56" t="s">
        <v>471</v>
      </c>
      <c r="C186" s="57" t="s">
        <v>1081</v>
      </c>
    </row>
    <row r="187" spans="1:3" s="50" customFormat="1">
      <c r="A187" s="56" t="s">
        <v>853</v>
      </c>
      <c r="B187" s="56" t="s">
        <v>244</v>
      </c>
      <c r="C187" s="57" t="s">
        <v>643</v>
      </c>
    </row>
    <row r="188" spans="1:3" s="50" customFormat="1">
      <c r="A188" s="56" t="s">
        <v>854</v>
      </c>
      <c r="B188" s="56" t="s">
        <v>243</v>
      </c>
      <c r="C188" s="56" t="s">
        <v>642</v>
      </c>
    </row>
    <row r="189" spans="1:3" s="50" customFormat="1">
      <c r="A189" s="56" t="s">
        <v>855</v>
      </c>
      <c r="B189" s="56" t="s">
        <v>243</v>
      </c>
      <c r="C189" s="56" t="s">
        <v>642</v>
      </c>
    </row>
    <row r="190" spans="1:3" s="50" customFormat="1">
      <c r="A190" s="56" t="s">
        <v>856</v>
      </c>
      <c r="B190" s="56" t="s">
        <v>243</v>
      </c>
      <c r="C190" s="56" t="s">
        <v>642</v>
      </c>
    </row>
    <row r="191" spans="1:3" s="50" customFormat="1">
      <c r="A191" s="56" t="s">
        <v>857</v>
      </c>
      <c r="B191" s="56" t="s">
        <v>246</v>
      </c>
      <c r="C191" s="56" t="s">
        <v>644</v>
      </c>
    </row>
    <row r="192" spans="1:3" s="50" customFormat="1">
      <c r="A192" s="56" t="s">
        <v>858</v>
      </c>
      <c r="B192" s="56" t="s">
        <v>247</v>
      </c>
      <c r="C192" s="56" t="s">
        <v>645</v>
      </c>
    </row>
    <row r="193" spans="1:3" s="50" customFormat="1">
      <c r="A193" s="56" t="s">
        <v>859</v>
      </c>
      <c r="B193" s="56" t="s">
        <v>246</v>
      </c>
      <c r="C193" s="56" t="s">
        <v>644</v>
      </c>
    </row>
    <row r="194" spans="1:3" s="50" customFormat="1">
      <c r="A194" s="56" t="s">
        <v>860</v>
      </c>
      <c r="B194" s="56" t="s">
        <v>247</v>
      </c>
      <c r="C194" s="56" t="s">
        <v>645</v>
      </c>
    </row>
    <row r="195" spans="1:3" s="50" customFormat="1">
      <c r="A195" s="56" t="s">
        <v>861</v>
      </c>
      <c r="B195" s="56" t="s">
        <v>246</v>
      </c>
      <c r="C195" s="56" t="s">
        <v>644</v>
      </c>
    </row>
    <row r="196" spans="1:3" s="50" customFormat="1">
      <c r="A196" s="56" t="s">
        <v>862</v>
      </c>
      <c r="B196" s="56" t="s">
        <v>247</v>
      </c>
      <c r="C196" s="56" t="s">
        <v>645</v>
      </c>
    </row>
    <row r="197" spans="1:3" s="50" customFormat="1">
      <c r="A197" s="147" t="s">
        <v>904</v>
      </c>
      <c r="B197" s="71" t="s">
        <v>475</v>
      </c>
      <c r="C197" s="71" t="s">
        <v>871</v>
      </c>
    </row>
    <row r="198" spans="1:3" s="50" customFormat="1">
      <c r="A198" s="147" t="s">
        <v>905</v>
      </c>
      <c r="B198" s="71" t="s">
        <v>265</v>
      </c>
      <c r="C198" s="71" t="s">
        <v>872</v>
      </c>
    </row>
    <row r="199" spans="1:3" s="50" customFormat="1">
      <c r="A199" s="147" t="s">
        <v>906</v>
      </c>
      <c r="B199" s="71" t="s">
        <v>477</v>
      </c>
      <c r="C199" s="71" t="s">
        <v>873</v>
      </c>
    </row>
    <row r="200" spans="1:3" s="50" customFormat="1">
      <c r="A200" s="147" t="s">
        <v>907</v>
      </c>
      <c r="B200" s="71" t="s">
        <v>478</v>
      </c>
      <c r="C200" s="71" t="s">
        <v>874</v>
      </c>
    </row>
    <row r="201" spans="1:3" s="50" customFormat="1">
      <c r="A201" s="147" t="s">
        <v>908</v>
      </c>
      <c r="B201" s="71" t="s">
        <v>479</v>
      </c>
      <c r="C201" s="71" t="s">
        <v>875</v>
      </c>
    </row>
    <row r="202" spans="1:3" s="50" customFormat="1">
      <c r="A202" s="147" t="s">
        <v>909</v>
      </c>
      <c r="B202" s="71" t="s">
        <v>480</v>
      </c>
      <c r="C202" s="71" t="s">
        <v>876</v>
      </c>
    </row>
    <row r="203" spans="1:3" s="50" customFormat="1">
      <c r="A203" s="147" t="s">
        <v>910</v>
      </c>
      <c r="B203" s="71" t="s">
        <v>147</v>
      </c>
      <c r="C203" s="71" t="s">
        <v>877</v>
      </c>
    </row>
    <row r="204" spans="1:3" s="50" customFormat="1">
      <c r="A204" s="147" t="s">
        <v>911</v>
      </c>
      <c r="B204" s="71" t="s">
        <v>481</v>
      </c>
      <c r="C204" s="71" t="s">
        <v>878</v>
      </c>
    </row>
    <row r="205" spans="1:3" s="50" customFormat="1">
      <c r="A205" s="147" t="s">
        <v>912</v>
      </c>
      <c r="B205" s="71" t="s">
        <v>483</v>
      </c>
      <c r="C205" s="71" t="s">
        <v>879</v>
      </c>
    </row>
    <row r="206" spans="1:3" s="50" customFormat="1">
      <c r="A206" s="147" t="s">
        <v>913</v>
      </c>
      <c r="B206" s="71" t="s">
        <v>484</v>
      </c>
      <c r="C206" s="71" t="s">
        <v>880</v>
      </c>
    </row>
    <row r="207" spans="1:3" s="50" customFormat="1">
      <c r="A207" s="147" t="s">
        <v>914</v>
      </c>
      <c r="B207" s="71" t="s">
        <v>485</v>
      </c>
      <c r="C207" s="71" t="s">
        <v>881</v>
      </c>
    </row>
    <row r="208" spans="1:3" s="50" customFormat="1">
      <c r="A208" s="147" t="s">
        <v>915</v>
      </c>
      <c r="B208" s="71" t="s">
        <v>486</v>
      </c>
      <c r="C208" s="71" t="s">
        <v>882</v>
      </c>
    </row>
    <row r="209" spans="1:3" s="50" customFormat="1">
      <c r="A209" s="147" t="s">
        <v>916</v>
      </c>
      <c r="B209" s="71" t="s">
        <v>487</v>
      </c>
      <c r="C209" s="71" t="s">
        <v>883</v>
      </c>
    </row>
    <row r="210" spans="1:3" s="50" customFormat="1">
      <c r="A210" s="147" t="s">
        <v>917</v>
      </c>
      <c r="B210" s="71" t="s">
        <v>266</v>
      </c>
      <c r="C210" s="71" t="s">
        <v>884</v>
      </c>
    </row>
    <row r="211" spans="1:3" s="50" customFormat="1">
      <c r="A211" s="147" t="s">
        <v>918</v>
      </c>
      <c r="B211" s="71" t="s">
        <v>267</v>
      </c>
      <c r="C211" s="71" t="s">
        <v>885</v>
      </c>
    </row>
    <row r="212" spans="1:3" s="50" customFormat="1">
      <c r="A212" s="147" t="s">
        <v>919</v>
      </c>
      <c r="B212" s="71" t="s">
        <v>268</v>
      </c>
      <c r="C212" s="71" t="s">
        <v>886</v>
      </c>
    </row>
    <row r="213" spans="1:3" s="50" customFormat="1">
      <c r="A213" s="147" t="s">
        <v>920</v>
      </c>
      <c r="B213" s="71" t="s">
        <v>0</v>
      </c>
      <c r="C213" s="71" t="s">
        <v>887</v>
      </c>
    </row>
    <row r="214" spans="1:3" s="50" customFormat="1">
      <c r="A214" s="147" t="s">
        <v>921</v>
      </c>
      <c r="B214" s="71" t="s">
        <v>1</v>
      </c>
      <c r="C214" s="71" t="s">
        <v>888</v>
      </c>
    </row>
    <row r="215" spans="1:3" s="50" customFormat="1">
      <c r="A215" s="147" t="s">
        <v>922</v>
      </c>
      <c r="B215" s="71" t="s">
        <v>2</v>
      </c>
      <c r="C215" s="71" t="s">
        <v>889</v>
      </c>
    </row>
    <row r="216" spans="1:3" s="50" customFormat="1">
      <c r="A216" s="147" t="s">
        <v>923</v>
      </c>
      <c r="B216" s="71" t="s">
        <v>4</v>
      </c>
      <c r="C216" s="71" t="s">
        <v>890</v>
      </c>
    </row>
    <row r="217" spans="1:3" s="50" customFormat="1">
      <c r="A217" s="147" t="s">
        <v>924</v>
      </c>
      <c r="B217" s="71" t="s">
        <v>5</v>
      </c>
      <c r="C217" s="71" t="s">
        <v>5</v>
      </c>
    </row>
    <row r="218" spans="1:3" s="50" customFormat="1">
      <c r="A218" s="147" t="s">
        <v>526</v>
      </c>
      <c r="B218" s="71" t="s">
        <v>6</v>
      </c>
      <c r="C218" s="71" t="s">
        <v>6</v>
      </c>
    </row>
    <row r="219" spans="1:3" s="50" customFormat="1">
      <c r="A219" s="147" t="s">
        <v>925</v>
      </c>
      <c r="B219" s="71" t="s">
        <v>527</v>
      </c>
      <c r="C219" s="71" t="s">
        <v>903</v>
      </c>
    </row>
    <row r="220" spans="1:3" s="50" customFormat="1">
      <c r="A220" s="147" t="s">
        <v>926</v>
      </c>
      <c r="B220" s="71" t="s">
        <v>7</v>
      </c>
      <c r="C220" s="71" t="s">
        <v>2179</v>
      </c>
    </row>
    <row r="221" spans="1:3" s="50" customFormat="1">
      <c r="A221" s="147" t="s">
        <v>927</v>
      </c>
      <c r="B221" s="71" t="s">
        <v>8</v>
      </c>
      <c r="C221" s="71" t="s">
        <v>891</v>
      </c>
    </row>
    <row r="222" spans="1:3" s="50" customFormat="1">
      <c r="A222" s="147" t="s">
        <v>928</v>
      </c>
      <c r="B222" s="71" t="s">
        <v>40</v>
      </c>
      <c r="C222" s="71" t="s">
        <v>892</v>
      </c>
    </row>
    <row r="223" spans="1:3" s="50" customFormat="1">
      <c r="A223" s="147" t="s">
        <v>929</v>
      </c>
      <c r="B223" s="71" t="s">
        <v>269</v>
      </c>
      <c r="C223" s="71" t="s">
        <v>893</v>
      </c>
    </row>
    <row r="224" spans="1:3" s="50" customFormat="1" ht="25.5">
      <c r="A224" s="147" t="s">
        <v>930</v>
      </c>
      <c r="B224" s="72" t="s">
        <v>870</v>
      </c>
      <c r="C224" s="72" t="s">
        <v>894</v>
      </c>
    </row>
    <row r="225" spans="1:3" s="50" customFormat="1">
      <c r="A225" s="147" t="s">
        <v>931</v>
      </c>
      <c r="B225" s="71" t="s">
        <v>41</v>
      </c>
      <c r="C225" s="71" t="s">
        <v>895</v>
      </c>
    </row>
    <row r="226" spans="1:3" s="50" customFormat="1">
      <c r="A226" s="147" t="s">
        <v>932</v>
      </c>
      <c r="B226" s="71" t="s">
        <v>270</v>
      </c>
      <c r="C226" s="148" t="s">
        <v>941</v>
      </c>
    </row>
    <row r="227" spans="1:3" s="50" customFormat="1">
      <c r="A227" s="147" t="s">
        <v>933</v>
      </c>
      <c r="B227" s="71" t="s">
        <v>271</v>
      </c>
      <c r="C227" s="71" t="s">
        <v>896</v>
      </c>
    </row>
    <row r="228" spans="1:3" s="50" customFormat="1">
      <c r="A228" s="147" t="s">
        <v>934</v>
      </c>
      <c r="B228" s="71" t="s">
        <v>9</v>
      </c>
      <c r="C228" s="71" t="s">
        <v>897</v>
      </c>
    </row>
    <row r="229" spans="1:3" s="50" customFormat="1">
      <c r="A229" s="147" t="s">
        <v>935</v>
      </c>
      <c r="B229" s="71" t="s">
        <v>272</v>
      </c>
      <c r="C229" s="71" t="s">
        <v>898</v>
      </c>
    </row>
    <row r="230" spans="1:3" s="50" customFormat="1">
      <c r="A230" s="147" t="s">
        <v>936</v>
      </c>
      <c r="B230" s="71" t="s">
        <v>11</v>
      </c>
      <c r="C230" s="71" t="s">
        <v>899</v>
      </c>
    </row>
    <row r="231" spans="1:3" s="50" customFormat="1">
      <c r="A231" s="147" t="s">
        <v>937</v>
      </c>
      <c r="B231" s="71" t="s">
        <v>12</v>
      </c>
      <c r="C231" s="71" t="s">
        <v>900</v>
      </c>
    </row>
    <row r="232" spans="1:3" s="50" customFormat="1">
      <c r="A232" s="147" t="s">
        <v>938</v>
      </c>
      <c r="B232" s="71" t="s">
        <v>281</v>
      </c>
      <c r="C232" s="71" t="s">
        <v>901</v>
      </c>
    </row>
    <row r="233" spans="1:3" s="50" customFormat="1">
      <c r="A233" s="147" t="s">
        <v>939</v>
      </c>
      <c r="B233" s="71" t="s">
        <v>42</v>
      </c>
      <c r="C233" s="71" t="s">
        <v>902</v>
      </c>
    </row>
    <row r="234" spans="1:3" s="50" customFormat="1">
      <c r="A234" s="147" t="s">
        <v>940</v>
      </c>
      <c r="B234" s="71" t="s">
        <v>3622</v>
      </c>
      <c r="C234" s="71" t="s">
        <v>3623</v>
      </c>
    </row>
    <row r="235" spans="1:3" s="50" customFormat="1">
      <c r="A235" s="71" t="s">
        <v>865</v>
      </c>
      <c r="B235" s="71" t="s">
        <v>3979</v>
      </c>
      <c r="C235" s="71" t="s">
        <v>3980</v>
      </c>
    </row>
    <row r="236" spans="1:3" s="50" customFormat="1">
      <c r="A236" s="71" t="s">
        <v>942</v>
      </c>
      <c r="B236" s="71" t="s">
        <v>2593</v>
      </c>
      <c r="C236" s="71" t="s">
        <v>2594</v>
      </c>
    </row>
    <row r="237" spans="1:3" s="50" customFormat="1">
      <c r="A237" s="71" t="s">
        <v>943</v>
      </c>
      <c r="B237" s="71" t="s">
        <v>237</v>
      </c>
      <c r="C237" s="71" t="s">
        <v>646</v>
      </c>
    </row>
    <row r="238" spans="1:3" s="50" customFormat="1">
      <c r="A238" s="71" t="s">
        <v>946</v>
      </c>
      <c r="B238" s="71" t="s">
        <v>242</v>
      </c>
      <c r="C238" s="71" t="s">
        <v>641</v>
      </c>
    </row>
    <row r="239" spans="1:3" s="50" customFormat="1">
      <c r="A239" s="71" t="s">
        <v>947</v>
      </c>
      <c r="B239" s="71" t="s">
        <v>471</v>
      </c>
      <c r="C239" s="71" t="s">
        <v>1081</v>
      </c>
    </row>
    <row r="240" spans="1:3" s="50" customFormat="1">
      <c r="A240" s="71" t="s">
        <v>948</v>
      </c>
      <c r="B240" s="71" t="s">
        <v>244</v>
      </c>
      <c r="C240" s="71" t="s">
        <v>643</v>
      </c>
    </row>
    <row r="241" spans="1:3" s="50" customFormat="1">
      <c r="A241" s="71" t="s">
        <v>949</v>
      </c>
      <c r="B241" s="71" t="str">
        <f>+"Zusatzangaben für "&amp;jahr</f>
        <v>Zusatzangaben für 2023</v>
      </c>
      <c r="C241" s="71" t="str">
        <f>+"Indic. suppl. pour "&amp;jahr</f>
        <v>Indic. suppl. pour 2023</v>
      </c>
    </row>
    <row r="242" spans="1:3" s="50" customFormat="1">
      <c r="A242" s="71" t="s">
        <v>3139</v>
      </c>
      <c r="B242" s="71" t="str">
        <f>+"Zusatzangaben für "&amp;jahr-1</f>
        <v>Zusatzangaben für 2022</v>
      </c>
      <c r="C242" s="71" t="str">
        <f>+"Indic. suppl. pour "&amp;jahr-1</f>
        <v>Indic. suppl. pour 2022</v>
      </c>
    </row>
    <row r="243" spans="1:3" s="50" customFormat="1">
      <c r="A243" s="71" t="s">
        <v>950</v>
      </c>
      <c r="B243" s="71" t="s">
        <v>243</v>
      </c>
      <c r="C243" s="71" t="s">
        <v>642</v>
      </c>
    </row>
    <row r="244" spans="1:3" s="50" customFormat="1">
      <c r="A244" s="71" t="s">
        <v>951</v>
      </c>
      <c r="B244" s="71" t="s">
        <v>243</v>
      </c>
      <c r="C244" s="71" t="s">
        <v>642</v>
      </c>
    </row>
    <row r="245" spans="1:3" s="50" customFormat="1">
      <c r="A245" s="71" t="s">
        <v>952</v>
      </c>
      <c r="B245" s="71" t="s">
        <v>243</v>
      </c>
      <c r="C245" s="71" t="s">
        <v>642</v>
      </c>
    </row>
    <row r="246" spans="1:3" s="50" customFormat="1">
      <c r="A246" s="71" t="s">
        <v>953</v>
      </c>
      <c r="B246" s="71" t="s">
        <v>246</v>
      </c>
      <c r="C246" s="71" t="s">
        <v>644</v>
      </c>
    </row>
    <row r="247" spans="1:3" s="50" customFormat="1">
      <c r="A247" s="71" t="s">
        <v>954</v>
      </c>
      <c r="B247" s="71" t="s">
        <v>247</v>
      </c>
      <c r="C247" s="71" t="s">
        <v>645</v>
      </c>
    </row>
    <row r="248" spans="1:3" s="50" customFormat="1">
      <c r="A248" s="71" t="s">
        <v>955</v>
      </c>
      <c r="B248" s="71" t="s">
        <v>246</v>
      </c>
      <c r="C248" s="71" t="s">
        <v>644</v>
      </c>
    </row>
    <row r="249" spans="1:3" s="50" customFormat="1">
      <c r="A249" s="71" t="s">
        <v>956</v>
      </c>
      <c r="B249" s="71" t="s">
        <v>247</v>
      </c>
      <c r="C249" s="71" t="s">
        <v>645</v>
      </c>
    </row>
    <row r="250" spans="1:3" s="50" customFormat="1">
      <c r="A250" s="71" t="s">
        <v>957</v>
      </c>
      <c r="B250" s="71" t="s">
        <v>246</v>
      </c>
      <c r="C250" s="71" t="s">
        <v>644</v>
      </c>
    </row>
    <row r="251" spans="1:3" s="50" customFormat="1">
      <c r="A251" s="71" t="s">
        <v>958</v>
      </c>
      <c r="B251" s="71" t="s">
        <v>247</v>
      </c>
      <c r="C251" s="71" t="s">
        <v>645</v>
      </c>
    </row>
    <row r="252" spans="1:3" s="50" customFormat="1">
      <c r="A252" s="71" t="s">
        <v>959</v>
      </c>
      <c r="B252" s="71" t="s">
        <v>708</v>
      </c>
      <c r="C252" s="71" t="s">
        <v>960</v>
      </c>
    </row>
    <row r="253" spans="1:3" s="50" customFormat="1">
      <c r="A253" s="147" t="s">
        <v>979</v>
      </c>
      <c r="B253" s="71" t="s">
        <v>88</v>
      </c>
      <c r="C253" s="71" t="s">
        <v>966</v>
      </c>
    </row>
    <row r="254" spans="1:3" s="50" customFormat="1">
      <c r="A254" s="147" t="s">
        <v>980</v>
      </c>
      <c r="B254" s="71" t="s">
        <v>13</v>
      </c>
      <c r="C254" s="71" t="s">
        <v>967</v>
      </c>
    </row>
    <row r="255" spans="1:3" s="50" customFormat="1">
      <c r="A255" s="147" t="s">
        <v>981</v>
      </c>
      <c r="B255" s="71" t="s">
        <v>4029</v>
      </c>
      <c r="C255" s="71" t="s">
        <v>4030</v>
      </c>
    </row>
    <row r="256" spans="1:3" s="50" customFormat="1">
      <c r="A256" s="147" t="s">
        <v>3956</v>
      </c>
      <c r="B256" s="71" t="s">
        <v>4192</v>
      </c>
      <c r="C256" s="71" t="s">
        <v>4193</v>
      </c>
    </row>
    <row r="257" spans="1:3" s="50" customFormat="1">
      <c r="A257" s="147" t="s">
        <v>2536</v>
      </c>
      <c r="B257" s="71" t="s">
        <v>4031</v>
      </c>
      <c r="C257" s="71" t="s">
        <v>4032</v>
      </c>
    </row>
    <row r="258" spans="1:3" s="50" customFormat="1">
      <c r="A258" s="147" t="s">
        <v>3967</v>
      </c>
      <c r="B258" s="71" t="s">
        <v>4194</v>
      </c>
      <c r="C258" s="71" t="s">
        <v>4195</v>
      </c>
    </row>
    <row r="259" spans="1:3" s="50" customFormat="1">
      <c r="A259" s="147" t="s">
        <v>982</v>
      </c>
      <c r="B259" s="71" t="s">
        <v>4034</v>
      </c>
      <c r="C259" s="71" t="s">
        <v>4033</v>
      </c>
    </row>
    <row r="260" spans="1:3" s="50" customFormat="1">
      <c r="A260" s="147" t="s">
        <v>3968</v>
      </c>
      <c r="B260" s="71" t="s">
        <v>4196</v>
      </c>
      <c r="C260" s="71" t="s">
        <v>4197</v>
      </c>
    </row>
    <row r="261" spans="1:3" s="50" customFormat="1">
      <c r="A261" s="147" t="s">
        <v>983</v>
      </c>
      <c r="B261" s="71" t="s">
        <v>4035</v>
      </c>
      <c r="C261" s="71" t="s">
        <v>4036</v>
      </c>
    </row>
    <row r="262" spans="1:3" s="50" customFormat="1">
      <c r="A262" s="147" t="s">
        <v>3969</v>
      </c>
      <c r="B262" s="71" t="s">
        <v>4198</v>
      </c>
      <c r="C262" s="71" t="s">
        <v>4199</v>
      </c>
    </row>
    <row r="263" spans="1:3" s="50" customFormat="1">
      <c r="A263" s="147" t="s">
        <v>984</v>
      </c>
      <c r="B263" s="71" t="s">
        <v>4038</v>
      </c>
      <c r="C263" s="71" t="s">
        <v>4037</v>
      </c>
    </row>
    <row r="264" spans="1:3" s="50" customFormat="1">
      <c r="A264" s="147" t="s">
        <v>3970</v>
      </c>
      <c r="B264" s="71" t="s">
        <v>4200</v>
      </c>
      <c r="C264" s="71" t="s">
        <v>4201</v>
      </c>
    </row>
    <row r="265" spans="1:3" s="50" customFormat="1">
      <c r="A265" s="147" t="s">
        <v>985</v>
      </c>
      <c r="B265" s="71" t="s">
        <v>4039</v>
      </c>
      <c r="C265" s="71" t="s">
        <v>4040</v>
      </c>
    </row>
    <row r="266" spans="1:3" s="50" customFormat="1">
      <c r="A266" s="147" t="s">
        <v>3971</v>
      </c>
      <c r="B266" s="71" t="s">
        <v>4202</v>
      </c>
      <c r="C266" s="71" t="s">
        <v>4203</v>
      </c>
    </row>
    <row r="267" spans="1:3" s="50" customFormat="1">
      <c r="A267" s="147" t="s">
        <v>986</v>
      </c>
      <c r="B267" s="71" t="s">
        <v>4042</v>
      </c>
      <c r="C267" s="71" t="s">
        <v>4041</v>
      </c>
    </row>
    <row r="268" spans="1:3" s="50" customFormat="1">
      <c r="A268" s="147" t="s">
        <v>3972</v>
      </c>
      <c r="B268" s="71" t="s">
        <v>4204</v>
      </c>
      <c r="C268" s="71" t="s">
        <v>4205</v>
      </c>
    </row>
    <row r="269" spans="1:3" s="50" customFormat="1">
      <c r="A269" s="147" t="s">
        <v>987</v>
      </c>
      <c r="B269" s="71" t="s">
        <v>4043</v>
      </c>
      <c r="C269" s="71" t="s">
        <v>4044</v>
      </c>
    </row>
    <row r="270" spans="1:3" s="50" customFormat="1">
      <c r="A270" s="147" t="s">
        <v>3973</v>
      </c>
      <c r="B270" s="71" t="s">
        <v>4206</v>
      </c>
      <c r="C270" s="71" t="s">
        <v>4207</v>
      </c>
    </row>
    <row r="271" spans="1:3" s="50" customFormat="1">
      <c r="A271" s="147" t="s">
        <v>988</v>
      </c>
      <c r="B271" s="71" t="s">
        <v>4045</v>
      </c>
      <c r="C271" s="71" t="s">
        <v>4052</v>
      </c>
    </row>
    <row r="272" spans="1:3" s="50" customFormat="1" ht="25.5">
      <c r="A272" s="147" t="s">
        <v>989</v>
      </c>
      <c r="B272" s="71" t="s">
        <v>961</v>
      </c>
      <c r="C272" s="72" t="s">
        <v>968</v>
      </c>
    </row>
    <row r="273" spans="1:3" s="50" customFormat="1">
      <c r="A273" s="147" t="s">
        <v>990</v>
      </c>
      <c r="B273" s="71" t="s">
        <v>4047</v>
      </c>
      <c r="C273" s="71" t="s">
        <v>4046</v>
      </c>
    </row>
    <row r="274" spans="1:3" s="50" customFormat="1" ht="25.5">
      <c r="A274" s="147" t="s">
        <v>530</v>
      </c>
      <c r="B274" s="72" t="s">
        <v>4051</v>
      </c>
      <c r="C274" s="72" t="s">
        <v>4048</v>
      </c>
    </row>
    <row r="275" spans="1:3" s="50" customFormat="1" ht="25.5">
      <c r="A275" s="147" t="s">
        <v>991</v>
      </c>
      <c r="B275" s="72" t="s">
        <v>4050</v>
      </c>
      <c r="C275" s="72" t="s">
        <v>4049</v>
      </c>
    </row>
    <row r="276" spans="1:3" s="50" customFormat="1" ht="25.5">
      <c r="A276" s="147" t="s">
        <v>992</v>
      </c>
      <c r="B276" s="72" t="s">
        <v>4054</v>
      </c>
      <c r="C276" s="72" t="s">
        <v>4053</v>
      </c>
    </row>
    <row r="277" spans="1:3" s="50" customFormat="1">
      <c r="A277" s="147" t="s">
        <v>993</v>
      </c>
      <c r="B277" s="71" t="s">
        <v>540</v>
      </c>
      <c r="C277" s="71" t="s">
        <v>969</v>
      </c>
    </row>
    <row r="278" spans="1:3" s="50" customFormat="1">
      <c r="A278" s="147" t="s">
        <v>994</v>
      </c>
      <c r="B278" s="71" t="s">
        <v>43</v>
      </c>
      <c r="C278" s="71" t="s">
        <v>970</v>
      </c>
    </row>
    <row r="279" spans="1:3" s="50" customFormat="1">
      <c r="A279" s="147" t="s">
        <v>995</v>
      </c>
      <c r="B279" s="71" t="s">
        <v>282</v>
      </c>
      <c r="C279" s="71" t="s">
        <v>971</v>
      </c>
    </row>
    <row r="280" spans="1:3" s="50" customFormat="1">
      <c r="A280" s="147" t="s">
        <v>996</v>
      </c>
      <c r="B280" s="71" t="s">
        <v>3597</v>
      </c>
      <c r="C280" s="71" t="s">
        <v>3598</v>
      </c>
    </row>
    <row r="281" spans="1:3" s="50" customFormat="1">
      <c r="A281" s="147" t="s">
        <v>997</v>
      </c>
      <c r="B281" s="71" t="s">
        <v>3589</v>
      </c>
      <c r="C281" s="71" t="s">
        <v>3519</v>
      </c>
    </row>
    <row r="282" spans="1:3" s="50" customFormat="1">
      <c r="A282" s="147" t="s">
        <v>998</v>
      </c>
      <c r="B282" s="71" t="s">
        <v>283</v>
      </c>
      <c r="C282" s="71" t="s">
        <v>972</v>
      </c>
    </row>
    <row r="283" spans="1:3" s="50" customFormat="1">
      <c r="A283" s="147" t="s">
        <v>47</v>
      </c>
      <c r="B283" s="71" t="s">
        <v>44</v>
      </c>
      <c r="C283" s="71" t="s">
        <v>973</v>
      </c>
    </row>
    <row r="284" spans="1:3" s="50" customFormat="1">
      <c r="A284" s="147" t="s">
        <v>999</v>
      </c>
      <c r="B284" s="71" t="s">
        <v>284</v>
      </c>
      <c r="C284" s="71" t="s">
        <v>974</v>
      </c>
    </row>
    <row r="285" spans="1:3" s="50" customFormat="1">
      <c r="A285" s="147" t="s">
        <v>1000</v>
      </c>
      <c r="B285" s="71" t="s">
        <v>285</v>
      </c>
      <c r="C285" s="71" t="s">
        <v>975</v>
      </c>
    </row>
    <row r="286" spans="1:3" s="50" customFormat="1">
      <c r="A286" s="147" t="s">
        <v>1001</v>
      </c>
      <c r="B286" s="71" t="s">
        <v>3599</v>
      </c>
      <c r="C286" s="71" t="s">
        <v>3600</v>
      </c>
    </row>
    <row r="287" spans="1:3" s="50" customFormat="1">
      <c r="A287" s="147" t="s">
        <v>3595</v>
      </c>
      <c r="B287" s="71" t="s">
        <v>3749</v>
      </c>
      <c r="C287" s="71" t="s">
        <v>3751</v>
      </c>
    </row>
    <row r="288" spans="1:3" s="50" customFormat="1">
      <c r="A288" s="147" t="s">
        <v>3596</v>
      </c>
      <c r="B288" s="71" t="s">
        <v>3750</v>
      </c>
      <c r="C288" s="71" t="s">
        <v>3752</v>
      </c>
    </row>
    <row r="289" spans="1:3" s="69" customFormat="1">
      <c r="A289" s="147" t="s">
        <v>1002</v>
      </c>
      <c r="B289" s="72" t="s">
        <v>3156</v>
      </c>
      <c r="C289" s="72" t="s">
        <v>3157</v>
      </c>
    </row>
    <row r="290" spans="1:3" s="50" customFormat="1">
      <c r="A290" s="147" t="s">
        <v>1003</v>
      </c>
      <c r="B290" s="71" t="s">
        <v>45</v>
      </c>
      <c r="C290" s="71" t="s">
        <v>976</v>
      </c>
    </row>
    <row r="291" spans="1:3" s="50" customFormat="1">
      <c r="A291" s="147" t="s">
        <v>1004</v>
      </c>
      <c r="B291" s="71" t="s">
        <v>962</v>
      </c>
      <c r="C291" s="71" t="s">
        <v>977</v>
      </c>
    </row>
    <row r="292" spans="1:3" s="50" customFormat="1">
      <c r="A292" s="147" t="s">
        <v>1011</v>
      </c>
      <c r="B292" s="71" t="s">
        <v>963</v>
      </c>
      <c r="C292" s="71" t="s">
        <v>1012</v>
      </c>
    </row>
    <row r="293" spans="1:3" s="50" customFormat="1">
      <c r="A293" s="147" t="s">
        <v>1005</v>
      </c>
      <c r="B293" s="71" t="s">
        <v>964</v>
      </c>
      <c r="C293" s="71" t="s">
        <v>1013</v>
      </c>
    </row>
    <row r="294" spans="1:3" s="50" customFormat="1" ht="38.25">
      <c r="A294" s="71" t="s">
        <v>1008</v>
      </c>
      <c r="B294" s="72" t="s">
        <v>3978</v>
      </c>
      <c r="C294" s="72" t="s">
        <v>2550</v>
      </c>
    </row>
    <row r="295" spans="1:3" s="50" customFormat="1" ht="25.5">
      <c r="A295" s="71" t="s">
        <v>1009</v>
      </c>
      <c r="B295" s="72" t="s">
        <v>965</v>
      </c>
      <c r="C295" s="72" t="s">
        <v>978</v>
      </c>
    </row>
    <row r="296" spans="1:3" s="50" customFormat="1" ht="25.5">
      <c r="A296" s="71" t="s">
        <v>1010</v>
      </c>
      <c r="B296" s="72" t="s">
        <v>2587</v>
      </c>
      <c r="C296" s="72" t="s">
        <v>2588</v>
      </c>
    </row>
    <row r="297" spans="1:3" s="50" customFormat="1">
      <c r="A297" s="71" t="s">
        <v>1014</v>
      </c>
      <c r="B297" s="71" t="s">
        <v>49</v>
      </c>
      <c r="C297" s="71" t="s">
        <v>1029</v>
      </c>
    </row>
    <row r="298" spans="1:3" s="50" customFormat="1">
      <c r="A298" s="71" t="s">
        <v>1015</v>
      </c>
      <c r="B298" s="71" t="s">
        <v>2593</v>
      </c>
      <c r="C298" s="71" t="s">
        <v>2594</v>
      </c>
    </row>
    <row r="299" spans="1:3" s="50" customFormat="1">
      <c r="A299" s="71" t="s">
        <v>1016</v>
      </c>
      <c r="B299" s="71" t="s">
        <v>237</v>
      </c>
      <c r="C299" s="71" t="s">
        <v>646</v>
      </c>
    </row>
    <row r="300" spans="1:3" s="50" customFormat="1">
      <c r="A300" s="71" t="s">
        <v>1017</v>
      </c>
      <c r="B300" s="71" t="s">
        <v>242</v>
      </c>
      <c r="C300" s="71" t="s">
        <v>641</v>
      </c>
    </row>
    <row r="301" spans="1:3" s="50" customFormat="1">
      <c r="A301" s="71" t="s">
        <v>1018</v>
      </c>
      <c r="B301" s="71" t="s">
        <v>471</v>
      </c>
      <c r="C301" s="71" t="s">
        <v>1081</v>
      </c>
    </row>
    <row r="302" spans="1:3" s="50" customFormat="1">
      <c r="A302" s="71" t="s">
        <v>1019</v>
      </c>
      <c r="B302" s="71" t="s">
        <v>244</v>
      </c>
      <c r="C302" s="71" t="s">
        <v>643</v>
      </c>
    </row>
    <row r="303" spans="1:3" s="50" customFormat="1">
      <c r="A303" s="71" t="s">
        <v>1020</v>
      </c>
      <c r="B303" s="71" t="s">
        <v>243</v>
      </c>
      <c r="C303" s="71" t="s">
        <v>642</v>
      </c>
    </row>
    <row r="304" spans="1:3" s="50" customFormat="1">
      <c r="A304" s="71" t="s">
        <v>1021</v>
      </c>
      <c r="B304" s="71" t="s">
        <v>243</v>
      </c>
      <c r="C304" s="71" t="s">
        <v>642</v>
      </c>
    </row>
    <row r="305" spans="1:3" s="50" customFormat="1">
      <c r="A305" s="71" t="s">
        <v>1022</v>
      </c>
      <c r="B305" s="71" t="s">
        <v>243</v>
      </c>
      <c r="C305" s="71" t="s">
        <v>642</v>
      </c>
    </row>
    <row r="306" spans="1:3" s="50" customFormat="1">
      <c r="A306" s="71" t="s">
        <v>1023</v>
      </c>
      <c r="B306" s="71" t="s">
        <v>246</v>
      </c>
      <c r="C306" s="71" t="s">
        <v>644</v>
      </c>
    </row>
    <row r="307" spans="1:3" s="50" customFormat="1">
      <c r="A307" s="71" t="s">
        <v>1024</v>
      </c>
      <c r="B307" s="71" t="s">
        <v>247</v>
      </c>
      <c r="C307" s="71" t="s">
        <v>645</v>
      </c>
    </row>
    <row r="308" spans="1:3" s="50" customFormat="1">
      <c r="A308" s="71" t="s">
        <v>1025</v>
      </c>
      <c r="B308" s="71" t="s">
        <v>246</v>
      </c>
      <c r="C308" s="71" t="s">
        <v>644</v>
      </c>
    </row>
    <row r="309" spans="1:3" s="50" customFormat="1">
      <c r="A309" s="71" t="s">
        <v>1026</v>
      </c>
      <c r="B309" s="71" t="s">
        <v>247</v>
      </c>
      <c r="C309" s="71" t="s">
        <v>645</v>
      </c>
    </row>
    <row r="310" spans="1:3" s="50" customFormat="1">
      <c r="A310" s="71" t="s">
        <v>1027</v>
      </c>
      <c r="B310" s="71" t="s">
        <v>246</v>
      </c>
      <c r="C310" s="71" t="s">
        <v>644</v>
      </c>
    </row>
    <row r="311" spans="1:3" s="50" customFormat="1">
      <c r="A311" s="71" t="s">
        <v>1028</v>
      </c>
      <c r="B311" s="71" t="s">
        <v>247</v>
      </c>
      <c r="C311" s="71" t="s">
        <v>645</v>
      </c>
    </row>
    <row r="312" spans="1:3" s="50" customFormat="1">
      <c r="A312" s="147" t="s">
        <v>1049</v>
      </c>
      <c r="B312" s="71" t="s">
        <v>114</v>
      </c>
      <c r="C312" s="71" t="s">
        <v>1031</v>
      </c>
    </row>
    <row r="313" spans="1:3" s="50" customFormat="1">
      <c r="A313" s="147" t="s">
        <v>1050</v>
      </c>
      <c r="B313" s="71" t="s">
        <v>46</v>
      </c>
      <c r="C313" s="71" t="s">
        <v>1032</v>
      </c>
    </row>
    <row r="314" spans="1:3" s="50" customFormat="1">
      <c r="A314" s="147" t="s">
        <v>1051</v>
      </c>
      <c r="B314" s="71" t="s">
        <v>286</v>
      </c>
      <c r="C314" s="71" t="s">
        <v>1033</v>
      </c>
    </row>
    <row r="315" spans="1:3" s="50" customFormat="1">
      <c r="A315" s="147" t="s">
        <v>1052</v>
      </c>
      <c r="B315" s="71" t="s">
        <v>287</v>
      </c>
      <c r="C315" s="71" t="s">
        <v>1034</v>
      </c>
    </row>
    <row r="316" spans="1:3" s="50" customFormat="1">
      <c r="A316" s="147" t="s">
        <v>1053</v>
      </c>
      <c r="B316" s="71" t="s">
        <v>3974</v>
      </c>
      <c r="C316" s="71" t="s">
        <v>3975</v>
      </c>
    </row>
    <row r="317" spans="1:3" s="50" customFormat="1">
      <c r="A317" s="147" t="s">
        <v>1054</v>
      </c>
      <c r="B317" s="71" t="s">
        <v>3976</v>
      </c>
      <c r="C317" s="71" t="s">
        <v>3977</v>
      </c>
    </row>
    <row r="318" spans="1:3" s="50" customFormat="1">
      <c r="A318" s="147" t="s">
        <v>1055</v>
      </c>
      <c r="B318" s="71" t="s">
        <v>50</v>
      </c>
      <c r="C318" s="71" t="s">
        <v>1035</v>
      </c>
    </row>
    <row r="319" spans="1:3" s="50" customFormat="1">
      <c r="A319" s="147" t="s">
        <v>1056</v>
      </c>
      <c r="B319" s="71" t="s">
        <v>51</v>
      </c>
      <c r="C319" s="71" t="s">
        <v>1036</v>
      </c>
    </row>
    <row r="320" spans="1:3" s="50" customFormat="1">
      <c r="A320" s="147" t="s">
        <v>1057</v>
      </c>
      <c r="B320" s="71" t="s">
        <v>290</v>
      </c>
      <c r="C320" s="71" t="s">
        <v>1037</v>
      </c>
    </row>
    <row r="321" spans="1:3" s="50" customFormat="1">
      <c r="A321" s="147" t="s">
        <v>1058</v>
      </c>
      <c r="B321" s="71" t="s">
        <v>52</v>
      </c>
      <c r="C321" s="71" t="s">
        <v>1038</v>
      </c>
    </row>
    <row r="322" spans="1:3" s="50" customFormat="1">
      <c r="A322" s="147" t="s">
        <v>1059</v>
      </c>
      <c r="B322" s="71" t="s">
        <v>53</v>
      </c>
      <c r="C322" s="71" t="s">
        <v>1039</v>
      </c>
    </row>
    <row r="323" spans="1:3" s="50" customFormat="1">
      <c r="A323" s="147" t="s">
        <v>1060</v>
      </c>
      <c r="B323" s="71" t="s">
        <v>304</v>
      </c>
      <c r="C323" s="71" t="s">
        <v>1040</v>
      </c>
    </row>
    <row r="324" spans="1:3" s="50" customFormat="1">
      <c r="A324" s="147" t="s">
        <v>1061</v>
      </c>
      <c r="B324" s="71" t="s">
        <v>305</v>
      </c>
      <c r="C324" s="71" t="s">
        <v>1041</v>
      </c>
    </row>
    <row r="325" spans="1:3" s="50" customFormat="1">
      <c r="A325" s="147" t="s">
        <v>1062</v>
      </c>
      <c r="B325" s="71" t="s">
        <v>291</v>
      </c>
      <c r="C325" s="71" t="s">
        <v>1042</v>
      </c>
    </row>
    <row r="326" spans="1:3" s="50" customFormat="1">
      <c r="A326" s="147" t="s">
        <v>528</v>
      </c>
      <c r="B326" s="71" t="s">
        <v>292</v>
      </c>
      <c r="C326" s="71" t="s">
        <v>1043</v>
      </c>
    </row>
    <row r="327" spans="1:3" s="50" customFormat="1">
      <c r="A327" s="147" t="s">
        <v>1063</v>
      </c>
      <c r="B327" s="71" t="s">
        <v>529</v>
      </c>
      <c r="C327" s="72" t="s">
        <v>1047</v>
      </c>
    </row>
    <row r="328" spans="1:3" s="50" customFormat="1">
      <c r="A328" s="147" t="s">
        <v>1064</v>
      </c>
      <c r="B328" s="71" t="s">
        <v>306</v>
      </c>
      <c r="C328" s="71" t="s">
        <v>1044</v>
      </c>
    </row>
    <row r="329" spans="1:3" s="50" customFormat="1">
      <c r="A329" s="147" t="s">
        <v>1065</v>
      </c>
      <c r="B329" s="71" t="s">
        <v>307</v>
      </c>
      <c r="C329" s="71" t="s">
        <v>1045</v>
      </c>
    </row>
    <row r="330" spans="1:3" s="50" customFormat="1">
      <c r="A330" s="147" t="s">
        <v>1048</v>
      </c>
      <c r="B330" s="71" t="s">
        <v>3158</v>
      </c>
      <c r="C330" s="71" t="s">
        <v>3159</v>
      </c>
    </row>
    <row r="331" spans="1:3" s="50" customFormat="1" ht="38.25">
      <c r="A331" s="71" t="s">
        <v>1066</v>
      </c>
      <c r="B331" s="72" t="s">
        <v>1030</v>
      </c>
      <c r="C331" s="72" t="s">
        <v>1046</v>
      </c>
    </row>
    <row r="332" spans="1:3" s="50" customFormat="1">
      <c r="A332" s="147" t="s">
        <v>1067</v>
      </c>
      <c r="B332" s="71" t="s">
        <v>3160</v>
      </c>
      <c r="C332" s="71" t="s">
        <v>3161</v>
      </c>
    </row>
    <row r="333" spans="1:3" s="50" customFormat="1">
      <c r="A333" s="71" t="s">
        <v>1068</v>
      </c>
      <c r="B333" s="71" t="s">
        <v>4055</v>
      </c>
      <c r="C333" s="71" t="s">
        <v>4056</v>
      </c>
    </row>
    <row r="334" spans="1:3" s="50" customFormat="1">
      <c r="A334" s="71" t="s">
        <v>1069</v>
      </c>
      <c r="B334" s="71" t="s">
        <v>4059</v>
      </c>
      <c r="C334" s="71" t="s">
        <v>4058</v>
      </c>
    </row>
    <row r="335" spans="1:3" s="50" customFormat="1">
      <c r="A335" s="71" t="s">
        <v>1094</v>
      </c>
      <c r="B335" s="71" t="s">
        <v>237</v>
      </c>
      <c r="C335" s="71" t="s">
        <v>646</v>
      </c>
    </row>
    <row r="336" spans="1:3" s="50" customFormat="1">
      <c r="A336" s="71" t="s">
        <v>1095</v>
      </c>
      <c r="B336" s="71" t="s">
        <v>294</v>
      </c>
      <c r="C336" s="71" t="s">
        <v>1096</v>
      </c>
    </row>
    <row r="337" spans="1:3" s="50" customFormat="1">
      <c r="A337" s="71" t="s">
        <v>1074</v>
      </c>
      <c r="B337" s="71" t="s">
        <v>471</v>
      </c>
      <c r="C337" s="71" t="s">
        <v>1081</v>
      </c>
    </row>
    <row r="338" spans="1:3" s="50" customFormat="1">
      <c r="A338" s="71" t="s">
        <v>1075</v>
      </c>
      <c r="B338" s="71" t="s">
        <v>471</v>
      </c>
      <c r="C338" s="71" t="s">
        <v>1081</v>
      </c>
    </row>
    <row r="339" spans="1:3" s="50" customFormat="1">
      <c r="A339" s="71" t="s">
        <v>1076</v>
      </c>
      <c r="B339" s="71" t="s">
        <v>471</v>
      </c>
      <c r="C339" s="71" t="s">
        <v>1081</v>
      </c>
    </row>
    <row r="340" spans="1:3" s="50" customFormat="1">
      <c r="A340" s="71" t="s">
        <v>1077</v>
      </c>
      <c r="B340" s="71" t="s">
        <v>295</v>
      </c>
      <c r="C340" s="71" t="s">
        <v>1097</v>
      </c>
    </row>
    <row r="341" spans="1:3" s="50" customFormat="1">
      <c r="A341" s="71" t="s">
        <v>1078</v>
      </c>
      <c r="B341" s="71" t="s">
        <v>65</v>
      </c>
      <c r="C341" s="71" t="s">
        <v>65</v>
      </c>
    </row>
    <row r="342" spans="1:3" s="50" customFormat="1">
      <c r="A342" s="71" t="s">
        <v>1079</v>
      </c>
      <c r="B342" s="71" t="s">
        <v>296</v>
      </c>
      <c r="C342" s="71" t="s">
        <v>1082</v>
      </c>
    </row>
    <row r="343" spans="1:3" s="50" customFormat="1">
      <c r="A343" s="71" t="s">
        <v>1080</v>
      </c>
      <c r="B343" s="71" t="s">
        <v>297</v>
      </c>
      <c r="C343" s="71" t="s">
        <v>1083</v>
      </c>
    </row>
    <row r="344" spans="1:3" s="50" customFormat="1">
      <c r="A344" s="71" t="s">
        <v>1084</v>
      </c>
      <c r="B344" s="71" t="s">
        <v>246</v>
      </c>
      <c r="C344" s="71" t="s">
        <v>644</v>
      </c>
    </row>
    <row r="345" spans="1:3" s="50" customFormat="1">
      <c r="A345" s="71" t="s">
        <v>1089</v>
      </c>
      <c r="B345" s="71" t="s">
        <v>247</v>
      </c>
      <c r="C345" s="71" t="s">
        <v>645</v>
      </c>
    </row>
    <row r="346" spans="1:3" s="50" customFormat="1">
      <c r="A346" s="71" t="s">
        <v>1085</v>
      </c>
      <c r="B346" s="71" t="s">
        <v>298</v>
      </c>
      <c r="C346" s="71" t="s">
        <v>1093</v>
      </c>
    </row>
    <row r="347" spans="1:3" s="50" customFormat="1">
      <c r="A347" s="71" t="s">
        <v>1086</v>
      </c>
      <c r="B347" s="71" t="s">
        <v>246</v>
      </c>
      <c r="C347" s="71" t="s">
        <v>644</v>
      </c>
    </row>
    <row r="348" spans="1:3" s="50" customFormat="1">
      <c r="A348" s="71" t="s">
        <v>1090</v>
      </c>
      <c r="B348" s="71" t="s">
        <v>247</v>
      </c>
      <c r="C348" s="71" t="s">
        <v>645</v>
      </c>
    </row>
    <row r="349" spans="1:3" s="50" customFormat="1">
      <c r="A349" s="71" t="s">
        <v>1087</v>
      </c>
      <c r="B349" s="71" t="s">
        <v>298</v>
      </c>
      <c r="C349" s="71" t="s">
        <v>1093</v>
      </c>
    </row>
    <row r="350" spans="1:3" s="50" customFormat="1">
      <c r="A350" s="71" t="s">
        <v>1088</v>
      </c>
      <c r="B350" s="71" t="s">
        <v>246</v>
      </c>
      <c r="C350" s="71" t="s">
        <v>644</v>
      </c>
    </row>
    <row r="351" spans="1:3" s="50" customFormat="1">
      <c r="A351" s="71" t="s">
        <v>1091</v>
      </c>
      <c r="B351" s="71" t="s">
        <v>247</v>
      </c>
      <c r="C351" s="71" t="s">
        <v>645</v>
      </c>
    </row>
    <row r="352" spans="1:3" s="50" customFormat="1">
      <c r="A352" s="71" t="s">
        <v>1092</v>
      </c>
      <c r="B352" s="71" t="s">
        <v>298</v>
      </c>
      <c r="C352" s="71" t="s">
        <v>1093</v>
      </c>
    </row>
    <row r="353" spans="1:3" s="50" customFormat="1">
      <c r="A353" s="71" t="s">
        <v>1130</v>
      </c>
      <c r="B353" s="71" t="s">
        <v>159</v>
      </c>
      <c r="C353" s="71" t="s">
        <v>1110</v>
      </c>
    </row>
    <row r="354" spans="1:3" s="50" customFormat="1">
      <c r="A354" s="147" t="s">
        <v>251</v>
      </c>
      <c r="B354" s="71" t="s">
        <v>3602</v>
      </c>
      <c r="C354" s="71" t="s">
        <v>3603</v>
      </c>
    </row>
    <row r="355" spans="1:3" s="50" customFormat="1">
      <c r="A355" s="147" t="s">
        <v>1131</v>
      </c>
      <c r="B355" s="71" t="s">
        <v>3084</v>
      </c>
      <c r="C355" s="71" t="s">
        <v>3601</v>
      </c>
    </row>
    <row r="356" spans="1:3" s="50" customFormat="1">
      <c r="A356" s="147" t="s">
        <v>1132</v>
      </c>
      <c r="B356" s="71" t="s">
        <v>3602</v>
      </c>
      <c r="C356" s="71" t="s">
        <v>3603</v>
      </c>
    </row>
    <row r="357" spans="1:3" s="50" customFormat="1">
      <c r="A357" s="147" t="s">
        <v>1133</v>
      </c>
      <c r="B357" s="71" t="s">
        <v>1126</v>
      </c>
      <c r="C357" s="71" t="s">
        <v>1111</v>
      </c>
    </row>
    <row r="358" spans="1:3" s="50" customFormat="1">
      <c r="A358" s="147" t="s">
        <v>1163</v>
      </c>
      <c r="B358" s="71" t="s">
        <v>299</v>
      </c>
      <c r="C358" s="71" t="s">
        <v>1158</v>
      </c>
    </row>
    <row r="359" spans="1:3" s="50" customFormat="1">
      <c r="A359" s="147" t="s">
        <v>1134</v>
      </c>
      <c r="B359" s="71" t="s">
        <v>1104</v>
      </c>
      <c r="C359" s="71" t="s">
        <v>1112</v>
      </c>
    </row>
    <row r="360" spans="1:3" s="50" customFormat="1">
      <c r="A360" s="147" t="s">
        <v>1164</v>
      </c>
      <c r="B360" s="71" t="s">
        <v>300</v>
      </c>
      <c r="C360" s="71" t="s">
        <v>1159</v>
      </c>
    </row>
    <row r="361" spans="1:3" s="50" customFormat="1">
      <c r="A361" s="147" t="s">
        <v>1135</v>
      </c>
      <c r="B361" s="71" t="s">
        <v>1105</v>
      </c>
      <c r="C361" s="71" t="s">
        <v>1113</v>
      </c>
    </row>
    <row r="362" spans="1:3" s="50" customFormat="1">
      <c r="A362" s="147" t="s">
        <v>1165</v>
      </c>
      <c r="B362" s="71" t="s">
        <v>301</v>
      </c>
      <c r="C362" s="71" t="s">
        <v>1160</v>
      </c>
    </row>
    <row r="363" spans="1:3" s="50" customFormat="1">
      <c r="A363" s="147" t="s">
        <v>1136</v>
      </c>
      <c r="B363" s="71" t="s">
        <v>1106</v>
      </c>
      <c r="C363" s="71" t="s">
        <v>1114</v>
      </c>
    </row>
    <row r="364" spans="1:3" s="50" customFormat="1">
      <c r="A364" s="147" t="s">
        <v>1166</v>
      </c>
      <c r="B364" s="71" t="s">
        <v>302</v>
      </c>
      <c r="C364" s="71" t="s">
        <v>1161</v>
      </c>
    </row>
    <row r="365" spans="1:3" s="50" customFormat="1">
      <c r="A365" s="147" t="s">
        <v>1137</v>
      </c>
      <c r="B365" s="71" t="s">
        <v>1107</v>
      </c>
      <c r="C365" s="71" t="s">
        <v>1115</v>
      </c>
    </row>
    <row r="366" spans="1:3" s="50" customFormat="1">
      <c r="A366" s="147" t="s">
        <v>1167</v>
      </c>
      <c r="B366" s="71" t="s">
        <v>303</v>
      </c>
      <c r="C366" s="71" t="s">
        <v>1162</v>
      </c>
    </row>
    <row r="367" spans="1:3" s="50" customFormat="1">
      <c r="A367" s="147" t="s">
        <v>1138</v>
      </c>
      <c r="B367" s="71" t="s">
        <v>4011</v>
      </c>
      <c r="C367" s="71" t="s">
        <v>4012</v>
      </c>
    </row>
    <row r="368" spans="1:3" s="50" customFormat="1">
      <c r="A368" s="147" t="s">
        <v>1168</v>
      </c>
      <c r="B368" s="71" t="s">
        <v>2714</v>
      </c>
      <c r="C368" s="71" t="s">
        <v>2715</v>
      </c>
    </row>
    <row r="369" spans="1:3" s="50" customFormat="1">
      <c r="A369" s="147" t="s">
        <v>1139</v>
      </c>
      <c r="B369" s="71" t="s">
        <v>4013</v>
      </c>
      <c r="C369" s="71" t="s">
        <v>4014</v>
      </c>
    </row>
    <row r="370" spans="1:3" s="50" customFormat="1">
      <c r="A370" s="147" t="s">
        <v>1169</v>
      </c>
      <c r="B370" s="71" t="s">
        <v>2898</v>
      </c>
      <c r="C370" s="71" t="s">
        <v>2899</v>
      </c>
    </row>
    <row r="371" spans="1:3" s="50" customFormat="1" ht="25.5">
      <c r="A371" s="149" t="s">
        <v>1099</v>
      </c>
      <c r="B371" s="72" t="s">
        <v>2712</v>
      </c>
      <c r="C371" s="72" t="s">
        <v>2713</v>
      </c>
    </row>
    <row r="372" spans="1:3" s="50" customFormat="1" ht="25.5">
      <c r="A372" s="71" t="s">
        <v>1140</v>
      </c>
      <c r="B372" s="72" t="s">
        <v>1108</v>
      </c>
      <c r="C372" s="72" t="s">
        <v>1116</v>
      </c>
    </row>
    <row r="373" spans="1:3" s="50" customFormat="1">
      <c r="A373" s="147" t="s">
        <v>1141</v>
      </c>
      <c r="B373" s="71" t="s">
        <v>1127</v>
      </c>
      <c r="C373" s="71" t="s">
        <v>1117</v>
      </c>
    </row>
    <row r="374" spans="1:3" s="50" customFormat="1">
      <c r="A374" s="147" t="s">
        <v>1142</v>
      </c>
      <c r="B374" s="71" t="s">
        <v>309</v>
      </c>
      <c r="C374" s="71" t="s">
        <v>1118</v>
      </c>
    </row>
    <row r="375" spans="1:3" s="50" customFormat="1" ht="25.5">
      <c r="A375" s="147" t="s">
        <v>1143</v>
      </c>
      <c r="B375" s="72" t="s">
        <v>1128</v>
      </c>
      <c r="C375" s="72" t="s">
        <v>1119</v>
      </c>
    </row>
    <row r="376" spans="1:3" s="50" customFormat="1">
      <c r="A376" s="147" t="s">
        <v>1170</v>
      </c>
      <c r="B376" s="148" t="s">
        <v>186</v>
      </c>
      <c r="C376" s="148" t="s">
        <v>1171</v>
      </c>
    </row>
    <row r="377" spans="1:3" s="50" customFormat="1">
      <c r="A377" s="147" t="s">
        <v>1144</v>
      </c>
      <c r="B377" s="71" t="s">
        <v>3604</v>
      </c>
      <c r="C377" s="71" t="s">
        <v>3605</v>
      </c>
    </row>
    <row r="378" spans="1:3" s="50" customFormat="1">
      <c r="A378" s="147" t="s">
        <v>1145</v>
      </c>
      <c r="B378" s="148" t="s">
        <v>1129</v>
      </c>
      <c r="C378" s="72" t="s">
        <v>2555</v>
      </c>
    </row>
    <row r="379" spans="1:3" s="50" customFormat="1">
      <c r="A379" s="147" t="s">
        <v>1172</v>
      </c>
      <c r="B379" s="148" t="s">
        <v>115</v>
      </c>
      <c r="C379" s="148" t="s">
        <v>1173</v>
      </c>
    </row>
    <row r="380" spans="1:3" s="50" customFormat="1">
      <c r="A380" s="147" t="s">
        <v>1146</v>
      </c>
      <c r="B380" s="71" t="s">
        <v>3522</v>
      </c>
      <c r="C380" s="71" t="s">
        <v>3521</v>
      </c>
    </row>
    <row r="381" spans="1:3" s="50" customFormat="1">
      <c r="A381" s="147" t="s">
        <v>1147</v>
      </c>
      <c r="B381" s="71" t="s">
        <v>4015</v>
      </c>
      <c r="C381" s="71" t="s">
        <v>4016</v>
      </c>
    </row>
    <row r="382" spans="1:3" s="50" customFormat="1">
      <c r="A382" s="147" t="s">
        <v>1148</v>
      </c>
      <c r="B382" s="71" t="s">
        <v>116</v>
      </c>
      <c r="C382" s="71" t="s">
        <v>1120</v>
      </c>
    </row>
    <row r="383" spans="1:3" s="50" customFormat="1" ht="25.5">
      <c r="A383" s="147" t="s">
        <v>2583</v>
      </c>
      <c r="B383" s="72" t="s">
        <v>4066</v>
      </c>
      <c r="C383" s="71" t="s">
        <v>2584</v>
      </c>
    </row>
    <row r="384" spans="1:3" s="50" customFormat="1">
      <c r="A384" s="147" t="s">
        <v>1149</v>
      </c>
      <c r="B384" s="71" t="s">
        <v>4017</v>
      </c>
      <c r="C384" s="71" t="s">
        <v>4018</v>
      </c>
    </row>
    <row r="385" spans="1:3" s="50" customFormat="1">
      <c r="A385" s="147" t="s">
        <v>1150</v>
      </c>
      <c r="B385" s="71" t="s">
        <v>2566</v>
      </c>
      <c r="C385" s="71" t="s">
        <v>2568</v>
      </c>
    </row>
    <row r="386" spans="1:3" s="50" customFormat="1">
      <c r="A386" s="147" t="s">
        <v>1174</v>
      </c>
      <c r="B386" s="71" t="s">
        <v>48</v>
      </c>
      <c r="C386" s="71" t="s">
        <v>1175</v>
      </c>
    </row>
    <row r="387" spans="1:3" s="50" customFormat="1" ht="25.5">
      <c r="A387" s="149" t="s">
        <v>1100</v>
      </c>
      <c r="B387" s="72" t="s">
        <v>3606</v>
      </c>
      <c r="C387" s="72" t="s">
        <v>3607</v>
      </c>
    </row>
    <row r="388" spans="1:3" s="50" customFormat="1" ht="38.25">
      <c r="A388" s="73" t="s">
        <v>1151</v>
      </c>
      <c r="B388" s="73" t="s">
        <v>1109</v>
      </c>
      <c r="C388" s="73" t="s">
        <v>2554</v>
      </c>
    </row>
    <row r="389" spans="1:3" s="50" customFormat="1" ht="123.75" customHeight="1">
      <c r="A389" s="73" t="s">
        <v>1152</v>
      </c>
      <c r="B389" s="73" t="s">
        <v>3608</v>
      </c>
      <c r="C389" s="73" t="s">
        <v>3609</v>
      </c>
    </row>
    <row r="390" spans="1:3" s="50" customFormat="1">
      <c r="A390" s="147" t="s">
        <v>1102</v>
      </c>
      <c r="B390" s="71" t="s">
        <v>3994</v>
      </c>
      <c r="C390" s="71" t="s">
        <v>1121</v>
      </c>
    </row>
    <row r="391" spans="1:3" s="50" customFormat="1">
      <c r="A391" s="71" t="s">
        <v>1153</v>
      </c>
      <c r="B391" s="71" t="s">
        <v>160</v>
      </c>
      <c r="C391" s="71" t="s">
        <v>1122</v>
      </c>
    </row>
    <row r="392" spans="1:3" s="50" customFormat="1">
      <c r="A392" s="147" t="s">
        <v>1154</v>
      </c>
      <c r="B392" s="71" t="s">
        <v>310</v>
      </c>
      <c r="C392" s="71" t="s">
        <v>1123</v>
      </c>
    </row>
    <row r="393" spans="1:3" s="50" customFormat="1">
      <c r="A393" s="147" t="s">
        <v>1155</v>
      </c>
      <c r="B393" s="71" t="s">
        <v>311</v>
      </c>
      <c r="C393" s="71" t="s">
        <v>1124</v>
      </c>
    </row>
    <row r="394" spans="1:3" s="50" customFormat="1">
      <c r="A394" s="147" t="s">
        <v>1156</v>
      </c>
      <c r="B394" s="71" t="s">
        <v>2558</v>
      </c>
      <c r="C394" s="71" t="s">
        <v>2559</v>
      </c>
    </row>
    <row r="395" spans="1:3" s="50" customFormat="1">
      <c r="A395" s="147" t="s">
        <v>1103</v>
      </c>
      <c r="B395" s="71" t="s">
        <v>117</v>
      </c>
      <c r="C395" s="71" t="s">
        <v>1125</v>
      </c>
    </row>
    <row r="396" spans="1:3" s="50" customFormat="1" ht="25.5">
      <c r="A396" s="71" t="s">
        <v>1157</v>
      </c>
      <c r="B396" s="72" t="s">
        <v>3611</v>
      </c>
      <c r="C396" s="72" t="s">
        <v>3612</v>
      </c>
    </row>
    <row r="397" spans="1:3" s="50" customFormat="1">
      <c r="A397" s="71" t="s">
        <v>1176</v>
      </c>
      <c r="B397" s="71" t="s">
        <v>313</v>
      </c>
      <c r="C397" s="71" t="s">
        <v>1179</v>
      </c>
    </row>
    <row r="398" spans="1:3" s="50" customFormat="1">
      <c r="A398" s="71" t="s">
        <v>1177</v>
      </c>
      <c r="B398" s="71" t="s">
        <v>2593</v>
      </c>
      <c r="C398" s="71" t="s">
        <v>2594</v>
      </c>
    </row>
    <row r="399" spans="1:3" s="50" customFormat="1">
      <c r="A399" s="71" t="s">
        <v>1178</v>
      </c>
      <c r="B399" s="71" t="s">
        <v>237</v>
      </c>
      <c r="C399" s="71" t="s">
        <v>646</v>
      </c>
    </row>
    <row r="400" spans="1:3" s="50" customFormat="1">
      <c r="A400" s="71" t="s">
        <v>1180</v>
      </c>
      <c r="B400" s="71" t="s">
        <v>294</v>
      </c>
      <c r="C400" s="71" t="s">
        <v>1096</v>
      </c>
    </row>
    <row r="401" spans="1:3" s="50" customFormat="1">
      <c r="A401" s="71" t="s">
        <v>1181</v>
      </c>
      <c r="B401" s="71" t="s">
        <v>471</v>
      </c>
      <c r="C401" s="71" t="s">
        <v>1081</v>
      </c>
    </row>
    <row r="402" spans="1:3" s="50" customFormat="1">
      <c r="A402" s="71" t="s">
        <v>1182</v>
      </c>
      <c r="B402" s="71" t="s">
        <v>471</v>
      </c>
      <c r="C402" s="71" t="s">
        <v>1081</v>
      </c>
    </row>
    <row r="403" spans="1:3" s="50" customFormat="1">
      <c r="A403" s="71" t="s">
        <v>1183</v>
      </c>
      <c r="B403" s="71" t="s">
        <v>471</v>
      </c>
      <c r="C403" s="71" t="s">
        <v>1081</v>
      </c>
    </row>
    <row r="404" spans="1:3" s="50" customFormat="1">
      <c r="A404" s="71" t="s">
        <v>1184</v>
      </c>
      <c r="B404" s="71" t="s">
        <v>295</v>
      </c>
      <c r="C404" s="71" t="s">
        <v>1097</v>
      </c>
    </row>
    <row r="405" spans="1:3" s="50" customFormat="1">
      <c r="A405" s="71" t="s">
        <v>1185</v>
      </c>
      <c r="B405" s="71" t="s">
        <v>65</v>
      </c>
      <c r="C405" s="71" t="s">
        <v>65</v>
      </c>
    </row>
    <row r="406" spans="1:3" s="50" customFormat="1">
      <c r="A406" s="71" t="s">
        <v>1186</v>
      </c>
      <c r="B406" s="71" t="s">
        <v>296</v>
      </c>
      <c r="C406" s="71" t="s">
        <v>1082</v>
      </c>
    </row>
    <row r="407" spans="1:3" s="50" customFormat="1">
      <c r="A407" s="71" t="s">
        <v>1187</v>
      </c>
      <c r="B407" s="71" t="s">
        <v>297</v>
      </c>
      <c r="C407" s="71" t="s">
        <v>1083</v>
      </c>
    </row>
    <row r="408" spans="1:3" s="50" customFormat="1">
      <c r="A408" s="71" t="s">
        <v>1188</v>
      </c>
      <c r="B408" s="71" t="s">
        <v>246</v>
      </c>
      <c r="C408" s="71" t="s">
        <v>644</v>
      </c>
    </row>
    <row r="409" spans="1:3" s="50" customFormat="1">
      <c r="A409" s="71" t="s">
        <v>1189</v>
      </c>
      <c r="B409" s="71" t="s">
        <v>247</v>
      </c>
      <c r="C409" s="71" t="s">
        <v>645</v>
      </c>
    </row>
    <row r="410" spans="1:3" s="50" customFormat="1">
      <c r="A410" s="71" t="s">
        <v>1190</v>
      </c>
      <c r="B410" s="71" t="s">
        <v>298</v>
      </c>
      <c r="C410" s="71" t="s">
        <v>1093</v>
      </c>
    </row>
    <row r="411" spans="1:3" s="50" customFormat="1">
      <c r="A411" s="71" t="s">
        <v>1191</v>
      </c>
      <c r="B411" s="71" t="s">
        <v>246</v>
      </c>
      <c r="C411" s="71" t="s">
        <v>644</v>
      </c>
    </row>
    <row r="412" spans="1:3" s="50" customFormat="1">
      <c r="A412" s="71" t="s">
        <v>1192</v>
      </c>
      <c r="B412" s="71" t="s">
        <v>247</v>
      </c>
      <c r="C412" s="71" t="s">
        <v>645</v>
      </c>
    </row>
    <row r="413" spans="1:3" s="50" customFormat="1">
      <c r="A413" s="71" t="s">
        <v>1193</v>
      </c>
      <c r="B413" s="71" t="s">
        <v>298</v>
      </c>
      <c r="C413" s="71" t="s">
        <v>1093</v>
      </c>
    </row>
    <row r="414" spans="1:3" s="50" customFormat="1">
      <c r="A414" s="71" t="s">
        <v>1194</v>
      </c>
      <c r="B414" s="71" t="s">
        <v>246</v>
      </c>
      <c r="C414" s="71" t="s">
        <v>644</v>
      </c>
    </row>
    <row r="415" spans="1:3" s="50" customFormat="1">
      <c r="A415" s="71" t="s">
        <v>1195</v>
      </c>
      <c r="B415" s="71" t="s">
        <v>247</v>
      </c>
      <c r="C415" s="71" t="s">
        <v>645</v>
      </c>
    </row>
    <row r="416" spans="1:3" s="50" customFormat="1">
      <c r="A416" s="71" t="s">
        <v>1196</v>
      </c>
      <c r="B416" s="71" t="s">
        <v>298</v>
      </c>
      <c r="C416" s="71" t="s">
        <v>1093</v>
      </c>
    </row>
    <row r="417" spans="1:3" s="50" customFormat="1">
      <c r="A417" s="71" t="s">
        <v>1230</v>
      </c>
      <c r="B417" s="71" t="s">
        <v>161</v>
      </c>
      <c r="C417" s="71" t="s">
        <v>1203</v>
      </c>
    </row>
    <row r="418" spans="1:3" s="50" customFormat="1">
      <c r="A418" s="147" t="s">
        <v>1231</v>
      </c>
      <c r="B418" s="71" t="s">
        <v>312</v>
      </c>
      <c r="C418" s="71" t="s">
        <v>1226</v>
      </c>
    </row>
    <row r="419" spans="1:3" s="50" customFormat="1">
      <c r="A419" s="147" t="s">
        <v>532</v>
      </c>
      <c r="B419" s="71" t="s">
        <v>426</v>
      </c>
      <c r="C419" s="71" t="s">
        <v>1204</v>
      </c>
    </row>
    <row r="420" spans="1:3" s="50" customFormat="1">
      <c r="A420" s="147" t="s">
        <v>1232</v>
      </c>
      <c r="B420" s="71" t="s">
        <v>536</v>
      </c>
      <c r="C420" s="72" t="s">
        <v>2457</v>
      </c>
    </row>
    <row r="421" spans="1:3" s="50" customFormat="1">
      <c r="A421" s="147" t="s">
        <v>2470</v>
      </c>
      <c r="B421" s="71" t="s">
        <v>2454</v>
      </c>
      <c r="C421" s="71" t="s">
        <v>2471</v>
      </c>
    </row>
    <row r="422" spans="1:3" s="50" customFormat="1">
      <c r="A422" s="147" t="s">
        <v>1233</v>
      </c>
      <c r="B422" s="71" t="s">
        <v>537</v>
      </c>
      <c r="C422" s="71" t="s">
        <v>2458</v>
      </c>
    </row>
    <row r="423" spans="1:3" s="50" customFormat="1">
      <c r="A423" s="147" t="s">
        <v>2455</v>
      </c>
      <c r="B423" s="71" t="s">
        <v>2466</v>
      </c>
      <c r="C423" s="71" t="s">
        <v>2465</v>
      </c>
    </row>
    <row r="424" spans="1:3" s="50" customFormat="1">
      <c r="A424" s="147" t="s">
        <v>2472</v>
      </c>
      <c r="B424" s="71" t="s">
        <v>2461</v>
      </c>
      <c r="C424" s="71" t="s">
        <v>2473</v>
      </c>
    </row>
    <row r="425" spans="1:3" s="50" customFormat="1">
      <c r="A425" s="147" t="s">
        <v>1234</v>
      </c>
      <c r="B425" s="71" t="s">
        <v>314</v>
      </c>
      <c r="C425" s="71" t="s">
        <v>1205</v>
      </c>
    </row>
    <row r="426" spans="1:3" s="50" customFormat="1">
      <c r="A426" s="147" t="s">
        <v>534</v>
      </c>
      <c r="B426" s="71" t="s">
        <v>427</v>
      </c>
      <c r="C426" s="71" t="s">
        <v>1206</v>
      </c>
    </row>
    <row r="427" spans="1:3" s="50" customFormat="1">
      <c r="A427" s="147" t="s">
        <v>1235</v>
      </c>
      <c r="B427" s="71" t="s">
        <v>538</v>
      </c>
      <c r="C427" s="72" t="s">
        <v>2459</v>
      </c>
    </row>
    <row r="428" spans="1:3" s="50" customFormat="1">
      <c r="A428" s="147" t="s">
        <v>1236</v>
      </c>
      <c r="B428" s="71" t="s">
        <v>539</v>
      </c>
      <c r="C428" s="71" t="s">
        <v>2460</v>
      </c>
    </row>
    <row r="429" spans="1:3" s="50" customFormat="1">
      <c r="A429" s="147" t="s">
        <v>2456</v>
      </c>
      <c r="B429" s="71" t="s">
        <v>2463</v>
      </c>
      <c r="C429" s="71" t="s">
        <v>2464</v>
      </c>
    </row>
    <row r="430" spans="1:3" s="50" customFormat="1">
      <c r="A430" s="147" t="s">
        <v>2474</v>
      </c>
      <c r="B430" s="71" t="s">
        <v>2462</v>
      </c>
      <c r="C430" s="71" t="s">
        <v>2475</v>
      </c>
    </row>
    <row r="431" spans="1:3" s="50" customFormat="1">
      <c r="A431" s="147" t="s">
        <v>2514</v>
      </c>
      <c r="B431" s="71" t="s">
        <v>4015</v>
      </c>
      <c r="C431" s="71" t="s">
        <v>4016</v>
      </c>
    </row>
    <row r="432" spans="1:3" s="50" customFormat="1">
      <c r="A432" s="147" t="s">
        <v>541</v>
      </c>
      <c r="B432" s="71" t="s">
        <v>4020</v>
      </c>
      <c r="C432" s="71" t="s">
        <v>4019</v>
      </c>
    </row>
    <row r="433" spans="1:3" s="50" customFormat="1">
      <c r="A433" s="147" t="s">
        <v>1237</v>
      </c>
      <c r="B433" s="71" t="s">
        <v>4021</v>
      </c>
      <c r="C433" s="71" t="s">
        <v>4022</v>
      </c>
    </row>
    <row r="434" spans="1:3" s="50" customFormat="1">
      <c r="A434" s="147" t="s">
        <v>1238</v>
      </c>
      <c r="B434" s="71" t="s">
        <v>4024</v>
      </c>
      <c r="C434" s="71" t="s">
        <v>4023</v>
      </c>
    </row>
    <row r="435" spans="1:3" s="50" customFormat="1">
      <c r="A435" s="147" t="s">
        <v>1239</v>
      </c>
      <c r="B435" s="71" t="s">
        <v>2567</v>
      </c>
      <c r="C435" s="71" t="s">
        <v>2569</v>
      </c>
    </row>
    <row r="436" spans="1:3" s="50" customFormat="1">
      <c r="A436" s="147" t="s">
        <v>1257</v>
      </c>
      <c r="B436" s="71" t="s">
        <v>48</v>
      </c>
      <c r="C436" s="71" t="s">
        <v>1175</v>
      </c>
    </row>
    <row r="437" spans="1:3" s="50" customFormat="1">
      <c r="A437" s="147" t="s">
        <v>1240</v>
      </c>
      <c r="B437" s="71" t="s">
        <v>4025</v>
      </c>
      <c r="C437" s="72" t="s">
        <v>4026</v>
      </c>
    </row>
    <row r="438" spans="1:3" s="50" customFormat="1">
      <c r="A438" s="147" t="s">
        <v>1258</v>
      </c>
      <c r="B438" s="71" t="s">
        <v>576</v>
      </c>
      <c r="C438" s="71" t="s">
        <v>1259</v>
      </c>
    </row>
    <row r="439" spans="1:3" s="50" customFormat="1" ht="25.5">
      <c r="A439" s="149" t="s">
        <v>1197</v>
      </c>
      <c r="B439" s="73" t="s">
        <v>2782</v>
      </c>
      <c r="C439" s="73" t="s">
        <v>2783</v>
      </c>
    </row>
    <row r="440" spans="1:3" s="50" customFormat="1" ht="140.25">
      <c r="A440" s="145" t="s">
        <v>1241</v>
      </c>
      <c r="B440" s="73" t="s">
        <v>3610</v>
      </c>
      <c r="C440" s="73" t="s">
        <v>3592</v>
      </c>
    </row>
    <row r="441" spans="1:3" s="50" customFormat="1">
      <c r="A441" s="145" t="s">
        <v>1242</v>
      </c>
      <c r="B441" s="150" t="s">
        <v>2453</v>
      </c>
      <c r="C441" s="150" t="s">
        <v>2453</v>
      </c>
    </row>
    <row r="442" spans="1:3" s="50" customFormat="1">
      <c r="A442" s="147" t="s">
        <v>1198</v>
      </c>
      <c r="B442" s="71" t="s">
        <v>3995</v>
      </c>
      <c r="C442" s="71" t="s">
        <v>1207</v>
      </c>
    </row>
    <row r="443" spans="1:3" s="50" customFormat="1">
      <c r="A443" s="71" t="s">
        <v>1243</v>
      </c>
      <c r="B443" s="71" t="s">
        <v>162</v>
      </c>
      <c r="C443" s="71" t="s">
        <v>1208</v>
      </c>
    </row>
    <row r="444" spans="1:3" s="50" customFormat="1">
      <c r="A444" s="147" t="s">
        <v>1244</v>
      </c>
      <c r="B444" s="71" t="s">
        <v>3590</v>
      </c>
      <c r="C444" s="71" t="s">
        <v>3591</v>
      </c>
    </row>
    <row r="445" spans="1:3" s="50" customFormat="1">
      <c r="A445" s="147" t="s">
        <v>567</v>
      </c>
      <c r="B445" s="71" t="s">
        <v>131</v>
      </c>
      <c r="C445" s="71" t="s">
        <v>1210</v>
      </c>
    </row>
    <row r="446" spans="1:3" s="50" customFormat="1">
      <c r="A446" s="71" t="s">
        <v>1245</v>
      </c>
      <c r="B446" s="71" t="s">
        <v>2560</v>
      </c>
      <c r="C446" s="71" t="s">
        <v>2561</v>
      </c>
    </row>
    <row r="447" spans="1:3" s="50" customFormat="1">
      <c r="A447" s="147" t="s">
        <v>1202</v>
      </c>
      <c r="B447" s="71" t="s">
        <v>569</v>
      </c>
      <c r="C447" s="71" t="s">
        <v>1227</v>
      </c>
    </row>
    <row r="448" spans="1:3" s="50" customFormat="1">
      <c r="A448" s="147" t="s">
        <v>1246</v>
      </c>
      <c r="B448" s="71" t="s">
        <v>570</v>
      </c>
      <c r="C448" s="71" t="s">
        <v>1228</v>
      </c>
    </row>
    <row r="449" spans="1:3" s="50" customFormat="1">
      <c r="A449" s="71" t="s">
        <v>1247</v>
      </c>
      <c r="B449" s="71" t="s">
        <v>2556</v>
      </c>
      <c r="C449" s="71" t="s">
        <v>2557</v>
      </c>
    </row>
    <row r="450" spans="1:3" s="50" customFormat="1">
      <c r="A450" s="147" t="s">
        <v>515</v>
      </c>
      <c r="B450" s="71" t="s">
        <v>102</v>
      </c>
      <c r="C450" s="71" t="s">
        <v>1211</v>
      </c>
    </row>
    <row r="451" spans="1:3" s="50" customFormat="1">
      <c r="A451" s="147" t="s">
        <v>1260</v>
      </c>
      <c r="B451" s="71" t="s">
        <v>2526</v>
      </c>
      <c r="C451" s="71" t="s">
        <v>2527</v>
      </c>
    </row>
    <row r="452" spans="1:3" s="50" customFormat="1">
      <c r="A452" s="147" t="s">
        <v>2518</v>
      </c>
      <c r="B452" s="71" t="s">
        <v>2519</v>
      </c>
      <c r="C452" s="71" t="s">
        <v>2524</v>
      </c>
    </row>
    <row r="453" spans="1:3" s="50" customFormat="1">
      <c r="A453" s="147" t="s">
        <v>2525</v>
      </c>
      <c r="B453" s="71" t="s">
        <v>3202</v>
      </c>
      <c r="C453" s="71" t="s">
        <v>3203</v>
      </c>
    </row>
    <row r="454" spans="1:3" s="50" customFormat="1">
      <c r="A454" s="147" t="s">
        <v>2516</v>
      </c>
      <c r="B454" s="71" t="s">
        <v>2520</v>
      </c>
      <c r="C454" s="71" t="s">
        <v>2523</v>
      </c>
    </row>
    <row r="455" spans="1:3" s="50" customFormat="1">
      <c r="A455" s="147" t="s">
        <v>2517</v>
      </c>
      <c r="B455" s="71" t="s">
        <v>2521</v>
      </c>
      <c r="C455" s="71" t="s">
        <v>2522</v>
      </c>
    </row>
    <row r="456" spans="1:3" s="50" customFormat="1">
      <c r="A456" s="147" t="s">
        <v>1248</v>
      </c>
      <c r="B456" s="71" t="s">
        <v>517</v>
      </c>
      <c r="C456" s="71" t="s">
        <v>3545</v>
      </c>
    </row>
    <row r="457" spans="1:3" s="50" customFormat="1">
      <c r="A457" s="147" t="s">
        <v>1266</v>
      </c>
      <c r="B457" s="71" t="s">
        <v>516</v>
      </c>
      <c r="C457" s="71" t="s">
        <v>1263</v>
      </c>
    </row>
    <row r="458" spans="1:3" s="50" customFormat="1">
      <c r="A458" s="147" t="s">
        <v>1249</v>
      </c>
      <c r="B458" s="71" t="s">
        <v>3593</v>
      </c>
      <c r="C458" s="148" t="s">
        <v>3594</v>
      </c>
    </row>
    <row r="459" spans="1:3" s="50" customFormat="1">
      <c r="A459" s="147" t="s">
        <v>1261</v>
      </c>
      <c r="B459" s="71" t="s">
        <v>434</v>
      </c>
      <c r="C459" s="71" t="s">
        <v>1264</v>
      </c>
    </row>
    <row r="460" spans="1:3" s="50" customFormat="1">
      <c r="A460" s="147" t="s">
        <v>157</v>
      </c>
      <c r="B460" s="71" t="s">
        <v>132</v>
      </c>
      <c r="C460" s="71" t="s">
        <v>1212</v>
      </c>
    </row>
    <row r="461" spans="1:3" s="50" customFormat="1" ht="25.5">
      <c r="A461" s="147" t="s">
        <v>1250</v>
      </c>
      <c r="B461" s="72" t="s">
        <v>4027</v>
      </c>
      <c r="C461" s="72" t="s">
        <v>4028</v>
      </c>
    </row>
    <row r="462" spans="1:3" s="50" customFormat="1">
      <c r="A462" s="147" t="s">
        <v>1262</v>
      </c>
      <c r="B462" s="71" t="s">
        <v>158</v>
      </c>
      <c r="C462" s="71" t="s">
        <v>1265</v>
      </c>
    </row>
    <row r="463" spans="1:3" s="50" customFormat="1">
      <c r="A463" s="147" t="s">
        <v>523</v>
      </c>
      <c r="B463" s="148" t="s">
        <v>2548</v>
      </c>
      <c r="C463" s="148" t="s">
        <v>2549</v>
      </c>
    </row>
    <row r="464" spans="1:3" s="50" customFormat="1">
      <c r="A464" s="71" t="s">
        <v>1251</v>
      </c>
      <c r="B464" s="71" t="s">
        <v>2562</v>
      </c>
      <c r="C464" s="71" t="s">
        <v>2564</v>
      </c>
    </row>
    <row r="465" spans="1:3" s="50" customFormat="1">
      <c r="A465" s="147" t="s">
        <v>1200</v>
      </c>
      <c r="B465" s="71" t="s">
        <v>521</v>
      </c>
      <c r="C465" s="71" t="s">
        <v>1229</v>
      </c>
    </row>
    <row r="466" spans="1:3" s="50" customFormat="1">
      <c r="A466" s="147" t="s">
        <v>1252</v>
      </c>
      <c r="B466" s="71" t="s">
        <v>2563</v>
      </c>
      <c r="C466" s="71" t="s">
        <v>2565</v>
      </c>
    </row>
    <row r="467" spans="1:3" s="50" customFormat="1">
      <c r="A467" s="147" t="s">
        <v>1253</v>
      </c>
      <c r="B467" s="71" t="s">
        <v>522</v>
      </c>
      <c r="C467" s="71" t="s">
        <v>1256</v>
      </c>
    </row>
    <row r="468" spans="1:3" s="50" customFormat="1">
      <c r="A468" s="147" t="s">
        <v>2510</v>
      </c>
      <c r="B468" s="71" t="s">
        <v>2511</v>
      </c>
      <c r="C468" s="71" t="s">
        <v>2512</v>
      </c>
    </row>
    <row r="469" spans="1:3" s="50" customFormat="1">
      <c r="A469" s="147" t="s">
        <v>1254</v>
      </c>
      <c r="B469" s="71" t="s">
        <v>2508</v>
      </c>
      <c r="C469" s="71" t="s">
        <v>2509</v>
      </c>
    </row>
    <row r="470" spans="1:3" s="50" customFormat="1" ht="127.5">
      <c r="A470" s="145" t="s">
        <v>2507</v>
      </c>
      <c r="B470" s="73" t="s">
        <v>3613</v>
      </c>
      <c r="C470" s="73" t="s">
        <v>3614</v>
      </c>
    </row>
    <row r="471" spans="1:3" s="50" customFormat="1">
      <c r="A471" s="147" t="s">
        <v>1255</v>
      </c>
      <c r="B471" s="71" t="s">
        <v>133</v>
      </c>
      <c r="C471" s="71" t="s">
        <v>1213</v>
      </c>
    </row>
    <row r="472" spans="1:3" s="50" customFormat="1">
      <c r="A472" s="71" t="s">
        <v>1267</v>
      </c>
      <c r="B472" s="71" t="s">
        <v>315</v>
      </c>
      <c r="C472" s="71" t="s">
        <v>1289</v>
      </c>
    </row>
    <row r="473" spans="1:3" s="50" customFormat="1">
      <c r="A473" s="71" t="s">
        <v>1268</v>
      </c>
      <c r="B473" s="71" t="s">
        <v>2593</v>
      </c>
      <c r="C473" s="71" t="s">
        <v>2594</v>
      </c>
    </row>
    <row r="474" spans="1:3" s="50" customFormat="1">
      <c r="A474" s="71" t="s">
        <v>1269</v>
      </c>
      <c r="B474" s="71" t="s">
        <v>237</v>
      </c>
      <c r="C474" s="71" t="s">
        <v>646</v>
      </c>
    </row>
    <row r="475" spans="1:3" s="50" customFormat="1">
      <c r="A475" s="71" t="s">
        <v>1271</v>
      </c>
      <c r="B475" s="71" t="s">
        <v>294</v>
      </c>
      <c r="C475" s="71" t="s">
        <v>1096</v>
      </c>
    </row>
    <row r="476" spans="1:3" s="50" customFormat="1">
      <c r="A476" s="71" t="s">
        <v>1272</v>
      </c>
      <c r="B476" s="71" t="s">
        <v>471</v>
      </c>
      <c r="C476" s="71" t="s">
        <v>1081</v>
      </c>
    </row>
    <row r="477" spans="1:3" s="50" customFormat="1">
      <c r="A477" s="71" t="s">
        <v>1273</v>
      </c>
      <c r="B477" s="71" t="s">
        <v>471</v>
      </c>
      <c r="C477" s="71" t="s">
        <v>1081</v>
      </c>
    </row>
    <row r="478" spans="1:3" s="50" customFormat="1">
      <c r="A478" s="71" t="s">
        <v>1274</v>
      </c>
      <c r="B478" s="71" t="s">
        <v>471</v>
      </c>
      <c r="C478" s="71" t="s">
        <v>1081</v>
      </c>
    </row>
    <row r="479" spans="1:3" s="50" customFormat="1">
      <c r="A479" s="71" t="s">
        <v>1275</v>
      </c>
      <c r="B479" s="71" t="s">
        <v>295</v>
      </c>
      <c r="C479" s="71" t="s">
        <v>1097</v>
      </c>
    </row>
    <row r="480" spans="1:3" s="50" customFormat="1">
      <c r="A480" s="71" t="s">
        <v>1276</v>
      </c>
      <c r="B480" s="71" t="s">
        <v>65</v>
      </c>
      <c r="C480" s="71" t="s">
        <v>65</v>
      </c>
    </row>
    <row r="481" spans="1:3" s="50" customFormat="1">
      <c r="A481" s="71" t="s">
        <v>1277</v>
      </c>
      <c r="B481" s="71" t="s">
        <v>296</v>
      </c>
      <c r="C481" s="71" t="s">
        <v>1082</v>
      </c>
    </row>
    <row r="482" spans="1:3" s="50" customFormat="1">
      <c r="A482" s="71" t="s">
        <v>1278</v>
      </c>
      <c r="B482" s="71" t="s">
        <v>297</v>
      </c>
      <c r="C482" s="71" t="s">
        <v>1083</v>
      </c>
    </row>
    <row r="483" spans="1:3" s="50" customFormat="1">
      <c r="A483" s="71" t="s">
        <v>1279</v>
      </c>
      <c r="B483" s="71" t="s">
        <v>246</v>
      </c>
      <c r="C483" s="71" t="s">
        <v>644</v>
      </c>
    </row>
    <row r="484" spans="1:3" s="50" customFormat="1">
      <c r="A484" s="71" t="s">
        <v>1280</v>
      </c>
      <c r="B484" s="71" t="s">
        <v>247</v>
      </c>
      <c r="C484" s="71" t="s">
        <v>645</v>
      </c>
    </row>
    <row r="485" spans="1:3" s="50" customFormat="1">
      <c r="A485" s="71" t="s">
        <v>1281</v>
      </c>
      <c r="B485" s="71" t="s">
        <v>298</v>
      </c>
      <c r="C485" s="71" t="s">
        <v>1093</v>
      </c>
    </row>
    <row r="486" spans="1:3" s="50" customFormat="1">
      <c r="A486" s="71" t="s">
        <v>1282</v>
      </c>
      <c r="B486" s="71" t="s">
        <v>246</v>
      </c>
      <c r="C486" s="71" t="s">
        <v>644</v>
      </c>
    </row>
    <row r="487" spans="1:3" s="50" customFormat="1">
      <c r="A487" s="71" t="s">
        <v>1283</v>
      </c>
      <c r="B487" s="71" t="s">
        <v>247</v>
      </c>
      <c r="C487" s="71" t="s">
        <v>645</v>
      </c>
    </row>
    <row r="488" spans="1:3" s="50" customFormat="1">
      <c r="A488" s="71" t="s">
        <v>1284</v>
      </c>
      <c r="B488" s="71" t="s">
        <v>298</v>
      </c>
      <c r="C488" s="71" t="s">
        <v>1093</v>
      </c>
    </row>
    <row r="489" spans="1:3" s="50" customFormat="1">
      <c r="A489" s="71" t="s">
        <v>1285</v>
      </c>
      <c r="B489" s="71" t="s">
        <v>246</v>
      </c>
      <c r="C489" s="71" t="s">
        <v>644</v>
      </c>
    </row>
    <row r="490" spans="1:3" s="50" customFormat="1">
      <c r="A490" s="71" t="s">
        <v>1286</v>
      </c>
      <c r="B490" s="71" t="s">
        <v>247</v>
      </c>
      <c r="C490" s="71" t="s">
        <v>645</v>
      </c>
    </row>
    <row r="491" spans="1:3" s="50" customFormat="1">
      <c r="A491" s="71" t="s">
        <v>1287</v>
      </c>
      <c r="B491" s="71" t="s">
        <v>298</v>
      </c>
      <c r="C491" s="71" t="s">
        <v>1093</v>
      </c>
    </row>
    <row r="492" spans="1:3" s="50" customFormat="1">
      <c r="A492" s="71" t="s">
        <v>1288</v>
      </c>
      <c r="B492" s="71" t="s">
        <v>163</v>
      </c>
      <c r="C492" s="71" t="s">
        <v>1214</v>
      </c>
    </row>
    <row r="493" spans="1:3" s="50" customFormat="1">
      <c r="A493" s="147" t="s">
        <v>1290</v>
      </c>
      <c r="B493" s="71" t="s">
        <v>3993</v>
      </c>
      <c r="C493" s="71" t="s">
        <v>1307</v>
      </c>
    </row>
    <row r="494" spans="1:3" s="50" customFormat="1">
      <c r="A494" s="147" t="s">
        <v>1359</v>
      </c>
      <c r="B494" s="71" t="s">
        <v>308</v>
      </c>
      <c r="C494" s="71" t="s">
        <v>1360</v>
      </c>
    </row>
    <row r="495" spans="1:3" s="50" customFormat="1">
      <c r="A495" s="71" t="s">
        <v>1328</v>
      </c>
      <c r="B495" s="71" t="s">
        <v>134</v>
      </c>
      <c r="C495" s="71" t="s">
        <v>1215</v>
      </c>
    </row>
    <row r="496" spans="1:3" s="50" customFormat="1">
      <c r="A496" s="147" t="s">
        <v>1329</v>
      </c>
      <c r="B496" s="71" t="s">
        <v>135</v>
      </c>
      <c r="C496" s="71" t="s">
        <v>1216</v>
      </c>
    </row>
    <row r="497" spans="1:3" s="50" customFormat="1">
      <c r="A497" s="147" t="s">
        <v>1330</v>
      </c>
      <c r="B497" s="71" t="s">
        <v>136</v>
      </c>
      <c r="C497" s="71" t="s">
        <v>1217</v>
      </c>
    </row>
    <row r="498" spans="1:3" s="50" customFormat="1">
      <c r="A498" s="147" t="s">
        <v>1331</v>
      </c>
      <c r="B498" s="71" t="s">
        <v>3982</v>
      </c>
      <c r="C498" s="71" t="s">
        <v>3983</v>
      </c>
    </row>
    <row r="499" spans="1:3" s="50" customFormat="1">
      <c r="A499" s="147" t="s">
        <v>1291</v>
      </c>
      <c r="B499" s="71" t="s">
        <v>150</v>
      </c>
      <c r="C499" s="71" t="s">
        <v>1218</v>
      </c>
    </row>
    <row r="500" spans="1:3" s="50" customFormat="1">
      <c r="A500" s="71" t="s">
        <v>1332</v>
      </c>
      <c r="B500" s="71" t="s">
        <v>151</v>
      </c>
      <c r="C500" s="71" t="s">
        <v>1219</v>
      </c>
    </row>
    <row r="501" spans="1:3" s="50" customFormat="1">
      <c r="A501" s="147" t="s">
        <v>1333</v>
      </c>
      <c r="B501" s="71" t="s">
        <v>152</v>
      </c>
      <c r="C501" s="71" t="s">
        <v>1220</v>
      </c>
    </row>
    <row r="502" spans="1:3" s="50" customFormat="1">
      <c r="A502" s="147" t="s">
        <v>1334</v>
      </c>
      <c r="B502" s="71" t="s">
        <v>153</v>
      </c>
      <c r="C502" s="71" t="s">
        <v>1221</v>
      </c>
    </row>
    <row r="503" spans="1:3" s="50" customFormat="1">
      <c r="A503" s="147" t="s">
        <v>1335</v>
      </c>
      <c r="B503" s="71" t="s">
        <v>3984</v>
      </c>
      <c r="C503" s="71" t="s">
        <v>3985</v>
      </c>
    </row>
    <row r="504" spans="1:3" s="50" customFormat="1">
      <c r="A504" s="147" t="s">
        <v>1292</v>
      </c>
      <c r="B504" s="71" t="s">
        <v>154</v>
      </c>
      <c r="C504" s="71" t="s">
        <v>1222</v>
      </c>
    </row>
    <row r="505" spans="1:3" s="50" customFormat="1">
      <c r="A505" s="71" t="s">
        <v>1336</v>
      </c>
      <c r="B505" s="71" t="s">
        <v>155</v>
      </c>
      <c r="C505" s="71" t="s">
        <v>1223</v>
      </c>
    </row>
    <row r="506" spans="1:3" s="50" customFormat="1">
      <c r="A506" s="147" t="s">
        <v>1337</v>
      </c>
      <c r="B506" s="71" t="s">
        <v>156</v>
      </c>
      <c r="C506" s="71" t="s">
        <v>1224</v>
      </c>
    </row>
    <row r="507" spans="1:3" s="50" customFormat="1">
      <c r="A507" s="147" t="s">
        <v>1338</v>
      </c>
      <c r="B507" s="71" t="s">
        <v>175</v>
      </c>
      <c r="C507" s="71" t="s">
        <v>1225</v>
      </c>
    </row>
    <row r="508" spans="1:3" s="50" customFormat="1">
      <c r="A508" s="147" t="s">
        <v>1339</v>
      </c>
      <c r="B508" s="71" t="s">
        <v>3986</v>
      </c>
      <c r="C508" s="71" t="s">
        <v>3987</v>
      </c>
    </row>
    <row r="509" spans="1:3" s="50" customFormat="1">
      <c r="A509" s="147" t="s">
        <v>1340</v>
      </c>
      <c r="B509" s="71" t="s">
        <v>176</v>
      </c>
      <c r="C509" s="71" t="s">
        <v>1308</v>
      </c>
    </row>
    <row r="510" spans="1:3" s="50" customFormat="1">
      <c r="A510" s="147" t="s">
        <v>1293</v>
      </c>
      <c r="B510" s="71" t="s">
        <v>177</v>
      </c>
      <c r="C510" s="148" t="s">
        <v>1361</v>
      </c>
    </row>
    <row r="511" spans="1:3" s="50" customFormat="1" ht="44.45" customHeight="1">
      <c r="A511" s="145" t="s">
        <v>1341</v>
      </c>
      <c r="B511" s="73" t="s">
        <v>560</v>
      </c>
      <c r="C511" s="73" t="s">
        <v>1362</v>
      </c>
    </row>
    <row r="512" spans="1:3" s="50" customFormat="1">
      <c r="A512" s="147" t="s">
        <v>1342</v>
      </c>
      <c r="B512" s="71" t="s">
        <v>179</v>
      </c>
      <c r="C512" s="71" t="s">
        <v>1309</v>
      </c>
    </row>
    <row r="513" spans="1:3" s="50" customFormat="1">
      <c r="A513" s="147" t="s">
        <v>3067</v>
      </c>
      <c r="B513" s="71" t="s">
        <v>3753</v>
      </c>
      <c r="C513" s="71" t="s">
        <v>3754</v>
      </c>
    </row>
    <row r="514" spans="1:3" s="50" customFormat="1">
      <c r="A514" s="147" t="s">
        <v>1343</v>
      </c>
      <c r="B514" s="71" t="s">
        <v>180</v>
      </c>
      <c r="C514" s="71" t="s">
        <v>1310</v>
      </c>
    </row>
    <row r="515" spans="1:3" s="69" customFormat="1">
      <c r="A515" s="147" t="s">
        <v>559</v>
      </c>
      <c r="B515" s="148" t="s">
        <v>4072</v>
      </c>
      <c r="C515" s="148" t="s">
        <v>2441</v>
      </c>
    </row>
    <row r="516" spans="1:3" s="50" customFormat="1">
      <c r="A516" s="147" t="s">
        <v>1344</v>
      </c>
      <c r="B516" s="71" t="s">
        <v>4073</v>
      </c>
      <c r="C516" s="72" t="s">
        <v>4074</v>
      </c>
    </row>
    <row r="517" spans="1:3" s="50" customFormat="1">
      <c r="A517" s="147" t="s">
        <v>2440</v>
      </c>
      <c r="B517" s="71" t="s">
        <v>2467</v>
      </c>
      <c r="C517" s="72" t="s">
        <v>2468</v>
      </c>
    </row>
    <row r="518" spans="1:3" s="50" customFormat="1">
      <c r="A518" s="147" t="s">
        <v>1345</v>
      </c>
      <c r="B518" s="71" t="s">
        <v>1326</v>
      </c>
      <c r="C518" s="72" t="s">
        <v>1311</v>
      </c>
    </row>
    <row r="519" spans="1:3" s="50" customFormat="1">
      <c r="A519" s="147" t="s">
        <v>1346</v>
      </c>
      <c r="B519" s="71" t="s">
        <v>181</v>
      </c>
      <c r="C519" s="71" t="s">
        <v>1312</v>
      </c>
    </row>
    <row r="520" spans="1:3" s="50" customFormat="1">
      <c r="A520" s="147" t="s">
        <v>1347</v>
      </c>
      <c r="B520" s="71" t="s">
        <v>182</v>
      </c>
      <c r="C520" s="71" t="s">
        <v>1313</v>
      </c>
    </row>
    <row r="521" spans="1:3" s="50" customFormat="1">
      <c r="A521" s="147" t="s">
        <v>2821</v>
      </c>
      <c r="B521" s="71" t="s">
        <v>2822</v>
      </c>
      <c r="C521" s="71" t="s">
        <v>2823</v>
      </c>
    </row>
    <row r="522" spans="1:3" s="50" customFormat="1">
      <c r="A522" s="147" t="s">
        <v>1348</v>
      </c>
      <c r="B522" s="71" t="s">
        <v>183</v>
      </c>
      <c r="C522" s="71" t="s">
        <v>1314</v>
      </c>
    </row>
    <row r="523" spans="1:3" s="50" customFormat="1">
      <c r="A523" s="147" t="s">
        <v>3141</v>
      </c>
      <c r="B523" s="71" t="s">
        <v>3755</v>
      </c>
      <c r="C523" s="71" t="s">
        <v>3757</v>
      </c>
    </row>
    <row r="524" spans="1:3" s="50" customFormat="1">
      <c r="A524" s="147" t="s">
        <v>3142</v>
      </c>
      <c r="B524" s="71" t="s">
        <v>3756</v>
      </c>
      <c r="C524" s="71" t="s">
        <v>3758</v>
      </c>
    </row>
    <row r="525" spans="1:3" s="50" customFormat="1">
      <c r="A525" s="147" t="s">
        <v>3145</v>
      </c>
      <c r="B525" s="71" t="s">
        <v>3146</v>
      </c>
      <c r="C525" s="71" t="s">
        <v>3523</v>
      </c>
    </row>
    <row r="526" spans="1:3" s="50" customFormat="1">
      <c r="A526" s="147" t="s">
        <v>3148</v>
      </c>
      <c r="B526" s="71" t="s">
        <v>3112</v>
      </c>
      <c r="C526" s="71" t="s">
        <v>3524</v>
      </c>
    </row>
    <row r="527" spans="1:3" s="50" customFormat="1">
      <c r="A527" s="147" t="s">
        <v>2824</v>
      </c>
      <c r="B527" s="71" t="s">
        <v>2822</v>
      </c>
      <c r="C527" s="71" t="s">
        <v>2823</v>
      </c>
    </row>
    <row r="528" spans="1:3" s="50" customFormat="1">
      <c r="A528" s="147" t="s">
        <v>1349</v>
      </c>
      <c r="B528" s="71" t="s">
        <v>184</v>
      </c>
      <c r="C528" s="71" t="s">
        <v>1315</v>
      </c>
    </row>
    <row r="529" spans="1:3" s="70" customFormat="1" ht="25.5">
      <c r="A529" s="151" t="s">
        <v>1294</v>
      </c>
      <c r="B529" s="73" t="s">
        <v>3168</v>
      </c>
      <c r="C529" s="73" t="s">
        <v>3169</v>
      </c>
    </row>
    <row r="530" spans="1:3" s="50" customFormat="1">
      <c r="A530" s="71" t="s">
        <v>1350</v>
      </c>
      <c r="B530" s="71" t="s">
        <v>1306</v>
      </c>
      <c r="C530" s="148" t="s">
        <v>1327</v>
      </c>
    </row>
    <row r="531" spans="1:3" s="50" customFormat="1">
      <c r="A531" s="71" t="s">
        <v>1351</v>
      </c>
      <c r="B531" s="71" t="s">
        <v>164</v>
      </c>
      <c r="C531" s="71" t="s">
        <v>1316</v>
      </c>
    </row>
    <row r="532" spans="1:3" s="50" customFormat="1">
      <c r="A532" s="147" t="s">
        <v>1295</v>
      </c>
      <c r="B532" s="71" t="s">
        <v>178</v>
      </c>
      <c r="C532" s="71" t="s">
        <v>1317</v>
      </c>
    </row>
    <row r="533" spans="1:3" s="50" customFormat="1">
      <c r="A533" s="147" t="s">
        <v>1367</v>
      </c>
      <c r="B533" s="71" t="s">
        <v>1369</v>
      </c>
      <c r="C533" s="71" t="s">
        <v>1371</v>
      </c>
    </row>
    <row r="534" spans="1:3" s="50" customFormat="1">
      <c r="A534" s="147" t="s">
        <v>1368</v>
      </c>
      <c r="B534" s="71" t="s">
        <v>1370</v>
      </c>
      <c r="C534" s="71" t="s">
        <v>1372</v>
      </c>
    </row>
    <row r="535" spans="1:3" s="50" customFormat="1">
      <c r="A535" s="71" t="s">
        <v>1352</v>
      </c>
      <c r="B535" s="71" t="s">
        <v>165</v>
      </c>
      <c r="C535" s="71" t="s">
        <v>1318</v>
      </c>
    </row>
    <row r="536" spans="1:3" s="50" customFormat="1">
      <c r="A536" s="147" t="s">
        <v>1296</v>
      </c>
      <c r="B536" s="71" t="s">
        <v>503</v>
      </c>
      <c r="C536" s="71" t="s">
        <v>1319</v>
      </c>
    </row>
    <row r="537" spans="1:3" s="50" customFormat="1">
      <c r="A537" s="71" t="s">
        <v>1353</v>
      </c>
      <c r="B537" s="71" t="s">
        <v>1363</v>
      </c>
      <c r="C537" s="71" t="s">
        <v>1364</v>
      </c>
    </row>
    <row r="538" spans="1:3" s="50" customFormat="1" ht="25.5">
      <c r="A538" s="149" t="s">
        <v>1297</v>
      </c>
      <c r="B538" s="73" t="s">
        <v>1366</v>
      </c>
      <c r="C538" s="73" t="s">
        <v>1365</v>
      </c>
    </row>
    <row r="539" spans="1:3" s="50" customFormat="1">
      <c r="A539" s="149" t="s">
        <v>1461</v>
      </c>
      <c r="B539" s="73" t="s">
        <v>1369</v>
      </c>
      <c r="C539" s="73" t="s">
        <v>1371</v>
      </c>
    </row>
    <row r="540" spans="1:3" s="50" customFormat="1">
      <c r="A540" s="147" t="s">
        <v>1354</v>
      </c>
      <c r="B540" s="71" t="s">
        <v>435</v>
      </c>
      <c r="C540" s="71" t="s">
        <v>1320</v>
      </c>
    </row>
    <row r="541" spans="1:3" s="50" customFormat="1">
      <c r="A541" s="71" t="s">
        <v>1355</v>
      </c>
      <c r="B541" s="71" t="s">
        <v>166</v>
      </c>
      <c r="C541" s="71" t="s">
        <v>1321</v>
      </c>
    </row>
    <row r="542" spans="1:3" s="50" customFormat="1">
      <c r="A542" s="147" t="s">
        <v>1298</v>
      </c>
      <c r="B542" s="71" t="s">
        <v>185</v>
      </c>
      <c r="C542" s="71" t="s">
        <v>1322</v>
      </c>
    </row>
    <row r="543" spans="1:3" s="50" customFormat="1">
      <c r="A543" s="147" t="s">
        <v>1373</v>
      </c>
      <c r="B543" s="71" t="s">
        <v>1369</v>
      </c>
      <c r="C543" s="71" t="s">
        <v>1371</v>
      </c>
    </row>
    <row r="544" spans="1:3" s="50" customFormat="1">
      <c r="A544" s="147" t="s">
        <v>1374</v>
      </c>
      <c r="B544" s="71" t="s">
        <v>1370</v>
      </c>
      <c r="C544" s="71" t="s">
        <v>1372</v>
      </c>
    </row>
    <row r="545" spans="1:3" s="50" customFormat="1">
      <c r="A545" s="71" t="s">
        <v>1356</v>
      </c>
      <c r="B545" s="71" t="s">
        <v>110</v>
      </c>
      <c r="C545" s="71" t="s">
        <v>1323</v>
      </c>
    </row>
    <row r="546" spans="1:3" s="50" customFormat="1">
      <c r="A546" s="147" t="s">
        <v>1357</v>
      </c>
      <c r="B546" s="71" t="s">
        <v>111</v>
      </c>
      <c r="C546" s="71" t="s">
        <v>1324</v>
      </c>
    </row>
    <row r="547" spans="1:3" s="50" customFormat="1">
      <c r="A547" s="147" t="s">
        <v>1462</v>
      </c>
      <c r="B547" s="71" t="s">
        <v>1369</v>
      </c>
      <c r="C547" s="71" t="s">
        <v>1371</v>
      </c>
    </row>
    <row r="548" spans="1:3" s="50" customFormat="1">
      <c r="A548" s="147" t="s">
        <v>1305</v>
      </c>
      <c r="B548" s="71" t="s">
        <v>443</v>
      </c>
      <c r="C548" s="71" t="s">
        <v>1325</v>
      </c>
    </row>
    <row r="549" spans="1:3" s="50" customFormat="1">
      <c r="A549" s="71" t="s">
        <v>1358</v>
      </c>
      <c r="B549" s="71" t="s">
        <v>1306</v>
      </c>
      <c r="C549" s="71" t="s">
        <v>1327</v>
      </c>
    </row>
    <row r="550" spans="1:3" s="50" customFormat="1">
      <c r="A550" s="71" t="s">
        <v>1375</v>
      </c>
      <c r="B550" s="71" t="s">
        <v>316</v>
      </c>
      <c r="C550" s="71" t="s">
        <v>1378</v>
      </c>
    </row>
    <row r="551" spans="1:3" s="50" customFormat="1">
      <c r="A551" s="71" t="s">
        <v>1376</v>
      </c>
      <c r="B551" s="71" t="s">
        <v>2593</v>
      </c>
      <c r="C551" s="71" t="s">
        <v>2594</v>
      </c>
    </row>
    <row r="552" spans="1:3" s="50" customFormat="1">
      <c r="A552" s="71" t="s">
        <v>1377</v>
      </c>
      <c r="B552" s="71" t="s">
        <v>237</v>
      </c>
      <c r="C552" s="71" t="s">
        <v>646</v>
      </c>
    </row>
    <row r="553" spans="1:3" s="50" customFormat="1">
      <c r="A553" s="71" t="s">
        <v>1385</v>
      </c>
      <c r="B553" s="71" t="s">
        <v>294</v>
      </c>
      <c r="C553" s="71" t="s">
        <v>1096</v>
      </c>
    </row>
    <row r="554" spans="1:3" s="50" customFormat="1">
      <c r="A554" s="71" t="s">
        <v>1386</v>
      </c>
      <c r="B554" s="71" t="s">
        <v>471</v>
      </c>
      <c r="C554" s="71" t="s">
        <v>1081</v>
      </c>
    </row>
    <row r="555" spans="1:3" s="50" customFormat="1">
      <c r="A555" s="71" t="s">
        <v>1387</v>
      </c>
      <c r="B555" s="71" t="s">
        <v>471</v>
      </c>
      <c r="C555" s="71" t="s">
        <v>1081</v>
      </c>
    </row>
    <row r="556" spans="1:3" s="50" customFormat="1">
      <c r="A556" s="71" t="s">
        <v>1388</v>
      </c>
      <c r="B556" s="71" t="s">
        <v>471</v>
      </c>
      <c r="C556" s="71" t="s">
        <v>1081</v>
      </c>
    </row>
    <row r="557" spans="1:3" s="50" customFormat="1">
      <c r="A557" s="71" t="s">
        <v>1389</v>
      </c>
      <c r="B557" s="71" t="s">
        <v>295</v>
      </c>
      <c r="C557" s="71" t="s">
        <v>1097</v>
      </c>
    </row>
    <row r="558" spans="1:3" s="50" customFormat="1">
      <c r="A558" s="71" t="s">
        <v>1390</v>
      </c>
      <c r="B558" s="71" t="s">
        <v>65</v>
      </c>
      <c r="C558" s="71" t="s">
        <v>65</v>
      </c>
    </row>
    <row r="559" spans="1:3" s="50" customFormat="1">
      <c r="A559" s="71" t="s">
        <v>1391</v>
      </c>
      <c r="B559" s="71" t="s">
        <v>296</v>
      </c>
      <c r="C559" s="71" t="s">
        <v>1082</v>
      </c>
    </row>
    <row r="560" spans="1:3" s="50" customFormat="1">
      <c r="A560" s="71" t="s">
        <v>1392</v>
      </c>
      <c r="B560" s="71" t="s">
        <v>297</v>
      </c>
      <c r="C560" s="71" t="s">
        <v>1083</v>
      </c>
    </row>
    <row r="561" spans="1:3" s="50" customFormat="1">
      <c r="A561" s="71" t="s">
        <v>1393</v>
      </c>
      <c r="B561" s="71" t="s">
        <v>246</v>
      </c>
      <c r="C561" s="71" t="s">
        <v>644</v>
      </c>
    </row>
    <row r="562" spans="1:3" s="50" customFormat="1">
      <c r="A562" s="71" t="s">
        <v>1394</v>
      </c>
      <c r="B562" s="71" t="s">
        <v>247</v>
      </c>
      <c r="C562" s="71" t="s">
        <v>645</v>
      </c>
    </row>
    <row r="563" spans="1:3" s="50" customFormat="1">
      <c r="A563" s="71" t="s">
        <v>1395</v>
      </c>
      <c r="B563" s="71" t="s">
        <v>298</v>
      </c>
      <c r="C563" s="71" t="s">
        <v>1093</v>
      </c>
    </row>
    <row r="564" spans="1:3" s="50" customFormat="1">
      <c r="A564" s="71" t="s">
        <v>1396</v>
      </c>
      <c r="B564" s="71" t="s">
        <v>246</v>
      </c>
      <c r="C564" s="71" t="s">
        <v>644</v>
      </c>
    </row>
    <row r="565" spans="1:3" s="50" customFormat="1">
      <c r="A565" s="71" t="s">
        <v>1397</v>
      </c>
      <c r="B565" s="71" t="s">
        <v>247</v>
      </c>
      <c r="C565" s="71" t="s">
        <v>645</v>
      </c>
    </row>
    <row r="566" spans="1:3" s="50" customFormat="1">
      <c r="A566" s="71" t="s">
        <v>1398</v>
      </c>
      <c r="B566" s="71" t="s">
        <v>298</v>
      </c>
      <c r="C566" s="71" t="s">
        <v>1093</v>
      </c>
    </row>
    <row r="567" spans="1:3" s="50" customFormat="1">
      <c r="A567" s="71" t="s">
        <v>1399</v>
      </c>
      <c r="B567" s="71" t="s">
        <v>246</v>
      </c>
      <c r="C567" s="71" t="s">
        <v>644</v>
      </c>
    </row>
    <row r="568" spans="1:3" s="50" customFormat="1">
      <c r="A568" s="71" t="s">
        <v>1400</v>
      </c>
      <c r="B568" s="71" t="s">
        <v>247</v>
      </c>
      <c r="C568" s="71" t="s">
        <v>645</v>
      </c>
    </row>
    <row r="569" spans="1:3" s="50" customFormat="1">
      <c r="A569" s="71" t="s">
        <v>1401</v>
      </c>
      <c r="B569" s="71" t="s">
        <v>298</v>
      </c>
      <c r="C569" s="71" t="s">
        <v>1093</v>
      </c>
    </row>
    <row r="570" spans="1:3" s="50" customFormat="1">
      <c r="A570" s="146" t="s">
        <v>1428</v>
      </c>
      <c r="B570" s="71" t="s">
        <v>193</v>
      </c>
      <c r="C570" s="71" t="s">
        <v>1402</v>
      </c>
    </row>
    <row r="571" spans="1:3" s="50" customFormat="1">
      <c r="A571" s="147" t="s">
        <v>1429</v>
      </c>
      <c r="B571" s="71" t="s">
        <v>194</v>
      </c>
      <c r="C571" s="71" t="s">
        <v>1403</v>
      </c>
    </row>
    <row r="572" spans="1:3" s="50" customFormat="1">
      <c r="A572" s="147" t="s">
        <v>1430</v>
      </c>
      <c r="B572" s="71" t="s">
        <v>3988</v>
      </c>
      <c r="C572" s="71" t="s">
        <v>1404</v>
      </c>
    </row>
    <row r="573" spans="1:3" s="50" customFormat="1">
      <c r="A573" s="147" t="s">
        <v>1431</v>
      </c>
      <c r="B573" s="71" t="s">
        <v>195</v>
      </c>
      <c r="C573" s="71" t="s">
        <v>1405</v>
      </c>
    </row>
    <row r="574" spans="1:3" s="50" customFormat="1" ht="15.75" customHeight="1">
      <c r="A574" s="149" t="s">
        <v>1432</v>
      </c>
      <c r="B574" s="73" t="s">
        <v>3989</v>
      </c>
      <c r="C574" s="73" t="s">
        <v>3990</v>
      </c>
    </row>
    <row r="575" spans="1:3" s="50" customFormat="1">
      <c r="A575" s="147" t="s">
        <v>1433</v>
      </c>
      <c r="B575" s="71" t="s">
        <v>3991</v>
      </c>
      <c r="C575" s="71" t="s">
        <v>3992</v>
      </c>
    </row>
    <row r="576" spans="1:3" s="50" customFormat="1">
      <c r="A576" s="147" t="s">
        <v>1463</v>
      </c>
      <c r="B576" s="71" t="s">
        <v>1457</v>
      </c>
      <c r="C576" s="71" t="s">
        <v>1458</v>
      </c>
    </row>
    <row r="577" spans="1:3" s="50" customFormat="1">
      <c r="A577" s="147" t="s">
        <v>1434</v>
      </c>
      <c r="B577" s="71" t="s">
        <v>1455</v>
      </c>
      <c r="C577" s="71" t="s">
        <v>1406</v>
      </c>
    </row>
    <row r="578" spans="1:3" s="50" customFormat="1">
      <c r="A578" s="147" t="s">
        <v>1435</v>
      </c>
      <c r="B578" s="71" t="s">
        <v>109</v>
      </c>
      <c r="C578" s="71" t="s">
        <v>1407</v>
      </c>
    </row>
    <row r="579" spans="1:3" s="50" customFormat="1">
      <c r="A579" s="147" t="s">
        <v>1436</v>
      </c>
      <c r="B579" s="71" t="s">
        <v>436</v>
      </c>
      <c r="C579" s="71" t="s">
        <v>1408</v>
      </c>
    </row>
    <row r="580" spans="1:3" s="50" customFormat="1">
      <c r="A580" s="147" t="s">
        <v>1437</v>
      </c>
      <c r="B580" s="71" t="s">
        <v>167</v>
      </c>
      <c r="C580" s="71" t="s">
        <v>1409</v>
      </c>
    </row>
    <row r="581" spans="1:3" s="50" customFormat="1">
      <c r="A581" s="147" t="s">
        <v>1459</v>
      </c>
      <c r="B581" s="71" t="s">
        <v>196</v>
      </c>
      <c r="C581" s="71" t="s">
        <v>1460</v>
      </c>
    </row>
    <row r="582" spans="1:3" s="50" customFormat="1">
      <c r="A582" s="147" t="s">
        <v>1380</v>
      </c>
      <c r="B582" s="71" t="s">
        <v>95</v>
      </c>
      <c r="C582" s="71" t="s">
        <v>2226</v>
      </c>
    </row>
    <row r="583" spans="1:3" s="50" customFormat="1">
      <c r="A583" s="147" t="s">
        <v>1381</v>
      </c>
      <c r="B583" s="71" t="s">
        <v>1457</v>
      </c>
      <c r="C583" s="71" t="s">
        <v>1458</v>
      </c>
    </row>
    <row r="584" spans="1:3" s="50" customFormat="1">
      <c r="A584" s="146" t="s">
        <v>1438</v>
      </c>
      <c r="B584" s="71" t="s">
        <v>197</v>
      </c>
      <c r="C584" s="71" t="s">
        <v>1410</v>
      </c>
    </row>
    <row r="585" spans="1:3" s="50" customFormat="1">
      <c r="A585" s="146" t="s">
        <v>1439</v>
      </c>
      <c r="B585" s="71" t="s">
        <v>201</v>
      </c>
      <c r="C585" s="71" t="s">
        <v>1411</v>
      </c>
    </row>
    <row r="586" spans="1:3" s="50" customFormat="1">
      <c r="A586" s="146" t="s">
        <v>1464</v>
      </c>
      <c r="B586" s="71" t="s">
        <v>1473</v>
      </c>
      <c r="C586" s="71" t="s">
        <v>1472</v>
      </c>
    </row>
    <row r="587" spans="1:3" s="50" customFormat="1" ht="25.5">
      <c r="A587" s="146" t="s">
        <v>1440</v>
      </c>
      <c r="B587" s="72" t="s">
        <v>202</v>
      </c>
      <c r="C587" s="72" t="s">
        <v>1412</v>
      </c>
    </row>
    <row r="588" spans="1:3" s="50" customFormat="1">
      <c r="A588" s="146" t="s">
        <v>1441</v>
      </c>
      <c r="B588" s="71" t="s">
        <v>203</v>
      </c>
      <c r="C588" s="71" t="s">
        <v>1413</v>
      </c>
    </row>
    <row r="589" spans="1:3" s="50" customFormat="1">
      <c r="A589" s="146" t="s">
        <v>1465</v>
      </c>
      <c r="B589" s="71" t="s">
        <v>450</v>
      </c>
      <c r="C589" s="71" t="s">
        <v>1469</v>
      </c>
    </row>
    <row r="590" spans="1:3" s="50" customFormat="1" ht="25.5">
      <c r="A590" s="146" t="s">
        <v>1442</v>
      </c>
      <c r="B590" s="72" t="s">
        <v>168</v>
      </c>
      <c r="C590" s="72" t="s">
        <v>1414</v>
      </c>
    </row>
    <row r="591" spans="1:3" s="50" customFormat="1">
      <c r="A591" s="146" t="s">
        <v>1456</v>
      </c>
      <c r="B591" s="71" t="s">
        <v>1471</v>
      </c>
      <c r="C591" s="71" t="s">
        <v>1470</v>
      </c>
    </row>
    <row r="592" spans="1:3" s="50" customFormat="1">
      <c r="A592" s="146" t="s">
        <v>1466</v>
      </c>
      <c r="B592" s="71" t="s">
        <v>1468</v>
      </c>
      <c r="C592" s="71" t="s">
        <v>1467</v>
      </c>
    </row>
    <row r="593" spans="1:3" s="50" customFormat="1" ht="25.5">
      <c r="A593" s="147" t="s">
        <v>1382</v>
      </c>
      <c r="B593" s="72" t="s">
        <v>4067</v>
      </c>
      <c r="C593" s="72" t="s">
        <v>4068</v>
      </c>
    </row>
    <row r="594" spans="1:3" s="50" customFormat="1">
      <c r="A594" s="147" t="s">
        <v>1383</v>
      </c>
      <c r="B594" s="71" t="s">
        <v>204</v>
      </c>
      <c r="C594" s="71" t="s">
        <v>1474</v>
      </c>
    </row>
    <row r="595" spans="1:3" s="50" customFormat="1">
      <c r="A595" s="146" t="s">
        <v>1443</v>
      </c>
      <c r="B595" s="71" t="s">
        <v>205</v>
      </c>
      <c r="C595" s="71" t="s">
        <v>1415</v>
      </c>
    </row>
    <row r="596" spans="1:3" s="50" customFormat="1" ht="25.5">
      <c r="A596" s="146" t="s">
        <v>1444</v>
      </c>
      <c r="B596" s="72" t="s">
        <v>169</v>
      </c>
      <c r="C596" s="72" t="s">
        <v>1416</v>
      </c>
    </row>
    <row r="597" spans="1:3" s="50" customFormat="1" ht="25.5">
      <c r="A597" s="146" t="s">
        <v>1445</v>
      </c>
      <c r="B597" s="72" t="s">
        <v>170</v>
      </c>
      <c r="C597" s="72" t="s">
        <v>1417</v>
      </c>
    </row>
    <row r="598" spans="1:3" s="50" customFormat="1">
      <c r="A598" s="147" t="s">
        <v>1446</v>
      </c>
      <c r="B598" s="71" t="s">
        <v>206</v>
      </c>
      <c r="C598" s="71" t="s">
        <v>1418</v>
      </c>
    </row>
    <row r="599" spans="1:3" s="50" customFormat="1">
      <c r="A599" s="147" t="s">
        <v>1447</v>
      </c>
      <c r="B599" s="71" t="s">
        <v>207</v>
      </c>
      <c r="C599" s="71" t="s">
        <v>1419</v>
      </c>
    </row>
    <row r="600" spans="1:3" s="50" customFormat="1">
      <c r="A600" s="147" t="s">
        <v>1448</v>
      </c>
      <c r="B600" s="71" t="s">
        <v>208</v>
      </c>
      <c r="C600" s="71" t="s">
        <v>1420</v>
      </c>
    </row>
    <row r="601" spans="1:3" s="50" customFormat="1">
      <c r="A601" s="147" t="s">
        <v>1449</v>
      </c>
      <c r="B601" s="71" t="s">
        <v>317</v>
      </c>
      <c r="C601" s="71" t="s">
        <v>1421</v>
      </c>
    </row>
    <row r="602" spans="1:3" s="50" customFormat="1">
      <c r="A602" s="147" t="s">
        <v>1450</v>
      </c>
      <c r="B602" s="71" t="s">
        <v>209</v>
      </c>
      <c r="C602" s="71" t="s">
        <v>1422</v>
      </c>
    </row>
    <row r="603" spans="1:3" s="50" customFormat="1">
      <c r="A603" s="147" t="s">
        <v>1451</v>
      </c>
      <c r="B603" s="71" t="s">
        <v>210</v>
      </c>
      <c r="C603" s="71" t="s">
        <v>1423</v>
      </c>
    </row>
    <row r="604" spans="1:3" s="50" customFormat="1">
      <c r="A604" s="147" t="s">
        <v>1452</v>
      </c>
      <c r="B604" s="71" t="s">
        <v>211</v>
      </c>
      <c r="C604" s="71" t="s">
        <v>1424</v>
      </c>
    </row>
    <row r="605" spans="1:3" s="50" customFormat="1">
      <c r="A605" s="147" t="s">
        <v>1475</v>
      </c>
      <c r="B605" s="71" t="s">
        <v>212</v>
      </c>
      <c r="C605" s="71" t="s">
        <v>1476</v>
      </c>
    </row>
    <row r="606" spans="1:3" s="50" customFormat="1">
      <c r="A606" s="147" t="s">
        <v>1453</v>
      </c>
      <c r="B606" s="71" t="s">
        <v>213</v>
      </c>
      <c r="C606" s="71" t="s">
        <v>1425</v>
      </c>
    </row>
    <row r="607" spans="1:3" s="50" customFormat="1">
      <c r="A607" s="147" t="s">
        <v>1454</v>
      </c>
      <c r="B607" s="71" t="s">
        <v>214</v>
      </c>
      <c r="C607" s="71" t="s">
        <v>1426</v>
      </c>
    </row>
    <row r="608" spans="1:3" s="50" customFormat="1">
      <c r="A608" s="147" t="s">
        <v>1384</v>
      </c>
      <c r="B608" s="71" t="s">
        <v>215</v>
      </c>
      <c r="C608" s="71" t="s">
        <v>1427</v>
      </c>
    </row>
    <row r="609" spans="1:3" s="50" customFormat="1">
      <c r="A609" s="146" t="s">
        <v>1384</v>
      </c>
      <c r="B609" s="71" t="s">
        <v>1306</v>
      </c>
      <c r="C609" s="71" t="s">
        <v>1327</v>
      </c>
    </row>
    <row r="610" spans="1:3" s="50" customFormat="1">
      <c r="A610" s="146" t="s">
        <v>1481</v>
      </c>
      <c r="B610" s="71" t="s">
        <v>171</v>
      </c>
      <c r="C610" s="71" t="s">
        <v>1483</v>
      </c>
    </row>
    <row r="611" spans="1:3" s="50" customFormat="1">
      <c r="A611" s="147" t="s">
        <v>1500</v>
      </c>
      <c r="B611" s="71" t="s">
        <v>216</v>
      </c>
      <c r="C611" s="71" t="s">
        <v>1488</v>
      </c>
    </row>
    <row r="612" spans="1:3" s="50" customFormat="1">
      <c r="A612" s="147" t="s">
        <v>1501</v>
      </c>
      <c r="B612" s="71" t="s">
        <v>4069</v>
      </c>
      <c r="C612" s="71" t="s">
        <v>4070</v>
      </c>
    </row>
    <row r="613" spans="1:3" s="50" customFormat="1">
      <c r="A613" s="147" t="s">
        <v>1502</v>
      </c>
      <c r="B613" s="71" t="s">
        <v>217</v>
      </c>
      <c r="C613" s="71" t="s">
        <v>1490</v>
      </c>
    </row>
    <row r="614" spans="1:3" s="50" customFormat="1">
      <c r="A614" s="147" t="s">
        <v>441</v>
      </c>
      <c r="B614" s="71" t="s">
        <v>3996</v>
      </c>
      <c r="C614" s="71" t="s">
        <v>3997</v>
      </c>
    </row>
    <row r="615" spans="1:3" s="50" customFormat="1">
      <c r="A615" s="147" t="s">
        <v>1523</v>
      </c>
      <c r="B615" s="71" t="s">
        <v>218</v>
      </c>
      <c r="C615" s="71" t="s">
        <v>1524</v>
      </c>
    </row>
    <row r="616" spans="1:3" s="50" customFormat="1">
      <c r="A616" s="147" t="s">
        <v>1503</v>
      </c>
      <c r="B616" s="71" t="s">
        <v>442</v>
      </c>
      <c r="C616" s="71" t="s">
        <v>1491</v>
      </c>
    </row>
    <row r="617" spans="1:3" s="50" customFormat="1">
      <c r="A617" s="147" t="s">
        <v>1504</v>
      </c>
      <c r="B617" s="71" t="s">
        <v>3998</v>
      </c>
      <c r="C617" s="71" t="s">
        <v>3999</v>
      </c>
    </row>
    <row r="618" spans="1:3" s="50" customFormat="1">
      <c r="A618" s="147" t="s">
        <v>1522</v>
      </c>
      <c r="B618" s="71" t="s">
        <v>219</v>
      </c>
      <c r="C618" s="71" t="s">
        <v>1525</v>
      </c>
    </row>
    <row r="619" spans="1:3" s="50" customFormat="1">
      <c r="A619" s="147" t="s">
        <v>1505</v>
      </c>
      <c r="B619" s="71" t="s">
        <v>395</v>
      </c>
      <c r="C619" s="71" t="s">
        <v>1492</v>
      </c>
    </row>
    <row r="620" spans="1:3" s="50" customFormat="1" ht="25.5">
      <c r="A620" s="149" t="s">
        <v>1484</v>
      </c>
      <c r="B620" s="73" t="str">
        <f>"Davon zur Zuteilung an die Versicherungsnehmer 
im Folgejahr ("&amp;(jahr+1)&amp;") vorgesehen"</f>
        <v>Davon zur Zuteilung an die Versicherungsnehmer 
im Folgejahr (2024) vorgesehen</v>
      </c>
      <c r="C620" s="73" t="str">
        <f>"Dont prévu pour être distribué aux preneurs d'assurance 
au cours de l'année suivante ("&amp;(jahr+1)&amp;") "</f>
        <v xml:space="preserve">Dont prévu pour être distribué aux preneurs d'assurance 
au cours de l'année suivante (2024) </v>
      </c>
    </row>
    <row r="621" spans="1:3" s="50" customFormat="1">
      <c r="A621" s="71" t="s">
        <v>1477</v>
      </c>
      <c r="B621" s="71" t="s">
        <v>318</v>
      </c>
      <c r="C621" s="71" t="s">
        <v>1482</v>
      </c>
    </row>
    <row r="622" spans="1:3" s="50" customFormat="1">
      <c r="A622" s="71" t="s">
        <v>1478</v>
      </c>
      <c r="B622" s="71" t="s">
        <v>2593</v>
      </c>
      <c r="C622" s="71" t="s">
        <v>2594</v>
      </c>
    </row>
    <row r="623" spans="1:3" s="50" customFormat="1">
      <c r="A623" s="71" t="s">
        <v>1479</v>
      </c>
      <c r="B623" s="71" t="s">
        <v>237</v>
      </c>
      <c r="C623" s="71" t="s">
        <v>646</v>
      </c>
    </row>
    <row r="624" spans="1:3" s="50" customFormat="1">
      <c r="A624" s="71" t="s">
        <v>2900</v>
      </c>
      <c r="B624" s="71" t="s">
        <v>294</v>
      </c>
      <c r="C624" s="71" t="s">
        <v>1096</v>
      </c>
    </row>
    <row r="625" spans="1:3" s="50" customFormat="1">
      <c r="A625" s="71" t="s">
        <v>2901</v>
      </c>
      <c r="B625" s="71" t="s">
        <v>471</v>
      </c>
      <c r="C625" s="71" t="s">
        <v>1081</v>
      </c>
    </row>
    <row r="626" spans="1:3" s="50" customFormat="1">
      <c r="A626" s="71" t="s">
        <v>2902</v>
      </c>
      <c r="B626" s="71" t="s">
        <v>471</v>
      </c>
      <c r="C626" s="71" t="s">
        <v>1081</v>
      </c>
    </row>
    <row r="627" spans="1:3" s="50" customFormat="1">
      <c r="A627" s="71" t="s">
        <v>2903</v>
      </c>
      <c r="B627" s="71" t="s">
        <v>471</v>
      </c>
      <c r="C627" s="71" t="s">
        <v>1081</v>
      </c>
    </row>
    <row r="628" spans="1:3" s="50" customFormat="1">
      <c r="A628" s="71" t="s">
        <v>2904</v>
      </c>
      <c r="B628" s="71" t="s">
        <v>295</v>
      </c>
      <c r="C628" s="71" t="s">
        <v>1097</v>
      </c>
    </row>
    <row r="629" spans="1:3" s="50" customFormat="1">
      <c r="A629" s="71" t="s">
        <v>2905</v>
      </c>
      <c r="B629" s="71" t="s">
        <v>65</v>
      </c>
      <c r="C629" s="71" t="s">
        <v>65</v>
      </c>
    </row>
    <row r="630" spans="1:3" s="50" customFormat="1">
      <c r="A630" s="71" t="s">
        <v>2906</v>
      </c>
      <c r="B630" s="71" t="s">
        <v>296</v>
      </c>
      <c r="C630" s="71" t="s">
        <v>1082</v>
      </c>
    </row>
    <row r="631" spans="1:3" s="50" customFormat="1">
      <c r="A631" s="71" t="s">
        <v>2907</v>
      </c>
      <c r="B631" s="71" t="s">
        <v>297</v>
      </c>
      <c r="C631" s="71" t="s">
        <v>1083</v>
      </c>
    </row>
    <row r="632" spans="1:3" s="50" customFormat="1">
      <c r="A632" s="71" t="s">
        <v>2908</v>
      </c>
      <c r="B632" s="71" t="s">
        <v>246</v>
      </c>
      <c r="C632" s="71" t="s">
        <v>644</v>
      </c>
    </row>
    <row r="633" spans="1:3" s="50" customFormat="1">
      <c r="A633" s="71" t="s">
        <v>2909</v>
      </c>
      <c r="B633" s="71" t="s">
        <v>247</v>
      </c>
      <c r="C633" s="71" t="s">
        <v>645</v>
      </c>
    </row>
    <row r="634" spans="1:3" s="50" customFormat="1">
      <c r="A634" s="71" t="s">
        <v>2910</v>
      </c>
      <c r="B634" s="71" t="s">
        <v>298</v>
      </c>
      <c r="C634" s="71" t="s">
        <v>1093</v>
      </c>
    </row>
    <row r="635" spans="1:3" s="50" customFormat="1">
      <c r="A635" s="71" t="s">
        <v>2911</v>
      </c>
      <c r="B635" s="71" t="s">
        <v>246</v>
      </c>
      <c r="C635" s="71" t="s">
        <v>644</v>
      </c>
    </row>
    <row r="636" spans="1:3" s="50" customFormat="1">
      <c r="A636" s="71" t="s">
        <v>2912</v>
      </c>
      <c r="B636" s="71" t="s">
        <v>247</v>
      </c>
      <c r="C636" s="71" t="s">
        <v>645</v>
      </c>
    </row>
    <row r="637" spans="1:3" s="50" customFormat="1">
      <c r="A637" s="71" t="s">
        <v>2913</v>
      </c>
      <c r="B637" s="71" t="s">
        <v>298</v>
      </c>
      <c r="C637" s="71" t="s">
        <v>1093</v>
      </c>
    </row>
    <row r="638" spans="1:3" s="50" customFormat="1">
      <c r="A638" s="71" t="s">
        <v>2914</v>
      </c>
      <c r="B638" s="71" t="s">
        <v>246</v>
      </c>
      <c r="C638" s="71" t="s">
        <v>644</v>
      </c>
    </row>
    <row r="639" spans="1:3" s="50" customFormat="1">
      <c r="A639" s="71" t="s">
        <v>2915</v>
      </c>
      <c r="B639" s="71" t="s">
        <v>247</v>
      </c>
      <c r="C639" s="71" t="s">
        <v>645</v>
      </c>
    </row>
    <row r="640" spans="1:3" s="50" customFormat="1">
      <c r="A640" s="71" t="s">
        <v>2916</v>
      </c>
      <c r="B640" s="71" t="s">
        <v>298</v>
      </c>
      <c r="C640" s="71" t="s">
        <v>1093</v>
      </c>
    </row>
    <row r="641" spans="1:3" s="50" customFormat="1">
      <c r="A641" s="71" t="s">
        <v>1506</v>
      </c>
      <c r="B641" s="71" t="s">
        <v>172</v>
      </c>
      <c r="C641" s="71" t="s">
        <v>1493</v>
      </c>
    </row>
    <row r="642" spans="1:3" s="50" customFormat="1">
      <c r="A642" s="147" t="s">
        <v>1507</v>
      </c>
      <c r="B642" s="71" t="s">
        <v>221</v>
      </c>
      <c r="C642" s="71" t="s">
        <v>1494</v>
      </c>
    </row>
    <row r="643" spans="1:3" s="50" customFormat="1">
      <c r="A643" s="147" t="s">
        <v>1485</v>
      </c>
      <c r="B643" s="71" t="s">
        <v>222</v>
      </c>
      <c r="C643" s="71" t="s">
        <v>1495</v>
      </c>
    </row>
    <row r="644" spans="1:3" s="50" customFormat="1">
      <c r="A644" s="147" t="s">
        <v>1520</v>
      </c>
      <c r="B644" s="71" t="s">
        <v>1369</v>
      </c>
      <c r="C644" s="71" t="s">
        <v>1371</v>
      </c>
    </row>
    <row r="645" spans="1:3" s="50" customFormat="1">
      <c r="A645" s="147" t="s">
        <v>1521</v>
      </c>
      <c r="B645" s="71" t="s">
        <v>1370</v>
      </c>
      <c r="C645" s="71" t="s">
        <v>1372</v>
      </c>
    </row>
    <row r="646" spans="1:3" s="50" customFormat="1">
      <c r="A646" s="71" t="s">
        <v>1508</v>
      </c>
      <c r="B646" s="71" t="s">
        <v>223</v>
      </c>
      <c r="C646" s="71" t="s">
        <v>1496</v>
      </c>
    </row>
    <row r="647" spans="1:3" s="50" customFormat="1" ht="25.5">
      <c r="A647" s="147" t="s">
        <v>1509</v>
      </c>
      <c r="B647" s="72" t="s">
        <v>224</v>
      </c>
      <c r="C647" s="72" t="s">
        <v>1497</v>
      </c>
    </row>
    <row r="648" spans="1:3" s="50" customFormat="1">
      <c r="A648" s="147" t="s">
        <v>1510</v>
      </c>
      <c r="B648" s="71" t="s">
        <v>225</v>
      </c>
      <c r="C648" s="71" t="s">
        <v>1498</v>
      </c>
    </row>
    <row r="649" spans="1:3" s="50" customFormat="1">
      <c r="A649" s="149" t="s">
        <v>1486</v>
      </c>
      <c r="B649" s="73" t="s">
        <v>4000</v>
      </c>
      <c r="C649" s="73" t="s">
        <v>4001</v>
      </c>
    </row>
    <row r="650" spans="1:3" s="50" customFormat="1" ht="25.5">
      <c r="A650" s="149" t="s">
        <v>1511</v>
      </c>
      <c r="B650" s="72" t="str">
        <f>+"k)  Wenn 241 und 249 nicht übereinstimmen, wird der Hintergrund in den Spalten D ("&amp;jahr&amp;") bzw. E ("&amp;jahr-1&amp;") rot eingefärbt. Bitte sorgen Sie für Übereinstimmung."</f>
        <v>k)  Wenn 241 und 249 nicht übereinstimmen, wird der Hintergrund in den Spalten D (2023) bzw. E (2022) rot eingefärbt. Bitte sorgen Sie für Übereinstimmung.</v>
      </c>
      <c r="C650" s="72" t="str">
        <f>+"k) Si 241 et 249 ne correspondent pas, l'arrière-plan des colonnes D ("&amp;jahr&amp;") et E ("&amp;jahr-1&amp;") devient rouge. Prière de veiller à faire correspondre, SVP."</f>
        <v>k) Si 241 et 249 ne correspondent pas, l'arrière-plan des colonnes D (2023) et E (2022) devient rouge. Prière de veiller à faire correspondre, SVP.</v>
      </c>
    </row>
    <row r="651" spans="1:3" s="50" customFormat="1">
      <c r="A651" s="147" t="s">
        <v>1512</v>
      </c>
      <c r="B651" s="71" t="s">
        <v>3587</v>
      </c>
      <c r="C651" s="71" t="s">
        <v>3588</v>
      </c>
    </row>
    <row r="652" spans="1:3" s="50" customFormat="1">
      <c r="A652" s="147" t="s">
        <v>1513</v>
      </c>
      <c r="B652" s="71" t="s">
        <v>216</v>
      </c>
      <c r="C652" s="71" t="s">
        <v>1488</v>
      </c>
    </row>
    <row r="653" spans="1:3" s="50" customFormat="1">
      <c r="A653" s="147" t="s">
        <v>1514</v>
      </c>
      <c r="B653" s="71" t="s">
        <v>319</v>
      </c>
      <c r="C653" s="71" t="s">
        <v>1489</v>
      </c>
    </row>
    <row r="654" spans="1:3" s="50" customFormat="1">
      <c r="A654" s="149" t="s">
        <v>2890</v>
      </c>
      <c r="B654" s="73" t="s">
        <v>2896</v>
      </c>
      <c r="C654" s="73" t="s">
        <v>2897</v>
      </c>
    </row>
    <row r="655" spans="1:3" s="50" customFormat="1">
      <c r="A655" s="147" t="s">
        <v>1516</v>
      </c>
      <c r="B655" s="71" t="s">
        <v>226</v>
      </c>
      <c r="C655" s="71" t="s">
        <v>1499</v>
      </c>
    </row>
    <row r="656" spans="1:3" s="50" customFormat="1">
      <c r="A656" s="147" t="s">
        <v>3140</v>
      </c>
      <c r="B656" s="71" t="s">
        <v>3755</v>
      </c>
      <c r="C656" s="71" t="s">
        <v>3757</v>
      </c>
    </row>
    <row r="657" spans="1:3" s="50" customFormat="1">
      <c r="A657" s="147" t="s">
        <v>3152</v>
      </c>
      <c r="B657" s="71" t="s">
        <v>3756</v>
      </c>
      <c r="C657" s="71" t="s">
        <v>3758</v>
      </c>
    </row>
    <row r="658" spans="1:3" s="50" customFormat="1">
      <c r="A658" s="147" t="s">
        <v>3153</v>
      </c>
      <c r="B658" s="71" t="s">
        <v>3146</v>
      </c>
      <c r="C658" s="71" t="s">
        <v>3523</v>
      </c>
    </row>
    <row r="659" spans="1:3" s="50" customFormat="1">
      <c r="A659" s="147" t="s">
        <v>3154</v>
      </c>
      <c r="B659" s="71" t="s">
        <v>3112</v>
      </c>
      <c r="C659" s="71" t="s">
        <v>3524</v>
      </c>
    </row>
    <row r="660" spans="1:3" s="50" customFormat="1" ht="25.5">
      <c r="A660" s="149" t="s">
        <v>1517</v>
      </c>
      <c r="B660" s="73" t="s">
        <v>4002</v>
      </c>
      <c r="C660" s="73" t="s">
        <v>4003</v>
      </c>
    </row>
    <row r="661" spans="1:3" s="50" customFormat="1">
      <c r="A661" s="147" t="s">
        <v>2891</v>
      </c>
      <c r="B661" s="71" t="s">
        <v>4004</v>
      </c>
      <c r="C661" s="71" t="s">
        <v>4005</v>
      </c>
    </row>
    <row r="662" spans="1:3" s="50" customFormat="1" ht="25.5">
      <c r="A662" s="149" t="s">
        <v>1519</v>
      </c>
      <c r="B662" s="73" t="s">
        <v>3621</v>
      </c>
      <c r="C662" s="73" t="s">
        <v>3620</v>
      </c>
    </row>
    <row r="663" spans="1:3" s="50" customFormat="1">
      <c r="A663" s="147" t="s">
        <v>2502</v>
      </c>
      <c r="B663" s="71" t="s">
        <v>2491</v>
      </c>
      <c r="C663" s="71" t="s">
        <v>2504</v>
      </c>
    </row>
    <row r="664" spans="1:3" s="50" customFormat="1">
      <c r="A664" s="147" t="s">
        <v>2492</v>
      </c>
      <c r="B664" s="71" t="s">
        <v>2490</v>
      </c>
      <c r="C664" s="71" t="s">
        <v>2505</v>
      </c>
    </row>
    <row r="665" spans="1:3" s="50" customFormat="1">
      <c r="A665" s="147" t="s">
        <v>2497</v>
      </c>
      <c r="B665" s="71" t="s">
        <v>67</v>
      </c>
      <c r="C665" s="71" t="s">
        <v>2162</v>
      </c>
    </row>
    <row r="666" spans="1:3" s="50" customFormat="1">
      <c r="A666" s="147" t="s">
        <v>2498</v>
      </c>
      <c r="B666" s="71" t="s">
        <v>68</v>
      </c>
      <c r="C666" s="71" t="s">
        <v>1209</v>
      </c>
    </row>
    <row r="667" spans="1:3" s="50" customFormat="1">
      <c r="A667" s="147" t="s">
        <v>2499</v>
      </c>
      <c r="B667" s="71" t="s">
        <v>2866</v>
      </c>
      <c r="C667" s="72" t="s">
        <v>2865</v>
      </c>
    </row>
    <row r="668" spans="1:3" s="50" customFormat="1">
      <c r="A668" s="147" t="s">
        <v>2785</v>
      </c>
      <c r="B668" s="71" t="s">
        <v>4006</v>
      </c>
      <c r="C668" s="72" t="s">
        <v>4007</v>
      </c>
    </row>
    <row r="669" spans="1:3" s="50" customFormat="1">
      <c r="A669" s="147" t="s">
        <v>2786</v>
      </c>
      <c r="B669" s="71" t="s">
        <v>4008</v>
      </c>
      <c r="C669" s="72" t="s">
        <v>4009</v>
      </c>
    </row>
    <row r="670" spans="1:3" s="50" customFormat="1">
      <c r="A670" s="147" t="s">
        <v>2500</v>
      </c>
      <c r="B670" s="71" t="s">
        <v>2571</v>
      </c>
      <c r="C670" s="71" t="s">
        <v>2573</v>
      </c>
    </row>
    <row r="671" spans="1:3" s="50" customFormat="1">
      <c r="A671" s="147" t="s">
        <v>2501</v>
      </c>
      <c r="B671" s="71" t="s">
        <v>2570</v>
      </c>
      <c r="C671" s="71" t="s">
        <v>2572</v>
      </c>
    </row>
    <row r="672" spans="1:3" s="50" customFormat="1">
      <c r="A672" s="147" t="s">
        <v>2551</v>
      </c>
      <c r="B672" s="71" t="s">
        <v>2576</v>
      </c>
      <c r="C672" s="71" t="s">
        <v>2577</v>
      </c>
    </row>
    <row r="673" spans="1:3" s="50" customFormat="1">
      <c r="A673" s="147" t="s">
        <v>2575</v>
      </c>
      <c r="B673" s="71" t="s">
        <v>2578</v>
      </c>
      <c r="C673" s="71" t="s">
        <v>2579</v>
      </c>
    </row>
    <row r="674" spans="1:3" s="50" customFormat="1" ht="25.5">
      <c r="A674" s="152" t="s">
        <v>2863</v>
      </c>
      <c r="B674" s="73" t="s">
        <v>2864</v>
      </c>
      <c r="C674" s="73" t="s">
        <v>3000</v>
      </c>
    </row>
    <row r="675" spans="1:3" s="50" customFormat="1">
      <c r="A675" s="147" t="s">
        <v>2919</v>
      </c>
      <c r="B675" s="71" t="s">
        <v>2920</v>
      </c>
      <c r="C675" s="71" t="s">
        <v>2990</v>
      </c>
    </row>
    <row r="676" spans="1:3" s="50" customFormat="1">
      <c r="A676" s="147" t="s">
        <v>2924</v>
      </c>
      <c r="B676" s="71" t="s">
        <v>2927</v>
      </c>
      <c r="C676" s="71" t="s">
        <v>2991</v>
      </c>
    </row>
    <row r="677" spans="1:3" s="50" customFormat="1">
      <c r="A677" s="147" t="s">
        <v>2925</v>
      </c>
      <c r="B677" s="71" t="s">
        <v>2928</v>
      </c>
      <c r="C677" s="71" t="s">
        <v>2992</v>
      </c>
    </row>
    <row r="678" spans="1:3" s="50" customFormat="1">
      <c r="A678" s="147" t="s">
        <v>3043</v>
      </c>
      <c r="B678" s="71" t="s">
        <v>3044</v>
      </c>
      <c r="C678" s="71" t="s">
        <v>3045</v>
      </c>
    </row>
    <row r="679" spans="1:3" s="50" customFormat="1">
      <c r="A679" s="147" t="s">
        <v>2926</v>
      </c>
      <c r="B679" s="71" t="s">
        <v>2929</v>
      </c>
      <c r="C679" s="71" t="s">
        <v>2993</v>
      </c>
    </row>
    <row r="680" spans="1:3" s="50" customFormat="1">
      <c r="A680" s="147" t="s">
        <v>3046</v>
      </c>
      <c r="B680" s="71" t="s">
        <v>3047</v>
      </c>
      <c r="C680" s="71" t="s">
        <v>3048</v>
      </c>
    </row>
    <row r="681" spans="1:3" s="50" customFormat="1">
      <c r="A681" s="147" t="s">
        <v>2930</v>
      </c>
      <c r="B681" s="71" t="s">
        <v>98</v>
      </c>
      <c r="C681" s="71" t="s">
        <v>652</v>
      </c>
    </row>
    <row r="682" spans="1:3" s="50" customFormat="1">
      <c r="A682" s="147" t="s">
        <v>2932</v>
      </c>
      <c r="B682" s="71" t="s">
        <v>2933</v>
      </c>
      <c r="C682" s="71" t="s">
        <v>2934</v>
      </c>
    </row>
    <row r="683" spans="1:3" s="50" customFormat="1">
      <c r="A683" s="147" t="s">
        <v>2940</v>
      </c>
      <c r="B683" s="71" t="s">
        <v>2943</v>
      </c>
      <c r="C683" s="71" t="s">
        <v>2994</v>
      </c>
    </row>
    <row r="684" spans="1:3" s="50" customFormat="1">
      <c r="A684" s="147" t="s">
        <v>4179</v>
      </c>
      <c r="B684" s="71" t="s">
        <v>4217</v>
      </c>
      <c r="C684" s="71" t="s">
        <v>4210</v>
      </c>
    </row>
    <row r="685" spans="1:3" s="50" customFormat="1">
      <c r="A685" s="147" t="s">
        <v>2941</v>
      </c>
      <c r="B685" s="71" t="s">
        <v>4010</v>
      </c>
      <c r="C685" s="71" t="s">
        <v>2995</v>
      </c>
    </row>
    <row r="686" spans="1:3" s="50" customFormat="1">
      <c r="A686" s="147" t="s">
        <v>2942</v>
      </c>
      <c r="B686" s="71" t="s">
        <v>99</v>
      </c>
      <c r="C686" s="71" t="s">
        <v>653</v>
      </c>
    </row>
    <row r="687" spans="1:3" s="50" customFormat="1">
      <c r="A687" s="147" t="s">
        <v>2944</v>
      </c>
      <c r="B687" s="71" t="s">
        <v>2937</v>
      </c>
      <c r="C687" s="71" t="s">
        <v>2938</v>
      </c>
    </row>
    <row r="688" spans="1:3" s="50" customFormat="1">
      <c r="A688" s="147" t="s">
        <v>2960</v>
      </c>
      <c r="B688" s="71" t="s">
        <v>2939</v>
      </c>
      <c r="C688" s="71" t="s">
        <v>2996</v>
      </c>
    </row>
    <row r="689" spans="1:3" s="50" customFormat="1">
      <c r="A689" s="147" t="s">
        <v>2961</v>
      </c>
      <c r="B689" s="71" t="s">
        <v>3030</v>
      </c>
      <c r="C689" s="71" t="s">
        <v>3031</v>
      </c>
    </row>
    <row r="690" spans="1:3" s="50" customFormat="1">
      <c r="A690" s="147" t="s">
        <v>2962</v>
      </c>
      <c r="B690" s="71" t="s">
        <v>2946</v>
      </c>
      <c r="C690" s="71" t="s">
        <v>2997</v>
      </c>
    </row>
    <row r="691" spans="1:3" s="50" customFormat="1">
      <c r="A691" s="147" t="s">
        <v>2963</v>
      </c>
      <c r="B691" s="71" t="s">
        <v>4218</v>
      </c>
      <c r="C691" s="71" t="s">
        <v>4219</v>
      </c>
    </row>
    <row r="692" spans="1:3" s="50" customFormat="1">
      <c r="A692" s="147" t="s">
        <v>2964</v>
      </c>
      <c r="B692" s="71" t="s">
        <v>2947</v>
      </c>
      <c r="C692" s="71" t="s">
        <v>2998</v>
      </c>
    </row>
    <row r="693" spans="1:3" s="50" customFormat="1">
      <c r="A693" s="147" t="s">
        <v>2957</v>
      </c>
      <c r="B693" s="71" t="s">
        <v>2950</v>
      </c>
      <c r="C693" s="71" t="s">
        <v>2951</v>
      </c>
    </row>
    <row r="694" spans="1:3" s="50" customFormat="1" ht="25.5">
      <c r="A694" s="149" t="s">
        <v>2958</v>
      </c>
      <c r="B694" s="73" t="s">
        <v>2965</v>
      </c>
      <c r="C694" s="73" t="s">
        <v>2999</v>
      </c>
    </row>
    <row r="695" spans="1:3" s="50" customFormat="1">
      <c r="A695" s="147" t="s">
        <v>2959</v>
      </c>
      <c r="B695" s="71" t="s">
        <v>2948</v>
      </c>
      <c r="C695" s="71" t="s">
        <v>2949</v>
      </c>
    </row>
    <row r="696" spans="1:3" s="50" customFormat="1">
      <c r="A696" s="147" t="s">
        <v>2966</v>
      </c>
      <c r="B696" s="71" t="s">
        <v>3001</v>
      </c>
      <c r="C696" s="71" t="s">
        <v>3002</v>
      </c>
    </row>
    <row r="697" spans="1:3" s="50" customFormat="1">
      <c r="A697" s="146" t="s">
        <v>1527</v>
      </c>
      <c r="B697" s="71" t="s">
        <v>230</v>
      </c>
      <c r="C697" s="71" t="s">
        <v>1526</v>
      </c>
    </row>
    <row r="698" spans="1:3" s="50" customFormat="1">
      <c r="A698" s="71" t="s">
        <v>2646</v>
      </c>
      <c r="B698" s="71" t="s">
        <v>237</v>
      </c>
      <c r="C698" s="71" t="s">
        <v>646</v>
      </c>
    </row>
    <row r="699" spans="1:3" s="50" customFormat="1">
      <c r="A699" s="71" t="s">
        <v>1528</v>
      </c>
      <c r="B699" s="71" t="s">
        <v>231</v>
      </c>
      <c r="C699" s="71" t="s">
        <v>1529</v>
      </c>
    </row>
    <row r="700" spans="1:3" s="50" customFormat="1" ht="28.15" customHeight="1">
      <c r="A700" s="145" t="s">
        <v>1530</v>
      </c>
      <c r="B700" s="153" t="str">
        <f xml:space="preserve"> "Stichtag per:  
" &amp; DAY(DATE(jahr,12,31)) &amp; "." &amp; MONTH(DATE(jahr,12,31)) &amp; "." &amp; YEAR(DATE(jahr,12,31))</f>
        <v>Stichtag per:  
31.12.2023</v>
      </c>
      <c r="C700" s="60" t="str">
        <f xml:space="preserve"> "Date d'échéance:  
" &amp; DAY(DATE(jahr,12,31)) &amp; "." &amp; MONTH(DATE(jahr,12,31)) &amp; "." &amp; YEAR(DATE(jahr,12,31))</f>
        <v>Date d'échéance:  
31.12.2023</v>
      </c>
    </row>
    <row r="701" spans="1:3" s="50" customFormat="1">
      <c r="A701" s="147" t="s">
        <v>1532</v>
      </c>
      <c r="B701" s="71" t="s">
        <v>2881</v>
      </c>
      <c r="C701" s="71" t="s">
        <v>2882</v>
      </c>
    </row>
    <row r="702" spans="1:3" s="50" customFormat="1" ht="25.5">
      <c r="A702" s="147" t="s">
        <v>1533</v>
      </c>
      <c r="B702" s="72" t="s">
        <v>2883</v>
      </c>
      <c r="C702" s="72" t="s">
        <v>2884</v>
      </c>
    </row>
    <row r="703" spans="1:3" s="50" customFormat="1">
      <c r="A703" s="147" t="s">
        <v>1534</v>
      </c>
      <c r="B703" s="71" t="s">
        <v>232</v>
      </c>
      <c r="C703" s="71" t="s">
        <v>1536</v>
      </c>
    </row>
    <row r="704" spans="1:3" s="50" customFormat="1">
      <c r="A704" s="147" t="s">
        <v>1535</v>
      </c>
      <c r="B704" s="71" t="s">
        <v>1538</v>
      </c>
      <c r="C704" s="71" t="s">
        <v>1537</v>
      </c>
    </row>
    <row r="705" spans="1:3" s="50" customFormat="1">
      <c r="A705" s="146" t="s">
        <v>1539</v>
      </c>
      <c r="B705" s="71" t="s">
        <v>464</v>
      </c>
      <c r="C705" s="71" t="s">
        <v>1551</v>
      </c>
    </row>
    <row r="706" spans="1:3" s="50" customFormat="1">
      <c r="A706" s="146" t="s">
        <v>1540</v>
      </c>
      <c r="B706" s="71" t="s">
        <v>466</v>
      </c>
      <c r="C706" s="71" t="s">
        <v>1552</v>
      </c>
    </row>
    <row r="707" spans="1:3" s="50" customFormat="1">
      <c r="A707" s="146" t="s">
        <v>1541</v>
      </c>
      <c r="B707" s="71" t="str">
        <f>"Deckungskapital per 31.12."&amp;jahr</f>
        <v>Deckungskapital per 31.12.2023</v>
      </c>
      <c r="C707" s="71" t="str">
        <f>"Provisions mathémat. au 31.12."&amp;jahr</f>
        <v>Provisions mathémat. au 31.12.2023</v>
      </c>
    </row>
    <row r="708" spans="1:3" s="50" customFormat="1">
      <c r="A708" s="146" t="s">
        <v>1542</v>
      </c>
      <c r="B708" s="71" t="s">
        <v>465</v>
      </c>
      <c r="C708" s="71" t="s">
        <v>1556</v>
      </c>
    </row>
    <row r="709" spans="1:3" s="50" customFormat="1">
      <c r="A709" s="146" t="s">
        <v>1543</v>
      </c>
      <c r="B709" s="71" t="s">
        <v>173</v>
      </c>
      <c r="C709" s="71" t="s">
        <v>1557</v>
      </c>
    </row>
    <row r="710" spans="1:3" s="50" customFormat="1">
      <c r="A710" s="146" t="s">
        <v>1544</v>
      </c>
      <c r="B710" s="71" t="str">
        <f>"per 31.12."&amp;jahr</f>
        <v>per 31.12.2023</v>
      </c>
      <c r="C710" s="71" t="str">
        <f>"au 31.12."&amp;jahr</f>
        <v>au 31.12.2023</v>
      </c>
    </row>
    <row r="711" spans="1:3" s="50" customFormat="1">
      <c r="A711" s="146" t="s">
        <v>1545</v>
      </c>
      <c r="B711" s="71" t="str">
        <f>"per 31.12."&amp;jahr</f>
        <v>per 31.12.2023</v>
      </c>
      <c r="C711" s="71" t="str">
        <f>"au 31.12."&amp;jahr</f>
        <v>au 31.12.2023</v>
      </c>
    </row>
    <row r="712" spans="1:3" s="50" customFormat="1">
      <c r="A712" s="146" t="s">
        <v>1546</v>
      </c>
      <c r="B712" s="71" t="s">
        <v>233</v>
      </c>
      <c r="C712" s="71" t="s">
        <v>1553</v>
      </c>
    </row>
    <row r="713" spans="1:3" s="50" customFormat="1">
      <c r="A713" s="146" t="s">
        <v>1547</v>
      </c>
      <c r="B713" s="71" t="s">
        <v>234</v>
      </c>
      <c r="C713" s="71" t="s">
        <v>1554</v>
      </c>
    </row>
    <row r="714" spans="1:3" s="50" customFormat="1">
      <c r="A714" s="146" t="s">
        <v>1548</v>
      </c>
      <c r="B714" s="71" t="s">
        <v>1550</v>
      </c>
      <c r="C714" s="71" t="s">
        <v>1555</v>
      </c>
    </row>
    <row r="715" spans="1:3" s="50" customFormat="1">
      <c r="A715" s="146" t="s">
        <v>1549</v>
      </c>
      <c r="B715" s="71" t="str">
        <f>jahr&amp;" in 1000 CHF"</f>
        <v>2023 in 1000 CHF</v>
      </c>
      <c r="C715" s="71" t="str">
        <f>jahr&amp;" en 1000 CHF"</f>
        <v>2023 en 1000 CHF</v>
      </c>
    </row>
    <row r="716" spans="1:3" s="50" customFormat="1">
      <c r="A716" s="146" t="s">
        <v>3182</v>
      </c>
      <c r="B716" s="71" t="str">
        <f>"per 31.12."&amp;jahr-1</f>
        <v>per 31.12.2022</v>
      </c>
      <c r="C716" s="71" t="str">
        <f>"au 31.12."&amp;jahr-1</f>
        <v>au 31.12.2022</v>
      </c>
    </row>
    <row r="717" spans="1:3" s="50" customFormat="1">
      <c r="A717" s="147" t="s">
        <v>1565</v>
      </c>
      <c r="B717" s="71" t="s">
        <v>1572</v>
      </c>
      <c r="C717" s="71" t="s">
        <v>1575</v>
      </c>
    </row>
    <row r="718" spans="1:3" s="50" customFormat="1">
      <c r="A718" s="147" t="s">
        <v>1566</v>
      </c>
      <c r="B718" s="71" t="s">
        <v>1573</v>
      </c>
      <c r="C718" s="71" t="s">
        <v>1576</v>
      </c>
    </row>
    <row r="719" spans="1:3" s="50" customFormat="1">
      <c r="A719" s="147" t="s">
        <v>1567</v>
      </c>
      <c r="B719" s="71" t="s">
        <v>1574</v>
      </c>
      <c r="C719" s="71" t="s">
        <v>1577</v>
      </c>
    </row>
    <row r="720" spans="1:3" s="50" customFormat="1">
      <c r="A720" s="147" t="s">
        <v>1568</v>
      </c>
      <c r="B720" s="71" t="s">
        <v>1558</v>
      </c>
      <c r="C720" s="71" t="s">
        <v>1561</v>
      </c>
    </row>
    <row r="721" spans="1:3" s="50" customFormat="1">
      <c r="A721" s="147" t="s">
        <v>1569</v>
      </c>
      <c r="B721" s="71" t="s">
        <v>56</v>
      </c>
      <c r="C721" s="71" t="s">
        <v>1562</v>
      </c>
    </row>
    <row r="722" spans="1:3" s="50" customFormat="1">
      <c r="A722" s="147" t="s">
        <v>1570</v>
      </c>
      <c r="B722" s="71" t="s">
        <v>1559</v>
      </c>
      <c r="C722" s="71" t="s">
        <v>1563</v>
      </c>
    </row>
    <row r="723" spans="1:3" s="50" customFormat="1">
      <c r="A723" s="147" t="s">
        <v>1571</v>
      </c>
      <c r="B723" s="71" t="s">
        <v>1560</v>
      </c>
      <c r="C723" s="71" t="s">
        <v>1564</v>
      </c>
    </row>
    <row r="724" spans="1:3" s="50" customFormat="1">
      <c r="A724" s="147" t="s">
        <v>1583</v>
      </c>
      <c r="B724" s="71" t="s">
        <v>462</v>
      </c>
      <c r="C724" s="71" t="s">
        <v>1578</v>
      </c>
    </row>
    <row r="725" spans="1:3" s="50" customFormat="1">
      <c r="A725" s="147" t="s">
        <v>1584</v>
      </c>
      <c r="B725" s="71" t="s">
        <v>510</v>
      </c>
      <c r="C725" s="71" t="s">
        <v>1579</v>
      </c>
    </row>
    <row r="726" spans="1:3" s="50" customFormat="1">
      <c r="A726" s="147" t="s">
        <v>1585</v>
      </c>
      <c r="B726" s="71" t="s">
        <v>463</v>
      </c>
      <c r="C726" s="71" t="s">
        <v>1580</v>
      </c>
    </row>
    <row r="727" spans="1:3" s="50" customFormat="1">
      <c r="A727" s="147" t="s">
        <v>1586</v>
      </c>
      <c r="B727" s="71" t="s">
        <v>1590</v>
      </c>
      <c r="C727" s="71" t="s">
        <v>1592</v>
      </c>
    </row>
    <row r="728" spans="1:3" s="50" customFormat="1">
      <c r="A728" s="147" t="s">
        <v>508</v>
      </c>
      <c r="B728" s="71" t="s">
        <v>1591</v>
      </c>
      <c r="C728" s="71" t="s">
        <v>1593</v>
      </c>
    </row>
    <row r="729" spans="1:3" s="50" customFormat="1">
      <c r="A729" s="147" t="s">
        <v>1587</v>
      </c>
      <c r="B729" s="71" t="s">
        <v>511</v>
      </c>
      <c r="C729" s="71" t="s">
        <v>1581</v>
      </c>
    </row>
    <row r="730" spans="1:3" s="50" customFormat="1">
      <c r="A730" s="147" t="s">
        <v>1588</v>
      </c>
      <c r="B730" s="71" t="s">
        <v>509</v>
      </c>
      <c r="C730" s="71" t="s">
        <v>1582</v>
      </c>
    </row>
    <row r="731" spans="1:3" s="50" customFormat="1" ht="25.5">
      <c r="A731" s="149" t="s">
        <v>1589</v>
      </c>
      <c r="B731" s="72" t="s">
        <v>2700</v>
      </c>
      <c r="C731" s="72" t="s">
        <v>2702</v>
      </c>
    </row>
    <row r="732" spans="1:3" s="50" customFormat="1">
      <c r="A732" s="147" t="s">
        <v>1594</v>
      </c>
      <c r="B732" s="71" t="s">
        <v>2699</v>
      </c>
      <c r="C732" s="71" t="s">
        <v>2703</v>
      </c>
    </row>
    <row r="733" spans="1:3" s="50" customFormat="1" ht="16.5" customHeight="1">
      <c r="A733" s="154" t="s">
        <v>1595</v>
      </c>
      <c r="B733" s="155" t="s">
        <v>2696</v>
      </c>
      <c r="C733" s="73" t="s">
        <v>2704</v>
      </c>
    </row>
    <row r="734" spans="1:3" s="50" customFormat="1" ht="18.75" customHeight="1">
      <c r="A734" s="149" t="s">
        <v>2697</v>
      </c>
      <c r="B734" s="73" t="s">
        <v>2701</v>
      </c>
      <c r="C734" s="73" t="s">
        <v>2705</v>
      </c>
    </row>
    <row r="735" spans="1:3" s="50" customFormat="1" ht="51">
      <c r="A735" s="149" t="s">
        <v>2694</v>
      </c>
      <c r="B735" s="73" t="s">
        <v>1596</v>
      </c>
      <c r="C735" s="73" t="s">
        <v>1597</v>
      </c>
    </row>
    <row r="736" spans="1:3" s="50" customFormat="1" ht="76.5">
      <c r="A736" s="149" t="s">
        <v>2695</v>
      </c>
      <c r="B736" s="73" t="s">
        <v>2698</v>
      </c>
      <c r="C736" s="73" t="s">
        <v>2706</v>
      </c>
    </row>
    <row r="737" spans="1:3" s="50" customFormat="1">
      <c r="A737" s="71" t="s">
        <v>1599</v>
      </c>
      <c r="B737" s="71" t="s">
        <v>464</v>
      </c>
      <c r="C737" s="71" t="s">
        <v>1551</v>
      </c>
    </row>
    <row r="738" spans="1:3" s="50" customFormat="1">
      <c r="A738" s="71" t="s">
        <v>1600</v>
      </c>
      <c r="B738" s="71" t="s">
        <v>466</v>
      </c>
      <c r="C738" s="71" t="s">
        <v>1552</v>
      </c>
    </row>
    <row r="739" spans="1:3" s="50" customFormat="1">
      <c r="A739" s="71" t="s">
        <v>3459</v>
      </c>
      <c r="B739" s="71" t="s">
        <v>3460</v>
      </c>
      <c r="C739" s="71" t="s">
        <v>3462</v>
      </c>
    </row>
    <row r="740" spans="1:3" s="50" customFormat="1">
      <c r="A740" s="71" t="s">
        <v>3615</v>
      </c>
      <c r="B740" s="71" t="str">
        <f>"per 31.12."&amp;jahr</f>
        <v>per 31.12.2023</v>
      </c>
      <c r="C740" s="71" t="str">
        <f>"au 31.12."&amp;jahr</f>
        <v>au 31.12.2023</v>
      </c>
    </row>
    <row r="741" spans="1:3" s="50" customFormat="1">
      <c r="A741" s="71" t="s">
        <v>1601</v>
      </c>
      <c r="B741" s="71" t="s">
        <v>3052</v>
      </c>
      <c r="C741" s="71" t="s">
        <v>3053</v>
      </c>
    </row>
    <row r="742" spans="1:3" s="50" customFormat="1">
      <c r="A742" s="71" t="s">
        <v>2825</v>
      </c>
      <c r="B742" s="71" t="s">
        <v>2831</v>
      </c>
      <c r="C742" s="71" t="s">
        <v>2839</v>
      </c>
    </row>
    <row r="743" spans="1:3" s="50" customFormat="1">
      <c r="A743" s="71" t="s">
        <v>2826</v>
      </c>
      <c r="B743" s="71" t="s">
        <v>2832</v>
      </c>
      <c r="C743" s="71" t="s">
        <v>2840</v>
      </c>
    </row>
    <row r="744" spans="1:3" s="50" customFormat="1">
      <c r="A744" s="71" t="s">
        <v>2827</v>
      </c>
      <c r="B744" s="71" t="s">
        <v>3066</v>
      </c>
      <c r="C744" s="71" t="s">
        <v>2841</v>
      </c>
    </row>
    <row r="745" spans="1:3" s="50" customFormat="1">
      <c r="A745" s="71" t="s">
        <v>3049</v>
      </c>
      <c r="B745" s="71" t="s">
        <v>3050</v>
      </c>
      <c r="C745" s="71" t="s">
        <v>3054</v>
      </c>
    </row>
    <row r="746" spans="1:3">
      <c r="A746" s="71" t="s">
        <v>1602</v>
      </c>
      <c r="B746" s="71" t="s">
        <v>447</v>
      </c>
      <c r="C746" s="71" t="s">
        <v>1608</v>
      </c>
    </row>
    <row r="747" spans="1:3">
      <c r="A747" s="71" t="s">
        <v>1603</v>
      </c>
      <c r="B747" s="71" t="str">
        <f>"per 31.12."&amp;jahr</f>
        <v>per 31.12.2023</v>
      </c>
      <c r="C747" s="71" t="str">
        <f>"au 31.12."&amp;jahr</f>
        <v>au 31.12.2023</v>
      </c>
    </row>
    <row r="748" spans="1:3">
      <c r="A748" s="71" t="s">
        <v>1604</v>
      </c>
      <c r="B748" s="71" t="str">
        <f>"per 31.12."&amp;jahr</f>
        <v>per 31.12.2023</v>
      </c>
      <c r="C748" s="71" t="str">
        <f>"au 31.12."&amp;jahr</f>
        <v>au 31.12.2023</v>
      </c>
    </row>
    <row r="749" spans="1:3">
      <c r="A749" s="71" t="s">
        <v>1605</v>
      </c>
      <c r="B749" s="71" t="str">
        <f>"per 31.12."&amp;jahr</f>
        <v>per 31.12.2023</v>
      </c>
      <c r="C749" s="71" t="str">
        <f>"au 31.12."&amp;jahr</f>
        <v>au 31.12.2023</v>
      </c>
    </row>
    <row r="750" spans="1:3">
      <c r="A750" s="71" t="s">
        <v>2828</v>
      </c>
      <c r="B750" s="71" t="str">
        <f>"einmalprämien " &amp; (jahr)</f>
        <v>einmalprämien 2023</v>
      </c>
      <c r="C750" s="71" t="str">
        <f xml:space="preserve"> "comptabilisées " &amp; (jahr)</f>
        <v>comptabilisées 2023</v>
      </c>
    </row>
    <row r="751" spans="1:3">
      <c r="A751" s="71" t="s">
        <v>2829</v>
      </c>
      <c r="B751" s="71" t="str">
        <f>"Sparprämien " &amp; (jahr)</f>
        <v>Sparprämien 2023</v>
      </c>
      <c r="C751" s="71" t="str">
        <f xml:space="preserve"> "comptabilisées " &amp; (jahr)</f>
        <v>comptabilisées 2023</v>
      </c>
    </row>
    <row r="752" spans="1:3">
      <c r="A752" s="71" t="s">
        <v>2830</v>
      </c>
      <c r="B752" s="71" t="str">
        <f>"Kostenprämien " &amp; (jahr)</f>
        <v>Kostenprämien 2023</v>
      </c>
      <c r="C752" s="71" t="str">
        <f xml:space="preserve"> "frais comptab. " &amp; (jahr)</f>
        <v>frais comptab. 2023</v>
      </c>
    </row>
    <row r="753" spans="1:3">
      <c r="A753" s="71" t="s">
        <v>3051</v>
      </c>
      <c r="B753" s="71" t="str">
        <f>"per 31.12."&amp;jahr</f>
        <v>per 31.12.2023</v>
      </c>
      <c r="C753" s="71" t="str">
        <f>"au 31.12."&amp;jahr</f>
        <v>au 31.12.2023</v>
      </c>
    </row>
    <row r="754" spans="1:3">
      <c r="A754" s="147" t="s">
        <v>1606</v>
      </c>
      <c r="B754" s="71" t="s">
        <v>448</v>
      </c>
      <c r="C754" s="71" t="s">
        <v>1609</v>
      </c>
    </row>
    <row r="755" spans="1:3">
      <c r="A755" s="147" t="s">
        <v>3059</v>
      </c>
      <c r="B755" s="71" t="s">
        <v>3057</v>
      </c>
      <c r="C755" s="71" t="s">
        <v>3055</v>
      </c>
    </row>
    <row r="756" spans="1:3">
      <c r="A756" s="147" t="s">
        <v>3060</v>
      </c>
      <c r="B756" s="71" t="s">
        <v>3058</v>
      </c>
      <c r="C756" s="71" t="s">
        <v>3056</v>
      </c>
    </row>
    <row r="757" spans="1:3">
      <c r="A757" s="147" t="s">
        <v>3061</v>
      </c>
      <c r="B757" s="71" t="s">
        <v>3062</v>
      </c>
      <c r="C757" s="71" t="s">
        <v>3063</v>
      </c>
    </row>
    <row r="758" spans="1:3">
      <c r="A758" s="147" t="s">
        <v>1607</v>
      </c>
      <c r="B758" s="71" t="s">
        <v>449</v>
      </c>
      <c r="C758" s="71" t="s">
        <v>1610</v>
      </c>
    </row>
    <row r="759" spans="1:3">
      <c r="A759" s="147" t="s">
        <v>2833</v>
      </c>
      <c r="B759" s="71" t="s">
        <v>2834</v>
      </c>
      <c r="C759" s="71" t="s">
        <v>2835</v>
      </c>
    </row>
    <row r="760" spans="1:3" ht="25.5">
      <c r="A760" s="149" t="s">
        <v>1598</v>
      </c>
      <c r="B760" s="73" t="s">
        <v>3064</v>
      </c>
      <c r="C760" s="73" t="s">
        <v>3065</v>
      </c>
    </row>
    <row r="761" spans="1:3">
      <c r="A761" s="145" t="s">
        <v>2836</v>
      </c>
      <c r="B761" s="73" t="s">
        <v>2837</v>
      </c>
      <c r="C761" s="73" t="s">
        <v>2838</v>
      </c>
    </row>
    <row r="762" spans="1:3">
      <c r="A762" s="146" t="s">
        <v>1612</v>
      </c>
      <c r="B762" s="71" t="s">
        <v>235</v>
      </c>
      <c r="C762" s="71" t="s">
        <v>1611</v>
      </c>
    </row>
    <row r="763" spans="1:3">
      <c r="A763" s="71" t="s">
        <v>1613</v>
      </c>
      <c r="B763" s="71" t="s">
        <v>237</v>
      </c>
      <c r="C763" s="71" t="s">
        <v>646</v>
      </c>
    </row>
    <row r="764" spans="1:3">
      <c r="A764" s="71" t="s">
        <v>1640</v>
      </c>
      <c r="B764" s="71" t="s">
        <v>236</v>
      </c>
      <c r="C764" s="71" t="s">
        <v>1614</v>
      </c>
    </row>
    <row r="765" spans="1:3">
      <c r="A765" s="71" t="s">
        <v>1641</v>
      </c>
      <c r="B765" s="71" t="s">
        <v>14</v>
      </c>
      <c r="C765" s="71" t="s">
        <v>1615</v>
      </c>
    </row>
    <row r="766" spans="1:3">
      <c r="A766" s="147" t="s">
        <v>1642</v>
      </c>
      <c r="B766" s="71" t="s">
        <v>15</v>
      </c>
      <c r="C766" s="71" t="s">
        <v>1616</v>
      </c>
    </row>
    <row r="767" spans="1:3">
      <c r="A767" s="147" t="s">
        <v>1643</v>
      </c>
      <c r="B767" s="71" t="s">
        <v>16</v>
      </c>
      <c r="C767" s="71" t="s">
        <v>1617</v>
      </c>
    </row>
    <row r="768" spans="1:3">
      <c r="A768" s="147" t="s">
        <v>1644</v>
      </c>
      <c r="B768" s="71" t="s">
        <v>137</v>
      </c>
      <c r="C768" s="71" t="s">
        <v>1618</v>
      </c>
    </row>
    <row r="769" spans="1:3">
      <c r="A769" s="147" t="s">
        <v>1645</v>
      </c>
      <c r="B769" s="71" t="s">
        <v>17</v>
      </c>
      <c r="C769" s="71" t="s">
        <v>1619</v>
      </c>
    </row>
    <row r="770" spans="1:3">
      <c r="A770" s="147" t="s">
        <v>1646</v>
      </c>
      <c r="B770" s="71" t="s">
        <v>18</v>
      </c>
      <c r="C770" s="71" t="s">
        <v>1620</v>
      </c>
    </row>
    <row r="771" spans="1:3">
      <c r="A771" s="147" t="s">
        <v>1647</v>
      </c>
      <c r="B771" s="71" t="s">
        <v>137</v>
      </c>
      <c r="C771" s="71" t="s">
        <v>1618</v>
      </c>
    </row>
    <row r="772" spans="1:3">
      <c r="A772" s="146" t="s">
        <v>1672</v>
      </c>
      <c r="B772" s="71" t="s">
        <v>19</v>
      </c>
      <c r="C772" s="71" t="s">
        <v>1621</v>
      </c>
    </row>
    <row r="773" spans="1:3">
      <c r="A773" s="147" t="s">
        <v>1648</v>
      </c>
      <c r="B773" s="71" t="s">
        <v>20</v>
      </c>
      <c r="C773" s="71" t="s">
        <v>1622</v>
      </c>
    </row>
    <row r="774" spans="1:3">
      <c r="A774" s="147" t="s">
        <v>1649</v>
      </c>
      <c r="B774" s="71" t="s">
        <v>21</v>
      </c>
      <c r="C774" s="71" t="s">
        <v>1623</v>
      </c>
    </row>
    <row r="775" spans="1:3">
      <c r="A775" s="146" t="s">
        <v>1670</v>
      </c>
      <c r="B775" s="71" t="s">
        <v>22</v>
      </c>
      <c r="C775" s="71" t="s">
        <v>1624</v>
      </c>
    </row>
    <row r="776" spans="1:3">
      <c r="A776" s="147" t="s">
        <v>1650</v>
      </c>
      <c r="B776" s="71" t="s">
        <v>23</v>
      </c>
      <c r="C776" s="71" t="s">
        <v>1625</v>
      </c>
    </row>
    <row r="777" spans="1:3">
      <c r="A777" s="147" t="s">
        <v>1651</v>
      </c>
      <c r="B777" s="71" t="s">
        <v>138</v>
      </c>
      <c r="C777" s="71" t="s">
        <v>1626</v>
      </c>
    </row>
    <row r="778" spans="1:3">
      <c r="A778" s="147" t="s">
        <v>1652</v>
      </c>
      <c r="B778" s="71" t="s">
        <v>24</v>
      </c>
      <c r="C778" s="71" t="s">
        <v>1627</v>
      </c>
    </row>
    <row r="779" spans="1:3">
      <c r="A779" s="147" t="s">
        <v>1653</v>
      </c>
      <c r="B779" s="71" t="s">
        <v>139</v>
      </c>
      <c r="C779" s="71" t="s">
        <v>1628</v>
      </c>
    </row>
    <row r="780" spans="1:3">
      <c r="A780" s="147" t="s">
        <v>1654</v>
      </c>
      <c r="B780" s="71" t="s">
        <v>17</v>
      </c>
      <c r="C780" s="71" t="s">
        <v>1619</v>
      </c>
    </row>
    <row r="781" spans="1:3">
      <c r="A781" s="147" t="s">
        <v>1655</v>
      </c>
      <c r="B781" s="71" t="s">
        <v>138</v>
      </c>
      <c r="C781" s="71" t="s">
        <v>1626</v>
      </c>
    </row>
    <row r="782" spans="1:3">
      <c r="A782" s="147" t="s">
        <v>1656</v>
      </c>
      <c r="B782" s="71" t="s">
        <v>25</v>
      </c>
      <c r="C782" s="71" t="s">
        <v>1629</v>
      </c>
    </row>
    <row r="783" spans="1:3">
      <c r="A783" s="147" t="s">
        <v>1657</v>
      </c>
      <c r="B783" s="71" t="s">
        <v>139</v>
      </c>
      <c r="C783" s="71" t="s">
        <v>1628</v>
      </c>
    </row>
    <row r="784" spans="1:3">
      <c r="A784" s="146" t="s">
        <v>1671</v>
      </c>
      <c r="B784" s="71" t="s">
        <v>26</v>
      </c>
      <c r="C784" s="71" t="s">
        <v>1630</v>
      </c>
    </row>
    <row r="785" spans="1:3">
      <c r="A785" s="147" t="s">
        <v>1658</v>
      </c>
      <c r="B785" s="71" t="s">
        <v>23</v>
      </c>
      <c r="C785" s="71" t="s">
        <v>1625</v>
      </c>
    </row>
    <row r="786" spans="1:3">
      <c r="A786" s="147" t="s">
        <v>1659</v>
      </c>
      <c r="B786" s="71" t="s">
        <v>140</v>
      </c>
      <c r="C786" s="71" t="s">
        <v>1631</v>
      </c>
    </row>
    <row r="787" spans="1:3">
      <c r="A787" s="147" t="s">
        <v>1660</v>
      </c>
      <c r="B787" s="71" t="s">
        <v>27</v>
      </c>
      <c r="C787" s="71" t="s">
        <v>1632</v>
      </c>
    </row>
    <row r="788" spans="1:3">
      <c r="A788" s="147" t="s">
        <v>1661</v>
      </c>
      <c r="B788" s="71" t="s">
        <v>28</v>
      </c>
      <c r="C788" s="71" t="s">
        <v>1633</v>
      </c>
    </row>
    <row r="789" spans="1:3">
      <c r="A789" s="147" t="s">
        <v>1662</v>
      </c>
      <c r="B789" s="71" t="s">
        <v>29</v>
      </c>
      <c r="C789" s="71" t="s">
        <v>1634</v>
      </c>
    </row>
    <row r="790" spans="1:3">
      <c r="A790" s="147" t="s">
        <v>1663</v>
      </c>
      <c r="B790" s="71" t="s">
        <v>506</v>
      </c>
      <c r="C790" s="71" t="s">
        <v>1635</v>
      </c>
    </row>
    <row r="791" spans="1:3">
      <c r="A791" s="147" t="s">
        <v>1664</v>
      </c>
      <c r="B791" s="71" t="s">
        <v>17</v>
      </c>
      <c r="C791" s="71" t="s">
        <v>1619</v>
      </c>
    </row>
    <row r="792" spans="1:3">
      <c r="A792" s="147" t="s">
        <v>1665</v>
      </c>
      <c r="B792" s="71" t="s">
        <v>140</v>
      </c>
      <c r="C792" s="71" t="s">
        <v>1631</v>
      </c>
    </row>
    <row r="793" spans="1:3">
      <c r="A793" s="147" t="s">
        <v>1666</v>
      </c>
      <c r="B793" s="71" t="s">
        <v>30</v>
      </c>
      <c r="C793" s="71" t="s">
        <v>1636</v>
      </c>
    </row>
    <row r="794" spans="1:3">
      <c r="A794" s="147" t="s">
        <v>1667</v>
      </c>
      <c r="B794" s="71" t="s">
        <v>2553</v>
      </c>
      <c r="C794" s="71" t="s">
        <v>1637</v>
      </c>
    </row>
    <row r="795" spans="1:3">
      <c r="A795" s="147" t="s">
        <v>1668</v>
      </c>
      <c r="B795" s="71" t="s">
        <v>31</v>
      </c>
      <c r="C795" s="71" t="s">
        <v>1638</v>
      </c>
    </row>
    <row r="796" spans="1:3">
      <c r="A796" s="147" t="s">
        <v>1669</v>
      </c>
      <c r="B796" s="71" t="s">
        <v>507</v>
      </c>
      <c r="C796" s="71" t="s">
        <v>1639</v>
      </c>
    </row>
    <row r="797" spans="1:3">
      <c r="A797" s="146" t="s">
        <v>1706</v>
      </c>
      <c r="B797" s="71" t="s">
        <v>32</v>
      </c>
      <c r="C797" s="71" t="s">
        <v>1673</v>
      </c>
    </row>
    <row r="798" spans="1:3">
      <c r="A798" s="146" t="s">
        <v>1707</v>
      </c>
      <c r="B798" s="71" t="s">
        <v>237</v>
      </c>
      <c r="C798" s="71" t="s">
        <v>646</v>
      </c>
    </row>
    <row r="799" spans="1:3">
      <c r="A799" s="71" t="s">
        <v>1708</v>
      </c>
      <c r="B799" s="71" t="s">
        <v>33</v>
      </c>
      <c r="C799" s="71" t="s">
        <v>1674</v>
      </c>
    </row>
    <row r="800" spans="1:3">
      <c r="A800" s="71" t="s">
        <v>1709</v>
      </c>
      <c r="B800" s="71" t="s">
        <v>34</v>
      </c>
      <c r="C800" s="71" t="s">
        <v>1675</v>
      </c>
    </row>
    <row r="801" spans="1:3">
      <c r="A801" s="147" t="s">
        <v>1710</v>
      </c>
      <c r="B801" s="71" t="s">
        <v>23</v>
      </c>
      <c r="C801" s="71" t="s">
        <v>1625</v>
      </c>
    </row>
    <row r="802" spans="1:3">
      <c r="A802" s="147" t="s">
        <v>1711</v>
      </c>
      <c r="B802" s="71" t="s">
        <v>141</v>
      </c>
      <c r="C802" s="71" t="s">
        <v>1676</v>
      </c>
    </row>
    <row r="803" spans="1:3">
      <c r="A803" s="147" t="s">
        <v>1712</v>
      </c>
      <c r="B803" s="71" t="s">
        <v>142</v>
      </c>
      <c r="C803" s="71" t="s">
        <v>1677</v>
      </c>
    </row>
    <row r="804" spans="1:3">
      <c r="A804" s="147" t="s">
        <v>1713</v>
      </c>
      <c r="B804" s="71" t="s">
        <v>17</v>
      </c>
      <c r="C804" s="71" t="s">
        <v>1619</v>
      </c>
    </row>
    <row r="805" spans="1:3">
      <c r="A805" s="147" t="s">
        <v>1714</v>
      </c>
      <c r="B805" s="71" t="s">
        <v>143</v>
      </c>
      <c r="C805" s="71" t="s">
        <v>1678</v>
      </c>
    </row>
    <row r="806" spans="1:3">
      <c r="A806" s="147" t="s">
        <v>1704</v>
      </c>
      <c r="B806" s="71" t="s">
        <v>144</v>
      </c>
      <c r="C806" s="71" t="s">
        <v>1679</v>
      </c>
    </row>
    <row r="807" spans="1:3">
      <c r="A807" s="71" t="s">
        <v>1715</v>
      </c>
      <c r="B807" s="71" t="s">
        <v>64</v>
      </c>
      <c r="C807" s="71" t="s">
        <v>1680</v>
      </c>
    </row>
    <row r="808" spans="1:3">
      <c r="A808" s="147" t="s">
        <v>1716</v>
      </c>
      <c r="B808" s="71" t="s">
        <v>23</v>
      </c>
      <c r="C808" s="71" t="s">
        <v>1625</v>
      </c>
    </row>
    <row r="809" spans="1:3">
      <c r="A809" s="147" t="s">
        <v>1717</v>
      </c>
      <c r="B809" s="71" t="s">
        <v>145</v>
      </c>
      <c r="C809" s="71" t="s">
        <v>1681</v>
      </c>
    </row>
    <row r="810" spans="1:3">
      <c r="A810" s="147" t="s">
        <v>1718</v>
      </c>
      <c r="B810" s="71" t="s">
        <v>320</v>
      </c>
      <c r="C810" s="71" t="s">
        <v>1682</v>
      </c>
    </row>
    <row r="811" spans="1:3">
      <c r="A811" s="147" t="s">
        <v>1719</v>
      </c>
      <c r="B811" s="71" t="s">
        <v>17</v>
      </c>
      <c r="C811" s="71" t="s">
        <v>1619</v>
      </c>
    </row>
    <row r="812" spans="1:3">
      <c r="A812" s="147" t="s">
        <v>1720</v>
      </c>
      <c r="B812" s="71" t="s">
        <v>146</v>
      </c>
      <c r="C812" s="71" t="s">
        <v>1683</v>
      </c>
    </row>
    <row r="813" spans="1:3">
      <c r="A813" s="147" t="s">
        <v>1705</v>
      </c>
      <c r="B813" s="71" t="s">
        <v>321</v>
      </c>
      <c r="C813" s="71" t="s">
        <v>1684</v>
      </c>
    </row>
    <row r="814" spans="1:3">
      <c r="A814" s="71" t="s">
        <v>1721</v>
      </c>
      <c r="B814" s="71" t="s">
        <v>322</v>
      </c>
      <c r="C814" s="71" t="s">
        <v>1685</v>
      </c>
    </row>
    <row r="815" spans="1:3">
      <c r="A815" s="147" t="s">
        <v>1722</v>
      </c>
      <c r="B815" s="71" t="s">
        <v>323</v>
      </c>
      <c r="C815" s="71" t="s">
        <v>1686</v>
      </c>
    </row>
    <row r="816" spans="1:3">
      <c r="A816" s="147" t="s">
        <v>1723</v>
      </c>
      <c r="B816" s="71" t="s">
        <v>324</v>
      </c>
      <c r="C816" s="71" t="s">
        <v>1687</v>
      </c>
    </row>
    <row r="817" spans="1:3">
      <c r="A817" s="147" t="s">
        <v>1724</v>
      </c>
      <c r="B817" s="71" t="s">
        <v>325</v>
      </c>
      <c r="C817" s="71" t="s">
        <v>1688</v>
      </c>
    </row>
    <row r="818" spans="1:3">
      <c r="A818" s="147" t="s">
        <v>1725</v>
      </c>
      <c r="B818" s="71" t="s">
        <v>326</v>
      </c>
      <c r="C818" s="71" t="s">
        <v>1689</v>
      </c>
    </row>
    <row r="819" spans="1:3">
      <c r="A819" s="147" t="s">
        <v>1726</v>
      </c>
      <c r="B819" s="71" t="s">
        <v>327</v>
      </c>
      <c r="C819" s="71" t="s">
        <v>1690</v>
      </c>
    </row>
    <row r="820" spans="1:3">
      <c r="A820" s="147" t="s">
        <v>1727</v>
      </c>
      <c r="B820" s="71" t="s">
        <v>328</v>
      </c>
      <c r="C820" s="71" t="s">
        <v>1691</v>
      </c>
    </row>
    <row r="821" spans="1:3">
      <c r="A821" s="147" t="s">
        <v>1728</v>
      </c>
      <c r="B821" s="71" t="s">
        <v>329</v>
      </c>
      <c r="C821" s="71" t="s">
        <v>1692</v>
      </c>
    </row>
    <row r="822" spans="1:3">
      <c r="A822" s="147" t="s">
        <v>1729</v>
      </c>
      <c r="B822" s="71" t="s">
        <v>330</v>
      </c>
      <c r="C822" s="71" t="s">
        <v>1693</v>
      </c>
    </row>
    <row r="823" spans="1:3">
      <c r="A823" s="147" t="s">
        <v>1730</v>
      </c>
      <c r="B823" s="71" t="s">
        <v>331</v>
      </c>
      <c r="C823" s="71" t="s">
        <v>1694</v>
      </c>
    </row>
    <row r="824" spans="1:3">
      <c r="A824" s="147" t="s">
        <v>1731</v>
      </c>
      <c r="B824" s="71" t="s">
        <v>332</v>
      </c>
      <c r="C824" s="71" t="s">
        <v>1695</v>
      </c>
    </row>
    <row r="825" spans="1:3">
      <c r="A825" s="147" t="s">
        <v>1732</v>
      </c>
      <c r="B825" s="71" t="s">
        <v>333</v>
      </c>
      <c r="C825" s="71" t="s">
        <v>1696</v>
      </c>
    </row>
    <row r="826" spans="1:3">
      <c r="A826" s="147" t="s">
        <v>1733</v>
      </c>
      <c r="B826" s="71" t="s">
        <v>340</v>
      </c>
      <c r="C826" s="71" t="s">
        <v>1697</v>
      </c>
    </row>
    <row r="827" spans="1:3">
      <c r="A827" s="147" t="s">
        <v>1734</v>
      </c>
      <c r="B827" s="71" t="s">
        <v>341</v>
      </c>
      <c r="C827" s="71" t="s">
        <v>1698</v>
      </c>
    </row>
    <row r="828" spans="1:3">
      <c r="A828" s="147" t="s">
        <v>1735</v>
      </c>
      <c r="B828" s="71" t="s">
        <v>342</v>
      </c>
      <c r="C828" s="71" t="s">
        <v>1699</v>
      </c>
    </row>
    <row r="829" spans="1:3">
      <c r="A829" s="147" t="s">
        <v>1736</v>
      </c>
      <c r="B829" s="71" t="s">
        <v>343</v>
      </c>
      <c r="C829" s="71" t="s">
        <v>1700</v>
      </c>
    </row>
    <row r="830" spans="1:3">
      <c r="A830" s="147" t="s">
        <v>1737</v>
      </c>
      <c r="B830" s="71" t="s">
        <v>344</v>
      </c>
      <c r="C830" s="71" t="s">
        <v>1701</v>
      </c>
    </row>
    <row r="831" spans="1:3">
      <c r="A831" s="147" t="s">
        <v>1738</v>
      </c>
      <c r="B831" s="71" t="s">
        <v>345</v>
      </c>
      <c r="C831" s="71" t="s">
        <v>1702</v>
      </c>
    </row>
    <row r="832" spans="1:3">
      <c r="A832" s="147" t="s">
        <v>1739</v>
      </c>
      <c r="B832" s="71" t="s">
        <v>346</v>
      </c>
      <c r="C832" s="71" t="s">
        <v>1703</v>
      </c>
    </row>
    <row r="833" spans="1:3">
      <c r="A833" s="146" t="s">
        <v>1741</v>
      </c>
      <c r="B833" s="71" t="s">
        <v>347</v>
      </c>
      <c r="C833" s="71" t="s">
        <v>1740</v>
      </c>
    </row>
    <row r="834" spans="1:3">
      <c r="A834" s="146" t="s">
        <v>1742</v>
      </c>
      <c r="B834" s="71" t="s">
        <v>237</v>
      </c>
      <c r="C834" s="71" t="s">
        <v>646</v>
      </c>
    </row>
    <row r="835" spans="1:3">
      <c r="A835" s="146" t="s">
        <v>1745</v>
      </c>
      <c r="B835" s="71" t="s">
        <v>348</v>
      </c>
      <c r="C835" s="71" t="s">
        <v>1763</v>
      </c>
    </row>
    <row r="836" spans="1:3">
      <c r="A836" s="146" t="s">
        <v>1744</v>
      </c>
      <c r="B836" s="71" t="s">
        <v>349</v>
      </c>
      <c r="C836" s="71" t="s">
        <v>1764</v>
      </c>
    </row>
    <row r="837" spans="1:3">
      <c r="A837" s="71" t="s">
        <v>1743</v>
      </c>
      <c r="B837" s="71" t="s">
        <v>350</v>
      </c>
      <c r="C837" s="71" t="s">
        <v>1765</v>
      </c>
    </row>
    <row r="838" spans="1:3">
      <c r="A838" s="147" t="s">
        <v>1750</v>
      </c>
      <c r="B838" s="71" t="s">
        <v>351</v>
      </c>
      <c r="C838" s="71" t="s">
        <v>1766</v>
      </c>
    </row>
    <row r="839" spans="1:3">
      <c r="A839" s="147" t="s">
        <v>1751</v>
      </c>
      <c r="B839" s="71" t="s">
        <v>352</v>
      </c>
      <c r="C839" s="71" t="s">
        <v>1767</v>
      </c>
    </row>
    <row r="840" spans="1:3">
      <c r="A840" s="147" t="s">
        <v>1752</v>
      </c>
      <c r="B840" s="71" t="s">
        <v>353</v>
      </c>
      <c r="C840" s="71" t="s">
        <v>1768</v>
      </c>
    </row>
    <row r="841" spans="1:3">
      <c r="A841" s="147" t="s">
        <v>1753</v>
      </c>
      <c r="B841" s="71" t="s">
        <v>354</v>
      </c>
      <c r="C841" s="71" t="s">
        <v>1769</v>
      </c>
    </row>
    <row r="842" spans="1:3">
      <c r="A842" s="147" t="s">
        <v>1754</v>
      </c>
      <c r="B842" s="71" t="s">
        <v>355</v>
      </c>
      <c r="C842" s="71" t="s">
        <v>1770</v>
      </c>
    </row>
    <row r="843" spans="1:3">
      <c r="A843" s="147" t="s">
        <v>1755</v>
      </c>
      <c r="B843" s="71" t="s">
        <v>356</v>
      </c>
      <c r="C843" s="71" t="s">
        <v>1771</v>
      </c>
    </row>
    <row r="844" spans="1:3">
      <c r="A844" s="147" t="s">
        <v>1746</v>
      </c>
      <c r="B844" s="71" t="s">
        <v>357</v>
      </c>
      <c r="C844" s="71" t="s">
        <v>1772</v>
      </c>
    </row>
    <row r="845" spans="1:3">
      <c r="A845" s="147" t="s">
        <v>2972</v>
      </c>
      <c r="B845" s="71" t="s">
        <v>2973</v>
      </c>
      <c r="C845" s="71" t="s">
        <v>2974</v>
      </c>
    </row>
    <row r="846" spans="1:3">
      <c r="A846" s="147" t="s">
        <v>2980</v>
      </c>
      <c r="B846" s="71" t="s">
        <v>2986</v>
      </c>
      <c r="C846" s="71" t="s">
        <v>2987</v>
      </c>
    </row>
    <row r="847" spans="1:3">
      <c r="A847" s="147" t="s">
        <v>2970</v>
      </c>
      <c r="B847" s="71" t="s">
        <v>3007</v>
      </c>
      <c r="C847" s="71" t="s">
        <v>4172</v>
      </c>
    </row>
    <row r="848" spans="1:3">
      <c r="A848" s="71" t="s">
        <v>2968</v>
      </c>
      <c r="B848" s="71" t="s">
        <v>358</v>
      </c>
      <c r="C848" s="71" t="s">
        <v>1773</v>
      </c>
    </row>
    <row r="849" spans="1:3">
      <c r="A849" s="147" t="s">
        <v>1756</v>
      </c>
      <c r="B849" s="71" t="s">
        <v>359</v>
      </c>
      <c r="C849" s="71" t="s">
        <v>2977</v>
      </c>
    </row>
    <row r="850" spans="1:3">
      <c r="A850" s="147" t="s">
        <v>1757</v>
      </c>
      <c r="B850" s="71" t="s">
        <v>360</v>
      </c>
      <c r="C850" s="71" t="s">
        <v>2978</v>
      </c>
    </row>
    <row r="851" spans="1:3">
      <c r="A851" s="147" t="s">
        <v>1758</v>
      </c>
      <c r="B851" s="71" t="s">
        <v>361</v>
      </c>
      <c r="C851" s="71" t="s">
        <v>1774</v>
      </c>
    </row>
    <row r="852" spans="1:3">
      <c r="A852" s="147" t="s">
        <v>2975</v>
      </c>
      <c r="B852" s="71" t="s">
        <v>2976</v>
      </c>
      <c r="C852" s="71" t="s">
        <v>2979</v>
      </c>
    </row>
    <row r="853" spans="1:3">
      <c r="A853" s="147" t="s">
        <v>1759</v>
      </c>
      <c r="B853" s="71" t="s">
        <v>2981</v>
      </c>
      <c r="C853" s="71" t="s">
        <v>2988</v>
      </c>
    </row>
    <row r="854" spans="1:3">
      <c r="A854" s="147" t="s">
        <v>2982</v>
      </c>
      <c r="B854" s="71" t="s">
        <v>2989</v>
      </c>
      <c r="C854" s="71" t="s">
        <v>2985</v>
      </c>
    </row>
    <row r="855" spans="1:3">
      <c r="A855" s="147" t="s">
        <v>495</v>
      </c>
      <c r="B855" s="71" t="str">
        <f>"        Konnten die Pos. 343o und 347a im "&amp;jahr&amp;" planmässig angepasst werden?"</f>
        <v xml:space="preserve">        Konnten die Pos. 343o und 347a im 2023 planmässig angepasst werden?</v>
      </c>
      <c r="C855" s="71" t="str">
        <f>"        Pos. 343o et 347a ont-t-elles pu être adaptées selon le plan d'exploitation en "&amp;jahr&amp;" ?"</f>
        <v xml:space="preserve">        Pos. 343o et 347a ont-t-elles pu être adaptées selon le plan d'exploitation en 2023 ?</v>
      </c>
    </row>
    <row r="856" spans="1:3" ht="50.25" customHeight="1">
      <c r="A856" s="145" t="s">
        <v>1760</v>
      </c>
      <c r="B856" s="73" t="s">
        <v>2983</v>
      </c>
      <c r="C856" s="73" t="s">
        <v>2984</v>
      </c>
    </row>
    <row r="857" spans="1:3">
      <c r="A857" s="71" t="s">
        <v>1761</v>
      </c>
      <c r="B857" s="71" t="s">
        <v>494</v>
      </c>
      <c r="C857" s="71" t="s">
        <v>1775</v>
      </c>
    </row>
    <row r="858" spans="1:3" ht="25.5">
      <c r="A858" s="149" t="s">
        <v>1747</v>
      </c>
      <c r="B858" s="73" t="s">
        <v>1778</v>
      </c>
      <c r="C858" s="73" t="s">
        <v>1777</v>
      </c>
    </row>
    <row r="859" spans="1:3" ht="25.5">
      <c r="A859" s="149" t="s">
        <v>1748</v>
      </c>
      <c r="B859" s="73" t="s">
        <v>1779</v>
      </c>
      <c r="C859" s="73" t="s">
        <v>1776</v>
      </c>
    </row>
    <row r="860" spans="1:3">
      <c r="A860" s="71" t="s">
        <v>1762</v>
      </c>
      <c r="B860" s="71" t="s">
        <v>1749</v>
      </c>
      <c r="C860" s="71" t="s">
        <v>1780</v>
      </c>
    </row>
    <row r="861" spans="1:3">
      <c r="A861" s="71" t="s">
        <v>2449</v>
      </c>
      <c r="B861" s="71" t="s">
        <v>2450</v>
      </c>
      <c r="C861" s="71" t="s">
        <v>2451</v>
      </c>
    </row>
    <row r="862" spans="1:3" ht="25.5">
      <c r="A862" s="145" t="s">
        <v>2447</v>
      </c>
      <c r="B862" s="73" t="s">
        <v>2448</v>
      </c>
      <c r="C862" s="73" t="s">
        <v>2452</v>
      </c>
    </row>
    <row r="863" spans="1:3">
      <c r="A863" s="145" t="s">
        <v>2590</v>
      </c>
      <c r="B863" s="145" t="s">
        <v>3786</v>
      </c>
      <c r="C863" s="145" t="s">
        <v>2591</v>
      </c>
    </row>
    <row r="864" spans="1:3">
      <c r="A864" s="145" t="s">
        <v>2647</v>
      </c>
      <c r="B864" s="145" t="s">
        <v>237</v>
      </c>
      <c r="C864" s="145" t="s">
        <v>646</v>
      </c>
    </row>
    <row r="865" spans="1:3">
      <c r="A865" s="152" t="s">
        <v>2592</v>
      </c>
      <c r="B865" s="145" t="s">
        <v>1531</v>
      </c>
      <c r="C865" s="145" t="s">
        <v>1998</v>
      </c>
    </row>
    <row r="866" spans="1:3">
      <c r="A866" s="152" t="s">
        <v>2644</v>
      </c>
      <c r="B866" s="145" t="s">
        <v>2593</v>
      </c>
      <c r="C866" s="145" t="s">
        <v>2594</v>
      </c>
    </row>
    <row r="867" spans="1:3">
      <c r="A867" s="145" t="s">
        <v>2637</v>
      </c>
      <c r="B867" s="145" t="s">
        <v>2595</v>
      </c>
      <c r="C867" s="145" t="s">
        <v>2596</v>
      </c>
    </row>
    <row r="868" spans="1:3" ht="38.25">
      <c r="A868" s="145" t="s">
        <v>2638</v>
      </c>
      <c r="B868" s="73" t="s">
        <v>2652</v>
      </c>
      <c r="C868" s="73" t="s">
        <v>2709</v>
      </c>
    </row>
    <row r="869" spans="1:3" ht="25.5">
      <c r="A869" s="145" t="s">
        <v>2597</v>
      </c>
      <c r="B869" s="73" t="s">
        <v>2653</v>
      </c>
      <c r="C869" s="73" t="s">
        <v>2757</v>
      </c>
    </row>
    <row r="870" spans="1:3" ht="32.25" customHeight="1">
      <c r="A870" s="145" t="s">
        <v>2598</v>
      </c>
      <c r="B870" s="73" t="s">
        <v>2650</v>
      </c>
      <c r="C870" s="73" t="s">
        <v>2753</v>
      </c>
    </row>
    <row r="871" spans="1:3" ht="38.25">
      <c r="A871" s="145" t="s">
        <v>2600</v>
      </c>
      <c r="B871" s="73" t="s">
        <v>2651</v>
      </c>
      <c r="C871" s="145" t="s">
        <v>2599</v>
      </c>
    </row>
    <row r="872" spans="1:3" ht="25.5">
      <c r="A872" s="145" t="s">
        <v>2603</v>
      </c>
      <c r="B872" s="73" t="s">
        <v>2601</v>
      </c>
      <c r="C872" s="73" t="s">
        <v>2602</v>
      </c>
    </row>
    <row r="873" spans="1:3" ht="25.5">
      <c r="A873" s="145" t="s">
        <v>2605</v>
      </c>
      <c r="B873" s="73" t="s">
        <v>2648</v>
      </c>
      <c r="C873" s="73" t="s">
        <v>2604</v>
      </c>
    </row>
    <row r="874" spans="1:3" ht="25.5">
      <c r="A874" s="145" t="s">
        <v>2645</v>
      </c>
      <c r="B874" s="73" t="s">
        <v>2649</v>
      </c>
      <c r="C874" s="73" t="s">
        <v>2606</v>
      </c>
    </row>
    <row r="875" spans="1:3">
      <c r="A875" s="145" t="s">
        <v>2607</v>
      </c>
      <c r="B875" s="73" t="s">
        <v>2746</v>
      </c>
      <c r="C875" s="73" t="s">
        <v>2748</v>
      </c>
    </row>
    <row r="876" spans="1:3">
      <c r="A876" s="149" t="s">
        <v>2608</v>
      </c>
      <c r="B876" s="73" t="s">
        <v>2639</v>
      </c>
      <c r="C876" s="73" t="s">
        <v>2641</v>
      </c>
    </row>
    <row r="877" spans="1:3">
      <c r="A877" s="149" t="s">
        <v>2609</v>
      </c>
      <c r="B877" s="73" t="s">
        <v>2640</v>
      </c>
      <c r="C877" s="73" t="s">
        <v>2642</v>
      </c>
    </row>
    <row r="878" spans="1:3">
      <c r="A878" s="149" t="s">
        <v>2610</v>
      </c>
      <c r="B878" s="73" t="s">
        <v>2711</v>
      </c>
      <c r="C878" s="73" t="s">
        <v>2710</v>
      </c>
    </row>
    <row r="879" spans="1:3">
      <c r="A879" s="145" t="s">
        <v>2611</v>
      </c>
      <c r="B879" s="73" t="s">
        <v>2612</v>
      </c>
      <c r="C879" s="145" t="s">
        <v>2613</v>
      </c>
    </row>
    <row r="880" spans="1:3">
      <c r="A880" s="149" t="s">
        <v>2614</v>
      </c>
      <c r="B880" s="73" t="s">
        <v>2615</v>
      </c>
      <c r="C880" s="145" t="s">
        <v>2616</v>
      </c>
    </row>
    <row r="881" spans="1:3" ht="25.5">
      <c r="A881" s="149" t="s">
        <v>2634</v>
      </c>
      <c r="B881" s="73" t="s">
        <v>2617</v>
      </c>
      <c r="C881" s="73" t="s">
        <v>2618</v>
      </c>
    </row>
    <row r="882" spans="1:3">
      <c r="A882" s="149" t="s">
        <v>2619</v>
      </c>
      <c r="B882" s="73" t="s">
        <v>2620</v>
      </c>
      <c r="C882" s="145" t="s">
        <v>2621</v>
      </c>
    </row>
    <row r="883" spans="1:3">
      <c r="A883" s="149" t="s">
        <v>2635</v>
      </c>
      <c r="B883" s="73" t="s">
        <v>2622</v>
      </c>
      <c r="C883" s="145" t="s">
        <v>2623</v>
      </c>
    </row>
    <row r="884" spans="1:3">
      <c r="A884" s="149" t="s">
        <v>2624</v>
      </c>
      <c r="B884" s="73" t="s">
        <v>2625</v>
      </c>
      <c r="C884" s="145" t="s">
        <v>2626</v>
      </c>
    </row>
    <row r="885" spans="1:3" ht="25.5">
      <c r="A885" s="149" t="s">
        <v>2636</v>
      </c>
      <c r="B885" s="73" t="s">
        <v>2627</v>
      </c>
      <c r="C885" s="73" t="s">
        <v>2628</v>
      </c>
    </row>
    <row r="886" spans="1:3" ht="25.5">
      <c r="A886" s="149" t="s">
        <v>2629</v>
      </c>
      <c r="B886" s="73" t="s">
        <v>2717</v>
      </c>
      <c r="C886" s="145" t="s">
        <v>2718</v>
      </c>
    </row>
    <row r="887" spans="1:3">
      <c r="A887" s="152" t="s">
        <v>2630</v>
      </c>
      <c r="B887" s="145" t="s">
        <v>2631</v>
      </c>
      <c r="C887" s="145" t="s">
        <v>2632</v>
      </c>
    </row>
    <row r="888" spans="1:3">
      <c r="A888" s="149" t="s">
        <v>2589</v>
      </c>
      <c r="B888" s="73" t="s">
        <v>2707</v>
      </c>
      <c r="C888" s="145" t="s">
        <v>2708</v>
      </c>
    </row>
    <row r="889" spans="1:3" ht="32.25" customHeight="1">
      <c r="A889" s="145" t="s">
        <v>2633</v>
      </c>
      <c r="B889" s="73" t="s">
        <v>2655</v>
      </c>
      <c r="C889" s="73" t="s">
        <v>2657</v>
      </c>
    </row>
    <row r="890" spans="1:3" ht="44.25" customHeight="1">
      <c r="A890" s="145" t="s">
        <v>2643</v>
      </c>
      <c r="B890" s="73" t="s">
        <v>2719</v>
      </c>
      <c r="C890" s="73" t="s">
        <v>2720</v>
      </c>
    </row>
    <row r="891" spans="1:3" ht="32.25" customHeight="1">
      <c r="A891" s="145" t="s">
        <v>2654</v>
      </c>
      <c r="B891" s="73" t="s">
        <v>2716</v>
      </c>
      <c r="C891" s="73" t="s">
        <v>2656</v>
      </c>
    </row>
    <row r="892" spans="1:3" ht="12" customHeight="1">
      <c r="A892" s="145" t="s">
        <v>3228</v>
      </c>
      <c r="B892" s="73" t="s">
        <v>3224</v>
      </c>
      <c r="C892" s="73" t="s">
        <v>3463</v>
      </c>
    </row>
    <row r="893" spans="1:3" ht="12" customHeight="1">
      <c r="A893" s="145" t="s">
        <v>3229</v>
      </c>
      <c r="B893" s="73" t="s">
        <v>3225</v>
      </c>
      <c r="C893" s="73" t="s">
        <v>3465</v>
      </c>
    </row>
    <row r="894" spans="1:3" ht="12" customHeight="1">
      <c r="A894" s="145" t="s">
        <v>3230</v>
      </c>
      <c r="B894" s="73" t="s">
        <v>3226</v>
      </c>
      <c r="C894" s="73" t="s">
        <v>3469</v>
      </c>
    </row>
    <row r="895" spans="1:3" ht="12" customHeight="1">
      <c r="A895" s="145" t="s">
        <v>3231</v>
      </c>
      <c r="B895" s="73" t="s">
        <v>3227</v>
      </c>
      <c r="C895" s="73" t="s">
        <v>3466</v>
      </c>
    </row>
    <row r="896" spans="1:3" ht="12" customHeight="1">
      <c r="A896" s="145" t="s">
        <v>3232</v>
      </c>
      <c r="B896" s="73" t="s">
        <v>3219</v>
      </c>
      <c r="C896" s="73" t="s">
        <v>3464</v>
      </c>
    </row>
    <row r="897" spans="1:3" ht="12" customHeight="1">
      <c r="A897" s="145" t="s">
        <v>3233</v>
      </c>
      <c r="B897" s="73" t="s">
        <v>3217</v>
      </c>
      <c r="C897" s="73" t="s">
        <v>3467</v>
      </c>
    </row>
    <row r="898" spans="1:3" ht="12" customHeight="1">
      <c r="A898" s="145" t="s">
        <v>3234</v>
      </c>
      <c r="B898" s="73" t="s">
        <v>3216</v>
      </c>
      <c r="C898" s="71" t="s">
        <v>3581</v>
      </c>
    </row>
    <row r="899" spans="1:3" ht="12" customHeight="1">
      <c r="A899" s="145" t="s">
        <v>3235</v>
      </c>
      <c r="B899" s="73" t="s">
        <v>3221</v>
      </c>
      <c r="C899" s="73" t="s">
        <v>3468</v>
      </c>
    </row>
    <row r="900" spans="1:3" ht="12" customHeight="1">
      <c r="A900" s="145" t="s">
        <v>3236</v>
      </c>
      <c r="B900" s="73" t="s">
        <v>3220</v>
      </c>
      <c r="C900" s="73" t="s">
        <v>3470</v>
      </c>
    </row>
    <row r="901" spans="1:3" ht="12" customHeight="1">
      <c r="A901" s="145" t="s">
        <v>3237</v>
      </c>
      <c r="B901" s="73" t="s">
        <v>3222</v>
      </c>
      <c r="C901" s="73" t="s">
        <v>3471</v>
      </c>
    </row>
    <row r="902" spans="1:3" ht="12" customHeight="1">
      <c r="A902" s="145" t="s">
        <v>3238</v>
      </c>
      <c r="B902" s="73" t="s">
        <v>3223</v>
      </c>
      <c r="C902" s="73" t="s">
        <v>3472</v>
      </c>
    </row>
    <row r="903" spans="1:3" ht="12" customHeight="1">
      <c r="A903" s="145" t="s">
        <v>3239</v>
      </c>
      <c r="B903" s="73" t="s">
        <v>2625</v>
      </c>
      <c r="C903" s="73" t="s">
        <v>2626</v>
      </c>
    </row>
    <row r="904" spans="1:3" ht="12" customHeight="1">
      <c r="A904" s="145" t="s">
        <v>3240</v>
      </c>
      <c r="B904" s="73" t="s">
        <v>2738</v>
      </c>
      <c r="C904" s="71" t="s">
        <v>2758</v>
      </c>
    </row>
    <row r="905" spans="1:3" ht="12" customHeight="1">
      <c r="A905" s="145" t="s">
        <v>3241</v>
      </c>
      <c r="B905" s="73" t="s">
        <v>3218</v>
      </c>
      <c r="C905" s="73" t="s">
        <v>3473</v>
      </c>
    </row>
    <row r="906" spans="1:3" ht="12" customHeight="1">
      <c r="A906" s="145" t="s">
        <v>3242</v>
      </c>
      <c r="B906" s="73" t="s">
        <v>3219</v>
      </c>
      <c r="C906" s="73" t="s">
        <v>3464</v>
      </c>
    </row>
    <row r="907" spans="1:3" ht="25.5">
      <c r="A907" s="71" t="s">
        <v>1783</v>
      </c>
      <c r="B907" s="72" t="s">
        <v>362</v>
      </c>
      <c r="C907" s="72" t="s">
        <v>1782</v>
      </c>
    </row>
    <row r="908" spans="1:3">
      <c r="A908" s="71" t="s">
        <v>1784</v>
      </c>
      <c r="B908" s="71" t="str">
        <f>"Berichtsjahr:         "&amp;jahr</f>
        <v>Berichtsjahr:         2023</v>
      </c>
      <c r="C908" s="71" t="str">
        <f>"Année d'exercice:         "&amp;jahr</f>
        <v>Année d'exercice:         2023</v>
      </c>
    </row>
    <row r="909" spans="1:3">
      <c r="A909" s="71" t="s">
        <v>1786</v>
      </c>
      <c r="B909" s="71" t="s">
        <v>363</v>
      </c>
      <c r="C909" s="71" t="s">
        <v>1791</v>
      </c>
    </row>
    <row r="910" spans="1:3">
      <c r="A910" s="71" t="s">
        <v>1787</v>
      </c>
      <c r="B910" s="71" t="s">
        <v>467</v>
      </c>
      <c r="C910" s="71" t="s">
        <v>1792</v>
      </c>
    </row>
    <row r="911" spans="1:3">
      <c r="A911" s="71" t="s">
        <v>1788</v>
      </c>
      <c r="B911" s="71" t="s">
        <v>468</v>
      </c>
      <c r="C911" s="71" t="s">
        <v>1793</v>
      </c>
    </row>
    <row r="912" spans="1:3">
      <c r="A912" s="71" t="s">
        <v>1789</v>
      </c>
      <c r="B912" s="71" t="s">
        <v>1790</v>
      </c>
      <c r="C912" s="71" t="s">
        <v>1794</v>
      </c>
    </row>
    <row r="913" spans="1:3">
      <c r="A913" s="147" t="s">
        <v>1795</v>
      </c>
      <c r="B913" s="71" t="s">
        <v>475</v>
      </c>
      <c r="C913" s="71" t="s">
        <v>871</v>
      </c>
    </row>
    <row r="914" spans="1:3">
      <c r="A914" s="147" t="s">
        <v>1796</v>
      </c>
      <c r="B914" s="71" t="s">
        <v>476</v>
      </c>
      <c r="C914" s="71" t="s">
        <v>1815</v>
      </c>
    </row>
    <row r="915" spans="1:3">
      <c r="A915" s="147" t="s">
        <v>1797</v>
      </c>
      <c r="B915" s="71" t="s">
        <v>477</v>
      </c>
      <c r="C915" s="71" t="s">
        <v>873</v>
      </c>
    </row>
    <row r="916" spans="1:3">
      <c r="A916" s="147" t="s">
        <v>1798</v>
      </c>
      <c r="B916" s="71" t="s">
        <v>478</v>
      </c>
      <c r="C916" s="71" t="s">
        <v>874</v>
      </c>
    </row>
    <row r="917" spans="1:3">
      <c r="A917" s="147" t="s">
        <v>1799</v>
      </c>
      <c r="B917" s="71" t="s">
        <v>479</v>
      </c>
      <c r="C917" s="71" t="s">
        <v>875</v>
      </c>
    </row>
    <row r="918" spans="1:3">
      <c r="A918" s="147" t="s">
        <v>1800</v>
      </c>
      <c r="B918" s="71" t="s">
        <v>480</v>
      </c>
      <c r="C918" s="71" t="s">
        <v>876</v>
      </c>
    </row>
    <row r="919" spans="1:3">
      <c r="A919" s="147" t="s">
        <v>1801</v>
      </c>
      <c r="B919" s="71" t="s">
        <v>364</v>
      </c>
      <c r="C919" s="71" t="s">
        <v>1816</v>
      </c>
    </row>
    <row r="920" spans="1:3">
      <c r="A920" s="147" t="s">
        <v>1802</v>
      </c>
      <c r="B920" s="71" t="s">
        <v>481</v>
      </c>
      <c r="C920" s="71" t="s">
        <v>878</v>
      </c>
    </row>
    <row r="921" spans="1:3">
      <c r="A921" s="147" t="s">
        <v>1803</v>
      </c>
      <c r="B921" s="71" t="s">
        <v>365</v>
      </c>
      <c r="C921" s="71" t="s">
        <v>1817</v>
      </c>
    </row>
    <row r="922" spans="1:3">
      <c r="A922" s="147" t="s">
        <v>1804</v>
      </c>
      <c r="B922" s="71" t="s">
        <v>486</v>
      </c>
      <c r="C922" s="71" t="s">
        <v>882</v>
      </c>
    </row>
    <row r="923" spans="1:3">
      <c r="A923" s="147" t="s">
        <v>1805</v>
      </c>
      <c r="B923" s="71" t="s">
        <v>487</v>
      </c>
      <c r="C923" s="71" t="s">
        <v>883</v>
      </c>
    </row>
    <row r="924" spans="1:3">
      <c r="A924" s="147" t="s">
        <v>1806</v>
      </c>
      <c r="B924" s="71" t="s">
        <v>366</v>
      </c>
      <c r="C924" s="71" t="s">
        <v>1818</v>
      </c>
    </row>
    <row r="925" spans="1:3">
      <c r="A925" s="147" t="s">
        <v>1807</v>
      </c>
      <c r="B925" s="71" t="s">
        <v>0</v>
      </c>
      <c r="C925" s="71" t="s">
        <v>1819</v>
      </c>
    </row>
    <row r="926" spans="1:3">
      <c r="A926" s="147" t="s">
        <v>1808</v>
      </c>
      <c r="B926" s="71" t="s">
        <v>1</v>
      </c>
      <c r="C926" s="71" t="s">
        <v>888</v>
      </c>
    </row>
    <row r="927" spans="1:3">
      <c r="A927" s="147" t="s">
        <v>1809</v>
      </c>
      <c r="B927" s="71" t="s">
        <v>367</v>
      </c>
      <c r="C927" s="71" t="s">
        <v>889</v>
      </c>
    </row>
    <row r="928" spans="1:3">
      <c r="A928" s="147" t="s">
        <v>1810</v>
      </c>
      <c r="B928" s="71" t="s">
        <v>4</v>
      </c>
      <c r="C928" s="71" t="s">
        <v>890</v>
      </c>
    </row>
    <row r="929" spans="1:3">
      <c r="A929" s="147" t="s">
        <v>1811</v>
      </c>
      <c r="B929" s="71" t="s">
        <v>5</v>
      </c>
      <c r="C929" s="71" t="s">
        <v>5</v>
      </c>
    </row>
    <row r="930" spans="1:3">
      <c r="A930" s="147" t="s">
        <v>1812</v>
      </c>
      <c r="B930" s="71" t="s">
        <v>6</v>
      </c>
      <c r="C930" s="71" t="s">
        <v>6</v>
      </c>
    </row>
    <row r="931" spans="1:3">
      <c r="A931" s="147" t="s">
        <v>1813</v>
      </c>
      <c r="B931" s="71" t="s">
        <v>8</v>
      </c>
      <c r="C931" s="71" t="s">
        <v>891</v>
      </c>
    </row>
    <row r="932" spans="1:3">
      <c r="A932" s="147" t="s">
        <v>1814</v>
      </c>
      <c r="B932" s="71" t="s">
        <v>10</v>
      </c>
      <c r="C932" s="71" t="s">
        <v>1820</v>
      </c>
    </row>
    <row r="933" spans="1:3">
      <c r="A933" s="71" t="s">
        <v>1897</v>
      </c>
      <c r="B933" s="71" t="s">
        <v>368</v>
      </c>
      <c r="C933" s="71" t="s">
        <v>1894</v>
      </c>
    </row>
    <row r="934" spans="1:3">
      <c r="A934" s="71" t="s">
        <v>1898</v>
      </c>
      <c r="B934" s="71" t="s">
        <v>369</v>
      </c>
      <c r="C934" s="71" t="s">
        <v>1895</v>
      </c>
    </row>
    <row r="935" spans="1:3">
      <c r="A935" s="71" t="s">
        <v>1899</v>
      </c>
      <c r="B935" s="71" t="s">
        <v>370</v>
      </c>
      <c r="C935" s="71" t="s">
        <v>1896</v>
      </c>
    </row>
    <row r="936" spans="1:3">
      <c r="A936" s="71" t="s">
        <v>1900</v>
      </c>
      <c r="B936" s="71" t="s">
        <v>461</v>
      </c>
      <c r="C936" s="71" t="s">
        <v>1901</v>
      </c>
    </row>
    <row r="937" spans="1:3">
      <c r="A937" s="71" t="s">
        <v>1891</v>
      </c>
      <c r="B937" s="71" t="s">
        <v>405</v>
      </c>
      <c r="C937" s="71" t="s">
        <v>1911</v>
      </c>
    </row>
    <row r="938" spans="1:3">
      <c r="A938" s="156" t="s">
        <v>1902</v>
      </c>
      <c r="B938" s="71" t="s">
        <v>406</v>
      </c>
      <c r="C938" s="71" t="s">
        <v>1912</v>
      </c>
    </row>
    <row r="939" spans="1:3">
      <c r="A939" s="71" t="s">
        <v>1903</v>
      </c>
      <c r="B939" s="71" t="s">
        <v>407</v>
      </c>
      <c r="C939" s="71" t="s">
        <v>1913</v>
      </c>
    </row>
    <row r="940" spans="1:3">
      <c r="A940" s="71" t="s">
        <v>1904</v>
      </c>
      <c r="B940" s="71" t="s">
        <v>408</v>
      </c>
      <c r="C940" s="71" t="s">
        <v>1914</v>
      </c>
    </row>
    <row r="941" spans="1:3">
      <c r="A941" s="71" t="s">
        <v>1905</v>
      </c>
      <c r="B941" s="71" t="s">
        <v>409</v>
      </c>
      <c r="C941" s="71" t="s">
        <v>1915</v>
      </c>
    </row>
    <row r="942" spans="1:3">
      <c r="A942" s="71" t="s">
        <v>1892</v>
      </c>
      <c r="B942" s="71" t="s">
        <v>410</v>
      </c>
      <c r="C942" s="71" t="s">
        <v>1916</v>
      </c>
    </row>
    <row r="943" spans="1:3">
      <c r="A943" s="71" t="s">
        <v>1906</v>
      </c>
      <c r="B943" s="71" t="s">
        <v>411</v>
      </c>
      <c r="C943" s="71" t="s">
        <v>1917</v>
      </c>
    </row>
    <row r="944" spans="1:3">
      <c r="A944" s="71" t="s">
        <v>1907</v>
      </c>
      <c r="B944" s="71" t="s">
        <v>409</v>
      </c>
      <c r="C944" s="71" t="s">
        <v>1915</v>
      </c>
    </row>
    <row r="945" spans="1:3">
      <c r="A945" s="71" t="s">
        <v>1893</v>
      </c>
      <c r="B945" s="71" t="s">
        <v>412</v>
      </c>
      <c r="C945" s="71" t="s">
        <v>1917</v>
      </c>
    </row>
    <row r="946" spans="1:3">
      <c r="A946" s="71" t="s">
        <v>1908</v>
      </c>
      <c r="B946" s="71" t="s">
        <v>378</v>
      </c>
      <c r="C946" s="71" t="s">
        <v>1918</v>
      </c>
    </row>
    <row r="947" spans="1:3">
      <c r="A947" s="71" t="s">
        <v>1909</v>
      </c>
      <c r="B947" s="71" t="s">
        <v>413</v>
      </c>
      <c r="C947" s="71" t="s">
        <v>1919</v>
      </c>
    </row>
    <row r="948" spans="1:3">
      <c r="A948" s="71" t="s">
        <v>1910</v>
      </c>
      <c r="B948" s="71" t="s">
        <v>409</v>
      </c>
      <c r="C948" s="71" t="s">
        <v>1915</v>
      </c>
    </row>
    <row r="949" spans="1:3">
      <c r="A949" s="71" t="s">
        <v>1938</v>
      </c>
      <c r="B949" s="71" t="s">
        <v>412</v>
      </c>
      <c r="C949" s="71" t="s">
        <v>1917</v>
      </c>
    </row>
    <row r="950" spans="1:3">
      <c r="A950" s="71" t="s">
        <v>1939</v>
      </c>
      <c r="B950" s="71" t="s">
        <v>414</v>
      </c>
      <c r="C950" s="71" t="s">
        <v>1920</v>
      </c>
    </row>
    <row r="951" spans="1:3">
      <c r="A951" s="71" t="s">
        <v>1940</v>
      </c>
      <c r="B951" s="71" t="s">
        <v>415</v>
      </c>
      <c r="C951" s="71" t="s">
        <v>1921</v>
      </c>
    </row>
    <row r="952" spans="1:3">
      <c r="A952" s="71" t="s">
        <v>1941</v>
      </c>
      <c r="B952" s="71" t="s">
        <v>409</v>
      </c>
      <c r="C952" s="71" t="s">
        <v>1915</v>
      </c>
    </row>
    <row r="953" spans="1:3">
      <c r="A953" s="71" t="s">
        <v>1942</v>
      </c>
      <c r="B953" s="71" t="s">
        <v>416</v>
      </c>
      <c r="C953" s="71" t="s">
        <v>1922</v>
      </c>
    </row>
    <row r="954" spans="1:3">
      <c r="A954" s="71" t="s">
        <v>1943</v>
      </c>
      <c r="B954" s="71" t="s">
        <v>409</v>
      </c>
      <c r="C954" s="71" t="s">
        <v>1915</v>
      </c>
    </row>
    <row r="955" spans="1:3">
      <c r="A955" s="71" t="s">
        <v>1944</v>
      </c>
      <c r="B955" s="71" t="s">
        <v>417</v>
      </c>
      <c r="C955" s="71" t="s">
        <v>1923</v>
      </c>
    </row>
    <row r="956" spans="1:3">
      <c r="A956" s="71" t="s">
        <v>1945</v>
      </c>
      <c r="B956" s="71" t="s">
        <v>418</v>
      </c>
      <c r="C956" s="71" t="s">
        <v>1924</v>
      </c>
    </row>
    <row r="957" spans="1:3">
      <c r="A957" s="71" t="s">
        <v>1946</v>
      </c>
      <c r="B957" s="71" t="s">
        <v>409</v>
      </c>
      <c r="C957" s="71" t="s">
        <v>1915</v>
      </c>
    </row>
    <row r="958" spans="1:3">
      <c r="A958" s="71" t="s">
        <v>1947</v>
      </c>
      <c r="B958" s="71" t="s">
        <v>416</v>
      </c>
      <c r="C958" s="71" t="s">
        <v>1922</v>
      </c>
    </row>
    <row r="959" spans="1:3">
      <c r="A959" s="71" t="s">
        <v>1948</v>
      </c>
      <c r="B959" s="71" t="s">
        <v>409</v>
      </c>
      <c r="C959" s="71" t="s">
        <v>1915</v>
      </c>
    </row>
    <row r="960" spans="1:3">
      <c r="A960" s="71" t="s">
        <v>1949</v>
      </c>
      <c r="B960" s="71" t="s">
        <v>416</v>
      </c>
      <c r="C960" s="71" t="s">
        <v>1922</v>
      </c>
    </row>
    <row r="961" spans="1:3">
      <c r="A961" s="71" t="s">
        <v>1950</v>
      </c>
      <c r="B961" s="71" t="s">
        <v>409</v>
      </c>
      <c r="C961" s="71" t="s">
        <v>1915</v>
      </c>
    </row>
    <row r="962" spans="1:3">
      <c r="A962" s="71" t="s">
        <v>1951</v>
      </c>
      <c r="B962" s="71" t="s">
        <v>419</v>
      </c>
      <c r="C962" s="71" t="s">
        <v>1925</v>
      </c>
    </row>
    <row r="963" spans="1:3">
      <c r="A963" s="71" t="s">
        <v>1952</v>
      </c>
      <c r="B963" s="71" t="s">
        <v>420</v>
      </c>
      <c r="C963" s="71" t="s">
        <v>1926</v>
      </c>
    </row>
    <row r="964" spans="1:3">
      <c r="A964" s="71" t="s">
        <v>1953</v>
      </c>
      <c r="B964" s="71" t="s">
        <v>378</v>
      </c>
      <c r="C964" s="71" t="s">
        <v>1918</v>
      </c>
    </row>
    <row r="965" spans="1:3">
      <c r="A965" s="71" t="s">
        <v>1954</v>
      </c>
      <c r="B965" s="71" t="s">
        <v>409</v>
      </c>
      <c r="C965" s="71" t="s">
        <v>1915</v>
      </c>
    </row>
    <row r="966" spans="1:3">
      <c r="A966" s="71" t="s">
        <v>1955</v>
      </c>
      <c r="B966" s="71" t="s">
        <v>419</v>
      </c>
      <c r="C966" s="71" t="s">
        <v>1925</v>
      </c>
    </row>
    <row r="967" spans="1:3">
      <c r="A967" s="71" t="s">
        <v>1956</v>
      </c>
      <c r="B967" s="71" t="s">
        <v>420</v>
      </c>
      <c r="C967" s="71" t="s">
        <v>1926</v>
      </c>
    </row>
    <row r="968" spans="1:3">
      <c r="A968" s="71" t="s">
        <v>1957</v>
      </c>
      <c r="B968" s="71" t="s">
        <v>378</v>
      </c>
      <c r="C968" s="71" t="s">
        <v>1918</v>
      </c>
    </row>
    <row r="969" spans="1:3">
      <c r="A969" s="71" t="s">
        <v>1958</v>
      </c>
      <c r="B969" s="71" t="s">
        <v>409</v>
      </c>
      <c r="C969" s="71" t="s">
        <v>1915</v>
      </c>
    </row>
    <row r="970" spans="1:3">
      <c r="A970" s="71" t="s">
        <v>1959</v>
      </c>
      <c r="B970" s="71" t="s">
        <v>421</v>
      </c>
      <c r="C970" s="71" t="s">
        <v>1927</v>
      </c>
    </row>
    <row r="971" spans="1:3">
      <c r="A971" s="71" t="s">
        <v>1960</v>
      </c>
      <c r="B971" s="71" t="s">
        <v>422</v>
      </c>
      <c r="C971" s="71" t="s">
        <v>1928</v>
      </c>
    </row>
    <row r="972" spans="1:3">
      <c r="A972" s="71" t="s">
        <v>1961</v>
      </c>
      <c r="B972" s="71" t="s">
        <v>423</v>
      </c>
      <c r="C972" s="71" t="s">
        <v>1929</v>
      </c>
    </row>
    <row r="973" spans="1:3">
      <c r="A973" s="71" t="s">
        <v>1962</v>
      </c>
      <c r="B973" s="71" t="s">
        <v>424</v>
      </c>
      <c r="C973" s="71" t="s">
        <v>1930</v>
      </c>
    </row>
    <row r="974" spans="1:3">
      <c r="A974" s="71" t="s">
        <v>1963</v>
      </c>
      <c r="B974" s="71" t="s">
        <v>409</v>
      </c>
      <c r="C974" s="71" t="s">
        <v>1915</v>
      </c>
    </row>
    <row r="975" spans="1:3">
      <c r="A975" s="71" t="s">
        <v>1964</v>
      </c>
      <c r="B975" s="71" t="s">
        <v>149</v>
      </c>
      <c r="C975" s="71" t="s">
        <v>1931</v>
      </c>
    </row>
    <row r="976" spans="1:3">
      <c r="A976" s="71" t="s">
        <v>1965</v>
      </c>
      <c r="B976" s="71" t="s">
        <v>148</v>
      </c>
      <c r="C976" s="71" t="s">
        <v>1932</v>
      </c>
    </row>
    <row r="977" spans="1:3">
      <c r="A977" s="71" t="s">
        <v>1966</v>
      </c>
      <c r="B977" s="71" t="s">
        <v>425</v>
      </c>
      <c r="C977" s="71" t="s">
        <v>1933</v>
      </c>
    </row>
    <row r="978" spans="1:3">
      <c r="A978" s="71" t="s">
        <v>1967</v>
      </c>
      <c r="B978" s="71" t="s">
        <v>409</v>
      </c>
      <c r="C978" s="71" t="s">
        <v>1915</v>
      </c>
    </row>
    <row r="979" spans="1:3">
      <c r="A979" s="71" t="s">
        <v>1968</v>
      </c>
      <c r="B979" s="71" t="s">
        <v>416</v>
      </c>
      <c r="C979" s="71" t="s">
        <v>1922</v>
      </c>
    </row>
    <row r="980" spans="1:3">
      <c r="A980" s="71" t="s">
        <v>1969</v>
      </c>
      <c r="B980" s="71" t="s">
        <v>148</v>
      </c>
      <c r="C980" s="71" t="s">
        <v>1932</v>
      </c>
    </row>
    <row r="981" spans="1:3">
      <c r="A981" s="71" t="s">
        <v>1970</v>
      </c>
      <c r="B981" s="71" t="s">
        <v>149</v>
      </c>
      <c r="C981" s="71" t="s">
        <v>1931</v>
      </c>
    </row>
    <row r="982" spans="1:3">
      <c r="A982" s="71" t="s">
        <v>1971</v>
      </c>
      <c r="B982" s="71" t="s">
        <v>409</v>
      </c>
      <c r="C982" s="71" t="s">
        <v>1915</v>
      </c>
    </row>
    <row r="983" spans="1:3">
      <c r="A983" s="71" t="s">
        <v>1972</v>
      </c>
      <c r="B983" s="71" t="s">
        <v>416</v>
      </c>
      <c r="C983" s="71" t="s">
        <v>1922</v>
      </c>
    </row>
    <row r="984" spans="1:3">
      <c r="A984" s="71" t="s">
        <v>1973</v>
      </c>
      <c r="B984" s="71" t="s">
        <v>148</v>
      </c>
      <c r="C984" s="71" t="s">
        <v>1932</v>
      </c>
    </row>
    <row r="985" spans="1:3">
      <c r="A985" s="71" t="s">
        <v>1974</v>
      </c>
      <c r="B985" s="71" t="s">
        <v>149</v>
      </c>
      <c r="C985" s="71" t="s">
        <v>1931</v>
      </c>
    </row>
    <row r="986" spans="1:3">
      <c r="A986" s="71" t="s">
        <v>1975</v>
      </c>
      <c r="B986" s="71" t="s">
        <v>409</v>
      </c>
      <c r="C986" s="71" t="s">
        <v>1915</v>
      </c>
    </row>
    <row r="987" spans="1:3">
      <c r="A987" s="71" t="s">
        <v>1976</v>
      </c>
      <c r="B987" s="71" t="s">
        <v>59</v>
      </c>
      <c r="C987" s="71" t="s">
        <v>1934</v>
      </c>
    </row>
    <row r="988" spans="1:3">
      <c r="A988" s="71" t="s">
        <v>1977</v>
      </c>
      <c r="B988" s="71" t="s">
        <v>409</v>
      </c>
      <c r="C988" s="71" t="s">
        <v>1915</v>
      </c>
    </row>
    <row r="989" spans="1:3">
      <c r="A989" s="71" t="s">
        <v>1978</v>
      </c>
      <c r="B989" s="71" t="s">
        <v>416</v>
      </c>
      <c r="C989" s="71" t="s">
        <v>1922</v>
      </c>
    </row>
    <row r="990" spans="1:3">
      <c r="A990" s="71" t="s">
        <v>1979</v>
      </c>
      <c r="B990" s="71" t="s">
        <v>409</v>
      </c>
      <c r="C990" s="71" t="s">
        <v>1915</v>
      </c>
    </row>
    <row r="991" spans="1:3">
      <c r="A991" s="71" t="s">
        <v>1980</v>
      </c>
      <c r="B991" s="71" t="s">
        <v>421</v>
      </c>
      <c r="C991" s="71" t="s">
        <v>1927</v>
      </c>
    </row>
    <row r="992" spans="1:3">
      <c r="A992" s="71" t="s">
        <v>1981</v>
      </c>
      <c r="B992" s="71" t="s">
        <v>60</v>
      </c>
      <c r="C992" s="71" t="s">
        <v>1935</v>
      </c>
    </row>
    <row r="993" spans="1:3">
      <c r="A993" s="71" t="s">
        <v>1982</v>
      </c>
      <c r="B993" s="71" t="s">
        <v>61</v>
      </c>
      <c r="C993" s="71" t="s">
        <v>1919</v>
      </c>
    </row>
    <row r="994" spans="1:3">
      <c r="A994" s="71" t="s">
        <v>1983</v>
      </c>
      <c r="B994" s="71" t="s">
        <v>409</v>
      </c>
      <c r="C994" s="71" t="s">
        <v>1915</v>
      </c>
    </row>
    <row r="995" spans="1:3">
      <c r="A995" s="71" t="s">
        <v>1984</v>
      </c>
      <c r="B995" s="71" t="s">
        <v>421</v>
      </c>
      <c r="C995" s="71" t="s">
        <v>1927</v>
      </c>
    </row>
    <row r="996" spans="1:3">
      <c r="A996" s="71" t="s">
        <v>1985</v>
      </c>
      <c r="B996" s="71" t="s">
        <v>60</v>
      </c>
      <c r="C996" s="71" t="s">
        <v>1935</v>
      </c>
    </row>
    <row r="997" spans="1:3">
      <c r="A997" s="71" t="s">
        <v>1986</v>
      </c>
      <c r="B997" s="71" t="s">
        <v>61</v>
      </c>
      <c r="C997" s="71" t="s">
        <v>1919</v>
      </c>
    </row>
    <row r="998" spans="1:3">
      <c r="A998" s="71" t="s">
        <v>1987</v>
      </c>
      <c r="B998" s="71" t="s">
        <v>409</v>
      </c>
      <c r="C998" s="71" t="s">
        <v>1915</v>
      </c>
    </row>
    <row r="999" spans="1:3">
      <c r="A999" s="71" t="s">
        <v>1988</v>
      </c>
      <c r="B999" s="71" t="s">
        <v>416</v>
      </c>
      <c r="C999" s="71" t="s">
        <v>1922</v>
      </c>
    </row>
    <row r="1000" spans="1:3">
      <c r="A1000" s="71" t="s">
        <v>1989</v>
      </c>
      <c r="B1000" s="71" t="s">
        <v>409</v>
      </c>
      <c r="C1000" s="71" t="s">
        <v>1915</v>
      </c>
    </row>
    <row r="1001" spans="1:3">
      <c r="A1001" s="71" t="s">
        <v>1990</v>
      </c>
      <c r="B1001" s="71" t="s">
        <v>62</v>
      </c>
      <c r="C1001" s="71" t="s">
        <v>1936</v>
      </c>
    </row>
    <row r="1002" spans="1:3">
      <c r="A1002" s="71" t="s">
        <v>1991</v>
      </c>
      <c r="B1002" s="71" t="s">
        <v>63</v>
      </c>
      <c r="C1002" s="71" t="s">
        <v>1937</v>
      </c>
    </row>
    <row r="1003" spans="1:3">
      <c r="A1003" s="71" t="s">
        <v>1992</v>
      </c>
      <c r="B1003" s="71" t="s">
        <v>409</v>
      </c>
      <c r="C1003" s="71" t="s">
        <v>1915</v>
      </c>
    </row>
    <row r="1004" spans="1:3">
      <c r="A1004" s="71" t="s">
        <v>1994</v>
      </c>
      <c r="B1004" s="71" t="s">
        <v>429</v>
      </c>
      <c r="C1004" s="71" t="s">
        <v>2198</v>
      </c>
    </row>
    <row r="1005" spans="1:3">
      <c r="A1005" s="71" t="s">
        <v>1995</v>
      </c>
      <c r="B1005" s="71" t="s">
        <v>237</v>
      </c>
      <c r="C1005" s="71" t="s">
        <v>646</v>
      </c>
    </row>
    <row r="1006" spans="1:3">
      <c r="A1006" s="71" t="s">
        <v>1999</v>
      </c>
      <c r="B1006" s="71" t="s">
        <v>1531</v>
      </c>
      <c r="C1006" s="71" t="s">
        <v>1998</v>
      </c>
    </row>
    <row r="1007" spans="1:3">
      <c r="A1007" s="71" t="s">
        <v>2000</v>
      </c>
      <c r="B1007" s="71" t="s">
        <v>2004</v>
      </c>
      <c r="C1007" s="71" t="s">
        <v>2005</v>
      </c>
    </row>
    <row r="1008" spans="1:3">
      <c r="A1008" s="71" t="s">
        <v>2001</v>
      </c>
      <c r="B1008" s="71" t="s">
        <v>371</v>
      </c>
      <c r="C1008" s="71" t="s">
        <v>2006</v>
      </c>
    </row>
    <row r="1009" spans="1:3">
      <c r="A1009" s="71" t="s">
        <v>2002</v>
      </c>
      <c r="B1009" s="71" t="s">
        <v>372</v>
      </c>
      <c r="C1009" s="71" t="s">
        <v>2007</v>
      </c>
    </row>
    <row r="1010" spans="1:3">
      <c r="A1010" s="71" t="s">
        <v>2003</v>
      </c>
      <c r="B1010" s="71" t="s">
        <v>373</v>
      </c>
      <c r="C1010" s="71" t="s">
        <v>3474</v>
      </c>
    </row>
    <row r="1011" spans="1:3">
      <c r="A1011" s="71" t="s">
        <v>3181</v>
      </c>
      <c r="B1011" s="71" t="str">
        <f>+"31.12."&amp;jahr-2</f>
        <v>31.12.2021</v>
      </c>
      <c r="C1011" s="71" t="str">
        <f>+"31.12."&amp;jahr-2</f>
        <v>31.12.2021</v>
      </c>
    </row>
    <row r="1012" spans="1:3">
      <c r="A1012" s="71" t="s">
        <v>2009</v>
      </c>
      <c r="B1012" s="71" t="s">
        <v>374</v>
      </c>
      <c r="C1012" s="71" t="s">
        <v>2010</v>
      </c>
    </row>
    <row r="1013" spans="1:3">
      <c r="A1013" s="71" t="s">
        <v>2035</v>
      </c>
      <c r="B1013" s="71" t="s">
        <v>374</v>
      </c>
      <c r="C1013" s="71" t="s">
        <v>2010</v>
      </c>
    </row>
    <row r="1014" spans="1:3">
      <c r="A1014" s="71" t="s">
        <v>2011</v>
      </c>
      <c r="B1014" s="71" t="s">
        <v>375</v>
      </c>
      <c r="C1014" s="71" t="s">
        <v>2016</v>
      </c>
    </row>
    <row r="1015" spans="1:3">
      <c r="A1015" s="71" t="s">
        <v>2018</v>
      </c>
      <c r="B1015" s="71" t="s">
        <v>578</v>
      </c>
      <c r="C1015" s="71" t="s">
        <v>2017</v>
      </c>
    </row>
    <row r="1016" spans="1:3">
      <c r="A1016" s="71" t="s">
        <v>2019</v>
      </c>
      <c r="B1016" s="71" t="s">
        <v>578</v>
      </c>
      <c r="C1016" s="71" t="s">
        <v>2017</v>
      </c>
    </row>
    <row r="1017" spans="1:3">
      <c r="A1017" s="71" t="s">
        <v>2012</v>
      </c>
      <c r="B1017" s="71" t="s">
        <v>374</v>
      </c>
      <c r="C1017" s="71" t="s">
        <v>2010</v>
      </c>
    </row>
    <row r="1018" spans="1:3">
      <c r="A1018" s="71" t="s">
        <v>2013</v>
      </c>
      <c r="B1018" s="71" t="s">
        <v>2038</v>
      </c>
      <c r="C1018" s="71" t="s">
        <v>2037</v>
      </c>
    </row>
    <row r="1019" spans="1:3">
      <c r="A1019" s="71" t="s">
        <v>2020</v>
      </c>
      <c r="B1019" s="71" t="s">
        <v>578</v>
      </c>
      <c r="C1019" s="71" t="s">
        <v>2017</v>
      </c>
    </row>
    <row r="1020" spans="1:3">
      <c r="A1020" s="71" t="s">
        <v>2021</v>
      </c>
      <c r="B1020" s="71" t="s">
        <v>578</v>
      </c>
      <c r="C1020" s="71" t="s">
        <v>2017</v>
      </c>
    </row>
    <row r="1021" spans="1:3">
      <c r="A1021" s="71" t="s">
        <v>2014</v>
      </c>
      <c r="B1021" s="71" t="s">
        <v>374</v>
      </c>
      <c r="C1021" s="71" t="s">
        <v>2010</v>
      </c>
    </row>
    <row r="1022" spans="1:3">
      <c r="A1022" s="71" t="s">
        <v>2015</v>
      </c>
      <c r="B1022" s="71" t="s">
        <v>2038</v>
      </c>
      <c r="C1022" s="71" t="s">
        <v>2037</v>
      </c>
    </row>
    <row r="1023" spans="1:3">
      <c r="A1023" s="71" t="s">
        <v>4064</v>
      </c>
      <c r="B1023" s="71" t="s">
        <v>471</v>
      </c>
      <c r="C1023" s="71" t="s">
        <v>1081</v>
      </c>
    </row>
    <row r="1024" spans="1:3">
      <c r="A1024" s="71" t="s">
        <v>2022</v>
      </c>
      <c r="B1024" s="71" t="s">
        <v>376</v>
      </c>
      <c r="C1024" s="71" t="s">
        <v>2031</v>
      </c>
    </row>
    <row r="1025" spans="1:3">
      <c r="A1025" s="71" t="s">
        <v>2023</v>
      </c>
      <c r="B1025" s="71" t="s">
        <v>377</v>
      </c>
      <c r="C1025" s="71" t="s">
        <v>2032</v>
      </c>
    </row>
    <row r="1026" spans="1:3">
      <c r="A1026" s="71" t="s">
        <v>2024</v>
      </c>
      <c r="B1026" s="71" t="s">
        <v>378</v>
      </c>
      <c r="C1026" s="71" t="s">
        <v>2033</v>
      </c>
    </row>
    <row r="1027" spans="1:3">
      <c r="A1027" s="71" t="s">
        <v>2025</v>
      </c>
      <c r="B1027" s="71" t="s">
        <v>4063</v>
      </c>
      <c r="C1027" s="71" t="s">
        <v>2198</v>
      </c>
    </row>
    <row r="1028" spans="1:3">
      <c r="A1028" s="71" t="s">
        <v>2026</v>
      </c>
      <c r="B1028" s="71" t="s">
        <v>4061</v>
      </c>
      <c r="C1028" s="71" t="s">
        <v>4062</v>
      </c>
    </row>
    <row r="1029" spans="1:3">
      <c r="A1029" s="71" t="s">
        <v>2027</v>
      </c>
      <c r="B1029" s="71" t="s">
        <v>377</v>
      </c>
      <c r="C1029" s="71" t="s">
        <v>2032</v>
      </c>
    </row>
    <row r="1030" spans="1:3">
      <c r="A1030" s="71" t="s">
        <v>2028</v>
      </c>
      <c r="B1030" s="71" t="s">
        <v>378</v>
      </c>
      <c r="C1030" s="71" t="s">
        <v>2033</v>
      </c>
    </row>
    <row r="1031" spans="1:3">
      <c r="A1031" s="71" t="s">
        <v>2029</v>
      </c>
      <c r="B1031" s="71" t="s">
        <v>379</v>
      </c>
      <c r="C1031" s="71" t="s">
        <v>2034</v>
      </c>
    </row>
    <row r="1032" spans="1:3">
      <c r="A1032" s="71" t="s">
        <v>2030</v>
      </c>
      <c r="B1032" s="71" t="s">
        <v>377</v>
      </c>
      <c r="C1032" s="71" t="s">
        <v>2036</v>
      </c>
    </row>
    <row r="1033" spans="1:3">
      <c r="A1033" s="147" t="s">
        <v>2042</v>
      </c>
      <c r="B1033" s="71" t="s">
        <v>476</v>
      </c>
      <c r="C1033" s="71" t="s">
        <v>1815</v>
      </c>
    </row>
    <row r="1034" spans="1:3">
      <c r="A1034" s="147" t="s">
        <v>2043</v>
      </c>
      <c r="B1034" s="71" t="s">
        <v>477</v>
      </c>
      <c r="C1034" s="71" t="s">
        <v>873</v>
      </c>
    </row>
    <row r="1035" spans="1:3">
      <c r="A1035" s="147" t="s">
        <v>2044</v>
      </c>
      <c r="B1035" s="71" t="s">
        <v>478</v>
      </c>
      <c r="C1035" s="71" t="s">
        <v>874</v>
      </c>
    </row>
    <row r="1036" spans="1:3">
      <c r="A1036" s="147" t="s">
        <v>2045</v>
      </c>
      <c r="B1036" s="71" t="s">
        <v>480</v>
      </c>
      <c r="C1036" s="71" t="s">
        <v>876</v>
      </c>
    </row>
    <row r="1037" spans="1:3">
      <c r="A1037" s="147" t="s">
        <v>2046</v>
      </c>
      <c r="B1037" s="71" t="s">
        <v>365</v>
      </c>
      <c r="C1037" s="71" t="s">
        <v>1817</v>
      </c>
    </row>
    <row r="1038" spans="1:3">
      <c r="A1038" s="147" t="s">
        <v>2047</v>
      </c>
      <c r="B1038" s="71" t="s">
        <v>486</v>
      </c>
      <c r="C1038" s="71" t="s">
        <v>882</v>
      </c>
    </row>
    <row r="1039" spans="1:3">
      <c r="A1039" s="147" t="s">
        <v>2048</v>
      </c>
      <c r="B1039" s="71" t="s">
        <v>487</v>
      </c>
      <c r="C1039" s="71" t="s">
        <v>883</v>
      </c>
    </row>
    <row r="1040" spans="1:3">
      <c r="A1040" s="147" t="s">
        <v>2049</v>
      </c>
      <c r="B1040" s="71" t="s">
        <v>366</v>
      </c>
      <c r="C1040" s="71" t="s">
        <v>1818</v>
      </c>
    </row>
    <row r="1041" spans="1:3">
      <c r="A1041" s="147" t="s">
        <v>2050</v>
      </c>
      <c r="B1041" s="71" t="s">
        <v>5</v>
      </c>
      <c r="C1041" s="71" t="s">
        <v>5</v>
      </c>
    </row>
    <row r="1042" spans="1:3">
      <c r="A1042" s="147" t="s">
        <v>563</v>
      </c>
      <c r="B1042" s="71" t="s">
        <v>6</v>
      </c>
      <c r="C1042" s="71" t="s">
        <v>6</v>
      </c>
    </row>
    <row r="1043" spans="1:3">
      <c r="A1043" s="147" t="s">
        <v>2051</v>
      </c>
      <c r="B1043" s="71" t="s">
        <v>2057</v>
      </c>
      <c r="C1043" s="71" t="s">
        <v>2056</v>
      </c>
    </row>
    <row r="1044" spans="1:3">
      <c r="A1044" s="147" t="s">
        <v>2052</v>
      </c>
      <c r="B1044" s="71" t="s">
        <v>2039</v>
      </c>
      <c r="C1044" s="71" t="s">
        <v>2055</v>
      </c>
    </row>
    <row r="1045" spans="1:3">
      <c r="A1045" s="147" t="s">
        <v>2053</v>
      </c>
      <c r="B1045" s="71" t="s">
        <v>199</v>
      </c>
      <c r="C1045" s="71" t="s">
        <v>2041</v>
      </c>
    </row>
    <row r="1046" spans="1:3">
      <c r="A1046" s="147" t="s">
        <v>2054</v>
      </c>
      <c r="B1046" s="71" t="s">
        <v>2040</v>
      </c>
      <c r="C1046" s="71" t="s">
        <v>2040</v>
      </c>
    </row>
    <row r="1047" spans="1:3">
      <c r="A1047" s="146" t="s">
        <v>2299</v>
      </c>
      <c r="B1047" s="71" t="str">
        <f xml:space="preserve"> "Pos. 381c &lt;&gt; BILANZ, Pos. 79e - Pos. 130ae (" &amp; TEXT(BILANZ!$F$30,"#'##0") &amp; ") ?"</f>
        <v>Pos. 381c &lt;&gt; BILANZ, Pos. 79e - Pos. 130ae ('0) ?</v>
      </c>
      <c r="C1047" s="71" t="str">
        <f xml:space="preserve"> "Pos. 381c &lt;&gt; BILAN, pos. 79e - pos. 130ae (" &amp; TEXT(BILANZ!$F$30,"#'##0") &amp; ") ?"</f>
        <v>Pos. 381c &lt;&gt; BILAN, pos. 79e - pos. 130ae ('0) ?</v>
      </c>
    </row>
    <row r="1048" spans="1:3">
      <c r="A1048" s="146" t="s">
        <v>2300</v>
      </c>
      <c r="B1048" s="71" t="str">
        <f xml:space="preserve"> "Pos. 381g &lt;&gt; BILANZ, Pos. 79f (" &amp; TEXT(BILANZ!$G$30,"#'##0") &amp; ") ?"</f>
        <v>Pos. 381g &lt;&gt; BILANZ, Pos. 79f ('0) ?</v>
      </c>
      <c r="C1048" s="71" t="str">
        <f xml:space="preserve"> "Pos. 381g &lt;&gt; BILAN, pos. 79f (" &amp; TEXT(BILANZ!$G$30,"#'##0") &amp; ") ?"</f>
        <v>Pos. 381g &lt;&gt; BILAN, pos. 79f ('0) ?</v>
      </c>
    </row>
    <row r="1049" spans="1:3" ht="25.5">
      <c r="A1049" s="145" t="s">
        <v>2065</v>
      </c>
      <c r="B1049" s="73" t="s">
        <v>2062</v>
      </c>
      <c r="C1049" s="73" t="s">
        <v>2071</v>
      </c>
    </row>
    <row r="1050" spans="1:3" ht="25.5">
      <c r="A1050" s="145" t="s">
        <v>2066</v>
      </c>
      <c r="B1050" s="73" t="s">
        <v>2069</v>
      </c>
      <c r="C1050" s="73" t="s">
        <v>2072</v>
      </c>
    </row>
    <row r="1051" spans="1:3" ht="38.25">
      <c r="A1051" s="145" t="s">
        <v>2067</v>
      </c>
      <c r="B1051" s="73" t="s">
        <v>2063</v>
      </c>
      <c r="C1051" s="73" t="s">
        <v>2073</v>
      </c>
    </row>
    <row r="1052" spans="1:3" ht="38.25">
      <c r="A1052" s="145" t="s">
        <v>2068</v>
      </c>
      <c r="B1052" s="73" t="s">
        <v>2064</v>
      </c>
      <c r="C1052" s="73" t="s">
        <v>2070</v>
      </c>
    </row>
    <row r="1053" spans="1:3">
      <c r="A1053" s="71" t="s">
        <v>2074</v>
      </c>
      <c r="B1053" s="71" t="s">
        <v>83</v>
      </c>
      <c r="C1053" s="71" t="s">
        <v>626</v>
      </c>
    </row>
    <row r="1054" spans="1:3">
      <c r="A1054" s="71" t="s">
        <v>2075</v>
      </c>
      <c r="B1054" s="71" t="s">
        <v>237</v>
      </c>
      <c r="C1054" s="71" t="s">
        <v>646</v>
      </c>
    </row>
    <row r="1055" spans="1:3">
      <c r="A1055" s="71" t="s">
        <v>2079</v>
      </c>
      <c r="B1055" s="71" t="s">
        <v>1531</v>
      </c>
      <c r="C1055" s="71" t="s">
        <v>1998</v>
      </c>
    </row>
    <row r="1056" spans="1:3">
      <c r="A1056" s="71" t="s">
        <v>2080</v>
      </c>
      <c r="B1056" s="71" t="s">
        <v>244</v>
      </c>
      <c r="C1056" s="71" t="s">
        <v>4065</v>
      </c>
    </row>
    <row r="1057" spans="1:3">
      <c r="A1057" s="71" t="s">
        <v>2081</v>
      </c>
      <c r="B1057" s="71" t="s">
        <v>371</v>
      </c>
      <c r="C1057" s="71" t="s">
        <v>2006</v>
      </c>
    </row>
    <row r="1058" spans="1:3">
      <c r="A1058" s="71" t="s">
        <v>2082</v>
      </c>
      <c r="B1058" s="71" t="s">
        <v>372</v>
      </c>
      <c r="C1058" s="71" t="s">
        <v>2007</v>
      </c>
    </row>
    <row r="1059" spans="1:3">
      <c r="A1059" s="71" t="s">
        <v>2083</v>
      </c>
      <c r="B1059" s="71" t="s">
        <v>373</v>
      </c>
      <c r="C1059" s="71" t="s">
        <v>2008</v>
      </c>
    </row>
    <row r="1060" spans="1:3">
      <c r="A1060" s="71" t="s">
        <v>2084</v>
      </c>
      <c r="B1060" s="71" t="s">
        <v>374</v>
      </c>
      <c r="C1060" s="71" t="s">
        <v>2010</v>
      </c>
    </row>
    <row r="1061" spans="1:3">
      <c r="A1061" s="71" t="s">
        <v>2085</v>
      </c>
      <c r="B1061" s="71" t="s">
        <v>374</v>
      </c>
      <c r="C1061" s="71" t="s">
        <v>2010</v>
      </c>
    </row>
    <row r="1062" spans="1:3">
      <c r="A1062" s="71" t="s">
        <v>2086</v>
      </c>
      <c r="B1062" s="71" t="s">
        <v>375</v>
      </c>
      <c r="C1062" s="71" t="s">
        <v>2016</v>
      </c>
    </row>
    <row r="1063" spans="1:3">
      <c r="A1063" s="71" t="s">
        <v>2087</v>
      </c>
      <c r="B1063" s="71" t="s">
        <v>578</v>
      </c>
      <c r="C1063" s="71" t="s">
        <v>2017</v>
      </c>
    </row>
    <row r="1064" spans="1:3">
      <c r="A1064" s="71" t="s">
        <v>2088</v>
      </c>
      <c r="B1064" s="71" t="s">
        <v>578</v>
      </c>
      <c r="C1064" s="71" t="s">
        <v>2017</v>
      </c>
    </row>
    <row r="1065" spans="1:3">
      <c r="A1065" s="71" t="s">
        <v>2089</v>
      </c>
      <c r="B1065" s="71" t="s">
        <v>374</v>
      </c>
      <c r="C1065" s="71" t="s">
        <v>2010</v>
      </c>
    </row>
    <row r="1066" spans="1:3">
      <c r="A1066" s="71" t="s">
        <v>2090</v>
      </c>
      <c r="B1066" s="71" t="s">
        <v>2038</v>
      </c>
      <c r="C1066" s="71" t="s">
        <v>2037</v>
      </c>
    </row>
    <row r="1067" spans="1:3">
      <c r="A1067" s="71" t="s">
        <v>2091</v>
      </c>
      <c r="B1067" s="71" t="s">
        <v>578</v>
      </c>
      <c r="C1067" s="71" t="s">
        <v>2017</v>
      </c>
    </row>
    <row r="1068" spans="1:3">
      <c r="A1068" s="71" t="s">
        <v>2092</v>
      </c>
      <c r="B1068" s="71" t="s">
        <v>578</v>
      </c>
      <c r="C1068" s="71" t="s">
        <v>2017</v>
      </c>
    </row>
    <row r="1069" spans="1:3">
      <c r="A1069" s="71" t="s">
        <v>2093</v>
      </c>
      <c r="B1069" s="71" t="s">
        <v>374</v>
      </c>
      <c r="C1069" s="71" t="s">
        <v>2010</v>
      </c>
    </row>
    <row r="1070" spans="1:3">
      <c r="A1070" s="71" t="s">
        <v>2094</v>
      </c>
      <c r="B1070" s="71" t="s">
        <v>2038</v>
      </c>
      <c r="C1070" s="71" t="s">
        <v>2037</v>
      </c>
    </row>
    <row r="1071" spans="1:3">
      <c r="A1071" s="71" t="s">
        <v>2095</v>
      </c>
      <c r="B1071" s="71" t="s">
        <v>376</v>
      </c>
      <c r="C1071" s="71" t="s">
        <v>2031</v>
      </c>
    </row>
    <row r="1072" spans="1:3">
      <c r="A1072" s="71" t="s">
        <v>2096</v>
      </c>
      <c r="B1072" s="71" t="s">
        <v>377</v>
      </c>
      <c r="C1072" s="71" t="s">
        <v>2032</v>
      </c>
    </row>
    <row r="1073" spans="1:3">
      <c r="A1073" s="71" t="s">
        <v>2097</v>
      </c>
      <c r="B1073" s="71" t="s">
        <v>378</v>
      </c>
      <c r="C1073" s="71" t="s">
        <v>2033</v>
      </c>
    </row>
    <row r="1074" spans="1:3">
      <c r="A1074" s="71" t="s">
        <v>2098</v>
      </c>
      <c r="B1074" s="71" t="s">
        <v>379</v>
      </c>
      <c r="C1074" s="71" t="s">
        <v>2034</v>
      </c>
    </row>
    <row r="1075" spans="1:3">
      <c r="A1075" s="71" t="s">
        <v>2099</v>
      </c>
      <c r="B1075" s="71" t="s">
        <v>377</v>
      </c>
      <c r="C1075" s="71" t="s">
        <v>2036</v>
      </c>
    </row>
    <row r="1076" spans="1:3">
      <c r="A1076" s="71" t="s">
        <v>2100</v>
      </c>
      <c r="B1076" s="71" t="s">
        <v>377</v>
      </c>
      <c r="C1076" s="71" t="s">
        <v>2032</v>
      </c>
    </row>
    <row r="1077" spans="1:3">
      <c r="A1077" s="71" t="s">
        <v>2101</v>
      </c>
      <c r="B1077" s="71" t="s">
        <v>378</v>
      </c>
      <c r="C1077" s="71" t="s">
        <v>2033</v>
      </c>
    </row>
    <row r="1078" spans="1:3">
      <c r="A1078" s="71" t="s">
        <v>2102</v>
      </c>
      <c r="B1078" s="71" t="s">
        <v>379</v>
      </c>
      <c r="C1078" s="71" t="s">
        <v>2034</v>
      </c>
    </row>
    <row r="1079" spans="1:3">
      <c r="A1079" s="71" t="s">
        <v>2103</v>
      </c>
      <c r="B1079" s="71" t="s">
        <v>377</v>
      </c>
      <c r="C1079" s="71" t="s">
        <v>2036</v>
      </c>
    </row>
    <row r="1080" spans="1:3">
      <c r="A1080" s="147" t="s">
        <v>2104</v>
      </c>
      <c r="B1080" s="71" t="s">
        <v>476</v>
      </c>
      <c r="C1080" s="71" t="s">
        <v>1815</v>
      </c>
    </row>
    <row r="1081" spans="1:3">
      <c r="A1081" s="147" t="s">
        <v>2105</v>
      </c>
      <c r="B1081" s="71" t="s">
        <v>477</v>
      </c>
      <c r="C1081" s="71" t="s">
        <v>873</v>
      </c>
    </row>
    <row r="1082" spans="1:3">
      <c r="A1082" s="147" t="s">
        <v>2106</v>
      </c>
      <c r="B1082" s="71" t="s">
        <v>478</v>
      </c>
      <c r="C1082" s="71" t="s">
        <v>874</v>
      </c>
    </row>
    <row r="1083" spans="1:3">
      <c r="A1083" s="147" t="s">
        <v>2107</v>
      </c>
      <c r="B1083" s="71" t="s">
        <v>480</v>
      </c>
      <c r="C1083" s="71" t="s">
        <v>876</v>
      </c>
    </row>
    <row r="1084" spans="1:3">
      <c r="A1084" s="147" t="s">
        <v>2108</v>
      </c>
      <c r="B1084" s="71" t="s">
        <v>365</v>
      </c>
      <c r="C1084" s="71" t="s">
        <v>1817</v>
      </c>
    </row>
    <row r="1085" spans="1:3">
      <c r="A1085" s="147" t="s">
        <v>2109</v>
      </c>
      <c r="B1085" s="71" t="s">
        <v>486</v>
      </c>
      <c r="C1085" s="71" t="s">
        <v>882</v>
      </c>
    </row>
    <row r="1086" spans="1:3">
      <c r="A1086" s="147" t="s">
        <v>2110</v>
      </c>
      <c r="B1086" s="71" t="s">
        <v>487</v>
      </c>
      <c r="C1086" s="71" t="s">
        <v>883</v>
      </c>
    </row>
    <row r="1087" spans="1:3">
      <c r="A1087" s="147" t="s">
        <v>2111</v>
      </c>
      <c r="B1087" s="71" t="s">
        <v>366</v>
      </c>
      <c r="C1087" s="71" t="s">
        <v>1818</v>
      </c>
    </row>
    <row r="1088" spans="1:3">
      <c r="A1088" s="147" t="s">
        <v>2112</v>
      </c>
      <c r="B1088" s="71" t="s">
        <v>5</v>
      </c>
      <c r="C1088" s="71" t="s">
        <v>5</v>
      </c>
    </row>
    <row r="1089" spans="1:3">
      <c r="A1089" s="147" t="s">
        <v>565</v>
      </c>
      <c r="B1089" s="71" t="s">
        <v>6</v>
      </c>
      <c r="C1089" s="71" t="s">
        <v>6</v>
      </c>
    </row>
    <row r="1090" spans="1:3">
      <c r="A1090" s="147" t="s">
        <v>2113</v>
      </c>
      <c r="B1090" s="71" t="s">
        <v>2076</v>
      </c>
      <c r="C1090" s="71" t="s">
        <v>3528</v>
      </c>
    </row>
    <row r="1091" spans="1:3">
      <c r="A1091" s="147" t="s">
        <v>2114</v>
      </c>
      <c r="B1091" s="71" t="s">
        <v>2077</v>
      </c>
      <c r="C1091" s="71" t="s">
        <v>2117</v>
      </c>
    </row>
    <row r="1092" spans="1:3">
      <c r="A1092" s="147" t="s">
        <v>2115</v>
      </c>
      <c r="B1092" s="71" t="s">
        <v>199</v>
      </c>
      <c r="C1092" s="71" t="s">
        <v>2041</v>
      </c>
    </row>
    <row r="1093" spans="1:3">
      <c r="A1093" s="147" t="s">
        <v>2116</v>
      </c>
      <c r="B1093" s="71" t="s">
        <v>2078</v>
      </c>
      <c r="C1093" s="71" t="s">
        <v>2078</v>
      </c>
    </row>
    <row r="1094" spans="1:3">
      <c r="A1094" s="146" t="s">
        <v>2301</v>
      </c>
      <c r="B1094" s="71" t="str">
        <f xml:space="preserve"> "Pos. 394c &lt;&gt; BILANZ, Pos. 79h - Pos. 130ah (" &amp; TEXT(BILANZ!$I$30,"#'##0") &amp; ") ?"</f>
        <v>Pos. 394c &lt;&gt; BILANZ, Pos. 79h - Pos. 130ah ('0) ?</v>
      </c>
      <c r="C1094" s="71" t="str">
        <f xml:space="preserve"> "Pos. 394c &lt;&gt; BILAN, pos. 79h - pos. 130ah (" &amp; TEXT(BILANZ!$I$30,"#'##0") &amp; ") ?"</f>
        <v>Pos. 394c &lt;&gt; BILAN, pos. 79h - pos. 130ah ('0) ?</v>
      </c>
    </row>
    <row r="1095" spans="1:3">
      <c r="A1095" s="146" t="s">
        <v>2302</v>
      </c>
      <c r="B1095" s="71" t="str">
        <f xml:space="preserve"> "Pos. 394g &lt;&gt; BILANZ, Pos. 79i (" &amp; TEXT(BILANZ!$J$30,"#'##0") &amp; ") ?"</f>
        <v>Pos. 394g &lt;&gt; BILANZ, Pos. 79i ('0) ?</v>
      </c>
      <c r="C1095" s="71" t="str">
        <f xml:space="preserve"> "Pos. 394g &lt;&gt; BILAN, pos. 79i (" &amp; TEXT(BILANZ!$J$30,"#'##0") &amp; ") ?"</f>
        <v>Pos. 394g &lt;&gt; BILAN, pos. 79i ('0) ?</v>
      </c>
    </row>
    <row r="1096" spans="1:3" ht="25.5">
      <c r="A1096" s="145" t="s">
        <v>2125</v>
      </c>
      <c r="B1096" s="73" t="s">
        <v>2118</v>
      </c>
      <c r="C1096" s="73" t="s">
        <v>2129</v>
      </c>
    </row>
    <row r="1097" spans="1:3" ht="25.5">
      <c r="A1097" s="145" t="s">
        <v>2126</v>
      </c>
      <c r="B1097" s="73" t="s">
        <v>2069</v>
      </c>
      <c r="C1097" s="73" t="s">
        <v>2072</v>
      </c>
    </row>
    <row r="1098" spans="1:3" ht="25.5">
      <c r="A1098" s="145" t="s">
        <v>2127</v>
      </c>
      <c r="B1098" s="73" t="s">
        <v>2119</v>
      </c>
      <c r="C1098" s="73" t="s">
        <v>2130</v>
      </c>
    </row>
    <row r="1099" spans="1:3" ht="38.25">
      <c r="A1099" s="145" t="s">
        <v>2128</v>
      </c>
      <c r="B1099" s="73" t="s">
        <v>2120</v>
      </c>
      <c r="C1099" s="73" t="s">
        <v>2131</v>
      </c>
    </row>
    <row r="1100" spans="1:3">
      <c r="A1100" s="71" t="s">
        <v>2135</v>
      </c>
      <c r="B1100" s="71" t="s">
        <v>391</v>
      </c>
      <c r="C1100" s="71" t="s">
        <v>2132</v>
      </c>
    </row>
    <row r="1101" spans="1:3">
      <c r="A1101" s="145" t="s">
        <v>2134</v>
      </c>
      <c r="B1101" s="73" t="s">
        <v>471</v>
      </c>
      <c r="C1101" s="71" t="s">
        <v>1081</v>
      </c>
    </row>
    <row r="1102" spans="1:3">
      <c r="A1102" s="71" t="s">
        <v>2133</v>
      </c>
      <c r="B1102" s="71" t="str">
        <f>"Berichtsjahr:         "&amp;jahr</f>
        <v>Berichtsjahr:         2023</v>
      </c>
      <c r="C1102" s="71" t="str">
        <f>"Année d'exercice:         "&amp;jahr</f>
        <v>Année d'exercice:         2023</v>
      </c>
    </row>
    <row r="1103" spans="1:3">
      <c r="A1103" s="71" t="s">
        <v>2137</v>
      </c>
      <c r="B1103" s="71" t="s">
        <v>257</v>
      </c>
      <c r="C1103" s="71" t="s">
        <v>2136</v>
      </c>
    </row>
    <row r="1104" spans="1:3">
      <c r="A1104" s="71" t="s">
        <v>3244</v>
      </c>
      <c r="B1104" s="71" t="s">
        <v>257</v>
      </c>
      <c r="C1104" s="71" t="s">
        <v>2136</v>
      </c>
    </row>
    <row r="1105" spans="1:3">
      <c r="A1105" s="71" t="s">
        <v>2138</v>
      </c>
      <c r="B1105" s="71" t="s">
        <v>2143</v>
      </c>
      <c r="C1105" s="71" t="s">
        <v>2144</v>
      </c>
    </row>
    <row r="1106" spans="1:3">
      <c r="A1106" s="71" t="s">
        <v>2139</v>
      </c>
      <c r="B1106" s="71" t="s">
        <v>289</v>
      </c>
      <c r="C1106" s="71" t="s">
        <v>2142</v>
      </c>
    </row>
    <row r="1107" spans="1:3">
      <c r="A1107" s="145" t="s">
        <v>2140</v>
      </c>
      <c r="B1107" s="71" t="s">
        <v>2141</v>
      </c>
      <c r="C1107" s="71" t="s">
        <v>2145</v>
      </c>
    </row>
    <row r="1108" spans="1:3">
      <c r="A1108" s="71" t="s">
        <v>2146</v>
      </c>
      <c r="B1108" s="71" t="s">
        <v>392</v>
      </c>
      <c r="C1108" s="71" t="s">
        <v>2152</v>
      </c>
    </row>
    <row r="1109" spans="1:3">
      <c r="A1109" s="71" t="s">
        <v>2147</v>
      </c>
      <c r="B1109" s="71" t="s">
        <v>392</v>
      </c>
      <c r="C1109" s="71" t="s">
        <v>2152</v>
      </c>
    </row>
    <row r="1110" spans="1:3">
      <c r="A1110" s="71" t="s">
        <v>2148</v>
      </c>
      <c r="B1110" s="71" t="s">
        <v>393</v>
      </c>
      <c r="C1110" s="71" t="s">
        <v>2153</v>
      </c>
    </row>
    <row r="1111" spans="1:3">
      <c r="A1111" s="71" t="s">
        <v>2149</v>
      </c>
      <c r="B1111" s="71" t="s">
        <v>393</v>
      </c>
      <c r="C1111" s="71" t="s">
        <v>2153</v>
      </c>
    </row>
    <row r="1112" spans="1:3">
      <c r="A1112" s="146" t="s">
        <v>2150</v>
      </c>
      <c r="B1112" s="71" t="s">
        <v>227</v>
      </c>
      <c r="C1112" s="71" t="s">
        <v>2154</v>
      </c>
    </row>
    <row r="1113" spans="1:3">
      <c r="A1113" s="146" t="s">
        <v>2151</v>
      </c>
      <c r="B1113" s="71" t="s">
        <v>228</v>
      </c>
      <c r="C1113" s="71" t="s">
        <v>2155</v>
      </c>
    </row>
    <row r="1114" spans="1:3">
      <c r="A1114" s="146" t="s">
        <v>2265</v>
      </c>
      <c r="B1114" s="71" t="s">
        <v>255</v>
      </c>
      <c r="C1114" s="71" t="s">
        <v>2160</v>
      </c>
    </row>
    <row r="1115" spans="1:3" ht="25.5">
      <c r="A1115" s="152" t="s">
        <v>2580</v>
      </c>
      <c r="B1115" s="72" t="s">
        <v>2787</v>
      </c>
      <c r="C1115" s="72" t="s">
        <v>2788</v>
      </c>
    </row>
    <row r="1116" spans="1:3">
      <c r="A1116" s="146" t="s">
        <v>2869</v>
      </c>
      <c r="B1116" s="71" t="s">
        <v>187</v>
      </c>
      <c r="C1116" s="71" t="s">
        <v>2161</v>
      </c>
    </row>
    <row r="1117" spans="1:3">
      <c r="A1117" s="147" t="s">
        <v>2581</v>
      </c>
      <c r="B1117" s="71" t="s">
        <v>2793</v>
      </c>
      <c r="C1117" s="71" t="s">
        <v>2794</v>
      </c>
    </row>
    <row r="1118" spans="1:3">
      <c r="A1118" s="146" t="s">
        <v>2868</v>
      </c>
      <c r="B1118" s="157" t="s">
        <v>2453</v>
      </c>
      <c r="C1118" s="157" t="s">
        <v>2453</v>
      </c>
    </row>
    <row r="1119" spans="1:3">
      <c r="A1119" s="146" t="s">
        <v>2870</v>
      </c>
      <c r="B1119" s="71" t="s">
        <v>2879</v>
      </c>
      <c r="C1119" s="71" t="s">
        <v>2880</v>
      </c>
    </row>
    <row r="1120" spans="1:3">
      <c r="A1120" s="147" t="s">
        <v>2871</v>
      </c>
      <c r="B1120" s="71" t="s">
        <v>2860</v>
      </c>
      <c r="C1120" s="71" t="s">
        <v>2861</v>
      </c>
    </row>
    <row r="1121" spans="1:3">
      <c r="A1121" s="147" t="s">
        <v>2266</v>
      </c>
      <c r="B1121" s="71" t="s">
        <v>2791</v>
      </c>
      <c r="C1121" s="71" t="s">
        <v>2867</v>
      </c>
    </row>
    <row r="1122" spans="1:3">
      <c r="A1122" s="147" t="s">
        <v>2267</v>
      </c>
      <c r="B1122" s="71" t="s">
        <v>2789</v>
      </c>
      <c r="C1122" s="71" t="s">
        <v>2797</v>
      </c>
    </row>
    <row r="1123" spans="1:3">
      <c r="A1123" s="147" t="s">
        <v>2268</v>
      </c>
      <c r="B1123" s="71" t="s">
        <v>2790</v>
      </c>
      <c r="C1123" s="71" t="s">
        <v>2796</v>
      </c>
    </row>
    <row r="1124" spans="1:3">
      <c r="A1124" s="146" t="s">
        <v>2269</v>
      </c>
      <c r="B1124" s="71" t="s">
        <v>104</v>
      </c>
      <c r="C1124" s="71" t="s">
        <v>2163</v>
      </c>
    </row>
    <row r="1125" spans="1:3">
      <c r="A1125" s="146" t="s">
        <v>2582</v>
      </c>
      <c r="B1125" s="71" t="s">
        <v>2792</v>
      </c>
      <c r="C1125" s="71" t="s">
        <v>2795</v>
      </c>
    </row>
    <row r="1126" spans="1:3">
      <c r="A1126" s="147" t="s">
        <v>2298</v>
      </c>
      <c r="B1126" s="71" t="s">
        <v>499</v>
      </c>
      <c r="C1126" s="71" t="s">
        <v>2230</v>
      </c>
    </row>
    <row r="1127" spans="1:3">
      <c r="A1127" s="147" t="s">
        <v>2270</v>
      </c>
      <c r="B1127" s="71" t="s">
        <v>500</v>
      </c>
      <c r="C1127" s="71" t="s">
        <v>2164</v>
      </c>
    </row>
    <row r="1128" spans="1:3">
      <c r="A1128" s="147" t="s">
        <v>2271</v>
      </c>
      <c r="B1128" s="71" t="s">
        <v>501</v>
      </c>
      <c r="C1128" s="71" t="s">
        <v>2165</v>
      </c>
    </row>
    <row r="1129" spans="1:3">
      <c r="A1129" s="147" t="s">
        <v>2272</v>
      </c>
      <c r="B1129" s="71" t="s">
        <v>502</v>
      </c>
      <c r="C1129" s="71" t="s">
        <v>2166</v>
      </c>
    </row>
    <row r="1130" spans="1:3">
      <c r="A1130" s="147" t="s">
        <v>2273</v>
      </c>
      <c r="B1130" s="71" t="s">
        <v>482</v>
      </c>
      <c r="C1130" s="71" t="s">
        <v>2167</v>
      </c>
    </row>
    <row r="1131" spans="1:3">
      <c r="A1131" s="147" t="s">
        <v>2274</v>
      </c>
      <c r="B1131" s="71" t="s">
        <v>596</v>
      </c>
      <c r="C1131" s="71" t="s">
        <v>2231</v>
      </c>
    </row>
    <row r="1132" spans="1:3">
      <c r="A1132" s="147" t="s">
        <v>2295</v>
      </c>
      <c r="B1132" s="71" t="s">
        <v>188</v>
      </c>
      <c r="C1132" s="71" t="s">
        <v>2235</v>
      </c>
    </row>
    <row r="1133" spans="1:3">
      <c r="A1133" s="147" t="s">
        <v>2296</v>
      </c>
      <c r="B1133" s="71" t="s">
        <v>89</v>
      </c>
      <c r="C1133" s="71" t="s">
        <v>2168</v>
      </c>
    </row>
    <row r="1134" spans="1:3">
      <c r="A1134" s="147" t="s">
        <v>2297</v>
      </c>
      <c r="B1134" s="71" t="s">
        <v>191</v>
      </c>
      <c r="C1134" s="71" t="s">
        <v>2169</v>
      </c>
    </row>
    <row r="1135" spans="1:3">
      <c r="A1135" s="147" t="s">
        <v>2877</v>
      </c>
      <c r="B1135" s="71" t="s">
        <v>2878</v>
      </c>
      <c r="C1135" s="71" t="s">
        <v>2875</v>
      </c>
    </row>
    <row r="1136" spans="1:3" ht="25.5">
      <c r="A1136" s="152" t="s">
        <v>2859</v>
      </c>
      <c r="B1136" s="73" t="s">
        <v>2864</v>
      </c>
      <c r="C1136" s="73" t="s">
        <v>2862</v>
      </c>
    </row>
    <row r="1137" spans="1:3">
      <c r="A1137" s="146" t="s">
        <v>2275</v>
      </c>
      <c r="B1137" s="71" t="s">
        <v>190</v>
      </c>
      <c r="C1137" s="71" t="s">
        <v>2170</v>
      </c>
    </row>
    <row r="1138" spans="1:3">
      <c r="A1138" s="146" t="s">
        <v>2276</v>
      </c>
      <c r="B1138" s="71" t="s">
        <v>587</v>
      </c>
      <c r="C1138" s="71" t="s">
        <v>2232</v>
      </c>
    </row>
    <row r="1139" spans="1:3">
      <c r="A1139" s="146" t="s">
        <v>2844</v>
      </c>
      <c r="B1139" s="71" t="s">
        <v>2814</v>
      </c>
      <c r="C1139" s="71" t="s">
        <v>3490</v>
      </c>
    </row>
    <row r="1140" spans="1:3">
      <c r="A1140" s="146" t="s">
        <v>2845</v>
      </c>
      <c r="B1140" s="71" t="s">
        <v>2815</v>
      </c>
      <c r="C1140" s="71" t="s">
        <v>3489</v>
      </c>
    </row>
    <row r="1141" spans="1:3">
      <c r="A1141" s="147" t="s">
        <v>2277</v>
      </c>
      <c r="B1141" s="71" t="s">
        <v>98</v>
      </c>
      <c r="C1141" s="71" t="s">
        <v>652</v>
      </c>
    </row>
    <row r="1142" spans="1:3">
      <c r="A1142" s="147" t="s">
        <v>2278</v>
      </c>
      <c r="B1142" s="71" t="s">
        <v>99</v>
      </c>
      <c r="C1142" s="71" t="s">
        <v>653</v>
      </c>
    </row>
    <row r="1143" spans="1:3">
      <c r="A1143" s="147" t="s">
        <v>2279</v>
      </c>
      <c r="B1143" s="71" t="s">
        <v>3029</v>
      </c>
      <c r="C1143" s="71" t="s">
        <v>3032</v>
      </c>
    </row>
    <row r="1144" spans="1:3">
      <c r="A1144" s="147" t="s">
        <v>2280</v>
      </c>
      <c r="B1144" s="71" t="s">
        <v>518</v>
      </c>
      <c r="C1144" s="71" t="s">
        <v>2171</v>
      </c>
    </row>
    <row r="1145" spans="1:3">
      <c r="A1145" s="146" t="s">
        <v>2281</v>
      </c>
      <c r="B1145" s="71" t="s">
        <v>586</v>
      </c>
      <c r="C1145" s="71" t="s">
        <v>2233</v>
      </c>
    </row>
    <row r="1146" spans="1:3">
      <c r="A1146" s="147" t="s">
        <v>2282</v>
      </c>
      <c r="B1146" s="71" t="s">
        <v>261</v>
      </c>
      <c r="C1146" s="71" t="s">
        <v>2172</v>
      </c>
    </row>
    <row r="1147" spans="1:3">
      <c r="A1147" s="147" t="s">
        <v>2283</v>
      </c>
      <c r="B1147" s="71" t="s">
        <v>488</v>
      </c>
      <c r="C1147" s="71" t="s">
        <v>2238</v>
      </c>
    </row>
    <row r="1148" spans="1:3">
      <c r="A1148" s="147" t="s">
        <v>2284</v>
      </c>
      <c r="B1148" s="71" t="s">
        <v>489</v>
      </c>
      <c r="C1148" s="71" t="s">
        <v>2239</v>
      </c>
    </row>
    <row r="1149" spans="1:3">
      <c r="A1149" s="147" t="s">
        <v>2285</v>
      </c>
      <c r="B1149" s="71" t="s">
        <v>588</v>
      </c>
      <c r="C1149" s="71" t="s">
        <v>2237</v>
      </c>
    </row>
    <row r="1150" spans="1:3">
      <c r="A1150" s="147" t="s">
        <v>2446</v>
      </c>
      <c r="B1150" s="71" t="s">
        <v>2234</v>
      </c>
      <c r="C1150" s="71" t="s">
        <v>2186</v>
      </c>
    </row>
    <row r="1151" spans="1:3">
      <c r="A1151" s="147" t="s">
        <v>2286</v>
      </c>
      <c r="B1151" s="71" t="s">
        <v>504</v>
      </c>
      <c r="C1151" s="71" t="s">
        <v>2173</v>
      </c>
    </row>
    <row r="1152" spans="1:3">
      <c r="A1152" s="147" t="s">
        <v>2287</v>
      </c>
      <c r="B1152" s="71" t="s">
        <v>520</v>
      </c>
      <c r="C1152" s="71" t="s">
        <v>2174</v>
      </c>
    </row>
    <row r="1153" spans="1:3">
      <c r="A1153" s="147" t="s">
        <v>2288</v>
      </c>
      <c r="B1153" s="71" t="s">
        <v>189</v>
      </c>
      <c r="C1153" s="71" t="s">
        <v>2175</v>
      </c>
    </row>
    <row r="1154" spans="1:3">
      <c r="A1154" s="147" t="s">
        <v>2289</v>
      </c>
      <c r="B1154" s="71" t="s">
        <v>394</v>
      </c>
      <c r="C1154" s="71" t="s">
        <v>2176</v>
      </c>
    </row>
    <row r="1155" spans="1:3">
      <c r="A1155" s="147" t="s">
        <v>2290</v>
      </c>
      <c r="B1155" s="71" t="s">
        <v>256</v>
      </c>
      <c r="C1155" s="71" t="s">
        <v>3507</v>
      </c>
    </row>
    <row r="1156" spans="1:3">
      <c r="A1156" s="147" t="s">
        <v>2291</v>
      </c>
      <c r="B1156" s="71" t="s">
        <v>192</v>
      </c>
      <c r="C1156" s="71" t="s">
        <v>2177</v>
      </c>
    </row>
    <row r="1157" spans="1:3">
      <c r="A1157" s="147" t="s">
        <v>2874</v>
      </c>
      <c r="B1157" s="71" t="s">
        <v>2876</v>
      </c>
      <c r="C1157" s="71" t="s">
        <v>2875</v>
      </c>
    </row>
    <row r="1158" spans="1:3">
      <c r="A1158" s="146" t="s">
        <v>2292</v>
      </c>
      <c r="B1158" s="71" t="s">
        <v>2846</v>
      </c>
      <c r="C1158" s="71" t="s">
        <v>2847</v>
      </c>
    </row>
    <row r="1159" spans="1:3">
      <c r="A1159" s="146" t="s">
        <v>2293</v>
      </c>
      <c r="B1159" s="71" t="s">
        <v>259</v>
      </c>
      <c r="C1159" s="71" t="s">
        <v>1615</v>
      </c>
    </row>
    <row r="1160" spans="1:3">
      <c r="A1160" s="146" t="s">
        <v>2294</v>
      </c>
      <c r="B1160" s="71" t="s">
        <v>258</v>
      </c>
      <c r="C1160" s="71" t="s">
        <v>2178</v>
      </c>
    </row>
    <row r="1161" spans="1:3">
      <c r="A1161" s="147" t="s">
        <v>2315</v>
      </c>
      <c r="B1161" s="71" t="s">
        <v>7</v>
      </c>
      <c r="C1161" s="71" t="s">
        <v>2179</v>
      </c>
    </row>
    <row r="1162" spans="1:3">
      <c r="A1162" s="147" t="s">
        <v>2303</v>
      </c>
      <c r="B1162" s="71" t="s">
        <v>121</v>
      </c>
      <c r="C1162" s="71" t="s">
        <v>2313</v>
      </c>
    </row>
    <row r="1163" spans="1:3">
      <c r="A1163" s="147" t="s">
        <v>2316</v>
      </c>
      <c r="B1163" s="71" t="s">
        <v>3101</v>
      </c>
      <c r="C1163" s="71" t="s">
        <v>3585</v>
      </c>
    </row>
    <row r="1164" spans="1:3">
      <c r="A1164" s="147" t="s">
        <v>2304</v>
      </c>
      <c r="B1164" s="71" t="s">
        <v>121</v>
      </c>
      <c r="C1164" s="71" t="s">
        <v>2313</v>
      </c>
    </row>
    <row r="1165" spans="1:3">
      <c r="A1165" s="147" t="s">
        <v>2323</v>
      </c>
      <c r="B1165" s="71" t="s">
        <v>3102</v>
      </c>
      <c r="C1165" s="71" t="s">
        <v>3584</v>
      </c>
    </row>
    <row r="1166" spans="1:3">
      <c r="A1166" s="147" t="s">
        <v>2305</v>
      </c>
      <c r="B1166" s="71" t="s">
        <v>121</v>
      </c>
      <c r="C1166" s="71" t="s">
        <v>2313</v>
      </c>
    </row>
    <row r="1167" spans="1:3">
      <c r="A1167" s="147" t="s">
        <v>2317</v>
      </c>
      <c r="B1167" s="71" t="s">
        <v>400</v>
      </c>
      <c r="C1167" s="71" t="s">
        <v>2180</v>
      </c>
    </row>
    <row r="1168" spans="1:3">
      <c r="A1168" s="147" t="s">
        <v>2306</v>
      </c>
      <c r="B1168" s="71" t="s">
        <v>121</v>
      </c>
      <c r="C1168" s="71" t="s">
        <v>2313</v>
      </c>
    </row>
    <row r="1169" spans="1:3">
      <c r="A1169" s="147" t="s">
        <v>2318</v>
      </c>
      <c r="B1169" s="71" t="s">
        <v>562</v>
      </c>
      <c r="C1169" s="71" t="s">
        <v>2236</v>
      </c>
    </row>
    <row r="1170" spans="1:3">
      <c r="A1170" s="147" t="s">
        <v>2307</v>
      </c>
      <c r="B1170" s="71" t="s">
        <v>121</v>
      </c>
      <c r="C1170" s="71" t="s">
        <v>2313</v>
      </c>
    </row>
    <row r="1171" spans="1:3">
      <c r="A1171" s="147" t="s">
        <v>2324</v>
      </c>
      <c r="B1171" s="71" t="s">
        <v>485</v>
      </c>
      <c r="C1171" s="71" t="s">
        <v>881</v>
      </c>
    </row>
    <row r="1172" spans="1:3">
      <c r="A1172" s="147" t="s">
        <v>2308</v>
      </c>
      <c r="B1172" s="71" t="s">
        <v>121</v>
      </c>
      <c r="C1172" s="71" t="s">
        <v>2313</v>
      </c>
    </row>
    <row r="1173" spans="1:3">
      <c r="A1173" s="147" t="s">
        <v>2319</v>
      </c>
      <c r="B1173" s="71" t="s">
        <v>401</v>
      </c>
      <c r="C1173" s="71" t="s">
        <v>2181</v>
      </c>
    </row>
    <row r="1174" spans="1:3">
      <c r="A1174" s="147" t="s">
        <v>2309</v>
      </c>
      <c r="B1174" s="71" t="s">
        <v>121</v>
      </c>
      <c r="C1174" s="71" t="s">
        <v>2313</v>
      </c>
    </row>
    <row r="1175" spans="1:3">
      <c r="A1175" s="147" t="s">
        <v>2325</v>
      </c>
      <c r="B1175" s="71" t="s">
        <v>585</v>
      </c>
      <c r="C1175" s="71" t="s">
        <v>903</v>
      </c>
    </row>
    <row r="1176" spans="1:3">
      <c r="A1176" s="147" t="s">
        <v>2310</v>
      </c>
      <c r="B1176" s="71" t="s">
        <v>121</v>
      </c>
      <c r="C1176" s="71" t="s">
        <v>2313</v>
      </c>
    </row>
    <row r="1177" spans="1:3">
      <c r="A1177" s="147" t="s">
        <v>2320</v>
      </c>
      <c r="B1177" s="71" t="s">
        <v>402</v>
      </c>
      <c r="C1177" s="71" t="s">
        <v>2182</v>
      </c>
    </row>
    <row r="1178" spans="1:3">
      <c r="A1178" s="147" t="s">
        <v>2311</v>
      </c>
      <c r="B1178" s="71" t="s">
        <v>121</v>
      </c>
      <c r="C1178" s="71" t="s">
        <v>2313</v>
      </c>
    </row>
    <row r="1179" spans="1:3">
      <c r="A1179" s="147" t="s">
        <v>2321</v>
      </c>
      <c r="B1179" s="71" t="s">
        <v>403</v>
      </c>
      <c r="C1179" s="71" t="s">
        <v>2183</v>
      </c>
    </row>
    <row r="1180" spans="1:3">
      <c r="A1180" s="147" t="s">
        <v>2312</v>
      </c>
      <c r="B1180" s="71" t="s">
        <v>121</v>
      </c>
      <c r="C1180" s="71" t="s">
        <v>2313</v>
      </c>
    </row>
    <row r="1181" spans="1:3">
      <c r="A1181" s="147" t="s">
        <v>2322</v>
      </c>
      <c r="B1181" s="71" t="s">
        <v>2804</v>
      </c>
      <c r="C1181" s="71" t="s">
        <v>2805</v>
      </c>
    </row>
    <row r="1182" spans="1:3">
      <c r="A1182" s="147" t="s">
        <v>2802</v>
      </c>
      <c r="B1182" s="71" t="s">
        <v>2798</v>
      </c>
      <c r="C1182" s="71" t="s">
        <v>2800</v>
      </c>
    </row>
    <row r="1183" spans="1:3">
      <c r="A1183" s="147" t="s">
        <v>2803</v>
      </c>
      <c r="B1183" s="71" t="s">
        <v>2799</v>
      </c>
      <c r="C1183" s="71" t="s">
        <v>2801</v>
      </c>
    </row>
    <row r="1184" spans="1:3">
      <c r="A1184" s="148" t="s">
        <v>2314</v>
      </c>
      <c r="B1184" s="71" t="s">
        <v>260</v>
      </c>
      <c r="C1184" s="71" t="s">
        <v>2184</v>
      </c>
    </row>
    <row r="1185" spans="1:3">
      <c r="A1185" s="148" t="s">
        <v>2326</v>
      </c>
      <c r="B1185" s="71" t="s">
        <v>458</v>
      </c>
      <c r="C1185" s="71" t="s">
        <v>2185</v>
      </c>
    </row>
    <row r="1186" spans="1:3">
      <c r="A1186" s="148" t="s">
        <v>2327</v>
      </c>
      <c r="B1186" s="71" t="s">
        <v>589</v>
      </c>
      <c r="C1186" s="71" t="s">
        <v>2329</v>
      </c>
    </row>
    <row r="1187" spans="1:3">
      <c r="A1187" s="148" t="s">
        <v>2328</v>
      </c>
      <c r="B1187" s="71" t="s">
        <v>590</v>
      </c>
      <c r="C1187" s="71" t="s">
        <v>2330</v>
      </c>
    </row>
    <row r="1188" spans="1:3">
      <c r="A1188" s="147" t="s">
        <v>2331</v>
      </c>
      <c r="B1188" s="71" t="s">
        <v>261</v>
      </c>
      <c r="C1188" s="71" t="s">
        <v>2172</v>
      </c>
    </row>
    <row r="1189" spans="1:3">
      <c r="A1189" s="147" t="s">
        <v>2537</v>
      </c>
      <c r="B1189" s="71" t="s">
        <v>2538</v>
      </c>
      <c r="C1189" s="71" t="s">
        <v>2539</v>
      </c>
    </row>
    <row r="1190" spans="1:3">
      <c r="A1190" s="147" t="s">
        <v>2332</v>
      </c>
      <c r="B1190" s="71" t="s">
        <v>488</v>
      </c>
      <c r="C1190" s="71" t="s">
        <v>2238</v>
      </c>
    </row>
    <row r="1191" spans="1:3">
      <c r="A1191" s="147" t="s">
        <v>2333</v>
      </c>
      <c r="B1191" s="71" t="s">
        <v>489</v>
      </c>
      <c r="C1191" s="71" t="s">
        <v>2239</v>
      </c>
    </row>
    <row r="1192" spans="1:3">
      <c r="A1192" s="147" t="s">
        <v>2334</v>
      </c>
      <c r="B1192" s="71" t="s">
        <v>591</v>
      </c>
      <c r="C1192" s="71" t="s">
        <v>2240</v>
      </c>
    </row>
    <row r="1193" spans="1:3">
      <c r="A1193" s="147" t="s">
        <v>2335</v>
      </c>
      <c r="B1193" s="71" t="s">
        <v>588</v>
      </c>
      <c r="C1193" s="71" t="s">
        <v>2237</v>
      </c>
    </row>
    <row r="1194" spans="1:3">
      <c r="A1194" s="147" t="s">
        <v>2336</v>
      </c>
      <c r="B1194" s="71" t="s">
        <v>490</v>
      </c>
      <c r="C1194" s="71" t="s">
        <v>2186</v>
      </c>
    </row>
    <row r="1195" spans="1:3">
      <c r="A1195" s="147" t="s">
        <v>2337</v>
      </c>
      <c r="B1195" s="71" t="s">
        <v>491</v>
      </c>
      <c r="C1195" s="71" t="s">
        <v>2187</v>
      </c>
    </row>
    <row r="1196" spans="1:3">
      <c r="A1196" s="147" t="s">
        <v>2338</v>
      </c>
      <c r="B1196" s="71" t="s">
        <v>492</v>
      </c>
      <c r="C1196" s="71" t="s">
        <v>2188</v>
      </c>
    </row>
    <row r="1197" spans="1:3">
      <c r="A1197" s="147" t="s">
        <v>2339</v>
      </c>
      <c r="B1197" s="71" t="s">
        <v>505</v>
      </c>
      <c r="C1197" s="71" t="s">
        <v>2189</v>
      </c>
    </row>
    <row r="1198" spans="1:3">
      <c r="A1198" s="147" t="s">
        <v>2806</v>
      </c>
      <c r="B1198" s="71" t="s">
        <v>2810</v>
      </c>
      <c r="C1198" s="71" t="s">
        <v>2812</v>
      </c>
    </row>
    <row r="1199" spans="1:3">
      <c r="A1199" s="147" t="s">
        <v>2807</v>
      </c>
      <c r="B1199" s="71" t="s">
        <v>2842</v>
      </c>
      <c r="C1199" s="71" t="s">
        <v>2843</v>
      </c>
    </row>
    <row r="1200" spans="1:3">
      <c r="A1200" s="147" t="s">
        <v>2808</v>
      </c>
      <c r="B1200" s="71" t="s">
        <v>2811</v>
      </c>
      <c r="C1200" s="71" t="s">
        <v>2813</v>
      </c>
    </row>
    <row r="1201" spans="1:3">
      <c r="A1201" s="147" t="s">
        <v>2809</v>
      </c>
      <c r="B1201" s="71" t="s">
        <v>2799</v>
      </c>
      <c r="C1201" s="71" t="s">
        <v>2801</v>
      </c>
    </row>
    <row r="1202" spans="1:3">
      <c r="A1202" s="146" t="s">
        <v>2340</v>
      </c>
      <c r="B1202" s="71" t="s">
        <v>124</v>
      </c>
      <c r="C1202" s="71" t="s">
        <v>2190</v>
      </c>
    </row>
    <row r="1203" spans="1:3">
      <c r="A1203" s="147" t="s">
        <v>2341</v>
      </c>
      <c r="B1203" s="71" t="s">
        <v>216</v>
      </c>
      <c r="C1203" s="71" t="s">
        <v>1488</v>
      </c>
    </row>
    <row r="1204" spans="1:3">
      <c r="A1204" s="147" t="s">
        <v>2342</v>
      </c>
      <c r="B1204" s="71" t="s">
        <v>397</v>
      </c>
      <c r="C1204" s="71" t="s">
        <v>2191</v>
      </c>
    </row>
    <row r="1205" spans="1:3">
      <c r="A1205" s="147" t="s">
        <v>2343</v>
      </c>
      <c r="B1205" s="71" t="s">
        <v>442</v>
      </c>
      <c r="C1205" s="71" t="s">
        <v>1491</v>
      </c>
    </row>
    <row r="1206" spans="1:3">
      <c r="A1206" s="147" t="s">
        <v>2344</v>
      </c>
      <c r="B1206" s="71" t="s">
        <v>598</v>
      </c>
      <c r="C1206" s="71" t="s">
        <v>2241</v>
      </c>
    </row>
    <row r="1207" spans="1:3">
      <c r="A1207" s="147" t="s">
        <v>2345</v>
      </c>
      <c r="B1207" s="71" t="s">
        <v>599</v>
      </c>
      <c r="C1207" s="71" t="s">
        <v>2242</v>
      </c>
    </row>
    <row r="1208" spans="1:3">
      <c r="A1208" s="147" t="s">
        <v>2346</v>
      </c>
      <c r="B1208" s="71" t="s">
        <v>398</v>
      </c>
      <c r="C1208" s="71" t="s">
        <v>2192</v>
      </c>
    </row>
    <row r="1209" spans="1:3">
      <c r="A1209" s="147" t="s">
        <v>2354</v>
      </c>
      <c r="B1209" s="71" t="str">
        <f xml:space="preserve"> "&lt;&gt; TECHN ZERLEGUNG, Pos. 243c (" &amp; TEXT('TECHN ZERLEGUNG'!$E$143,"#'##0") &amp; " ) ?"</f>
        <v>&lt;&gt; TECHN ZERLEGUNG, Pos. 243c ('0 ) ?</v>
      </c>
      <c r="C1209" s="71" t="str">
        <f xml:space="preserve"> "&lt;&gt; ANALYSE TECHNIQUE, pos. 243c (" &amp; TEXT('TECHN ZERLEGUNG'!$E$143,"#'##0") &amp; ") ?"</f>
        <v>&lt;&gt; ANALYSE TECHNIQUE, pos. 243c ('0) ?</v>
      </c>
    </row>
    <row r="1210" spans="1:3">
      <c r="A1210" s="146" t="s">
        <v>2433</v>
      </c>
      <c r="B1210" s="157" t="s">
        <v>3041</v>
      </c>
      <c r="C1210" s="157" t="s">
        <v>2873</v>
      </c>
    </row>
    <row r="1211" spans="1:3">
      <c r="A1211" s="146" t="s">
        <v>2347</v>
      </c>
      <c r="B1211" s="71" t="s">
        <v>126</v>
      </c>
      <c r="C1211" s="71" t="s">
        <v>2193</v>
      </c>
    </row>
    <row r="1212" spans="1:3">
      <c r="A1212" s="147" t="s">
        <v>2348</v>
      </c>
      <c r="B1212" s="71" t="s">
        <v>216</v>
      </c>
      <c r="C1212" s="71" t="s">
        <v>1488</v>
      </c>
    </row>
    <row r="1213" spans="1:3">
      <c r="A1213" s="147" t="s">
        <v>2349</v>
      </c>
      <c r="B1213" s="71" t="s">
        <v>2892</v>
      </c>
      <c r="C1213" s="71" t="s">
        <v>2893</v>
      </c>
    </row>
    <row r="1214" spans="1:3">
      <c r="A1214" s="147" t="s">
        <v>2350</v>
      </c>
      <c r="B1214" s="71" t="s">
        <v>122</v>
      </c>
      <c r="C1214" s="71" t="s">
        <v>2194</v>
      </c>
    </row>
    <row r="1215" spans="1:3">
      <c r="A1215" s="147" t="s">
        <v>2351</v>
      </c>
      <c r="B1215" s="71" t="s">
        <v>600</v>
      </c>
      <c r="C1215" s="71" t="s">
        <v>2243</v>
      </c>
    </row>
    <row r="1216" spans="1:3">
      <c r="A1216" s="147" t="s">
        <v>2352</v>
      </c>
      <c r="B1216" s="71" t="s">
        <v>2894</v>
      </c>
      <c r="C1216" s="71" t="s">
        <v>2895</v>
      </c>
    </row>
    <row r="1217" spans="1:3">
      <c r="A1217" s="147" t="s">
        <v>2353</v>
      </c>
      <c r="B1217" s="71" t="s">
        <v>398</v>
      </c>
      <c r="C1217" s="71" t="s">
        <v>2192</v>
      </c>
    </row>
    <row r="1218" spans="1:3">
      <c r="A1218" s="147" t="s">
        <v>2355</v>
      </c>
      <c r="B1218" s="71" t="str">
        <f xml:space="preserve"> "&lt;&gt; TECHN ZERLEGUNG, Pos. 256c (" &amp; TEXT('TECHN ZERLEGUNG'!$E$163,"#'##0") &amp; " ) ?"</f>
        <v>&lt;&gt; TECHN ZERLEGUNG, Pos. 256c ('0 ) ?</v>
      </c>
      <c r="C1218" s="71" t="str">
        <f>"&lt;&gt; ANALYSE TECHNIQUE, pos. 256c (" &amp; TEXT('TECHN ZERLEGUNG'!$E$163,"#'##0") &amp; ") ?"</f>
        <v>&lt;&gt; ANALYSE TECHNIQUE, pos. 256c ('0) ?</v>
      </c>
    </row>
    <row r="1219" spans="1:3">
      <c r="A1219" s="146" t="s">
        <v>2434</v>
      </c>
      <c r="B1219" s="157" t="s">
        <v>3042</v>
      </c>
      <c r="C1219" s="157" t="s">
        <v>2872</v>
      </c>
    </row>
    <row r="1220" spans="1:3">
      <c r="A1220" s="146" t="s">
        <v>2356</v>
      </c>
      <c r="B1220" s="71" t="s">
        <v>125</v>
      </c>
      <c r="C1220" s="71" t="s">
        <v>2195</v>
      </c>
    </row>
    <row r="1221" spans="1:3">
      <c r="A1221" s="147" t="s">
        <v>2357</v>
      </c>
      <c r="B1221" s="71" t="s">
        <v>123</v>
      </c>
      <c r="C1221" s="71" t="s">
        <v>2196</v>
      </c>
    </row>
    <row r="1222" spans="1:3">
      <c r="A1222" s="146" t="s">
        <v>2358</v>
      </c>
      <c r="B1222" s="71" t="s">
        <v>430</v>
      </c>
      <c r="C1222" s="71" t="s">
        <v>2178</v>
      </c>
    </row>
    <row r="1223" spans="1:3">
      <c r="A1223" s="146" t="s">
        <v>2393</v>
      </c>
      <c r="B1223" s="71" t="s">
        <v>377</v>
      </c>
      <c r="C1223" s="71" t="s">
        <v>2395</v>
      </c>
    </row>
    <row r="1224" spans="1:3">
      <c r="A1224" s="146" t="s">
        <v>2394</v>
      </c>
      <c r="B1224" s="71" t="s">
        <v>378</v>
      </c>
      <c r="C1224" s="71" t="s">
        <v>1918</v>
      </c>
    </row>
    <row r="1225" spans="1:3">
      <c r="A1225" s="147" t="s">
        <v>2359</v>
      </c>
      <c r="B1225" s="71" t="s">
        <v>399</v>
      </c>
      <c r="C1225" s="71" t="s">
        <v>2197</v>
      </c>
    </row>
    <row r="1226" spans="1:3">
      <c r="A1226" s="147" t="s">
        <v>2360</v>
      </c>
      <c r="B1226" s="71" t="s">
        <v>2157</v>
      </c>
      <c r="C1226" s="71" t="s">
        <v>2244</v>
      </c>
    </row>
    <row r="1227" spans="1:3">
      <c r="A1227" s="146" t="s">
        <v>2361</v>
      </c>
      <c r="B1227" s="71" t="s">
        <v>2158</v>
      </c>
      <c r="C1227" s="71" t="s">
        <v>2245</v>
      </c>
    </row>
    <row r="1228" spans="1:3">
      <c r="A1228" s="146" t="s">
        <v>2362</v>
      </c>
      <c r="B1228" s="71" t="s">
        <v>429</v>
      </c>
      <c r="C1228" s="71" t="s">
        <v>2198</v>
      </c>
    </row>
    <row r="1229" spans="1:3">
      <c r="A1229" s="147" t="s">
        <v>2363</v>
      </c>
      <c r="B1229" s="71" t="s">
        <v>431</v>
      </c>
      <c r="C1229" s="71" t="s">
        <v>2199</v>
      </c>
    </row>
    <row r="1230" spans="1:3">
      <c r="A1230" s="147" t="s">
        <v>2364</v>
      </c>
      <c r="B1230" s="71" t="s">
        <v>432</v>
      </c>
      <c r="C1230" s="71" t="s">
        <v>2200</v>
      </c>
    </row>
    <row r="1231" spans="1:3">
      <c r="A1231" s="147" t="s">
        <v>2365</v>
      </c>
      <c r="B1231" s="71" t="s">
        <v>428</v>
      </c>
      <c r="C1231" s="71" t="s">
        <v>2201</v>
      </c>
    </row>
    <row r="1232" spans="1:3">
      <c r="A1232" s="147" t="s">
        <v>3013</v>
      </c>
      <c r="B1232" s="71" t="s">
        <v>3015</v>
      </c>
      <c r="C1232" s="71" t="s">
        <v>3017</v>
      </c>
    </row>
    <row r="1233" spans="1:3">
      <c r="A1233" s="147" t="s">
        <v>3014</v>
      </c>
      <c r="B1233" s="71" t="s">
        <v>3016</v>
      </c>
      <c r="C1233" s="71" t="s">
        <v>3018</v>
      </c>
    </row>
    <row r="1234" spans="1:3">
      <c r="A1234" s="147" t="s">
        <v>2366</v>
      </c>
      <c r="B1234" s="71" t="s">
        <v>3019</v>
      </c>
      <c r="C1234" s="71" t="s">
        <v>3021</v>
      </c>
    </row>
    <row r="1235" spans="1:3">
      <c r="A1235" s="147" t="s">
        <v>2367</v>
      </c>
      <c r="B1235" s="71" t="s">
        <v>3020</v>
      </c>
      <c r="C1235" s="71" t="s">
        <v>3022</v>
      </c>
    </row>
    <row r="1236" spans="1:3">
      <c r="A1236" s="147" t="s">
        <v>3010</v>
      </c>
      <c r="B1236" s="71" t="s">
        <v>372</v>
      </c>
      <c r="C1236" s="71" t="s">
        <v>2007</v>
      </c>
    </row>
    <row r="1237" spans="1:3">
      <c r="A1237" s="147" t="s">
        <v>3011</v>
      </c>
      <c r="B1237" s="71" t="s">
        <v>373</v>
      </c>
      <c r="C1237" s="71" t="s">
        <v>2008</v>
      </c>
    </row>
    <row r="1238" spans="1:3">
      <c r="A1238" s="147" t="s">
        <v>3008</v>
      </c>
      <c r="B1238" s="71" t="s">
        <v>3009</v>
      </c>
      <c r="C1238" s="71" t="s">
        <v>3012</v>
      </c>
    </row>
    <row r="1239" spans="1:3">
      <c r="A1239" s="147" t="s">
        <v>3024</v>
      </c>
      <c r="B1239" s="71" t="s">
        <v>3023</v>
      </c>
      <c r="C1239" s="71" t="s">
        <v>3034</v>
      </c>
    </row>
    <row r="1240" spans="1:3">
      <c r="A1240" s="147" t="s">
        <v>3025</v>
      </c>
      <c r="B1240" s="71" t="s">
        <v>3035</v>
      </c>
      <c r="C1240" s="71" t="s">
        <v>3036</v>
      </c>
    </row>
    <row r="1241" spans="1:3">
      <c r="A1241" s="147" t="s">
        <v>3026</v>
      </c>
      <c r="B1241" s="71" t="s">
        <v>3028</v>
      </c>
      <c r="C1241" s="71" t="s">
        <v>3033</v>
      </c>
    </row>
    <row r="1242" spans="1:3" ht="25.5">
      <c r="A1242" s="149" t="s">
        <v>3027</v>
      </c>
      <c r="B1242" s="73" t="s">
        <v>3037</v>
      </c>
      <c r="C1242" s="73" t="s">
        <v>3038</v>
      </c>
    </row>
    <row r="1243" spans="1:3">
      <c r="A1243" s="147" t="s">
        <v>2368</v>
      </c>
      <c r="B1243" s="71" t="s">
        <v>2850</v>
      </c>
      <c r="C1243" s="71" t="s">
        <v>2854</v>
      </c>
    </row>
    <row r="1244" spans="1:3">
      <c r="A1244" s="147" t="s">
        <v>2848</v>
      </c>
      <c r="B1244" s="71" t="s">
        <v>2852</v>
      </c>
      <c r="C1244" s="71" t="s">
        <v>2853</v>
      </c>
    </row>
    <row r="1245" spans="1:3">
      <c r="A1245" s="147" t="s">
        <v>2849</v>
      </c>
      <c r="B1245" s="71" t="s">
        <v>2851</v>
      </c>
      <c r="C1245" s="71" t="s">
        <v>2855</v>
      </c>
    </row>
    <row r="1246" spans="1:3" ht="37.5" customHeight="1">
      <c r="A1246" s="149" t="s">
        <v>2856</v>
      </c>
      <c r="B1246" s="73" t="s">
        <v>2858</v>
      </c>
      <c r="C1246" s="73" t="s">
        <v>2857</v>
      </c>
    </row>
    <row r="1247" spans="1:3">
      <c r="A1247" s="147" t="s">
        <v>2677</v>
      </c>
      <c r="B1247" s="71" t="s">
        <v>2678</v>
      </c>
      <c r="C1247" s="71" t="s">
        <v>2679</v>
      </c>
    </row>
    <row r="1248" spans="1:3">
      <c r="A1248" s="147" t="s">
        <v>2681</v>
      </c>
      <c r="B1248" s="157" t="s">
        <v>2680</v>
      </c>
      <c r="C1248" s="157" t="s">
        <v>2682</v>
      </c>
    </row>
    <row r="1249" spans="1:3">
      <c r="A1249" s="147" t="s">
        <v>2722</v>
      </c>
      <c r="B1249" s="157" t="s">
        <v>2721</v>
      </c>
      <c r="C1249" s="157" t="s">
        <v>2749</v>
      </c>
    </row>
    <row r="1250" spans="1:3">
      <c r="A1250" s="147" t="s">
        <v>2751</v>
      </c>
      <c r="B1250" s="157" t="s">
        <v>378</v>
      </c>
      <c r="C1250" s="157" t="s">
        <v>1918</v>
      </c>
    </row>
    <row r="1251" spans="1:3">
      <c r="A1251" s="147" t="s">
        <v>2723</v>
      </c>
      <c r="B1251" s="157" t="s">
        <v>2725</v>
      </c>
      <c r="C1251" s="157" t="s">
        <v>2750</v>
      </c>
    </row>
    <row r="1252" spans="1:3">
      <c r="A1252" s="147" t="s">
        <v>2726</v>
      </c>
      <c r="B1252" s="157" t="s">
        <v>2615</v>
      </c>
      <c r="C1252" s="157" t="s">
        <v>2616</v>
      </c>
    </row>
    <row r="1253" spans="1:3">
      <c r="A1253" s="147" t="s">
        <v>2727</v>
      </c>
      <c r="B1253" s="157" t="s">
        <v>2620</v>
      </c>
      <c r="C1253" s="157" t="s">
        <v>2621</v>
      </c>
    </row>
    <row r="1254" spans="1:3">
      <c r="A1254" s="147" t="s">
        <v>2728</v>
      </c>
      <c r="B1254" s="157" t="s">
        <v>2625</v>
      </c>
      <c r="C1254" s="157" t="s">
        <v>2626</v>
      </c>
    </row>
    <row r="1255" spans="1:3">
      <c r="A1255" s="147" t="s">
        <v>2729</v>
      </c>
      <c r="B1255" s="157" t="s">
        <v>65</v>
      </c>
      <c r="C1255" s="157" t="s">
        <v>65</v>
      </c>
    </row>
    <row r="1256" spans="1:3">
      <c r="A1256" s="147" t="s">
        <v>2724</v>
      </c>
      <c r="B1256" s="157" t="s">
        <v>2734</v>
      </c>
      <c r="C1256" s="157" t="s">
        <v>2599</v>
      </c>
    </row>
    <row r="1257" spans="1:3">
      <c r="A1257" s="147" t="s">
        <v>2730</v>
      </c>
      <c r="B1257" s="158" t="s">
        <v>2735</v>
      </c>
      <c r="C1257" s="157" t="s">
        <v>2754</v>
      </c>
    </row>
    <row r="1258" spans="1:3">
      <c r="A1258" s="147" t="s">
        <v>2731</v>
      </c>
      <c r="B1258" s="157" t="s">
        <v>2747</v>
      </c>
      <c r="C1258" s="157" t="s">
        <v>2755</v>
      </c>
    </row>
    <row r="1259" spans="1:3">
      <c r="A1259" s="147" t="s">
        <v>2732</v>
      </c>
      <c r="B1259" s="157" t="s">
        <v>2736</v>
      </c>
      <c r="C1259" s="157" t="s">
        <v>2756</v>
      </c>
    </row>
    <row r="1260" spans="1:3">
      <c r="A1260" s="147" t="s">
        <v>2733</v>
      </c>
      <c r="B1260" s="157" t="s">
        <v>2745</v>
      </c>
      <c r="C1260" s="157" t="s">
        <v>2752</v>
      </c>
    </row>
    <row r="1261" spans="1:3">
      <c r="A1261" s="147" t="s">
        <v>2737</v>
      </c>
      <c r="B1261" s="157" t="s">
        <v>2738</v>
      </c>
      <c r="C1261" s="158" t="s">
        <v>2758</v>
      </c>
    </row>
    <row r="1262" spans="1:3">
      <c r="A1262" s="147" t="s">
        <v>2739</v>
      </c>
      <c r="B1262" s="157" t="s">
        <v>2760</v>
      </c>
      <c r="C1262" s="157" t="s">
        <v>2759</v>
      </c>
    </row>
    <row r="1263" spans="1:3">
      <c r="A1263" s="154" t="s">
        <v>2742</v>
      </c>
      <c r="B1263" s="158" t="s">
        <v>2740</v>
      </c>
      <c r="C1263" s="157" t="s">
        <v>2761</v>
      </c>
    </row>
    <row r="1264" spans="1:3">
      <c r="A1264" s="147" t="s">
        <v>2743</v>
      </c>
      <c r="B1264" s="158" t="s">
        <v>2741</v>
      </c>
      <c r="C1264" s="157" t="s">
        <v>2762</v>
      </c>
    </row>
    <row r="1265" spans="1:3">
      <c r="A1265" s="147" t="s">
        <v>2744</v>
      </c>
      <c r="B1265" s="158" t="s">
        <v>2764</v>
      </c>
      <c r="C1265" s="157" t="s">
        <v>2763</v>
      </c>
    </row>
    <row r="1266" spans="1:3">
      <c r="A1266" s="146" t="s">
        <v>2369</v>
      </c>
      <c r="B1266" s="71" t="s">
        <v>497</v>
      </c>
      <c r="C1266" s="71" t="s">
        <v>2202</v>
      </c>
    </row>
    <row r="1267" spans="1:3">
      <c r="A1267" s="147" t="s">
        <v>2370</v>
      </c>
      <c r="B1267" s="71" t="s">
        <v>498</v>
      </c>
      <c r="C1267" s="71" t="s">
        <v>2203</v>
      </c>
    </row>
    <row r="1268" spans="1:3">
      <c r="A1268" s="147" t="s">
        <v>2371</v>
      </c>
      <c r="B1268" s="71" t="s">
        <v>3003</v>
      </c>
      <c r="C1268" s="71" t="s">
        <v>3005</v>
      </c>
    </row>
    <row r="1269" spans="1:3">
      <c r="A1269" s="147" t="s">
        <v>2372</v>
      </c>
      <c r="B1269" s="71" t="s">
        <v>3004</v>
      </c>
      <c r="C1269" s="71" t="s">
        <v>3006</v>
      </c>
    </row>
    <row r="1270" spans="1:3">
      <c r="A1270" s="146" t="s">
        <v>2373</v>
      </c>
      <c r="B1270" s="71" t="s">
        <v>404</v>
      </c>
      <c r="C1270" s="71" t="s">
        <v>2204</v>
      </c>
    </row>
    <row r="1271" spans="1:3">
      <c r="A1271" s="147" t="s">
        <v>2374</v>
      </c>
      <c r="B1271" s="71" t="s">
        <v>597</v>
      </c>
      <c r="C1271" s="71" t="s">
        <v>2205</v>
      </c>
    </row>
    <row r="1272" spans="1:3">
      <c r="A1272" s="147" t="s">
        <v>2375</v>
      </c>
      <c r="B1272" s="71" t="s">
        <v>120</v>
      </c>
      <c r="C1272" s="71" t="s">
        <v>2206</v>
      </c>
    </row>
    <row r="1273" spans="1:3">
      <c r="A1273" s="147" t="s">
        <v>2376</v>
      </c>
      <c r="B1273" s="71" t="s">
        <v>118</v>
      </c>
      <c r="C1273" s="71" t="s">
        <v>2246</v>
      </c>
    </row>
    <row r="1274" spans="1:3">
      <c r="A1274" s="147" t="s">
        <v>2377</v>
      </c>
      <c r="B1274" s="71" t="s">
        <v>119</v>
      </c>
      <c r="C1274" s="71" t="s">
        <v>2207</v>
      </c>
    </row>
    <row r="1275" spans="1:3">
      <c r="A1275" s="146" t="s">
        <v>2378</v>
      </c>
      <c r="B1275" s="71" t="s">
        <v>593</v>
      </c>
      <c r="C1275" s="71" t="s">
        <v>2256</v>
      </c>
    </row>
    <row r="1276" spans="1:3">
      <c r="A1276" s="147" t="s">
        <v>2379</v>
      </c>
      <c r="B1276" s="71" t="s">
        <v>571</v>
      </c>
      <c r="C1276" s="71" t="s">
        <v>2258</v>
      </c>
    </row>
    <row r="1277" spans="1:3">
      <c r="A1277" s="147" t="s">
        <v>2380</v>
      </c>
      <c r="B1277" s="71" t="s">
        <v>584</v>
      </c>
      <c r="C1277" s="71" t="s">
        <v>2257</v>
      </c>
    </row>
    <row r="1278" spans="1:3">
      <c r="A1278" s="147" t="s">
        <v>2381</v>
      </c>
      <c r="B1278" s="71" t="s">
        <v>572</v>
      </c>
      <c r="C1278" s="71" t="s">
        <v>2259</v>
      </c>
    </row>
    <row r="1279" spans="1:3">
      <c r="A1279" s="146" t="s">
        <v>2382</v>
      </c>
      <c r="B1279" s="72" t="s">
        <v>595</v>
      </c>
      <c r="C1279" s="71" t="s">
        <v>2261</v>
      </c>
    </row>
    <row r="1280" spans="1:3" ht="25.5">
      <c r="A1280" s="152" t="s">
        <v>2531</v>
      </c>
      <c r="B1280" s="73" t="s">
        <v>2529</v>
      </c>
      <c r="C1280" s="73" t="s">
        <v>2533</v>
      </c>
    </row>
    <row r="1281" spans="1:3" ht="25.5">
      <c r="A1281" s="152" t="s">
        <v>2532</v>
      </c>
      <c r="B1281" s="73" t="s">
        <v>2530</v>
      </c>
      <c r="C1281" s="73" t="s">
        <v>2534</v>
      </c>
    </row>
    <row r="1282" spans="1:3">
      <c r="A1282" s="147" t="s">
        <v>2383</v>
      </c>
      <c r="B1282" s="71" t="s">
        <v>2528</v>
      </c>
      <c r="C1282" s="71" t="s">
        <v>2535</v>
      </c>
    </row>
    <row r="1283" spans="1:3">
      <c r="A1283" s="147" t="s">
        <v>2384</v>
      </c>
      <c r="B1283" s="71" t="s">
        <v>101</v>
      </c>
      <c r="C1283" s="71" t="s">
        <v>656</v>
      </c>
    </row>
    <row r="1284" spans="1:3">
      <c r="A1284" s="147" t="s">
        <v>2385</v>
      </c>
      <c r="B1284" s="71" t="s">
        <v>517</v>
      </c>
      <c r="C1284" s="71" t="s">
        <v>3545</v>
      </c>
    </row>
    <row r="1285" spans="1:3">
      <c r="A1285" s="147" t="s">
        <v>2386</v>
      </c>
      <c r="B1285" s="71" t="s">
        <v>580</v>
      </c>
      <c r="C1285" s="71" t="s">
        <v>2208</v>
      </c>
    </row>
    <row r="1286" spans="1:3">
      <c r="A1286" s="147" t="s">
        <v>2387</v>
      </c>
      <c r="B1286" s="71" t="s">
        <v>581</v>
      </c>
      <c r="C1286" s="71" t="s">
        <v>2262</v>
      </c>
    </row>
    <row r="1287" spans="1:3">
      <c r="A1287" s="146" t="s">
        <v>2388</v>
      </c>
      <c r="B1287" s="71" t="s">
        <v>594</v>
      </c>
      <c r="C1287" s="71" t="s">
        <v>2260</v>
      </c>
    </row>
    <row r="1288" spans="1:3">
      <c r="A1288" s="147" t="s">
        <v>2389</v>
      </c>
      <c r="B1288" s="71" t="s">
        <v>573</v>
      </c>
      <c r="C1288" s="71" t="s">
        <v>2263</v>
      </c>
    </row>
    <row r="1289" spans="1:3">
      <c r="A1289" s="147" t="s">
        <v>2390</v>
      </c>
      <c r="B1289" s="71" t="s">
        <v>583</v>
      </c>
      <c r="C1289" s="71" t="s">
        <v>2264</v>
      </c>
    </row>
    <row r="1290" spans="1:3">
      <c r="A1290" s="147" t="s">
        <v>2391</v>
      </c>
      <c r="B1290" s="71" t="s">
        <v>582</v>
      </c>
      <c r="C1290" s="71" t="s">
        <v>2396</v>
      </c>
    </row>
    <row r="1291" spans="1:3">
      <c r="A1291" s="147" t="s">
        <v>2392</v>
      </c>
      <c r="B1291" s="71" t="s">
        <v>592</v>
      </c>
      <c r="C1291" s="71" t="s">
        <v>2397</v>
      </c>
    </row>
    <row r="1292" spans="1:3">
      <c r="A1292" s="146" t="s">
        <v>2398</v>
      </c>
      <c r="B1292" s="71" t="s">
        <v>96</v>
      </c>
      <c r="C1292" s="71" t="s">
        <v>2209</v>
      </c>
    </row>
    <row r="1293" spans="1:3">
      <c r="A1293" s="146" t="s">
        <v>2399</v>
      </c>
      <c r="B1293" s="71" t="s">
        <v>36</v>
      </c>
      <c r="C1293" s="71" t="s">
        <v>2247</v>
      </c>
    </row>
    <row r="1294" spans="1:3" ht="12.6" customHeight="1">
      <c r="A1294" s="146" t="s">
        <v>2409</v>
      </c>
      <c r="B1294" s="71" t="s">
        <v>198</v>
      </c>
      <c r="C1294" s="71" t="s">
        <v>1082</v>
      </c>
    </row>
    <row r="1295" spans="1:3" ht="12.6" customHeight="1">
      <c r="A1295" s="146" t="s">
        <v>2410</v>
      </c>
      <c r="B1295" s="71" t="s">
        <v>297</v>
      </c>
      <c r="C1295" s="71" t="s">
        <v>1083</v>
      </c>
    </row>
    <row r="1296" spans="1:3">
      <c r="A1296" s="147" t="s">
        <v>2401</v>
      </c>
      <c r="B1296" s="71" t="s">
        <v>90</v>
      </c>
      <c r="C1296" s="71" t="s">
        <v>2210</v>
      </c>
    </row>
    <row r="1297" spans="1:3">
      <c r="A1297" s="147" t="s">
        <v>2402</v>
      </c>
      <c r="B1297" s="71" t="s">
        <v>91</v>
      </c>
      <c r="C1297" s="71" t="s">
        <v>2211</v>
      </c>
    </row>
    <row r="1298" spans="1:3">
      <c r="A1298" s="147" t="s">
        <v>2403</v>
      </c>
      <c r="B1298" s="71" t="s">
        <v>92</v>
      </c>
      <c r="C1298" s="71" t="s">
        <v>2212</v>
      </c>
    </row>
    <row r="1299" spans="1:3">
      <c r="A1299" s="146" t="s">
        <v>2400</v>
      </c>
      <c r="B1299" s="71" t="s">
        <v>37</v>
      </c>
      <c r="C1299" s="71" t="s">
        <v>2213</v>
      </c>
    </row>
    <row r="1300" spans="1:3">
      <c r="A1300" s="147" t="s">
        <v>2404</v>
      </c>
      <c r="B1300" s="71" t="s">
        <v>93</v>
      </c>
      <c r="C1300" s="71" t="s">
        <v>2214</v>
      </c>
    </row>
    <row r="1301" spans="1:3">
      <c r="A1301" s="147" t="s">
        <v>2405</v>
      </c>
      <c r="B1301" s="71" t="s">
        <v>493</v>
      </c>
      <c r="C1301" s="71" t="s">
        <v>2215</v>
      </c>
    </row>
    <row r="1302" spans="1:3">
      <c r="A1302" s="147" t="s">
        <v>2406</v>
      </c>
      <c r="B1302" s="71" t="s">
        <v>94</v>
      </c>
      <c r="C1302" s="71" t="s">
        <v>2216</v>
      </c>
    </row>
    <row r="1303" spans="1:3">
      <c r="A1303" s="147" t="s">
        <v>2407</v>
      </c>
      <c r="B1303" s="71" t="s">
        <v>2159</v>
      </c>
      <c r="C1303" s="71" t="s">
        <v>2248</v>
      </c>
    </row>
    <row r="1304" spans="1:3">
      <c r="A1304" s="146" t="s">
        <v>2408</v>
      </c>
      <c r="B1304" s="71" t="s">
        <v>2249</v>
      </c>
      <c r="C1304" s="71" t="s">
        <v>2250</v>
      </c>
    </row>
    <row r="1305" spans="1:3">
      <c r="A1305" s="146" t="s">
        <v>2411</v>
      </c>
      <c r="B1305" s="71" t="s">
        <v>2253</v>
      </c>
      <c r="C1305" s="71" t="s">
        <v>2252</v>
      </c>
    </row>
    <row r="1306" spans="1:3">
      <c r="A1306" s="147" t="s">
        <v>2412</v>
      </c>
      <c r="B1306" s="71" t="s">
        <v>334</v>
      </c>
      <c r="C1306" s="71" t="s">
        <v>3541</v>
      </c>
    </row>
    <row r="1307" spans="1:3">
      <c r="A1307" s="147" t="s">
        <v>2413</v>
      </c>
      <c r="B1307" s="71" t="s">
        <v>335</v>
      </c>
      <c r="C1307" s="71" t="s">
        <v>2217</v>
      </c>
    </row>
    <row r="1308" spans="1:3">
      <c r="A1308" s="147" t="s">
        <v>2414</v>
      </c>
      <c r="B1308" s="71" t="s">
        <v>337</v>
      </c>
      <c r="C1308" s="71" t="s">
        <v>2221</v>
      </c>
    </row>
    <row r="1309" spans="1:3">
      <c r="A1309" s="147" t="s">
        <v>2415</v>
      </c>
      <c r="B1309" s="71" t="s">
        <v>338</v>
      </c>
      <c r="C1309" s="71" t="s">
        <v>2220</v>
      </c>
    </row>
    <row r="1310" spans="1:3">
      <c r="A1310" s="146" t="s">
        <v>2416</v>
      </c>
      <c r="B1310" s="71" t="s">
        <v>2254</v>
      </c>
      <c r="C1310" s="71" t="s">
        <v>2251</v>
      </c>
    </row>
    <row r="1311" spans="1:3">
      <c r="A1311" s="147" t="s">
        <v>2417</v>
      </c>
      <c r="B1311" s="71" t="s">
        <v>2442</v>
      </c>
      <c r="C1311" s="71" t="s">
        <v>2443</v>
      </c>
    </row>
    <row r="1312" spans="1:3">
      <c r="A1312" s="147" t="s">
        <v>2418</v>
      </c>
      <c r="B1312" s="71" t="s">
        <v>2255</v>
      </c>
      <c r="C1312" s="71" t="s">
        <v>2218</v>
      </c>
    </row>
    <row r="1313" spans="1:3">
      <c r="A1313" s="147" t="s">
        <v>2419</v>
      </c>
      <c r="B1313" s="71" t="s">
        <v>336</v>
      </c>
      <c r="C1313" s="71" t="s">
        <v>2219</v>
      </c>
    </row>
    <row r="1314" spans="1:3">
      <c r="A1314" s="147" t="s">
        <v>2420</v>
      </c>
      <c r="B1314" s="71" t="s">
        <v>339</v>
      </c>
      <c r="C1314" s="71" t="s">
        <v>2222</v>
      </c>
    </row>
    <row r="1315" spans="1:3">
      <c r="A1315" s="147" t="s">
        <v>2421</v>
      </c>
      <c r="B1315" s="71" t="s">
        <v>86</v>
      </c>
      <c r="C1315" s="71" t="s">
        <v>2223</v>
      </c>
    </row>
    <row r="1316" spans="1:3">
      <c r="A1316" s="147" t="s">
        <v>2422</v>
      </c>
      <c r="B1316" s="71" t="s">
        <v>127</v>
      </c>
      <c r="C1316" s="71" t="s">
        <v>2224</v>
      </c>
    </row>
    <row r="1317" spans="1:3">
      <c r="A1317" s="147" t="s">
        <v>2156</v>
      </c>
      <c r="B1317" s="71" t="s">
        <v>396</v>
      </c>
      <c r="C1317" s="71" t="s">
        <v>2225</v>
      </c>
    </row>
    <row r="1318" spans="1:3" ht="27" customHeight="1">
      <c r="A1318" s="152" t="s">
        <v>2423</v>
      </c>
      <c r="B1318" s="73" t="s">
        <v>2444</v>
      </c>
      <c r="C1318" s="73" t="s">
        <v>2445</v>
      </c>
    </row>
    <row r="1319" spans="1:3">
      <c r="A1319" s="147" t="s">
        <v>2424</v>
      </c>
      <c r="B1319" s="71" t="s">
        <v>95</v>
      </c>
      <c r="C1319" s="71" t="s">
        <v>2226</v>
      </c>
    </row>
    <row r="1320" spans="1:3">
      <c r="A1320" s="146" t="s">
        <v>2425</v>
      </c>
      <c r="B1320" s="71" t="s">
        <v>128</v>
      </c>
      <c r="C1320" s="71" t="s">
        <v>2227</v>
      </c>
    </row>
    <row r="1321" spans="1:3">
      <c r="A1321" s="146" t="s">
        <v>2430</v>
      </c>
      <c r="B1321" s="71" t="s">
        <v>87</v>
      </c>
      <c r="C1321" s="71" t="s">
        <v>2431</v>
      </c>
    </row>
    <row r="1322" spans="1:3">
      <c r="A1322" s="147" t="s">
        <v>2426</v>
      </c>
      <c r="B1322" s="71" t="s">
        <v>129</v>
      </c>
      <c r="C1322" s="71" t="s">
        <v>2228</v>
      </c>
    </row>
    <row r="1323" spans="1:3">
      <c r="A1323" s="147" t="s">
        <v>2427</v>
      </c>
      <c r="B1323" s="71" t="s">
        <v>130</v>
      </c>
      <c r="C1323" s="71" t="s">
        <v>2229</v>
      </c>
    </row>
    <row r="1324" spans="1:3">
      <c r="A1324" s="147" t="s">
        <v>2428</v>
      </c>
      <c r="B1324" s="71" t="s">
        <v>256</v>
      </c>
      <c r="C1324" s="71" t="s">
        <v>3507</v>
      </c>
    </row>
    <row r="1325" spans="1:3">
      <c r="A1325" s="147" t="s">
        <v>2429</v>
      </c>
      <c r="B1325" s="71" t="str">
        <f>" &lt;&gt; Pos. 418e, Betriebsergebnis unter I. Erfolgsrechnung (" &amp; TEXT(ER!$F$88,"#'##0") &amp; ") ?"</f>
        <v xml:space="preserve"> &lt;&gt; Pos. 418e, Betriebsergebnis unter I. Erfolgsrechnung ('0) ?</v>
      </c>
      <c r="C1325" s="71" t="str">
        <f xml:space="preserve"> " &lt;&gt; pos. 418e, Résultat de l'exercice sous I. Compte de résultat (" &amp; TEXT(ER!$F$88,"#'##0") &amp; ") ?"</f>
        <v xml:space="preserve"> &lt;&gt; pos. 418e, Résultat de l'exercice sous I. Compte de résultat ('0) ?</v>
      </c>
    </row>
    <row r="1326" spans="1:3" ht="25.5">
      <c r="A1326" s="149" t="s">
        <v>2432</v>
      </c>
      <c r="B1326" s="73" t="s">
        <v>3039</v>
      </c>
      <c r="C1326" s="73" t="s">
        <v>3040</v>
      </c>
    </row>
    <row r="1327" spans="1:3">
      <c r="A1327" s="71" t="s">
        <v>3245</v>
      </c>
      <c r="B1327" s="71" t="s">
        <v>391</v>
      </c>
      <c r="C1327" s="71" t="s">
        <v>2132</v>
      </c>
    </row>
    <row r="1328" spans="1:3">
      <c r="A1328" s="71" t="s">
        <v>3246</v>
      </c>
      <c r="B1328" s="71" t="s">
        <v>257</v>
      </c>
      <c r="C1328" s="71" t="s">
        <v>2136</v>
      </c>
    </row>
    <row r="1329" spans="1:3">
      <c r="A1329" s="71" t="s">
        <v>3247</v>
      </c>
      <c r="B1329" s="71" t="s">
        <v>2143</v>
      </c>
      <c r="C1329" s="71" t="s">
        <v>2144</v>
      </c>
    </row>
    <row r="1330" spans="1:3">
      <c r="A1330" s="71" t="s">
        <v>3248</v>
      </c>
      <c r="B1330" s="71" t="str">
        <f>+"Lebensversicherungsunternehmen: "&amp;Vr</f>
        <v xml:space="preserve">Lebensversicherungsunternehmen: </v>
      </c>
      <c r="C1330" s="71" t="str">
        <f>+"Entreprise d'assurance sur la vie: "&amp;Vr</f>
        <v xml:space="preserve">Entreprise d'assurance sur la vie: </v>
      </c>
    </row>
    <row r="1331" spans="1:3">
      <c r="A1331" s="71" t="s">
        <v>3249</v>
      </c>
      <c r="B1331" s="71" t="s">
        <v>4060</v>
      </c>
      <c r="C1331" s="71" t="s">
        <v>4057</v>
      </c>
    </row>
    <row r="1332" spans="1:3">
      <c r="A1332" s="71" t="s">
        <v>3250</v>
      </c>
      <c r="B1332" s="71" t="s">
        <v>255</v>
      </c>
      <c r="C1332" s="71" t="s">
        <v>2160</v>
      </c>
    </row>
    <row r="1333" spans="1:3">
      <c r="A1333" s="71" t="s">
        <v>3317</v>
      </c>
      <c r="B1333" s="71" t="s">
        <v>3211</v>
      </c>
      <c r="C1333" s="71" t="s">
        <v>3475</v>
      </c>
    </row>
    <row r="1334" spans="1:3">
      <c r="A1334" s="71" t="s">
        <v>3251</v>
      </c>
      <c r="B1334" s="71" t="s">
        <v>187</v>
      </c>
      <c r="C1334" s="71" t="s">
        <v>2161</v>
      </c>
    </row>
    <row r="1335" spans="1:3">
      <c r="A1335" s="71" t="s">
        <v>3252</v>
      </c>
      <c r="B1335" s="71" t="s">
        <v>3298</v>
      </c>
      <c r="C1335" s="71" t="s">
        <v>2880</v>
      </c>
    </row>
    <row r="1336" spans="1:3">
      <c r="A1336" s="71" t="s">
        <v>3324</v>
      </c>
      <c r="B1336" s="71" t="s">
        <v>3068</v>
      </c>
      <c r="C1336" s="71" t="s">
        <v>3297</v>
      </c>
    </row>
    <row r="1337" spans="1:3">
      <c r="A1337" s="71" t="s">
        <v>3325</v>
      </c>
      <c r="B1337" s="71" t="s">
        <v>3079</v>
      </c>
      <c r="C1337" s="71" t="s">
        <v>3476</v>
      </c>
    </row>
    <row r="1338" spans="1:3" ht="25.5">
      <c r="A1338" s="71" t="s">
        <v>3318</v>
      </c>
      <c r="B1338" s="72" t="s">
        <v>3080</v>
      </c>
      <c r="C1338" s="72" t="s">
        <v>3493</v>
      </c>
    </row>
    <row r="1339" spans="1:3">
      <c r="A1339" s="71" t="s">
        <v>3299</v>
      </c>
      <c r="B1339" s="71" t="s">
        <v>3069</v>
      </c>
      <c r="C1339" s="157" t="s">
        <v>3477</v>
      </c>
    </row>
    <row r="1340" spans="1:3">
      <c r="A1340" s="71" t="s">
        <v>3300</v>
      </c>
      <c r="B1340" s="71" t="s">
        <v>3070</v>
      </c>
      <c r="C1340" s="71" t="s">
        <v>3478</v>
      </c>
    </row>
    <row r="1341" spans="1:3">
      <c r="A1341" s="71" t="s">
        <v>3301</v>
      </c>
      <c r="B1341" s="71" t="s">
        <v>3071</v>
      </c>
      <c r="C1341" s="71" t="s">
        <v>3479</v>
      </c>
    </row>
    <row r="1342" spans="1:3">
      <c r="A1342" s="71" t="s">
        <v>3302</v>
      </c>
      <c r="B1342" s="71" t="s">
        <v>3072</v>
      </c>
      <c r="C1342" s="71" t="s">
        <v>3480</v>
      </c>
    </row>
    <row r="1343" spans="1:3">
      <c r="A1343" s="71" t="s">
        <v>3326</v>
      </c>
      <c r="B1343" s="71" t="s">
        <v>67</v>
      </c>
      <c r="C1343" s="71" t="s">
        <v>2162</v>
      </c>
    </row>
    <row r="1344" spans="1:3">
      <c r="A1344" s="71" t="s">
        <v>3319</v>
      </c>
      <c r="B1344" s="71" t="s">
        <v>68</v>
      </c>
      <c r="C1344" s="71" t="s">
        <v>1209</v>
      </c>
    </row>
    <row r="1345" spans="1:3">
      <c r="A1345" s="71" t="s">
        <v>3253</v>
      </c>
      <c r="B1345" s="71" t="s">
        <v>3103</v>
      </c>
      <c r="C1345" s="71" t="s">
        <v>3482</v>
      </c>
    </row>
    <row r="1346" spans="1:3">
      <c r="A1346" s="71" t="s">
        <v>3303</v>
      </c>
      <c r="B1346" s="71" t="s">
        <v>3171</v>
      </c>
      <c r="C1346" s="71" t="s">
        <v>3481</v>
      </c>
    </row>
    <row r="1347" spans="1:3">
      <c r="A1347" s="71" t="s">
        <v>3687</v>
      </c>
      <c r="B1347" s="71" t="s">
        <v>499</v>
      </c>
      <c r="C1347" s="71" t="s">
        <v>2230</v>
      </c>
    </row>
    <row r="1348" spans="1:3">
      <c r="A1348" s="71" t="s">
        <v>3688</v>
      </c>
      <c r="B1348" s="71" t="s">
        <v>7</v>
      </c>
      <c r="C1348" s="71" t="s">
        <v>2179</v>
      </c>
    </row>
    <row r="1349" spans="1:3">
      <c r="A1349" s="71" t="s">
        <v>3689</v>
      </c>
      <c r="B1349" s="71" t="s">
        <v>3073</v>
      </c>
      <c r="C1349" s="71" t="s">
        <v>3513</v>
      </c>
    </row>
    <row r="1350" spans="1:3">
      <c r="A1350" s="71" t="s">
        <v>3690</v>
      </c>
      <c r="B1350" s="71" t="s">
        <v>3114</v>
      </c>
      <c r="C1350" s="71" t="s">
        <v>3483</v>
      </c>
    </row>
    <row r="1351" spans="1:3">
      <c r="A1351" s="71" t="s">
        <v>3691</v>
      </c>
      <c r="B1351" s="71" t="s">
        <v>3074</v>
      </c>
      <c r="C1351" s="71" t="s">
        <v>3484</v>
      </c>
    </row>
    <row r="1352" spans="1:3">
      <c r="A1352" s="71" t="s">
        <v>3692</v>
      </c>
      <c r="B1352" s="71" t="s">
        <v>3075</v>
      </c>
      <c r="C1352" s="71" t="s">
        <v>891</v>
      </c>
    </row>
    <row r="1353" spans="1:3">
      <c r="A1353" s="71" t="s">
        <v>3693</v>
      </c>
      <c r="B1353" s="71" t="s">
        <v>500</v>
      </c>
      <c r="C1353" s="71" t="s">
        <v>2164</v>
      </c>
    </row>
    <row r="1354" spans="1:3">
      <c r="A1354" s="71" t="s">
        <v>3694</v>
      </c>
      <c r="B1354" s="71" t="s">
        <v>502</v>
      </c>
      <c r="C1354" s="71" t="s">
        <v>2166</v>
      </c>
    </row>
    <row r="1355" spans="1:3">
      <c r="A1355" s="71" t="s">
        <v>3695</v>
      </c>
      <c r="B1355" s="71" t="s">
        <v>501</v>
      </c>
      <c r="C1355" s="71" t="s">
        <v>2165</v>
      </c>
    </row>
    <row r="1356" spans="1:3">
      <c r="A1356" s="71" t="s">
        <v>3696</v>
      </c>
      <c r="B1356" s="71" t="s">
        <v>482</v>
      </c>
      <c r="C1356" s="71" t="s">
        <v>2167</v>
      </c>
    </row>
    <row r="1357" spans="1:3">
      <c r="A1357" s="71" t="s">
        <v>3304</v>
      </c>
      <c r="B1357" s="71" t="s">
        <v>3076</v>
      </c>
      <c r="C1357" s="71" t="s">
        <v>3485</v>
      </c>
    </row>
    <row r="1358" spans="1:3">
      <c r="A1358" s="71" t="s">
        <v>3254</v>
      </c>
      <c r="B1358" s="71" t="s">
        <v>3077</v>
      </c>
      <c r="C1358" s="71" t="s">
        <v>3486</v>
      </c>
    </row>
    <row r="1359" spans="1:3">
      <c r="A1359" s="71" t="s">
        <v>3255</v>
      </c>
      <c r="B1359" s="71" t="s">
        <v>3078</v>
      </c>
      <c r="C1359" s="71" t="s">
        <v>3487</v>
      </c>
    </row>
    <row r="1360" spans="1:3">
      <c r="A1360" s="71" t="s">
        <v>3256</v>
      </c>
      <c r="B1360" s="71" t="s">
        <v>190</v>
      </c>
      <c r="C1360" s="71" t="s">
        <v>2170</v>
      </c>
    </row>
    <row r="1361" spans="1:3">
      <c r="A1361" s="71" t="s">
        <v>3257</v>
      </c>
      <c r="B1361" s="71" t="s">
        <v>3104</v>
      </c>
      <c r="C1361" s="71" t="s">
        <v>3488</v>
      </c>
    </row>
    <row r="1362" spans="1:3">
      <c r="A1362" s="71" t="s">
        <v>3329</v>
      </c>
      <c r="B1362" s="71" t="s">
        <v>2927</v>
      </c>
      <c r="C1362" s="71" t="s">
        <v>2991</v>
      </c>
    </row>
    <row r="1363" spans="1:3">
      <c r="A1363" s="71" t="s">
        <v>3330</v>
      </c>
      <c r="B1363" s="71" t="s">
        <v>3210</v>
      </c>
      <c r="C1363" s="71" t="s">
        <v>3496</v>
      </c>
    </row>
    <row r="1364" spans="1:3">
      <c r="A1364" s="71" t="s">
        <v>3331</v>
      </c>
      <c r="B1364" s="71" t="s">
        <v>2815</v>
      </c>
      <c r="C1364" s="71" t="s">
        <v>3489</v>
      </c>
    </row>
    <row r="1365" spans="1:3">
      <c r="A1365" s="71" t="s">
        <v>3328</v>
      </c>
      <c r="B1365" s="71" t="s">
        <v>2814</v>
      </c>
      <c r="C1365" s="71" t="s">
        <v>3490</v>
      </c>
    </row>
    <row r="1366" spans="1:3">
      <c r="A1366" s="71" t="s">
        <v>3320</v>
      </c>
      <c r="B1366" s="71" t="s">
        <v>3125</v>
      </c>
      <c r="C1366" s="71" t="s">
        <v>3491</v>
      </c>
    </row>
    <row r="1367" spans="1:3">
      <c r="A1367" s="71" t="s">
        <v>3321</v>
      </c>
      <c r="B1367" s="71" t="s">
        <v>2815</v>
      </c>
      <c r="C1367" s="71" t="s">
        <v>3489</v>
      </c>
    </row>
    <row r="1368" spans="1:3">
      <c r="A1368" s="71" t="s">
        <v>3305</v>
      </c>
      <c r="B1368" s="71" t="s">
        <v>2814</v>
      </c>
      <c r="C1368" s="71" t="s">
        <v>3490</v>
      </c>
    </row>
    <row r="1369" spans="1:3">
      <c r="A1369" s="71" t="s">
        <v>3322</v>
      </c>
      <c r="B1369" s="71" t="s">
        <v>3126</v>
      </c>
      <c r="C1369" s="71" t="s">
        <v>3492</v>
      </c>
    </row>
    <row r="1370" spans="1:3">
      <c r="A1370" s="71" t="s">
        <v>3306</v>
      </c>
      <c r="B1370" s="71" t="s">
        <v>3029</v>
      </c>
      <c r="C1370" s="71" t="s">
        <v>3032</v>
      </c>
    </row>
    <row r="1371" spans="1:3">
      <c r="A1371" s="71" t="s">
        <v>3327</v>
      </c>
      <c r="B1371" s="71" t="s">
        <v>101</v>
      </c>
      <c r="C1371" s="71" t="s">
        <v>656</v>
      </c>
    </row>
    <row r="1372" spans="1:3">
      <c r="A1372" s="71" t="s">
        <v>3258</v>
      </c>
      <c r="B1372" s="71" t="s">
        <v>3105</v>
      </c>
      <c r="C1372" s="71" t="s">
        <v>3494</v>
      </c>
    </row>
    <row r="1373" spans="1:3">
      <c r="A1373" s="71" t="s">
        <v>3307</v>
      </c>
      <c r="B1373" s="71" t="s">
        <v>261</v>
      </c>
      <c r="C1373" s="71" t="s">
        <v>2172</v>
      </c>
    </row>
    <row r="1374" spans="1:3">
      <c r="A1374" s="71" t="s">
        <v>3308</v>
      </c>
      <c r="B1374" s="71" t="s">
        <v>3136</v>
      </c>
      <c r="C1374" s="71" t="s">
        <v>3495</v>
      </c>
    </row>
    <row r="1375" spans="1:3">
      <c r="A1375" s="71" t="s">
        <v>3309</v>
      </c>
      <c r="B1375" s="71" t="s">
        <v>488</v>
      </c>
      <c r="C1375" s="71" t="s">
        <v>2238</v>
      </c>
    </row>
    <row r="1376" spans="1:3">
      <c r="A1376" s="71" t="s">
        <v>3323</v>
      </c>
      <c r="B1376" s="71" t="s">
        <v>3083</v>
      </c>
      <c r="C1376" s="71" t="s">
        <v>3497</v>
      </c>
    </row>
    <row r="1377" spans="1:3">
      <c r="A1377" s="71" t="s">
        <v>3310</v>
      </c>
      <c r="B1377" s="71" t="s">
        <v>588</v>
      </c>
      <c r="C1377" s="71" t="s">
        <v>2237</v>
      </c>
    </row>
    <row r="1378" spans="1:3">
      <c r="A1378" s="71" t="s">
        <v>3311</v>
      </c>
      <c r="B1378" s="71" t="s">
        <v>3128</v>
      </c>
      <c r="C1378" s="71" t="s">
        <v>3498</v>
      </c>
    </row>
    <row r="1379" spans="1:3">
      <c r="A1379" s="71" t="s">
        <v>3312</v>
      </c>
      <c r="B1379" s="71" t="s">
        <v>3137</v>
      </c>
      <c r="C1379" s="71" t="s">
        <v>3499</v>
      </c>
    </row>
    <row r="1380" spans="1:3">
      <c r="A1380" s="71" t="s">
        <v>3313</v>
      </c>
      <c r="B1380" s="71" t="s">
        <v>3134</v>
      </c>
      <c r="C1380" s="71" t="s">
        <v>3500</v>
      </c>
    </row>
    <row r="1381" spans="1:3">
      <c r="A1381" s="71" t="s">
        <v>3314</v>
      </c>
      <c r="B1381" s="71" t="s">
        <v>3131</v>
      </c>
      <c r="C1381" s="71" t="s">
        <v>3501</v>
      </c>
    </row>
    <row r="1382" spans="1:3">
      <c r="A1382" s="71" t="s">
        <v>3315</v>
      </c>
      <c r="B1382" s="71" t="s">
        <v>3084</v>
      </c>
      <c r="C1382" s="71" t="s">
        <v>3520</v>
      </c>
    </row>
    <row r="1383" spans="1:3">
      <c r="A1383" s="71" t="s">
        <v>3316</v>
      </c>
      <c r="B1383" s="71" t="s">
        <v>3086</v>
      </c>
      <c r="C1383" s="71" t="s">
        <v>3502</v>
      </c>
    </row>
    <row r="1384" spans="1:3">
      <c r="A1384" s="71" t="s">
        <v>3259</v>
      </c>
      <c r="B1384" s="71" t="s">
        <v>3088</v>
      </c>
      <c r="C1384" s="71" t="s">
        <v>2224</v>
      </c>
    </row>
    <row r="1385" spans="1:3">
      <c r="A1385" s="71" t="s">
        <v>3260</v>
      </c>
      <c r="B1385" s="71" t="s">
        <v>3133</v>
      </c>
      <c r="C1385" s="71" t="s">
        <v>3504</v>
      </c>
    </row>
    <row r="1386" spans="1:3">
      <c r="A1386" s="71" t="s">
        <v>3261</v>
      </c>
      <c r="B1386" s="71" t="s">
        <v>3106</v>
      </c>
      <c r="C1386" s="71" t="s">
        <v>3505</v>
      </c>
    </row>
    <row r="1387" spans="1:3">
      <c r="A1387" s="71" t="s">
        <v>3262</v>
      </c>
      <c r="B1387" s="71" t="s">
        <v>3107</v>
      </c>
      <c r="C1387" s="71" t="s">
        <v>3506</v>
      </c>
    </row>
    <row r="1388" spans="1:3">
      <c r="A1388" s="71" t="s">
        <v>3263</v>
      </c>
      <c r="B1388" s="71" t="s">
        <v>256</v>
      </c>
      <c r="C1388" s="71" t="s">
        <v>3507</v>
      </c>
    </row>
    <row r="1389" spans="1:3">
      <c r="A1389" s="71" t="s">
        <v>3264</v>
      </c>
      <c r="B1389" s="71" t="s">
        <v>2846</v>
      </c>
      <c r="C1389" s="71" t="s">
        <v>2847</v>
      </c>
    </row>
    <row r="1390" spans="1:3">
      <c r="A1390" s="71" t="s">
        <v>3265</v>
      </c>
      <c r="B1390" s="71" t="s">
        <v>259</v>
      </c>
      <c r="C1390" s="71" t="s">
        <v>1615</v>
      </c>
    </row>
    <row r="1391" spans="1:3">
      <c r="A1391" s="71" t="s">
        <v>3266</v>
      </c>
      <c r="B1391" s="71" t="s">
        <v>258</v>
      </c>
      <c r="C1391" s="71" t="s">
        <v>2178</v>
      </c>
    </row>
    <row r="1392" spans="1:3">
      <c r="A1392" s="71" t="s">
        <v>3332</v>
      </c>
      <c r="B1392" s="71" t="s">
        <v>7</v>
      </c>
      <c r="C1392" s="71" t="s">
        <v>2179</v>
      </c>
    </row>
    <row r="1393" spans="1:3">
      <c r="A1393" s="71" t="s">
        <v>3333</v>
      </c>
      <c r="B1393" s="71" t="s">
        <v>3073</v>
      </c>
      <c r="C1393" s="71" t="s">
        <v>3513</v>
      </c>
    </row>
    <row r="1394" spans="1:3">
      <c r="A1394" s="71" t="s">
        <v>3334</v>
      </c>
      <c r="B1394" s="71" t="s">
        <v>3093</v>
      </c>
      <c r="C1394" s="71" t="s">
        <v>3093</v>
      </c>
    </row>
    <row r="1395" spans="1:3">
      <c r="A1395" s="71" t="s">
        <v>3335</v>
      </c>
      <c r="B1395" s="71" t="s">
        <v>3094</v>
      </c>
      <c r="C1395" s="71" t="s">
        <v>3579</v>
      </c>
    </row>
    <row r="1396" spans="1:3">
      <c r="A1396" s="71" t="s">
        <v>3336</v>
      </c>
      <c r="B1396" s="71" t="s">
        <v>3114</v>
      </c>
      <c r="C1396" s="71" t="s">
        <v>3483</v>
      </c>
    </row>
    <row r="1397" spans="1:3">
      <c r="A1397" s="71" t="s">
        <v>3337</v>
      </c>
      <c r="B1397" s="71" t="s">
        <v>3074</v>
      </c>
      <c r="C1397" s="71" t="s">
        <v>3484</v>
      </c>
    </row>
    <row r="1398" spans="1:3">
      <c r="A1398" s="71" t="s">
        <v>3338</v>
      </c>
      <c r="B1398" s="71" t="s">
        <v>3095</v>
      </c>
      <c r="C1398" s="71" t="s">
        <v>3514</v>
      </c>
    </row>
    <row r="1399" spans="1:3">
      <c r="A1399" s="71" t="s">
        <v>3339</v>
      </c>
      <c r="B1399" s="71" t="s">
        <v>3096</v>
      </c>
      <c r="C1399" s="71" t="s">
        <v>3508</v>
      </c>
    </row>
    <row r="1400" spans="1:3">
      <c r="A1400" s="71" t="s">
        <v>3341</v>
      </c>
      <c r="B1400" s="71" t="s">
        <v>485</v>
      </c>
      <c r="C1400" s="71" t="s">
        <v>881</v>
      </c>
    </row>
    <row r="1401" spans="1:3">
      <c r="A1401" s="71" t="s">
        <v>3340</v>
      </c>
      <c r="B1401" s="71" t="s">
        <v>3399</v>
      </c>
      <c r="C1401" s="71" t="s">
        <v>3527</v>
      </c>
    </row>
    <row r="1402" spans="1:3">
      <c r="A1402" s="71" t="s">
        <v>3400</v>
      </c>
      <c r="B1402" s="71" t="s">
        <v>3075</v>
      </c>
      <c r="C1402" s="71" t="s">
        <v>891</v>
      </c>
    </row>
    <row r="1403" spans="1:3">
      <c r="A1403" s="71" t="s">
        <v>3267</v>
      </c>
      <c r="B1403" s="71" t="s">
        <v>3443</v>
      </c>
      <c r="C1403" s="71" t="s">
        <v>3529</v>
      </c>
    </row>
    <row r="1404" spans="1:3">
      <c r="A1404" s="71" t="s">
        <v>3268</v>
      </c>
      <c r="B1404" s="71" t="s">
        <v>2798</v>
      </c>
      <c r="C1404" s="71" t="s">
        <v>2800</v>
      </c>
    </row>
    <row r="1405" spans="1:3">
      <c r="A1405" s="71" t="s">
        <v>3269</v>
      </c>
      <c r="B1405" s="71" t="s">
        <v>3162</v>
      </c>
      <c r="C1405" s="71" t="s">
        <v>3515</v>
      </c>
    </row>
    <row r="1406" spans="1:3">
      <c r="A1406" s="71" t="s">
        <v>3390</v>
      </c>
      <c r="B1406" s="71" t="s">
        <v>260</v>
      </c>
      <c r="C1406" s="71" t="s">
        <v>2184</v>
      </c>
    </row>
    <row r="1407" spans="1:3">
      <c r="A1407" s="71" t="s">
        <v>3401</v>
      </c>
      <c r="B1407" s="71" t="s">
        <v>3081</v>
      </c>
      <c r="C1407" s="71" t="s">
        <v>3516</v>
      </c>
    </row>
    <row r="1408" spans="1:3">
      <c r="A1408" s="71" t="s">
        <v>3402</v>
      </c>
      <c r="B1408" s="71" t="s">
        <v>261</v>
      </c>
      <c r="C1408" s="71" t="s">
        <v>2172</v>
      </c>
    </row>
    <row r="1409" spans="1:3">
      <c r="A1409" s="71" t="s">
        <v>3391</v>
      </c>
      <c r="B1409" s="71" t="s">
        <v>589</v>
      </c>
      <c r="C1409" s="71" t="s">
        <v>3517</v>
      </c>
    </row>
    <row r="1410" spans="1:3">
      <c r="A1410" s="71" t="s">
        <v>3342</v>
      </c>
      <c r="B1410" s="71" t="s">
        <v>590</v>
      </c>
      <c r="C1410" s="71" t="s">
        <v>3518</v>
      </c>
    </row>
    <row r="1411" spans="1:3">
      <c r="A1411" s="71" t="s">
        <v>3403</v>
      </c>
      <c r="B1411" s="71" t="s">
        <v>3082</v>
      </c>
      <c r="C1411" s="71" t="s">
        <v>3495</v>
      </c>
    </row>
    <row r="1412" spans="1:3">
      <c r="A1412" s="71" t="s">
        <v>3392</v>
      </c>
      <c r="B1412" s="71" t="s">
        <v>589</v>
      </c>
      <c r="C1412" s="71" t="s">
        <v>3517</v>
      </c>
    </row>
    <row r="1413" spans="1:3">
      <c r="A1413" s="71" t="s">
        <v>3343</v>
      </c>
      <c r="B1413" s="71" t="s">
        <v>590</v>
      </c>
      <c r="C1413" s="71" t="s">
        <v>3518</v>
      </c>
    </row>
    <row r="1414" spans="1:3">
      <c r="A1414" s="71" t="s">
        <v>3404</v>
      </c>
      <c r="B1414" s="71" t="s">
        <v>488</v>
      </c>
      <c r="C1414" s="71" t="s">
        <v>2238</v>
      </c>
    </row>
    <row r="1415" spans="1:3">
      <c r="A1415" s="71" t="s">
        <v>3393</v>
      </c>
      <c r="B1415" s="71" t="s">
        <v>589</v>
      </c>
      <c r="C1415" s="71" t="s">
        <v>3517</v>
      </c>
    </row>
    <row r="1416" spans="1:3">
      <c r="A1416" s="71" t="s">
        <v>3344</v>
      </c>
      <c r="B1416" s="71" t="s">
        <v>590</v>
      </c>
      <c r="C1416" s="71" t="s">
        <v>3518</v>
      </c>
    </row>
    <row r="1417" spans="1:3">
      <c r="A1417" s="71" t="s">
        <v>3405</v>
      </c>
      <c r="B1417" s="71" t="s">
        <v>3083</v>
      </c>
      <c r="C1417" s="71" t="s">
        <v>3497</v>
      </c>
    </row>
    <row r="1418" spans="1:3">
      <c r="A1418" s="71" t="s">
        <v>3394</v>
      </c>
      <c r="B1418" s="71" t="s">
        <v>589</v>
      </c>
      <c r="C1418" s="71" t="s">
        <v>3517</v>
      </c>
    </row>
    <row r="1419" spans="1:3">
      <c r="A1419" s="71" t="s">
        <v>3406</v>
      </c>
      <c r="B1419" s="71" t="s">
        <v>590</v>
      </c>
      <c r="C1419" s="71" t="s">
        <v>3518</v>
      </c>
    </row>
    <row r="1420" spans="1:3">
      <c r="A1420" s="71" t="s">
        <v>3345</v>
      </c>
      <c r="B1420" s="71" t="s">
        <v>588</v>
      </c>
      <c r="C1420" s="71" t="s">
        <v>2237</v>
      </c>
    </row>
    <row r="1421" spans="1:3">
      <c r="A1421" s="71" t="s">
        <v>3346</v>
      </c>
      <c r="B1421" s="71" t="s">
        <v>3128</v>
      </c>
      <c r="C1421" s="71" t="s">
        <v>3498</v>
      </c>
    </row>
    <row r="1422" spans="1:3">
      <c r="A1422" s="71" t="s">
        <v>3347</v>
      </c>
      <c r="B1422" s="71" t="s">
        <v>4208</v>
      </c>
      <c r="C1422" s="71" t="s">
        <v>4209</v>
      </c>
    </row>
    <row r="1423" spans="1:3">
      <c r="A1423" s="71" t="s">
        <v>3348</v>
      </c>
      <c r="B1423" s="71" t="s">
        <v>3135</v>
      </c>
      <c r="C1423" s="71" t="s">
        <v>3500</v>
      </c>
    </row>
    <row r="1424" spans="1:3">
      <c r="A1424" s="71" t="s">
        <v>3349</v>
      </c>
      <c r="B1424" s="71" t="s">
        <v>3155</v>
      </c>
      <c r="C1424" s="71" t="s">
        <v>3542</v>
      </c>
    </row>
    <row r="1425" spans="1:3">
      <c r="A1425" s="71" t="s">
        <v>3395</v>
      </c>
      <c r="B1425" s="71" t="s">
        <v>3086</v>
      </c>
      <c r="C1425" s="71" t="s">
        <v>3502</v>
      </c>
    </row>
    <row r="1426" spans="1:3">
      <c r="A1426" s="71" t="s">
        <v>3407</v>
      </c>
      <c r="B1426" s="71" t="s">
        <v>3084</v>
      </c>
      <c r="C1426" s="71" t="s">
        <v>3520</v>
      </c>
    </row>
    <row r="1427" spans="1:3">
      <c r="A1427" s="71" t="s">
        <v>3350</v>
      </c>
      <c r="B1427" s="71" t="s">
        <v>3085</v>
      </c>
      <c r="C1427" s="71" t="s">
        <v>3530</v>
      </c>
    </row>
    <row r="1428" spans="1:3">
      <c r="A1428" s="71" t="s">
        <v>3351</v>
      </c>
      <c r="B1428" s="71" t="s">
        <v>3108</v>
      </c>
      <c r="C1428" s="71" t="s">
        <v>3525</v>
      </c>
    </row>
    <row r="1429" spans="1:3">
      <c r="A1429" s="71" t="s">
        <v>3352</v>
      </c>
      <c r="B1429" s="71" t="s">
        <v>3087</v>
      </c>
      <c r="C1429" s="71" t="s">
        <v>3531</v>
      </c>
    </row>
    <row r="1430" spans="1:3">
      <c r="A1430" s="71" t="s">
        <v>3353</v>
      </c>
      <c r="B1430" s="71" t="s">
        <v>3109</v>
      </c>
      <c r="C1430" s="71" t="s">
        <v>3580</v>
      </c>
    </row>
    <row r="1431" spans="1:3">
      <c r="A1431" s="71" t="s">
        <v>3354</v>
      </c>
      <c r="B1431" s="71" t="s">
        <v>3111</v>
      </c>
      <c r="C1431" s="71" t="s">
        <v>3532</v>
      </c>
    </row>
    <row r="1432" spans="1:3">
      <c r="A1432" s="71" t="s">
        <v>3396</v>
      </c>
      <c r="B1432" s="71" t="s">
        <v>3110</v>
      </c>
      <c r="C1432" s="71" t="s">
        <v>3533</v>
      </c>
    </row>
    <row r="1433" spans="1:3">
      <c r="A1433" s="71" t="s">
        <v>3408</v>
      </c>
      <c r="B1433" s="71" t="s">
        <v>3112</v>
      </c>
      <c r="C1433" s="71" t="s">
        <v>3524</v>
      </c>
    </row>
    <row r="1434" spans="1:3">
      <c r="A1434" s="71" t="s">
        <v>3409</v>
      </c>
      <c r="B1434" s="71" t="s">
        <v>2810</v>
      </c>
      <c r="C1434" s="71" t="s">
        <v>2812</v>
      </c>
    </row>
    <row r="1435" spans="1:3">
      <c r="A1435" s="71" t="s">
        <v>3355</v>
      </c>
      <c r="B1435" s="71" t="s">
        <v>3085</v>
      </c>
      <c r="C1435" s="71" t="s">
        <v>3530</v>
      </c>
    </row>
    <row r="1436" spans="1:3">
      <c r="A1436" s="71" t="s">
        <v>3356</v>
      </c>
      <c r="B1436" s="71" t="s">
        <v>3089</v>
      </c>
      <c r="C1436" s="71" t="s">
        <v>3534</v>
      </c>
    </row>
    <row r="1437" spans="1:3">
      <c r="A1437" s="71" t="s">
        <v>3357</v>
      </c>
      <c r="B1437" s="71" t="s">
        <v>3090</v>
      </c>
      <c r="C1437" s="71" t="s">
        <v>3503</v>
      </c>
    </row>
    <row r="1438" spans="1:3">
      <c r="A1438" s="71" t="s">
        <v>3397</v>
      </c>
      <c r="B1438" s="71" t="s">
        <v>3113</v>
      </c>
      <c r="C1438" s="71" t="s">
        <v>3535</v>
      </c>
    </row>
    <row r="1439" spans="1:3">
      <c r="A1439" s="71" t="s">
        <v>3410</v>
      </c>
      <c r="B1439" s="71" t="s">
        <v>442</v>
      </c>
      <c r="C1439" s="71" t="s">
        <v>1491</v>
      </c>
    </row>
    <row r="1440" spans="1:3">
      <c r="A1440" s="71" t="s">
        <v>3270</v>
      </c>
      <c r="B1440" s="71" t="s">
        <v>3127</v>
      </c>
      <c r="C1440" s="71" t="s">
        <v>3536</v>
      </c>
    </row>
    <row r="1441" spans="1:3">
      <c r="A1441" s="71" t="s">
        <v>3271</v>
      </c>
      <c r="B1441" s="71" t="s">
        <v>492</v>
      </c>
      <c r="C1441" s="71" t="s">
        <v>3586</v>
      </c>
    </row>
    <row r="1442" spans="1:3">
      <c r="A1442" s="71" t="s">
        <v>3398</v>
      </c>
      <c r="B1442" s="71" t="s">
        <v>2811</v>
      </c>
      <c r="C1442" s="71" t="s">
        <v>2813</v>
      </c>
    </row>
    <row r="1443" spans="1:3">
      <c r="A1443" s="71" t="s">
        <v>3272</v>
      </c>
      <c r="B1443" s="71" t="s">
        <v>3207</v>
      </c>
      <c r="C1443" s="71" t="s">
        <v>3537</v>
      </c>
    </row>
    <row r="1444" spans="1:3">
      <c r="A1444" s="71" t="s">
        <v>3411</v>
      </c>
      <c r="B1444" s="71" t="s">
        <v>3163</v>
      </c>
      <c r="C1444" s="71" t="s">
        <v>3616</v>
      </c>
    </row>
    <row r="1445" spans="1:3">
      <c r="A1445" s="71" t="s">
        <v>3412</v>
      </c>
      <c r="B1445" s="71" t="s">
        <v>3164</v>
      </c>
      <c r="C1445" s="71" t="s">
        <v>3617</v>
      </c>
    </row>
    <row r="1446" spans="1:3">
      <c r="A1446" s="71" t="s">
        <v>3413</v>
      </c>
      <c r="B1446" s="71" t="s">
        <v>36</v>
      </c>
      <c r="C1446" s="71" t="s">
        <v>2247</v>
      </c>
    </row>
    <row r="1447" spans="1:3">
      <c r="A1447" s="71" t="s">
        <v>3362</v>
      </c>
      <c r="B1447" s="71" t="s">
        <v>90</v>
      </c>
      <c r="C1447" s="71" t="s">
        <v>2210</v>
      </c>
    </row>
    <row r="1448" spans="1:3">
      <c r="A1448" s="71" t="s">
        <v>3363</v>
      </c>
      <c r="B1448" s="71" t="s">
        <v>91</v>
      </c>
      <c r="C1448" s="71" t="s">
        <v>2211</v>
      </c>
    </row>
    <row r="1449" spans="1:3">
      <c r="A1449" s="71" t="s">
        <v>3414</v>
      </c>
      <c r="B1449" s="71" t="s">
        <v>92</v>
      </c>
      <c r="C1449" s="71" t="s">
        <v>2212</v>
      </c>
    </row>
    <row r="1450" spans="1:3">
      <c r="A1450" s="71" t="s">
        <v>3415</v>
      </c>
      <c r="B1450" s="71" t="s">
        <v>37</v>
      </c>
      <c r="C1450" s="71" t="s">
        <v>2213</v>
      </c>
    </row>
    <row r="1451" spans="1:3">
      <c r="A1451" s="71" t="s">
        <v>3364</v>
      </c>
      <c r="B1451" s="71" t="s">
        <v>93</v>
      </c>
      <c r="C1451" s="71" t="s">
        <v>2214</v>
      </c>
    </row>
    <row r="1452" spans="1:3">
      <c r="A1452" s="71" t="s">
        <v>3365</v>
      </c>
      <c r="B1452" s="71" t="s">
        <v>493</v>
      </c>
      <c r="C1452" s="71" t="s">
        <v>2215</v>
      </c>
    </row>
    <row r="1453" spans="1:3">
      <c r="A1453" s="71" t="s">
        <v>3416</v>
      </c>
      <c r="B1453" s="71" t="s">
        <v>94</v>
      </c>
      <c r="C1453" s="71" t="s">
        <v>2216</v>
      </c>
    </row>
    <row r="1454" spans="1:3">
      <c r="A1454" s="71" t="s">
        <v>3273</v>
      </c>
      <c r="B1454" s="71" t="s">
        <v>3626</v>
      </c>
      <c r="C1454" s="71" t="s">
        <v>3627</v>
      </c>
    </row>
    <row r="1455" spans="1:3">
      <c r="A1455" s="71" t="s">
        <v>3417</v>
      </c>
      <c r="B1455" s="71" t="s">
        <v>3167</v>
      </c>
      <c r="C1455" s="71" t="s">
        <v>3540</v>
      </c>
    </row>
    <row r="1456" spans="1:3">
      <c r="A1456" s="71" t="s">
        <v>3418</v>
      </c>
      <c r="B1456" s="71" t="s">
        <v>3165</v>
      </c>
      <c r="C1456" s="71" t="s">
        <v>3539</v>
      </c>
    </row>
    <row r="1457" spans="1:3">
      <c r="A1457" s="71" t="s">
        <v>3366</v>
      </c>
      <c r="B1457" s="71" t="s">
        <v>334</v>
      </c>
      <c r="C1457" s="71" t="s">
        <v>3541</v>
      </c>
    </row>
    <row r="1458" spans="1:3">
      <c r="A1458" s="71" t="s">
        <v>3367</v>
      </c>
      <c r="B1458" s="71" t="s">
        <v>335</v>
      </c>
      <c r="C1458" s="71" t="s">
        <v>2217</v>
      </c>
    </row>
    <row r="1459" spans="1:3">
      <c r="A1459" s="71" t="s">
        <v>3368</v>
      </c>
      <c r="B1459" s="71" t="s">
        <v>337</v>
      </c>
      <c r="C1459" s="71" t="s">
        <v>2221</v>
      </c>
    </row>
    <row r="1460" spans="1:3">
      <c r="A1460" s="71" t="s">
        <v>3369</v>
      </c>
      <c r="B1460" s="71" t="s">
        <v>3143</v>
      </c>
      <c r="C1460" s="71" t="s">
        <v>3526</v>
      </c>
    </row>
    <row r="1461" spans="1:3">
      <c r="A1461" s="71" t="s">
        <v>3419</v>
      </c>
      <c r="B1461" s="71" t="s">
        <v>338</v>
      </c>
      <c r="C1461" s="71" t="s">
        <v>2220</v>
      </c>
    </row>
    <row r="1462" spans="1:3">
      <c r="A1462" s="71" t="s">
        <v>3420</v>
      </c>
      <c r="B1462" s="71" t="s">
        <v>3166</v>
      </c>
      <c r="C1462" s="71" t="s">
        <v>3538</v>
      </c>
    </row>
    <row r="1463" spans="1:3">
      <c r="A1463" s="71" t="s">
        <v>3370</v>
      </c>
      <c r="B1463" s="71" t="s">
        <v>3628</v>
      </c>
      <c r="C1463" s="71" t="s">
        <v>3629</v>
      </c>
    </row>
    <row r="1464" spans="1:3">
      <c r="A1464" s="71" t="s">
        <v>3371</v>
      </c>
      <c r="B1464" s="71" t="s">
        <v>2255</v>
      </c>
      <c r="C1464" s="71" t="s">
        <v>2218</v>
      </c>
    </row>
    <row r="1465" spans="1:3">
      <c r="A1465" s="71" t="s">
        <v>3372</v>
      </c>
      <c r="B1465" s="71" t="s">
        <v>336</v>
      </c>
      <c r="C1465" s="71" t="s">
        <v>2219</v>
      </c>
    </row>
    <row r="1466" spans="1:3">
      <c r="A1466" s="71" t="s">
        <v>3373</v>
      </c>
      <c r="B1466" s="71" t="s">
        <v>339</v>
      </c>
      <c r="C1466" s="71" t="s">
        <v>2222</v>
      </c>
    </row>
    <row r="1467" spans="1:3">
      <c r="A1467" s="71" t="s">
        <v>3374</v>
      </c>
      <c r="B1467" s="71" t="s">
        <v>3143</v>
      </c>
      <c r="C1467" s="71" t="s">
        <v>3526</v>
      </c>
    </row>
    <row r="1468" spans="1:3">
      <c r="A1468" s="71" t="s">
        <v>3421</v>
      </c>
      <c r="B1468" s="71" t="s">
        <v>3112</v>
      </c>
      <c r="C1468" s="71" t="s">
        <v>3524</v>
      </c>
    </row>
    <row r="1469" spans="1:3">
      <c r="A1469" s="71" t="s">
        <v>3422</v>
      </c>
      <c r="B1469" s="71" t="s">
        <v>3146</v>
      </c>
      <c r="C1469" s="71" t="s">
        <v>3523</v>
      </c>
    </row>
    <row r="1470" spans="1:3">
      <c r="A1470" s="71" t="s">
        <v>3274</v>
      </c>
      <c r="B1470" s="71" t="s">
        <v>86</v>
      </c>
      <c r="C1470" s="71" t="s">
        <v>2223</v>
      </c>
    </row>
    <row r="1471" spans="1:3">
      <c r="A1471" s="71" t="s">
        <v>3275</v>
      </c>
      <c r="B1471" s="71" t="s">
        <v>127</v>
      </c>
      <c r="C1471" s="71" t="s">
        <v>2224</v>
      </c>
    </row>
    <row r="1472" spans="1:3">
      <c r="A1472" s="71" t="s">
        <v>3276</v>
      </c>
      <c r="B1472" s="71" t="s">
        <v>396</v>
      </c>
      <c r="C1472" s="71" t="s">
        <v>2225</v>
      </c>
    </row>
    <row r="1473" spans="1:3">
      <c r="A1473" s="71" t="s">
        <v>3277</v>
      </c>
      <c r="B1473" s="71" t="s">
        <v>95</v>
      </c>
      <c r="C1473" s="56" t="s">
        <v>2226</v>
      </c>
    </row>
    <row r="1474" spans="1:3">
      <c r="A1474" s="71" t="s">
        <v>3278</v>
      </c>
      <c r="B1474" s="71" t="s">
        <v>3170</v>
      </c>
      <c r="C1474" s="71" t="s">
        <v>3543</v>
      </c>
    </row>
    <row r="1475" spans="1:3">
      <c r="A1475" s="71" t="s">
        <v>3279</v>
      </c>
      <c r="B1475" s="71" t="s">
        <v>3138</v>
      </c>
      <c r="C1475" s="71" t="s">
        <v>3544</v>
      </c>
    </row>
    <row r="1476" spans="1:3">
      <c r="A1476" s="71" t="s">
        <v>3423</v>
      </c>
      <c r="B1476" s="71" t="s">
        <v>2810</v>
      </c>
      <c r="C1476" s="71" t="s">
        <v>2812</v>
      </c>
    </row>
    <row r="1477" spans="1:3">
      <c r="A1477" s="71" t="s">
        <v>3375</v>
      </c>
      <c r="B1477" s="71" t="s">
        <v>3092</v>
      </c>
      <c r="C1477" s="71" t="s">
        <v>3546</v>
      </c>
    </row>
    <row r="1478" spans="1:3">
      <c r="A1478" s="71" t="s">
        <v>3424</v>
      </c>
      <c r="B1478" s="71" t="s">
        <v>3091</v>
      </c>
      <c r="C1478" s="71" t="s">
        <v>3547</v>
      </c>
    </row>
    <row r="1479" spans="1:3">
      <c r="A1479" s="71" t="s">
        <v>3425</v>
      </c>
      <c r="B1479" s="71" t="s">
        <v>3103</v>
      </c>
      <c r="C1479" s="71" t="s">
        <v>3482</v>
      </c>
    </row>
    <row r="1480" spans="1:3">
      <c r="A1480" s="71" t="s">
        <v>3376</v>
      </c>
      <c r="B1480" s="71" t="s">
        <v>3171</v>
      </c>
      <c r="C1480" s="71" t="s">
        <v>3481</v>
      </c>
    </row>
    <row r="1481" spans="1:3">
      <c r="A1481" s="71" t="s">
        <v>3426</v>
      </c>
      <c r="B1481" s="71" t="s">
        <v>3076</v>
      </c>
      <c r="C1481" s="71" t="s">
        <v>3485</v>
      </c>
    </row>
    <row r="1482" spans="1:3">
      <c r="A1482" s="71" t="s">
        <v>3280</v>
      </c>
      <c r="B1482" s="71" t="s">
        <v>3206</v>
      </c>
      <c r="C1482" s="71" t="s">
        <v>3509</v>
      </c>
    </row>
    <row r="1483" spans="1:3">
      <c r="A1483" s="71" t="s">
        <v>3281</v>
      </c>
      <c r="B1483" s="71" t="s">
        <v>3172</v>
      </c>
      <c r="C1483" s="71" t="s">
        <v>3510</v>
      </c>
    </row>
    <row r="1484" spans="1:3">
      <c r="A1484" s="71" t="s">
        <v>3282</v>
      </c>
      <c r="B1484" s="71" t="s">
        <v>3173</v>
      </c>
      <c r="C1484" s="71" t="s">
        <v>3511</v>
      </c>
    </row>
    <row r="1485" spans="1:3">
      <c r="A1485" s="71" t="s">
        <v>3283</v>
      </c>
      <c r="B1485" s="71" t="s">
        <v>3174</v>
      </c>
      <c r="C1485" s="71" t="s">
        <v>3548</v>
      </c>
    </row>
    <row r="1486" spans="1:3">
      <c r="A1486" s="71" t="s">
        <v>3284</v>
      </c>
      <c r="B1486" s="71" t="s">
        <v>3204</v>
      </c>
      <c r="C1486" s="71" t="s">
        <v>3551</v>
      </c>
    </row>
    <row r="1487" spans="1:3">
      <c r="A1487" s="71" t="s">
        <v>3285</v>
      </c>
      <c r="B1487" s="71" t="s">
        <v>3177</v>
      </c>
      <c r="C1487" s="71" t="s">
        <v>3550</v>
      </c>
    </row>
    <row r="1488" spans="1:3">
      <c r="A1488" s="71" t="s">
        <v>3286</v>
      </c>
      <c r="B1488" s="71" t="s">
        <v>3178</v>
      </c>
      <c r="C1488" s="71" t="s">
        <v>3552</v>
      </c>
    </row>
    <row r="1489" spans="1:3">
      <c r="A1489" s="71" t="s">
        <v>3287</v>
      </c>
      <c r="B1489" s="71" t="s">
        <v>3175</v>
      </c>
      <c r="C1489" s="71" t="s">
        <v>3549</v>
      </c>
    </row>
    <row r="1490" spans="1:3">
      <c r="A1490" s="71" t="s">
        <v>3288</v>
      </c>
      <c r="B1490" s="71" t="s">
        <v>3176</v>
      </c>
      <c r="C1490" s="71" t="s">
        <v>3553</v>
      </c>
    </row>
    <row r="1491" spans="1:3">
      <c r="A1491" s="71" t="s">
        <v>3289</v>
      </c>
      <c r="B1491" s="71" t="s">
        <v>3205</v>
      </c>
      <c r="C1491" s="71" t="s">
        <v>3557</v>
      </c>
    </row>
    <row r="1492" spans="1:3">
      <c r="A1492" s="71" t="s">
        <v>3290</v>
      </c>
      <c r="B1492" s="71" t="s">
        <v>3009</v>
      </c>
      <c r="C1492" s="71" t="s">
        <v>3012</v>
      </c>
    </row>
    <row r="1493" spans="1:3">
      <c r="A1493" s="71" t="s">
        <v>3291</v>
      </c>
      <c r="B1493" s="71" t="s">
        <v>3444</v>
      </c>
      <c r="C1493" s="71" t="s">
        <v>3554</v>
      </c>
    </row>
    <row r="1494" spans="1:3">
      <c r="A1494" s="71" t="s">
        <v>3698</v>
      </c>
      <c r="B1494" s="71" t="s">
        <v>3699</v>
      </c>
      <c r="C1494" s="71" t="s">
        <v>4086</v>
      </c>
    </row>
    <row r="1495" spans="1:3">
      <c r="A1495" s="71" t="s">
        <v>3700</v>
      </c>
      <c r="B1495" s="71" t="s">
        <v>3701</v>
      </c>
      <c r="C1495" s="71" t="s">
        <v>4173</v>
      </c>
    </row>
    <row r="1496" spans="1:3" ht="25.5">
      <c r="A1496" s="71" t="s">
        <v>3292</v>
      </c>
      <c r="B1496" s="72" t="s">
        <v>3709</v>
      </c>
      <c r="C1496" s="72" t="s">
        <v>3555</v>
      </c>
    </row>
    <row r="1497" spans="1:3" ht="25.5">
      <c r="A1497" s="71" t="s">
        <v>3702</v>
      </c>
      <c r="B1497" s="72" t="s">
        <v>3708</v>
      </c>
      <c r="C1497" s="72" t="s">
        <v>4087</v>
      </c>
    </row>
    <row r="1498" spans="1:3" ht="25.5">
      <c r="A1498" s="71" t="s">
        <v>3293</v>
      </c>
      <c r="B1498" s="72" t="s">
        <v>3707</v>
      </c>
      <c r="C1498" s="72" t="s">
        <v>3556</v>
      </c>
    </row>
    <row r="1499" spans="1:3" ht="25.5">
      <c r="A1499" s="71" t="s">
        <v>3703</v>
      </c>
      <c r="B1499" s="72" t="s">
        <v>3706</v>
      </c>
      <c r="C1499" s="72" t="s">
        <v>4088</v>
      </c>
    </row>
    <row r="1500" spans="1:3" ht="25.5">
      <c r="A1500" s="71" t="s">
        <v>3704</v>
      </c>
      <c r="B1500" s="72" t="s">
        <v>3705</v>
      </c>
      <c r="C1500" s="72" t="s">
        <v>4088</v>
      </c>
    </row>
    <row r="1501" spans="1:3">
      <c r="A1501" s="71" t="s">
        <v>3427</v>
      </c>
      <c r="B1501" s="71" t="s">
        <v>3630</v>
      </c>
      <c r="C1501" s="71" t="s">
        <v>3631</v>
      </c>
    </row>
    <row r="1502" spans="1:3">
      <c r="A1502" s="71" t="s">
        <v>3428</v>
      </c>
      <c r="B1502" s="71" t="s">
        <v>597</v>
      </c>
      <c r="C1502" s="71" t="s">
        <v>2205</v>
      </c>
    </row>
    <row r="1503" spans="1:3">
      <c r="A1503" s="71" t="s">
        <v>3377</v>
      </c>
      <c r="B1503" s="71" t="s">
        <v>3183</v>
      </c>
      <c r="C1503" s="71" t="s">
        <v>3559</v>
      </c>
    </row>
    <row r="1504" spans="1:3">
      <c r="A1504" s="71" t="s">
        <v>3429</v>
      </c>
      <c r="B1504" s="71" t="s">
        <v>3184</v>
      </c>
      <c r="C1504" s="71" t="s">
        <v>3558</v>
      </c>
    </row>
    <row r="1505" spans="1:3">
      <c r="A1505" s="71" t="s">
        <v>3378</v>
      </c>
      <c r="B1505" s="71" t="s">
        <v>120</v>
      </c>
      <c r="C1505" s="71" t="s">
        <v>2206</v>
      </c>
    </row>
    <row r="1506" spans="1:3">
      <c r="A1506" s="71" t="s">
        <v>3430</v>
      </c>
      <c r="B1506" s="71" t="s">
        <v>118</v>
      </c>
      <c r="C1506" s="71" t="s">
        <v>2246</v>
      </c>
    </row>
    <row r="1507" spans="1:3">
      <c r="A1507" s="71" t="s">
        <v>3431</v>
      </c>
      <c r="B1507" s="71" t="s">
        <v>3243</v>
      </c>
      <c r="C1507" s="71" t="s">
        <v>3560</v>
      </c>
    </row>
    <row r="1508" spans="1:3">
      <c r="A1508" s="71" t="s">
        <v>3294</v>
      </c>
      <c r="B1508" s="71" t="s">
        <v>3193</v>
      </c>
      <c r="C1508" s="71" t="s">
        <v>3565</v>
      </c>
    </row>
    <row r="1509" spans="1:3">
      <c r="A1509" s="71" t="s">
        <v>3432</v>
      </c>
      <c r="B1509" s="71" t="s">
        <v>3189</v>
      </c>
      <c r="C1509" s="71" t="s">
        <v>3562</v>
      </c>
    </row>
    <row r="1510" spans="1:3">
      <c r="A1510" s="71" t="s">
        <v>3379</v>
      </c>
      <c r="B1510" s="71" t="s">
        <v>3190</v>
      </c>
      <c r="C1510" s="71" t="s">
        <v>3563</v>
      </c>
    </row>
    <row r="1511" spans="1:3">
      <c r="A1511" s="71" t="s">
        <v>3380</v>
      </c>
      <c r="B1511" s="71" t="s">
        <v>3191</v>
      </c>
      <c r="C1511" s="71" t="s">
        <v>3564</v>
      </c>
    </row>
    <row r="1512" spans="1:3">
      <c r="A1512" s="71" t="s">
        <v>3433</v>
      </c>
      <c r="B1512" s="71" t="s">
        <v>3192</v>
      </c>
      <c r="C1512" s="71" t="s">
        <v>3561</v>
      </c>
    </row>
    <row r="1513" spans="1:3">
      <c r="A1513" s="71" t="s">
        <v>3295</v>
      </c>
      <c r="B1513" s="71" t="s">
        <v>3195</v>
      </c>
      <c r="C1513" s="71" t="s">
        <v>3567</v>
      </c>
    </row>
    <row r="1514" spans="1:3">
      <c r="A1514" s="71" t="s">
        <v>3434</v>
      </c>
      <c r="B1514" s="71" t="s">
        <v>3200</v>
      </c>
      <c r="C1514" s="71" t="s">
        <v>3568</v>
      </c>
    </row>
    <row r="1515" spans="1:3">
      <c r="A1515" s="71" t="s">
        <v>3381</v>
      </c>
      <c r="B1515" s="71" t="s">
        <v>3196</v>
      </c>
      <c r="C1515" s="71" t="s">
        <v>3569</v>
      </c>
    </row>
    <row r="1516" spans="1:3">
      <c r="A1516" s="71" t="s">
        <v>3382</v>
      </c>
      <c r="B1516" s="71" t="s">
        <v>3197</v>
      </c>
      <c r="C1516" s="71" t="s">
        <v>3570</v>
      </c>
    </row>
    <row r="1517" spans="1:3">
      <c r="A1517" s="71" t="s">
        <v>3383</v>
      </c>
      <c r="B1517" s="71" t="s">
        <v>3198</v>
      </c>
      <c r="C1517" s="71" t="s">
        <v>3571</v>
      </c>
    </row>
    <row r="1518" spans="1:3">
      <c r="A1518" s="71" t="s">
        <v>3435</v>
      </c>
      <c r="B1518" s="71" t="s">
        <v>3199</v>
      </c>
      <c r="C1518" s="71" t="s">
        <v>3572</v>
      </c>
    </row>
    <row r="1519" spans="1:3">
      <c r="A1519" s="71" t="s">
        <v>3296</v>
      </c>
      <c r="B1519" s="71" t="s">
        <v>3194</v>
      </c>
      <c r="C1519" s="71" t="s">
        <v>3566</v>
      </c>
    </row>
    <row r="1520" spans="1:3">
      <c r="A1520" s="71" t="s">
        <v>3436</v>
      </c>
      <c r="B1520" s="71" t="s">
        <v>3200</v>
      </c>
      <c r="C1520" s="71" t="s">
        <v>3568</v>
      </c>
    </row>
    <row r="1521" spans="1:3">
      <c r="A1521" s="71" t="s">
        <v>3437</v>
      </c>
      <c r="B1521" s="71" t="s">
        <v>3106</v>
      </c>
      <c r="C1521" s="71" t="s">
        <v>3505</v>
      </c>
    </row>
    <row r="1522" spans="1:3">
      <c r="A1522" s="71" t="s">
        <v>3384</v>
      </c>
      <c r="B1522" s="71" t="s">
        <v>102</v>
      </c>
      <c r="C1522" s="71" t="s">
        <v>1211</v>
      </c>
    </row>
    <row r="1523" spans="1:3">
      <c r="A1523" s="71" t="s">
        <v>3445</v>
      </c>
      <c r="B1523" s="71" t="s">
        <v>3185</v>
      </c>
      <c r="C1523" s="72" t="s">
        <v>3574</v>
      </c>
    </row>
    <row r="1524" spans="1:3">
      <c r="A1524" s="71" t="s">
        <v>3446</v>
      </c>
      <c r="B1524" s="71" t="s">
        <v>3186</v>
      </c>
      <c r="C1524" s="71" t="s">
        <v>3575</v>
      </c>
    </row>
    <row r="1525" spans="1:3">
      <c r="A1525" s="71" t="s">
        <v>3458</v>
      </c>
      <c r="B1525" s="71" t="s">
        <v>3187</v>
      </c>
      <c r="C1525" s="71" t="s">
        <v>3576</v>
      </c>
    </row>
    <row r="1526" spans="1:3">
      <c r="A1526" s="71" t="s">
        <v>3447</v>
      </c>
      <c r="B1526" s="71" t="s">
        <v>517</v>
      </c>
      <c r="C1526" s="71" t="s">
        <v>3545</v>
      </c>
    </row>
    <row r="1527" spans="1:3">
      <c r="A1527" s="71" t="s">
        <v>3448</v>
      </c>
      <c r="B1527" s="71" t="s">
        <v>3188</v>
      </c>
      <c r="C1527" s="71" t="s">
        <v>3577</v>
      </c>
    </row>
    <row r="1528" spans="1:3">
      <c r="A1528" s="71" t="s">
        <v>3438</v>
      </c>
      <c r="B1528" s="71" t="s">
        <v>101</v>
      </c>
      <c r="C1528" s="71" t="s">
        <v>656</v>
      </c>
    </row>
    <row r="1529" spans="1:3">
      <c r="A1529" s="71" t="s">
        <v>3457</v>
      </c>
      <c r="B1529" s="71" t="s">
        <v>3201</v>
      </c>
      <c r="C1529" s="71" t="s">
        <v>3573</v>
      </c>
    </row>
    <row r="1530" spans="1:3">
      <c r="A1530" s="71" t="s">
        <v>3449</v>
      </c>
      <c r="B1530" s="71" t="s">
        <v>3210</v>
      </c>
      <c r="C1530" s="71" t="s">
        <v>3496</v>
      </c>
    </row>
    <row r="1531" spans="1:3">
      <c r="A1531" s="71" t="s">
        <v>3450</v>
      </c>
      <c r="B1531" s="71" t="s">
        <v>3213</v>
      </c>
      <c r="C1531" s="71" t="s">
        <v>3511</v>
      </c>
    </row>
    <row r="1532" spans="1:3">
      <c r="A1532" s="71" t="s">
        <v>3385</v>
      </c>
      <c r="B1532" s="71" t="s">
        <v>2734</v>
      </c>
      <c r="C1532" s="157" t="s">
        <v>2599</v>
      </c>
    </row>
    <row r="1533" spans="1:3">
      <c r="A1533" s="71" t="s">
        <v>3439</v>
      </c>
      <c r="B1533" s="71" t="s">
        <v>3214</v>
      </c>
      <c r="C1533" s="71" t="s">
        <v>3512</v>
      </c>
    </row>
    <row r="1534" spans="1:3">
      <c r="A1534" s="71" t="s">
        <v>3386</v>
      </c>
      <c r="B1534" s="71" t="s">
        <v>3212</v>
      </c>
      <c r="C1534" s="71" t="s">
        <v>3578</v>
      </c>
    </row>
    <row r="1535" spans="1:3">
      <c r="A1535" s="71" t="s">
        <v>3451</v>
      </c>
      <c r="B1535" s="71" t="s">
        <v>3217</v>
      </c>
      <c r="C1535" s="71" t="s">
        <v>3467</v>
      </c>
    </row>
    <row r="1536" spans="1:3">
      <c r="A1536" s="71" t="s">
        <v>3452</v>
      </c>
      <c r="B1536" s="71" t="s">
        <v>3216</v>
      </c>
      <c r="C1536" s="71" t="s">
        <v>3581</v>
      </c>
    </row>
    <row r="1537" spans="1:3">
      <c r="A1537" s="71" t="s">
        <v>3453</v>
      </c>
      <c r="B1537" s="71" t="s">
        <v>2615</v>
      </c>
      <c r="C1537" s="71" t="s">
        <v>2616</v>
      </c>
    </row>
    <row r="1538" spans="1:3">
      <c r="A1538" s="71" t="s">
        <v>3440</v>
      </c>
      <c r="B1538" s="71" t="s">
        <v>2734</v>
      </c>
      <c r="C1538" s="71" t="s">
        <v>2599</v>
      </c>
    </row>
    <row r="1539" spans="1:3">
      <c r="A1539" s="71" t="s">
        <v>3454</v>
      </c>
      <c r="B1539" s="71" t="s">
        <v>3215</v>
      </c>
      <c r="C1539" s="71" t="s">
        <v>3512</v>
      </c>
    </row>
    <row r="1540" spans="1:3">
      <c r="A1540" s="71" t="s">
        <v>3441</v>
      </c>
      <c r="B1540" s="71" t="s">
        <v>2620</v>
      </c>
      <c r="C1540" s="71" t="s">
        <v>2621</v>
      </c>
    </row>
    <row r="1541" spans="1:3">
      <c r="A1541" s="71" t="s">
        <v>3455</v>
      </c>
      <c r="B1541" s="71" t="s">
        <v>2625</v>
      </c>
      <c r="C1541" s="71" t="s">
        <v>2626</v>
      </c>
    </row>
    <row r="1542" spans="1:3">
      <c r="A1542" s="71" t="s">
        <v>3442</v>
      </c>
      <c r="B1542" s="71" t="s">
        <v>2738</v>
      </c>
      <c r="C1542" s="71" t="s">
        <v>2758</v>
      </c>
    </row>
    <row r="1543" spans="1:3">
      <c r="A1543" s="71" t="s">
        <v>3456</v>
      </c>
      <c r="B1543" s="71" t="s">
        <v>3218</v>
      </c>
      <c r="C1543" s="71" t="s">
        <v>3473</v>
      </c>
    </row>
    <row r="1544" spans="1:3">
      <c r="A1544" s="71" t="s">
        <v>3759</v>
      </c>
      <c r="B1544" s="71" t="s">
        <v>3712</v>
      </c>
      <c r="C1544" s="71" t="s">
        <v>4162</v>
      </c>
    </row>
    <row r="1545" spans="1:3">
      <c r="A1545" s="71" t="s">
        <v>3760</v>
      </c>
      <c r="B1545" s="71" t="s">
        <v>464</v>
      </c>
      <c r="C1545" s="71" t="s">
        <v>4089</v>
      </c>
    </row>
    <row r="1546" spans="1:3">
      <c r="A1546" s="71" t="s">
        <v>3761</v>
      </c>
      <c r="B1546" s="71" t="s">
        <v>3637</v>
      </c>
      <c r="C1546" s="71" t="s">
        <v>4090</v>
      </c>
    </row>
    <row r="1547" spans="1:3">
      <c r="A1547" s="71" t="s">
        <v>3762</v>
      </c>
      <c r="B1547" s="71" t="s">
        <v>4177</v>
      </c>
      <c r="C1547" s="71" t="s">
        <v>4178</v>
      </c>
    </row>
    <row r="1548" spans="1:3">
      <c r="A1548" s="71" t="s">
        <v>3763</v>
      </c>
      <c r="B1548" s="71" t="s">
        <v>3632</v>
      </c>
      <c r="C1548" s="71" t="s">
        <v>4091</v>
      </c>
    </row>
    <row r="1549" spans="1:3">
      <c r="A1549" s="71" t="s">
        <v>3764</v>
      </c>
      <c r="B1549" s="71" t="s">
        <v>3633</v>
      </c>
      <c r="C1549" s="71" t="s">
        <v>4163</v>
      </c>
    </row>
    <row r="1550" spans="1:3">
      <c r="A1550" s="71" t="s">
        <v>3765</v>
      </c>
      <c r="B1550" s="71" t="s">
        <v>3634</v>
      </c>
      <c r="C1550" s="71" t="s">
        <v>4092</v>
      </c>
    </row>
    <row r="1551" spans="1:3">
      <c r="A1551" s="71" t="s">
        <v>3766</v>
      </c>
      <c r="B1551" s="71" t="s">
        <v>3635</v>
      </c>
      <c r="C1551" s="71" t="s">
        <v>4093</v>
      </c>
    </row>
    <row r="1552" spans="1:3">
      <c r="A1552" s="71" t="s">
        <v>3767</v>
      </c>
      <c r="B1552" s="71" t="s">
        <v>3636</v>
      </c>
      <c r="C1552" s="71" t="s">
        <v>4094</v>
      </c>
    </row>
    <row r="1553" spans="1:3">
      <c r="A1553" s="71" t="s">
        <v>3768</v>
      </c>
      <c r="B1553" s="71" t="s">
        <v>3630</v>
      </c>
      <c r="C1553" s="71" t="s">
        <v>3631</v>
      </c>
    </row>
    <row r="1554" spans="1:3">
      <c r="A1554" s="71" t="s">
        <v>3769</v>
      </c>
      <c r="B1554" s="71" t="s">
        <v>3723</v>
      </c>
      <c r="C1554" s="71" t="s">
        <v>4095</v>
      </c>
    </row>
    <row r="1555" spans="1:3">
      <c r="A1555" s="71" t="s">
        <v>3770</v>
      </c>
      <c r="B1555" s="71" t="s">
        <v>4211</v>
      </c>
      <c r="C1555" s="71" t="s">
        <v>4212</v>
      </c>
    </row>
    <row r="1556" spans="1:3">
      <c r="A1556" s="71" t="s">
        <v>3771</v>
      </c>
      <c r="B1556" s="71" t="s">
        <v>448</v>
      </c>
      <c r="C1556" s="71" t="s">
        <v>4096</v>
      </c>
    </row>
    <row r="1557" spans="1:3">
      <c r="A1557" s="71" t="s">
        <v>3772</v>
      </c>
      <c r="B1557" s="71" t="s">
        <v>3638</v>
      </c>
      <c r="C1557" s="71" t="s">
        <v>4097</v>
      </c>
    </row>
    <row r="1558" spans="1:3">
      <c r="A1558" s="71" t="s">
        <v>3773</v>
      </c>
      <c r="B1558" s="71" t="s">
        <v>3050</v>
      </c>
      <c r="C1558" s="71" t="s">
        <v>4098</v>
      </c>
    </row>
    <row r="1559" spans="1:3">
      <c r="A1559" s="71" t="s">
        <v>3774</v>
      </c>
      <c r="B1559" s="71" t="s">
        <v>3460</v>
      </c>
      <c r="C1559" s="71" t="s">
        <v>3462</v>
      </c>
    </row>
    <row r="1560" spans="1:3">
      <c r="A1560" s="71" t="s">
        <v>3775</v>
      </c>
      <c r="B1560" s="71" t="s">
        <v>3639</v>
      </c>
      <c r="C1560" s="71" t="s">
        <v>4164</v>
      </c>
    </row>
    <row r="1561" spans="1:3">
      <c r="A1561" s="71" t="s">
        <v>3776</v>
      </c>
      <c r="B1561" s="71" t="s">
        <v>3724</v>
      </c>
      <c r="C1561" s="71" t="s">
        <v>4099</v>
      </c>
    </row>
    <row r="1562" spans="1:3">
      <c r="A1562" s="71" t="s">
        <v>3777</v>
      </c>
      <c r="B1562" s="71" t="s">
        <v>3725</v>
      </c>
      <c r="C1562" s="71" t="s">
        <v>4100</v>
      </c>
    </row>
    <row r="1563" spans="1:3">
      <c r="A1563" s="71" t="s">
        <v>3778</v>
      </c>
      <c r="B1563" s="71" t="s">
        <v>3726</v>
      </c>
      <c r="C1563" s="71" t="s">
        <v>4165</v>
      </c>
    </row>
    <row r="1564" spans="1:3">
      <c r="A1564" s="71" t="s">
        <v>3779</v>
      </c>
      <c r="B1564" s="71" t="s">
        <v>3727</v>
      </c>
      <c r="C1564" s="71" t="s">
        <v>4166</v>
      </c>
    </row>
    <row r="1565" spans="1:3">
      <c r="A1565" s="71" t="s">
        <v>3780</v>
      </c>
      <c r="B1565" s="71" t="s">
        <v>3728</v>
      </c>
      <c r="C1565" s="71" t="s">
        <v>4167</v>
      </c>
    </row>
    <row r="1566" spans="1:3">
      <c r="A1566" s="71" t="s">
        <v>3787</v>
      </c>
      <c r="B1566" s="71" t="s">
        <v>3729</v>
      </c>
      <c r="C1566" s="71" t="s">
        <v>4168</v>
      </c>
    </row>
    <row r="1567" spans="1:3">
      <c r="A1567" s="71" t="s">
        <v>3781</v>
      </c>
      <c r="B1567" s="71" t="s">
        <v>3713</v>
      </c>
      <c r="C1567" s="71" t="s">
        <v>4101</v>
      </c>
    </row>
    <row r="1568" spans="1:3">
      <c r="A1568" s="71" t="s">
        <v>3782</v>
      </c>
      <c r="B1568" s="71" t="s">
        <v>4169</v>
      </c>
      <c r="C1568" s="71" t="s">
        <v>4102</v>
      </c>
    </row>
    <row r="1569" spans="1:3">
      <c r="A1569" s="71" t="s">
        <v>3783</v>
      </c>
      <c r="B1569" s="71" t="s">
        <v>3721</v>
      </c>
      <c r="C1569" s="71" t="s">
        <v>4170</v>
      </c>
    </row>
    <row r="1570" spans="1:3">
      <c r="A1570" s="71" t="s">
        <v>3811</v>
      </c>
      <c r="B1570" s="71" t="s">
        <v>3720</v>
      </c>
      <c r="C1570" s="71" t="s">
        <v>4103</v>
      </c>
    </row>
    <row r="1571" spans="1:3">
      <c r="A1571" s="71" t="s">
        <v>3784</v>
      </c>
      <c r="B1571" s="71" t="s">
        <v>4080</v>
      </c>
      <c r="C1571" s="71" t="s">
        <v>4171</v>
      </c>
    </row>
    <row r="1572" spans="1:3">
      <c r="A1572" s="71" t="s">
        <v>3812</v>
      </c>
      <c r="B1572" s="71" t="s">
        <v>3813</v>
      </c>
      <c r="C1572" s="71" t="s">
        <v>4174</v>
      </c>
    </row>
    <row r="1573" spans="1:3">
      <c r="A1573" s="71" t="s">
        <v>3814</v>
      </c>
      <c r="B1573" s="71" t="s">
        <v>3714</v>
      </c>
      <c r="C1573" s="71" t="s">
        <v>4104</v>
      </c>
    </row>
    <row r="1574" spans="1:3">
      <c r="A1574" s="71" t="s">
        <v>3815</v>
      </c>
      <c r="B1574" s="71" t="s">
        <v>4213</v>
      </c>
      <c r="C1574" s="71" t="s">
        <v>4214</v>
      </c>
    </row>
    <row r="1575" spans="1:3">
      <c r="A1575" s="71" t="s">
        <v>3816</v>
      </c>
      <c r="B1575" s="71" t="s">
        <v>3715</v>
      </c>
      <c r="C1575" s="71" t="s">
        <v>4105</v>
      </c>
    </row>
    <row r="1576" spans="1:3">
      <c r="A1576" s="71" t="s">
        <v>3817</v>
      </c>
      <c r="B1576" s="71" t="s">
        <v>3640</v>
      </c>
      <c r="C1576" s="71" t="s">
        <v>4106</v>
      </c>
    </row>
    <row r="1577" spans="1:3">
      <c r="A1577" s="71" t="s">
        <v>3818</v>
      </c>
      <c r="B1577" s="71" t="s">
        <v>3642</v>
      </c>
      <c r="C1577" s="71" t="s">
        <v>4107</v>
      </c>
    </row>
    <row r="1578" spans="1:3">
      <c r="A1578" s="71" t="s">
        <v>3819</v>
      </c>
      <c r="B1578" s="71" t="s">
        <v>3643</v>
      </c>
      <c r="C1578" s="71" t="s">
        <v>4108</v>
      </c>
    </row>
    <row r="1579" spans="1:3">
      <c r="A1579" s="71" t="s">
        <v>3820</v>
      </c>
      <c r="B1579" s="71" t="s">
        <v>3641</v>
      </c>
      <c r="C1579" s="71" t="s">
        <v>4109</v>
      </c>
    </row>
    <row r="1580" spans="1:3">
      <c r="A1580" s="71" t="s">
        <v>3821</v>
      </c>
      <c r="B1580" s="71" t="s">
        <v>322</v>
      </c>
      <c r="C1580" s="71" t="s">
        <v>1685</v>
      </c>
    </row>
    <row r="1581" spans="1:3">
      <c r="A1581" s="71" t="s">
        <v>3822</v>
      </c>
      <c r="B1581" s="71" t="s">
        <v>3644</v>
      </c>
      <c r="C1581" s="71" t="s">
        <v>4110</v>
      </c>
    </row>
    <row r="1582" spans="1:3">
      <c r="A1582" s="71" t="s">
        <v>3823</v>
      </c>
      <c r="B1582" s="71" t="s">
        <v>3645</v>
      </c>
      <c r="C1582" s="71" t="s">
        <v>4111</v>
      </c>
    </row>
    <row r="1583" spans="1:3">
      <c r="A1583" s="71" t="s">
        <v>3824</v>
      </c>
      <c r="B1583" s="71" t="s">
        <v>3646</v>
      </c>
      <c r="C1583" s="71" t="s">
        <v>4114</v>
      </c>
    </row>
    <row r="1584" spans="1:3">
      <c r="A1584" s="71" t="s">
        <v>3825</v>
      </c>
      <c r="B1584" s="71" t="s">
        <v>3647</v>
      </c>
      <c r="C1584" s="71" t="s">
        <v>4112</v>
      </c>
    </row>
    <row r="1585" spans="1:3">
      <c r="A1585" s="71" t="s">
        <v>3826</v>
      </c>
      <c r="B1585" s="71" t="s">
        <v>3648</v>
      </c>
      <c r="C1585" s="71" t="s">
        <v>4113</v>
      </c>
    </row>
    <row r="1586" spans="1:3">
      <c r="A1586" s="71" t="s">
        <v>3827</v>
      </c>
      <c r="B1586" s="71" t="s">
        <v>3649</v>
      </c>
      <c r="C1586" s="71" t="s">
        <v>4115</v>
      </c>
    </row>
    <row r="1587" spans="1:3">
      <c r="A1587" s="71" t="s">
        <v>3828</v>
      </c>
      <c r="B1587" s="71" t="s">
        <v>3650</v>
      </c>
      <c r="C1587" s="71" t="s">
        <v>4116</v>
      </c>
    </row>
    <row r="1588" spans="1:3">
      <c r="A1588" s="71" t="s">
        <v>3829</v>
      </c>
      <c r="B1588" s="71" t="s">
        <v>3651</v>
      </c>
      <c r="C1588" s="71" t="s">
        <v>4117</v>
      </c>
    </row>
    <row r="1589" spans="1:3">
      <c r="A1589" s="71" t="s">
        <v>3830</v>
      </c>
      <c r="B1589" s="71" t="s">
        <v>3730</v>
      </c>
      <c r="C1589" s="71" t="s">
        <v>4118</v>
      </c>
    </row>
    <row r="1590" spans="1:3">
      <c r="A1590" s="71" t="s">
        <v>3831</v>
      </c>
      <c r="B1590" s="71" t="s">
        <v>3716</v>
      </c>
      <c r="C1590" s="71" t="s">
        <v>4119</v>
      </c>
    </row>
    <row r="1591" spans="1:3">
      <c r="A1591" s="71" t="s">
        <v>3832</v>
      </c>
      <c r="B1591" s="71" t="s">
        <v>3717</v>
      </c>
      <c r="C1591" s="71" t="s">
        <v>4120</v>
      </c>
    </row>
    <row r="1592" spans="1:3">
      <c r="A1592" s="71" t="s">
        <v>3833</v>
      </c>
      <c r="B1592" s="71" t="s">
        <v>3722</v>
      </c>
      <c r="C1592" s="71" t="s">
        <v>4121</v>
      </c>
    </row>
    <row r="1593" spans="1:3">
      <c r="A1593" s="71" t="s">
        <v>3834</v>
      </c>
      <c r="B1593" s="71" t="s">
        <v>3652</v>
      </c>
      <c r="C1593" s="71" t="s">
        <v>4122</v>
      </c>
    </row>
    <row r="1594" spans="1:3">
      <c r="A1594" s="71" t="s">
        <v>3835</v>
      </c>
      <c r="B1594" s="71" t="s">
        <v>3719</v>
      </c>
      <c r="C1594" s="71" t="s">
        <v>4123</v>
      </c>
    </row>
    <row r="1595" spans="1:3">
      <c r="A1595" s="71" t="s">
        <v>3836</v>
      </c>
      <c r="B1595" s="71" t="s">
        <v>3718</v>
      </c>
      <c r="C1595" s="71" t="s">
        <v>2205</v>
      </c>
    </row>
    <row r="1596" spans="1:3">
      <c r="A1596" s="71" t="s">
        <v>3785</v>
      </c>
      <c r="B1596" s="71" t="s">
        <v>3666</v>
      </c>
      <c r="C1596" s="71" t="s">
        <v>4124</v>
      </c>
    </row>
    <row r="1597" spans="1:3">
      <c r="A1597" s="71" t="s">
        <v>3837</v>
      </c>
      <c r="B1597" s="71" t="s">
        <v>3895</v>
      </c>
      <c r="C1597" s="71" t="s">
        <v>4125</v>
      </c>
    </row>
    <row r="1598" spans="1:3">
      <c r="A1598" s="71" t="s">
        <v>3838</v>
      </c>
      <c r="B1598" s="71" t="s">
        <v>3667</v>
      </c>
      <c r="C1598" s="71" t="s">
        <v>4126</v>
      </c>
    </row>
    <row r="1599" spans="1:3">
      <c r="A1599" s="71" t="s">
        <v>3839</v>
      </c>
      <c r="B1599" s="71" t="s">
        <v>3668</v>
      </c>
      <c r="C1599" s="71" t="s">
        <v>4127</v>
      </c>
    </row>
    <row r="1600" spans="1:3">
      <c r="A1600" s="71" t="s">
        <v>3840</v>
      </c>
      <c r="B1600" s="71" t="s">
        <v>3669</v>
      </c>
      <c r="C1600" s="71" t="s">
        <v>4128</v>
      </c>
    </row>
    <row r="1601" spans="1:3">
      <c r="A1601" s="71" t="s">
        <v>3841</v>
      </c>
      <c r="B1601" s="71" t="s">
        <v>3670</v>
      </c>
      <c r="C1601" s="71" t="s">
        <v>4129</v>
      </c>
    </row>
    <row r="1602" spans="1:3">
      <c r="A1602" s="71" t="s">
        <v>3842</v>
      </c>
      <c r="B1602" s="71" t="s">
        <v>3683</v>
      </c>
      <c r="C1602" s="71" t="s">
        <v>4130</v>
      </c>
    </row>
    <row r="1603" spans="1:3">
      <c r="A1603" s="71" t="s">
        <v>3843</v>
      </c>
      <c r="B1603" s="71" t="s">
        <v>3672</v>
      </c>
      <c r="C1603" s="71" t="s">
        <v>4131</v>
      </c>
    </row>
    <row r="1604" spans="1:3">
      <c r="A1604" s="71" t="s">
        <v>3844</v>
      </c>
      <c r="B1604" s="71" t="s">
        <v>3673</v>
      </c>
      <c r="C1604" s="71" t="s">
        <v>4132</v>
      </c>
    </row>
    <row r="1605" spans="1:3">
      <c r="A1605" s="71" t="s">
        <v>3845</v>
      </c>
      <c r="B1605" s="71" t="s">
        <v>3671</v>
      </c>
      <c r="C1605" s="71" t="s">
        <v>4175</v>
      </c>
    </row>
    <row r="1606" spans="1:3">
      <c r="A1606" s="71" t="s">
        <v>3846</v>
      </c>
      <c r="B1606" s="71" t="s">
        <v>3731</v>
      </c>
      <c r="C1606" s="71" t="s">
        <v>4133</v>
      </c>
    </row>
    <row r="1607" spans="1:3">
      <c r="A1607" s="71" t="s">
        <v>3847</v>
      </c>
      <c r="B1607" s="71" t="s">
        <v>3711</v>
      </c>
      <c r="C1607" s="71" t="s">
        <v>4134</v>
      </c>
    </row>
    <row r="1608" spans="1:3">
      <c r="A1608" s="825" t="s">
        <v>4223</v>
      </c>
      <c r="B1608" s="825" t="s">
        <v>4224</v>
      </c>
      <c r="C1608" s="825" t="s">
        <v>4225</v>
      </c>
    </row>
    <row r="1609" spans="1:3">
      <c r="A1609" s="71" t="s">
        <v>3848</v>
      </c>
      <c r="B1609" s="71" t="s">
        <v>120</v>
      </c>
      <c r="C1609" s="71" t="s">
        <v>4135</v>
      </c>
    </row>
    <row r="1610" spans="1:3">
      <c r="A1610" s="71" t="s">
        <v>3849</v>
      </c>
      <c r="B1610" s="71" t="s">
        <v>3674</v>
      </c>
      <c r="C1610" s="71" t="s">
        <v>4136</v>
      </c>
    </row>
    <row r="1611" spans="1:3">
      <c r="A1611" s="71" t="s">
        <v>3850</v>
      </c>
      <c r="B1611" s="71" t="s">
        <v>3675</v>
      </c>
      <c r="C1611" s="71" t="s">
        <v>4137</v>
      </c>
    </row>
    <row r="1612" spans="1:3">
      <c r="A1612" s="71" t="s">
        <v>3851</v>
      </c>
      <c r="B1612" s="71" t="s">
        <v>3676</v>
      </c>
      <c r="C1612" s="71" t="s">
        <v>4130</v>
      </c>
    </row>
    <row r="1613" spans="1:3">
      <c r="A1613" s="71" t="s">
        <v>3852</v>
      </c>
      <c r="B1613" s="71" t="s">
        <v>3677</v>
      </c>
      <c r="C1613" s="71" t="s">
        <v>4139</v>
      </c>
    </row>
    <row r="1614" spans="1:3">
      <c r="A1614" s="71" t="s">
        <v>3853</v>
      </c>
      <c r="B1614" s="71" t="s">
        <v>3678</v>
      </c>
      <c r="C1614" s="71" t="s">
        <v>4138</v>
      </c>
    </row>
    <row r="1615" spans="1:3">
      <c r="A1615" s="71" t="s">
        <v>3854</v>
      </c>
      <c r="B1615" s="71" t="s">
        <v>3679</v>
      </c>
      <c r="C1615" s="71" t="s">
        <v>4140</v>
      </c>
    </row>
    <row r="1616" spans="1:3">
      <c r="A1616" s="834" t="s">
        <v>4216</v>
      </c>
      <c r="B1616" s="825" t="s">
        <v>4220</v>
      </c>
      <c r="C1616" s="825" t="s">
        <v>4221</v>
      </c>
    </row>
    <row r="1617" spans="1:3">
      <c r="A1617" s="71" t="s">
        <v>3855</v>
      </c>
      <c r="B1617" s="71" t="s">
        <v>3680</v>
      </c>
      <c r="C1617" s="71" t="s">
        <v>4138</v>
      </c>
    </row>
    <row r="1618" spans="1:3">
      <c r="A1618" s="71" t="s">
        <v>3856</v>
      </c>
      <c r="B1618" s="71" t="s">
        <v>3681</v>
      </c>
      <c r="C1618" s="71" t="s">
        <v>4142</v>
      </c>
    </row>
    <row r="1619" spans="1:3">
      <c r="A1619" s="71" t="s">
        <v>3857</v>
      </c>
      <c r="B1619" s="71" t="s">
        <v>3682</v>
      </c>
      <c r="C1619" s="71" t="s">
        <v>4141</v>
      </c>
    </row>
    <row r="1620" spans="1:3">
      <c r="A1620" s="71" t="s">
        <v>3858</v>
      </c>
      <c r="B1620" s="71" t="s">
        <v>3653</v>
      </c>
      <c r="C1620" s="71" t="s">
        <v>4143</v>
      </c>
    </row>
    <row r="1621" spans="1:3">
      <c r="A1621" s="71" t="s">
        <v>3899</v>
      </c>
      <c r="B1621" s="71" t="s">
        <v>3732</v>
      </c>
      <c r="C1621" s="71" t="s">
        <v>4144</v>
      </c>
    </row>
    <row r="1622" spans="1:3">
      <c r="A1622" s="71" t="s">
        <v>3900</v>
      </c>
      <c r="B1622" s="71" t="s">
        <v>3654</v>
      </c>
      <c r="C1622" s="71" t="s">
        <v>4148</v>
      </c>
    </row>
    <row r="1623" spans="1:3">
      <c r="A1623" s="71" t="s">
        <v>3901</v>
      </c>
      <c r="B1623" s="71" t="s">
        <v>3655</v>
      </c>
      <c r="C1623" s="71" t="s">
        <v>4145</v>
      </c>
    </row>
    <row r="1624" spans="1:3">
      <c r="A1624" s="71" t="s">
        <v>3902</v>
      </c>
      <c r="B1624" s="71" t="s">
        <v>3656</v>
      </c>
      <c r="C1624" s="71" t="s">
        <v>4146</v>
      </c>
    </row>
    <row r="1625" spans="1:3">
      <c r="A1625" s="71" t="s">
        <v>3903</v>
      </c>
      <c r="B1625" s="71" t="s">
        <v>3657</v>
      </c>
      <c r="C1625" s="71" t="s">
        <v>4147</v>
      </c>
    </row>
    <row r="1626" spans="1:3">
      <c r="A1626" s="71" t="s">
        <v>3904</v>
      </c>
      <c r="B1626" s="71" t="s">
        <v>3658</v>
      </c>
      <c r="C1626" s="71" t="s">
        <v>4149</v>
      </c>
    </row>
    <row r="1627" spans="1:3">
      <c r="A1627" s="71" t="s">
        <v>3905</v>
      </c>
      <c r="B1627" s="71" t="s">
        <v>3685</v>
      </c>
      <c r="C1627" s="71" t="s">
        <v>4150</v>
      </c>
    </row>
    <row r="1628" spans="1:3">
      <c r="A1628" s="71" t="s">
        <v>3906</v>
      </c>
      <c r="B1628" s="71" t="s">
        <v>3733</v>
      </c>
      <c r="C1628" s="71" t="s">
        <v>4151</v>
      </c>
    </row>
    <row r="1629" spans="1:3">
      <c r="A1629" s="71" t="s">
        <v>3907</v>
      </c>
      <c r="B1629" s="71" t="s">
        <v>3663</v>
      </c>
      <c r="C1629" s="71" t="s">
        <v>4153</v>
      </c>
    </row>
    <row r="1630" spans="1:3">
      <c r="A1630" s="71" t="s">
        <v>3908</v>
      </c>
      <c r="B1630" s="71" t="s">
        <v>3897</v>
      </c>
      <c r="C1630" s="71" t="s">
        <v>4152</v>
      </c>
    </row>
    <row r="1631" spans="1:3">
      <c r="A1631" s="71" t="s">
        <v>3909</v>
      </c>
      <c r="B1631" s="71" t="s">
        <v>3664</v>
      </c>
      <c r="C1631" s="71" t="s">
        <v>4154</v>
      </c>
    </row>
    <row r="1632" spans="1:3">
      <c r="A1632" s="71" t="s">
        <v>3910</v>
      </c>
      <c r="B1632" s="71" t="s">
        <v>3898</v>
      </c>
      <c r="C1632" s="71" t="s">
        <v>4155</v>
      </c>
    </row>
    <row r="1633" spans="1:3">
      <c r="A1633" s="71" t="s">
        <v>3911</v>
      </c>
      <c r="B1633" s="71" t="s">
        <v>309</v>
      </c>
      <c r="C1633" s="71" t="s">
        <v>4156</v>
      </c>
    </row>
    <row r="1634" spans="1:3">
      <c r="A1634" s="71" t="s">
        <v>3912</v>
      </c>
      <c r="B1634" s="71" t="s">
        <v>3659</v>
      </c>
      <c r="C1634" s="71" t="s">
        <v>3012</v>
      </c>
    </row>
    <row r="1635" spans="1:3">
      <c r="A1635" s="71" t="s">
        <v>3913</v>
      </c>
      <c r="B1635" s="71" t="s">
        <v>3660</v>
      </c>
      <c r="C1635" s="71" t="s">
        <v>4157</v>
      </c>
    </row>
    <row r="1636" spans="1:3">
      <c r="A1636" s="71" t="s">
        <v>3914</v>
      </c>
      <c r="B1636" s="71" t="s">
        <v>3661</v>
      </c>
      <c r="C1636" s="71" t="s">
        <v>4158</v>
      </c>
    </row>
    <row r="1637" spans="1:3">
      <c r="A1637" s="71" t="s">
        <v>3915</v>
      </c>
      <c r="B1637" s="71" t="s">
        <v>3662</v>
      </c>
      <c r="C1637" s="71" t="s">
        <v>4159</v>
      </c>
    </row>
    <row r="1638" spans="1:3">
      <c r="A1638" s="71" t="s">
        <v>3916</v>
      </c>
      <c r="B1638" s="71" t="s">
        <v>3665</v>
      </c>
      <c r="C1638" s="71" t="s">
        <v>4160</v>
      </c>
    </row>
    <row r="1639" spans="1:3">
      <c r="A1639" s="71" t="s">
        <v>3859</v>
      </c>
      <c r="B1639" s="71" t="s">
        <v>3684</v>
      </c>
      <c r="C1639" s="71" t="s">
        <v>4161</v>
      </c>
    </row>
    <row r="1640" spans="1:3">
      <c r="A1640" s="71" t="s">
        <v>3918</v>
      </c>
      <c r="B1640" s="145" t="s">
        <v>4077</v>
      </c>
      <c r="C1640" s="145" t="s">
        <v>4078</v>
      </c>
    </row>
    <row r="1641" spans="1:3">
      <c r="A1641" s="71" t="s">
        <v>3919</v>
      </c>
      <c r="B1641" s="71" t="s">
        <v>3224</v>
      </c>
      <c r="C1641" s="71" t="s">
        <v>3463</v>
      </c>
    </row>
    <row r="1642" spans="1:3">
      <c r="A1642" s="71" t="s">
        <v>3860</v>
      </c>
      <c r="B1642" s="71" t="s">
        <v>3225</v>
      </c>
      <c r="C1642" s="71" t="s">
        <v>3465</v>
      </c>
    </row>
    <row r="1643" spans="1:3">
      <c r="A1643" s="71" t="s">
        <v>3861</v>
      </c>
      <c r="B1643" s="71" t="s">
        <v>3226</v>
      </c>
      <c r="C1643" s="71" t="s">
        <v>3469</v>
      </c>
    </row>
    <row r="1644" spans="1:3">
      <c r="A1644" s="71" t="s">
        <v>3920</v>
      </c>
      <c r="B1644" s="71" t="s">
        <v>3227</v>
      </c>
      <c r="C1644" s="71" t="s">
        <v>3466</v>
      </c>
    </row>
    <row r="1645" spans="1:3">
      <c r="A1645" s="71" t="s">
        <v>3921</v>
      </c>
      <c r="B1645" s="71" t="s">
        <v>3219</v>
      </c>
      <c r="C1645" s="71" t="s">
        <v>3464</v>
      </c>
    </row>
    <row r="1646" spans="1:3">
      <c r="A1646" s="71" t="s">
        <v>3923</v>
      </c>
      <c r="B1646" s="71" t="s">
        <v>3217</v>
      </c>
      <c r="C1646" s="71" t="s">
        <v>3467</v>
      </c>
    </row>
    <row r="1647" spans="1:3">
      <c r="A1647" s="71" t="s">
        <v>3862</v>
      </c>
      <c r="B1647" s="71" t="s">
        <v>3216</v>
      </c>
      <c r="C1647" s="71" t="s">
        <v>3581</v>
      </c>
    </row>
    <row r="1648" spans="1:3">
      <c r="A1648" s="71" t="s">
        <v>3917</v>
      </c>
      <c r="B1648" s="71" t="s">
        <v>3221</v>
      </c>
      <c r="C1648" s="71" t="s">
        <v>3473</v>
      </c>
    </row>
    <row r="1649" spans="1:3">
      <c r="A1649" s="71" t="s">
        <v>3922</v>
      </c>
      <c r="B1649" s="71" t="s">
        <v>3220</v>
      </c>
      <c r="C1649" s="71" t="s">
        <v>3473</v>
      </c>
    </row>
    <row r="1650" spans="1:3">
      <c r="A1650" s="71" t="s">
        <v>3924</v>
      </c>
      <c r="B1650" s="71" t="s">
        <v>3222</v>
      </c>
      <c r="C1650" s="71" t="s">
        <v>3473</v>
      </c>
    </row>
    <row r="1651" spans="1:3">
      <c r="A1651" s="71" t="s">
        <v>3863</v>
      </c>
      <c r="B1651" s="71" t="s">
        <v>3223</v>
      </c>
      <c r="C1651" s="71" t="s">
        <v>3473</v>
      </c>
    </row>
    <row r="1652" spans="1:3">
      <c r="A1652" s="71" t="s">
        <v>3864</v>
      </c>
      <c r="B1652" s="71" t="s">
        <v>2625</v>
      </c>
      <c r="C1652" s="71" t="s">
        <v>3473</v>
      </c>
    </row>
    <row r="1653" spans="1:3">
      <c r="A1653" s="71" t="s">
        <v>3865</v>
      </c>
      <c r="B1653" s="71" t="s">
        <v>2738</v>
      </c>
      <c r="C1653" s="71" t="s">
        <v>3473</v>
      </c>
    </row>
    <row r="1654" spans="1:3">
      <c r="A1654" s="71" t="s">
        <v>3925</v>
      </c>
      <c r="B1654" s="71" t="s">
        <v>3218</v>
      </c>
      <c r="C1654" s="71" t="s">
        <v>3473</v>
      </c>
    </row>
  </sheetData>
  <pageMargins left="0.7" right="0.7" top="0.78740157499999996" bottom="0.78740157499999996"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opic_Note xmlns="http://schemas.microsoft.com/sharepoint/v3/fields">
      <Terms xmlns="http://schemas.microsoft.com/office/infopath/2007/PartnerControls"/>
    </Topic_Note>
    <AgendaItemGUID xmlns="1ab9bbcc-83c6-4736-b39b-aba04a32d413" xsi:nil="true"/>
    <RetentionPeriod xmlns="1AB9BBCC-83C6-4736-B39B-ABA04A32D413">15</RetentionPeriod>
    <DocumentDate xmlns="1AB9BBCC-83C6-4736-B39B-ABA04A32D413">2022-11-21T08:06:32+00:00</DocumentDate>
    <OU_Note xmlns="http://schemas.microsoft.com/sharepoint/v3/fields">
      <Terms xmlns="http://schemas.microsoft.com/office/infopath/2007/PartnerControls">
        <TermInfo xmlns="http://schemas.microsoft.com/office/infopath/2007/PartnerControls">
          <TermName xmlns="http://schemas.microsoft.com/office/infopath/2007/PartnerControls">Fachgebiet Risikomanagement</TermName>
          <TermId xmlns="http://schemas.microsoft.com/office/infopath/2007/PartnerControls">f7725cee-5d8f-4516-8102-0acd7d3144b7</TermId>
        </TermInfo>
      </Terms>
    </OU_Note>
    <SeqenceNumber xmlns="1ab9bbcc-83c6-4736-b39b-aba04a32d413" xsi:nil="true"/>
    <ToBeArchived xmlns="1ab9bbcc-83c6-4736-b39b-aba04a32d413">Nein</ToBeArchived>
    <OSP_Note xmlns="http://schemas.microsoft.com/sharepoint/v3/fields">
      <Terms xmlns="http://schemas.microsoft.com/office/infopath/2007/PartnerControls">
        <TermInfo xmlns="http://schemas.microsoft.com/office/infopath/2007/PartnerControls">
          <TermName xmlns="http://schemas.microsoft.com/office/infopath/2007/PartnerControls">4-02.9 Verschiedenes</TermName>
          <TermId xmlns="http://schemas.microsoft.com/office/infopath/2007/PartnerControls">b7add63a-7a8a-4b8a-bfff-6c9ce2cbce07</TermId>
        </TermInfo>
      </Terms>
    </OSP_Note>
    <_dlc_DocId xmlns="a13ce8e2-0bfa-4ae3-b62f-afeb61f48330">6005-T-6-101902</_dlc_DocId>
    <_dlc_DocIdUrl xmlns="a13ce8e2-0bfa-4ae3-b62f-afeb61f48330">
      <Url>https://dok.finma.ch/sites/6005-T/_layouts/15/DocIdRedir.aspx?ID=6005-T-6-101902</Url>
      <Description>6005-T-6-101902</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Finma Document" ma:contentTypeID="0x0101003951D1F36BC944E987AD610ADE6A10C300C61021B14ACC904B85E5051915CA0D18" ma:contentTypeVersion="2" ma:contentTypeDescription="Ein neues Dokument erstellen." ma:contentTypeScope="" ma:versionID="8a31dcd586b9a0b7e47232ae12d49371">
  <xsd:schema xmlns:xsd="http://www.w3.org/2001/XMLSchema" xmlns:xs="http://www.w3.org/2001/XMLSchema" xmlns:p="http://schemas.microsoft.com/office/2006/metadata/properties" xmlns:ns2="a13ce8e2-0bfa-4ae3-b62f-afeb61f48330" xmlns:ns3="http://schemas.microsoft.com/sharepoint/v3/fields" xmlns:ns4="1AB9BBCC-83C6-4736-B39B-ABA04A32D413" xmlns:ns5="1ab9bbcc-83c6-4736-b39b-aba04a32d413" targetNamespace="http://schemas.microsoft.com/office/2006/metadata/properties" ma:root="true" ma:fieldsID="8b8a4ef1c2d9a77696c6fbb4a6aed512" ns2:_="" ns3:_="" ns4:_="" ns5:_="">
    <xsd:import namespace="a13ce8e2-0bfa-4ae3-b62f-afeb61f48330"/>
    <xsd:import namespace="http://schemas.microsoft.com/sharepoint/v3/fields"/>
    <xsd:import namespace="1AB9BBCC-83C6-4736-B39B-ABA04A32D413"/>
    <xsd:import namespace="1ab9bbcc-83c6-4736-b39b-aba04a32d413"/>
    <xsd:element name="properties">
      <xsd:complexType>
        <xsd:sequence>
          <xsd:element name="documentManagement">
            <xsd:complexType>
              <xsd:all>
                <xsd:element ref="ns2:_dlc_DocId" minOccurs="0"/>
                <xsd:element ref="ns2:_dlc_DocIdUrl" minOccurs="0"/>
                <xsd:element ref="ns2:_dlc_DocIdPersistId" minOccurs="0"/>
                <xsd:element ref="ns3:Topic_Note" minOccurs="0"/>
                <xsd:element ref="ns3:OU_Note" minOccurs="0"/>
                <xsd:element ref="ns3:OSP_Note" minOccurs="0"/>
                <xsd:element ref="ns4:RetentionPeriod" minOccurs="0"/>
                <xsd:element ref="ns5:SeqenceNumber" minOccurs="0"/>
                <xsd:element ref="ns5:AgendaItemGUID" minOccurs="0"/>
                <xsd:element ref="ns5:ToBeArchived" minOccurs="0"/>
                <xsd:element ref="ns4: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3ce8e2-0bfa-4ae3-b62f-afeb61f48330"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opic_Note" ma:index="14" nillable="true" ma:taxonomy="true" ma:internalName="Topic_Note" ma:taxonomyFieldName="Topic" ma:displayName="Thema" ma:readOnly="false" ma:default="" ma:fieldId="{a64374eb-6e28-4d6b-ae22-c24ecbfd0ec3}" ma:sspId="27609f53-2d13-42be-a2b4-fd8d7f3f64db" ma:termSetId="7b4b023d-5e9a-475b-a148-dfe01b6a8d09" ma:anchorId="00000000-0000-0000-0000-000000000000" ma:open="true" ma:isKeyword="false">
      <xsd:complexType>
        <xsd:sequence>
          <xsd:element ref="pc:Terms" minOccurs="0" maxOccurs="1"/>
        </xsd:sequence>
      </xsd:complexType>
    </xsd:element>
    <xsd:element name="OU_Note" ma:index="16" nillable="true" ma:taxonomy="true" ma:internalName="OU_Note" ma:taxonomyFieldName="OU" ma:displayName="Organisationseinheit" ma:readOnly="false" ma:default="2;#Fachgebiet Risikomanagement|f7725cee-5d8f-4516-8102-0acd7d3144b7" ma:fieldId="{fcb30f0d-baee-4a7e-876f-d65b0367c7a8}" ma:sspId="27609f53-2d13-42be-a2b4-fd8d7f3f64db" ma:termSetId="2e7da289-48a2-42d8-b875-47a1903a1d9d" ma:anchorId="00000000-0000-0000-0000-000000000000" ma:open="false" ma:isKeyword="false">
      <xsd:complexType>
        <xsd:sequence>
          <xsd:element ref="pc:Terms" minOccurs="0" maxOccurs="1"/>
        </xsd:sequence>
      </xsd:complexType>
    </xsd:element>
    <xsd:element name="OSP_Note" ma:index="18" nillable="true" ma:taxonomy="true" ma:internalName="OSP_Note" ma:taxonomyFieldName="OSP" ma:displayName="Ordnungssystemposition" ma:readOnly="fals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AB9BBCC-83C6-4736-B39B-ABA04A32D413" elementFormDefault="qualified">
    <xsd:import namespace="http://schemas.microsoft.com/office/2006/documentManagement/types"/>
    <xsd:import namespace="http://schemas.microsoft.com/office/infopath/2007/PartnerControls"/>
    <xsd:element name="RetentionPeriod" ma:index="19" nillable="true" ma:displayName="Aufbewahrungsfrist" ma:description="Aufbewahrungsfrist des Dossiers" ma:internalName="RetentionPeriod" ma:readOnly="false">
      <xsd:simpleType>
        <xsd:restriction base="dms:Text"/>
      </xsd:simpleType>
    </xsd:element>
    <xsd:element name="DocumentDate" ma:index="23"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ab9bbcc-83c6-4736-b39b-aba04a32d413" elementFormDefault="qualified">
    <xsd:import namespace="http://schemas.microsoft.com/office/2006/documentManagement/types"/>
    <xsd:import namespace="http://schemas.microsoft.com/office/infopath/2007/PartnerControls"/>
    <xsd:element name="SeqenceNumber" ma:index="20" nillable="true" ma:displayName="Reihenfolge Nummer" ma:internalName="SeqenceNumber" ma:readOnly="false">
      <xsd:simpleType>
        <xsd:restriction base="dms:Unknown"/>
      </xsd:simpleType>
    </xsd:element>
    <xsd:element name="AgendaItemGUID" ma:index="21" nillable="true" ma:displayName="Traktandum GUID" ma:internalName="AgendaItemGUID" ma:readOnly="false">
      <xsd:simpleType>
        <xsd:restriction base="dms:Text"/>
      </xsd:simpleType>
    </xsd:element>
    <xsd:element name="ToBeArchived" ma:index="22" nillable="true" ma:displayName="Archivwürdig" ma:description="Soll das Dossier archiviert werden" ma:internalName="ToBeArchived"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54EF97-0640-47D6-A615-1DED38DE5811}">
  <ds:schemaRefs>
    <ds:schemaRef ds:uri="http://schemas.microsoft.com/sharepoint/events"/>
  </ds:schemaRefs>
</ds:datastoreItem>
</file>

<file path=customXml/itemProps2.xml><?xml version="1.0" encoding="utf-8"?>
<ds:datastoreItem xmlns:ds="http://schemas.openxmlformats.org/officeDocument/2006/customXml" ds:itemID="{480B68B6-95C7-4626-AC78-C5E08017AC9A}">
  <ds:schemaRefs>
    <ds:schemaRef ds:uri="http://schemas.microsoft.com/sharepoint/v3/contenttype/forms"/>
  </ds:schemaRefs>
</ds:datastoreItem>
</file>

<file path=customXml/itemProps3.xml><?xml version="1.0" encoding="utf-8"?>
<ds:datastoreItem xmlns:ds="http://schemas.openxmlformats.org/officeDocument/2006/customXml" ds:itemID="{B6E2A896-54D2-4AD5-8A7A-2A48171047BF}">
  <ds:schemaRefs>
    <ds:schemaRef ds:uri="a13ce8e2-0bfa-4ae3-b62f-afeb61f48330"/>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1ab9bbcc-83c6-4736-b39b-aba04a32d413"/>
    <ds:schemaRef ds:uri="http://purl.org/dc/terms/"/>
    <ds:schemaRef ds:uri="1AB9BBCC-83C6-4736-B39B-ABA04A32D413"/>
    <ds:schemaRef ds:uri="http://schemas.microsoft.com/sharepoint/v3/fields"/>
    <ds:schemaRef ds:uri="http://www.w3.org/XML/1998/namespace"/>
  </ds:schemaRefs>
</ds:datastoreItem>
</file>

<file path=customXml/itemProps4.xml><?xml version="1.0" encoding="utf-8"?>
<ds:datastoreItem xmlns:ds="http://schemas.openxmlformats.org/officeDocument/2006/customXml" ds:itemID="{923A2F52-E339-4F37-8887-52BEF03759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3ce8e2-0bfa-4ae3-b62f-afeb61f48330"/>
    <ds:schemaRef ds:uri="http://schemas.microsoft.com/sharepoint/v3/fields"/>
    <ds:schemaRef ds:uri="1AB9BBCC-83C6-4736-B39B-ABA04A32D413"/>
    <ds:schemaRef ds:uri="1ab9bbcc-83c6-4736-b39b-aba04a32d4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TotalTime>0</ap:TotalTime>
  <ap:Application>Microsoft Excel</ap:Application>
  <ap:DocSecurity>0</ap:DocSecurity>
  <ap:ScaleCrop>false</ap:ScaleCrop>
  <ap:HeadingPairs>
    <vt:vector baseType="variant" size="4">
      <vt:variant>
        <vt:lpstr>Arbeitsblätter</vt:lpstr>
      </vt:variant>
      <vt:variant>
        <vt:i4>8</vt:i4>
      </vt:variant>
      <vt:variant>
        <vt:lpstr>Benannte Bereiche</vt:lpstr>
      </vt:variant>
      <vt:variant>
        <vt:i4>15</vt:i4>
      </vt:variant>
    </vt:vector>
  </ap:HeadingPairs>
  <ap:TitlesOfParts>
    <vt:vector baseType="lpstr" size="23">
      <vt:lpstr>UEBERSICHT</vt:lpstr>
      <vt:lpstr>ER</vt:lpstr>
      <vt:lpstr>BILANZ</vt:lpstr>
      <vt:lpstr>TECHN ZERLEGUNG</vt:lpstr>
      <vt:lpstr>BESTANDESSTATISTIK</vt:lpstr>
      <vt:lpstr>BILANZIERUNGSGRUNDSAETZE</vt:lpstr>
      <vt:lpstr>BEWERTUNGSRESERVEN</vt:lpstr>
      <vt:lpstr>OFFENLEGUNGSSCHEMA</vt:lpstr>
      <vt:lpstr>Bjliste</vt:lpstr>
      <vt:lpstr>BVGMindestzinssatz</vt:lpstr>
      <vt:lpstr>BVGUWS</vt:lpstr>
      <vt:lpstr>BILANZ!Druckbereich</vt:lpstr>
      <vt:lpstr>BILANZIERUNGSGRUNDSAETZE!Druckbereich</vt:lpstr>
      <vt:lpstr>ER!Druckbereich</vt:lpstr>
      <vt:lpstr>OFFENLEGUNGSSCHEMA!Druckbereich</vt:lpstr>
      <vt:lpstr>UEBERSICHT!Druckbereich</vt:lpstr>
      <vt:lpstr>Email</vt:lpstr>
      <vt:lpstr>jahr</vt:lpstr>
      <vt:lpstr>Name</vt:lpstr>
      <vt:lpstr>Regi</vt:lpstr>
      <vt:lpstr>SPRCODE</vt:lpstr>
      <vt:lpstr>TEXTDF</vt:lpstr>
      <vt:lpstr>Vr</vt:lpstr>
    </vt:vector>
  </ap:TitlesOfParts>
  <ap:LinksUpToDate>false</ap:LinksUpToDate>
  <ap:SharedDoc>false</ap:SharedDoc>
  <ap:HyperlinksChanged>false</ap:HyperlinksChanged>
  <ap:AppVersion>16.0300</ap:AppVersion>
  <ap:Company/>
  <ap:Manager/>
  <ap:HyperlinkBase/>
</ap:Properties>
</file>

<file path=docProps/core.xml><?xml version="1.0" encoding="utf-8"?>
<coreProperties xmlns:dc="http://purl.org/dc/elements/1.1/" xmlns:dcterms="http://purl.org/dc/terms/" xmlns:xsi="http://www.w3.org/2001/XMLSchema-instance" xmlns="http://schemas.openxmlformats.org/package/2006/metadata/core-properties">
  <dc:title/>
  <dc:creator/>
  <lastModifiedBy/>
  <lastPrinted>2022-11-20T18:57:28.0000000Z</lastPrinted>
  <dcterms:created xsi:type="dcterms:W3CDTF">2002-03-08T15:37:24.0000000Z</dcterms:created>
  <dcterms:modified xsi:type="dcterms:W3CDTF">2023-12-05T10:42:53.0000000Z</dcterms:modified>
  <dc:subject/>
  <category/>
  <keywords/>
  <dc:description/>
  <contentType/>
  <contentStatus/>
  <version/>
  <revision/>
  <dc:language/>
  <dc:identifier/>
</coreProperties>
</file>

<file path=docProps/custom.xml><?xml version="1.0" encoding="utf-8"?>
<op:Properties xmlns:vt="http://schemas.openxmlformats.org/officeDocument/2006/docPropsVTypes" xmlns:op="http://schemas.openxmlformats.org/officeDocument/2006/custom-properties">
  <op:property fmtid="{D5CDD505-2E9C-101B-9397-08002B2CF9AE}" pid="3" name="OSP">
    <vt:lpwstr>19;#4-02.9 Verschiedenes|b7add63a-7a8a-4b8a-bfff-6c9ce2cbce07</vt:lpwstr>
  </op:property>
  <op:property fmtid="{D5CDD505-2E9C-101B-9397-08002B2CF9AE}" pid="4" name="OU">
    <vt:lpwstr>2;#Fachgebiet Risikomanagement|f7725cee-5d8f-4516-8102-0acd7d3144b7</vt:lpwstr>
  </op:property>
  <op:property fmtid="{D5CDD505-2E9C-101B-9397-08002B2CF9AE}" pid="5" name="Topic">
    <vt:lpwstr/>
  </op:property>
  <op:property fmtid="{D5CDD505-2E9C-101B-9397-08002B2CF9AE}" pid="6" name="_dlc_DocIdItemGuid">
    <vt:lpwstr>6a2cf39d-a042-48fa-a990-5357edab5aee</vt:lpwstr>
  </op:property>
</op:Properties>
</file>