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ok.finma.ch/sites/6005-T/Dossiers/Quantitatives Risikomanagement/SST/JaehrlicherSST/2024/Templates/"/>
    </mc:Choice>
  </mc:AlternateContent>
  <xr:revisionPtr revIDLastSave="0" documentId="8_{80F26DDE-0ED0-4012-A4E5-4A8574A3CF74}" xr6:coauthVersionLast="47" xr6:coauthVersionMax="47" xr10:uidLastSave="{00000000-0000-0000-0000-000000000000}"/>
  <bookViews>
    <workbookView xWindow="-120" yWindow="-120" windowWidth="29040" windowHeight="17640" tabRatio="772" xr2:uid="{00000000-000D-0000-FFFF-FFFF00000000}"/>
  </bookViews>
  <sheets>
    <sheet name="Intro" sheetId="1" r:id="rId1"/>
    <sheet name="Restatement" sheetId="78" r:id="rId2"/>
    <sheet name="Update" sheetId="2" r:id="rId3"/>
    <sheet name="SST Checklist" sheetId="46" r:id="rId4"/>
    <sheet name="Applied Model" sheetId="47" r:id="rId5"/>
    <sheet name="General Inputs" sheetId="6" r:id="rId6"/>
    <sheet name="SST Balance Sheet" sheetId="49" r:id="rId7"/>
    <sheet name="RBC" sheetId="63" r:id="rId8"/>
    <sheet name="Differences_Stat_SSTBalance" sheetId="52" r:id="rId9"/>
    <sheet name="Asset Prices" sheetId="13" r:id="rId10"/>
    <sheet name="Fixed Income" sheetId="14" r:id="rId11"/>
    <sheet name="Insurance Cashflows" sheetId="15" r:id="rId12"/>
    <sheet name="Forwards" sheetId="16" r:id="rId13"/>
    <sheet name="Delta Terms" sheetId="18" r:id="rId14"/>
    <sheet name="Expected Financial Result" sheetId="35" r:id="rId15"/>
    <sheet name="Credit Risk Merton" sheetId="73" r:id="rId16"/>
    <sheet name="Credit Risk Basel" sheetId="38" r:id="rId17"/>
    <sheet name="Scenarios" sheetId="20" r:id="rId18"/>
    <sheet name="Life" sheetId="21" r:id="rId19"/>
    <sheet name="Life (MVM)" sheetId="34" r:id="rId20"/>
    <sheet name="Non Life" sheetId="23" r:id="rId21"/>
    <sheet name="Health" sheetId="22" r:id="rId22"/>
    <sheet name="Other Data" sheetId="55" r:id="rId23"/>
    <sheet name="Market Initial Values" sheetId="56" r:id="rId24"/>
    <sheet name="Market (Dynamic)" sheetId="24" r:id="rId25"/>
    <sheet name="Market (Static)" sheetId="25" r:id="rId26"/>
    <sheet name="Macroeconomic Scenarios" sheetId="36" r:id="rId27"/>
    <sheet name="Correlation" sheetId="29" r:id="rId28"/>
    <sheet name="Credit Risk Parameters" sheetId="72" r:id="rId29"/>
    <sheet name="Credit Risk Info" sheetId="42" r:id="rId30"/>
    <sheet name="Stat_SSTBalance Info" sheetId="51" r:id="rId31"/>
    <sheet name="Glossary" sheetId="5" r:id="rId32"/>
    <sheet name="General Parameters" sheetId="69" r:id="rId33"/>
    <sheet name="Configuration" sheetId="83" r:id="rId34"/>
  </sheets>
  <definedNames>
    <definedName name="Branch">Intro!$E$11</definedName>
    <definedName name="Language">Intro!$E$7</definedName>
    <definedName name="LanguageNo">Intro!$F$7</definedName>
    <definedName name="SST_Currency">'General Inputs'!$D$7</definedName>
    <definedName name="Translation">Glossary!$B:$F</definedName>
    <definedName name="Unit">Intro!$G$7</definedName>
    <definedName name="Year">Intro!$C$1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6" i="52" l="1"/>
  <c r="E9" i="78" l="1"/>
  <c r="E8" i="78" s="1"/>
  <c r="D11" i="78"/>
  <c r="E7" i="78" l="1"/>
  <c r="E11" i="78" s="1"/>
  <c r="E35" i="63" l="1"/>
  <c r="E27" i="63"/>
  <c r="E30" i="63"/>
  <c r="E20" i="63"/>
  <c r="I216" i="52" l="1"/>
  <c r="M216" i="52"/>
  <c r="G216" i="49"/>
  <c r="K216" i="52" l="1"/>
  <c r="L216" i="52" l="1"/>
  <c r="D9" i="69"/>
  <c r="F175" i="49"/>
  <c r="M176" i="52"/>
  <c r="M177" i="52"/>
  <c r="J175" i="52"/>
  <c r="F175" i="52"/>
  <c r="E175" i="49"/>
  <c r="D6" i="69" l="1"/>
  <c r="E14" i="6" l="1"/>
  <c r="E14" i="21"/>
  <c r="E15" i="21"/>
  <c r="E7" i="21" l="1"/>
  <c r="E8" i="21"/>
  <c r="E9" i="21"/>
  <c r="E10" i="21"/>
  <c r="E11" i="21"/>
  <c r="E13" i="21"/>
  <c r="G53" i="49" l="1"/>
  <c r="M248" i="52" l="1"/>
  <c r="M249" i="52"/>
  <c r="M250" i="52"/>
  <c r="M251" i="52"/>
  <c r="M252" i="52"/>
  <c r="M244" i="52"/>
  <c r="M245" i="52"/>
  <c r="M240" i="52"/>
  <c r="M241" i="52"/>
  <c r="M237" i="52"/>
  <c r="M236" i="52"/>
  <c r="J121" i="52" l="1"/>
  <c r="F121" i="52"/>
  <c r="M149" i="52" l="1"/>
  <c r="M148" i="52"/>
  <c r="M147" i="52"/>
  <c r="H127" i="51" l="1"/>
  <c r="H75" i="51"/>
  <c r="H22" i="51"/>
  <c r="E12" i="21" l="1"/>
  <c r="M175" i="52" l="1"/>
  <c r="M219" i="52" l="1"/>
  <c r="M220" i="52"/>
  <c r="M221" i="52"/>
  <c r="J218" i="52"/>
  <c r="F218" i="52"/>
  <c r="J247" i="52"/>
  <c r="F247" i="52"/>
  <c r="J243" i="52"/>
  <c r="F243" i="52"/>
  <c r="J239" i="52"/>
  <c r="F239" i="52"/>
  <c r="J235" i="52"/>
  <c r="F235" i="52"/>
  <c r="M233" i="52"/>
  <c r="M226" i="52"/>
  <c r="M227" i="52"/>
  <c r="M228" i="52"/>
  <c r="M229" i="52"/>
  <c r="M230" i="52"/>
  <c r="M231" i="52"/>
  <c r="J225" i="52"/>
  <c r="F225" i="52"/>
  <c r="M223" i="52"/>
  <c r="M211" i="52"/>
  <c r="M213" i="52"/>
  <c r="M214" i="52"/>
  <c r="M209" i="52"/>
  <c r="J208" i="52"/>
  <c r="F208" i="52"/>
  <c r="M206" i="52"/>
  <c r="M205" i="52"/>
  <c r="M198" i="52"/>
  <c r="M199" i="52"/>
  <c r="M200" i="52"/>
  <c r="M201" i="52"/>
  <c r="M202" i="52"/>
  <c r="M203" i="52"/>
  <c r="M195" i="52"/>
  <c r="J194" i="52"/>
  <c r="F194" i="52"/>
  <c r="M192" i="52"/>
  <c r="M191" i="52"/>
  <c r="M190" i="52"/>
  <c r="M189" i="52"/>
  <c r="M188" i="52"/>
  <c r="M186" i="52"/>
  <c r="J185" i="52"/>
  <c r="F185" i="52"/>
  <c r="M183" i="52"/>
  <c r="M182" i="52"/>
  <c r="M181" i="52"/>
  <c r="M180" i="52"/>
  <c r="M179" i="52"/>
  <c r="M178" i="52"/>
  <c r="J174" i="52"/>
  <c r="F174" i="52"/>
  <c r="M165" i="52"/>
  <c r="M164" i="52"/>
  <c r="M163" i="52"/>
  <c r="M162" i="52"/>
  <c r="J161" i="52"/>
  <c r="F161" i="52"/>
  <c r="M159" i="52"/>
  <c r="M157" i="52"/>
  <c r="M156" i="52"/>
  <c r="J155" i="52"/>
  <c r="F155" i="52"/>
  <c r="M153" i="52"/>
  <c r="M150" i="52"/>
  <c r="M145" i="52"/>
  <c r="J146" i="52"/>
  <c r="J144" i="52" s="1"/>
  <c r="F146" i="52"/>
  <c r="F144" i="52" s="1"/>
  <c r="M142" i="52"/>
  <c r="M140" i="52"/>
  <c r="M138" i="52"/>
  <c r="M137" i="52"/>
  <c r="J136" i="52"/>
  <c r="F136" i="52"/>
  <c r="M134" i="52"/>
  <c r="M133" i="52"/>
  <c r="M132" i="52"/>
  <c r="M131" i="52"/>
  <c r="M130" i="52"/>
  <c r="M129" i="52"/>
  <c r="M127" i="52"/>
  <c r="M125" i="52"/>
  <c r="M124" i="52"/>
  <c r="M122" i="52"/>
  <c r="M117" i="52"/>
  <c r="M118" i="52"/>
  <c r="M119" i="52"/>
  <c r="J116" i="52"/>
  <c r="F116" i="52"/>
  <c r="M114" i="52"/>
  <c r="M107" i="52"/>
  <c r="M108" i="52"/>
  <c r="M109" i="52"/>
  <c r="M110" i="52"/>
  <c r="M111" i="52"/>
  <c r="M112" i="52"/>
  <c r="J106" i="52"/>
  <c r="F106" i="52"/>
  <c r="M104" i="52"/>
  <c r="M97" i="52"/>
  <c r="M98" i="52"/>
  <c r="M99" i="52"/>
  <c r="M100" i="52"/>
  <c r="M101" i="52"/>
  <c r="M102" i="52"/>
  <c r="J96" i="52"/>
  <c r="J93" i="52" s="1"/>
  <c r="F96" i="52"/>
  <c r="F93" i="52" s="1"/>
  <c r="M94" i="52"/>
  <c r="M87" i="52"/>
  <c r="M54" i="52"/>
  <c r="M53" i="52"/>
  <c r="F173" i="52" l="1"/>
  <c r="F254" i="52" s="1"/>
  <c r="J173" i="52"/>
  <c r="J254" i="52" s="1"/>
  <c r="F167" i="52"/>
  <c r="J167" i="52"/>
  <c r="B249" i="52" l="1"/>
  <c r="I249" i="52" s="1"/>
  <c r="B250" i="52"/>
  <c r="I250" i="52" s="1"/>
  <c r="B251" i="52"/>
  <c r="I251" i="52" s="1"/>
  <c r="B252" i="52"/>
  <c r="I252" i="52" s="1"/>
  <c r="B223" i="52"/>
  <c r="I223" i="52" s="1"/>
  <c r="B132" i="52"/>
  <c r="I132" i="52" s="1"/>
  <c r="G104" i="49" l="1"/>
  <c r="G87" i="49"/>
  <c r="G213" i="49"/>
  <c r="F208" i="49"/>
  <c r="E208" i="49"/>
  <c r="M208" i="52" s="1"/>
  <c r="E174" i="49" l="1"/>
  <c r="G183" i="49"/>
  <c r="E146" i="49"/>
  <c r="F146" i="49"/>
  <c r="F144" i="49" s="1"/>
  <c r="M174" i="52" l="1"/>
  <c r="E144" i="49"/>
  <c r="M144" i="52" s="1"/>
  <c r="M146" i="52"/>
  <c r="F121" i="49"/>
  <c r="E121" i="49"/>
  <c r="M121" i="52" s="1"/>
  <c r="G149" i="49"/>
  <c r="F174" i="49"/>
  <c r="F185" i="49"/>
  <c r="E185" i="49"/>
  <c r="M185" i="52" s="1"/>
  <c r="F194" i="49"/>
  <c r="E194" i="49"/>
  <c r="M194" i="52" s="1"/>
  <c r="G244" i="49"/>
  <c r="E239" i="49"/>
  <c r="M239" i="52" s="1"/>
  <c r="F243" i="49"/>
  <c r="E243" i="49"/>
  <c r="M243" i="52" s="1"/>
  <c r="E173" i="49" l="1"/>
  <c r="F173" i="49"/>
  <c r="M173" i="52" l="1"/>
  <c r="M46" i="52"/>
  <c r="M48" i="52"/>
  <c r="M49" i="52"/>
  <c r="M45" i="52"/>
  <c r="M85" i="52" l="1"/>
  <c r="M84" i="52"/>
  <c r="M83" i="52"/>
  <c r="M82" i="52"/>
  <c r="M81" i="52"/>
  <c r="M77" i="52"/>
  <c r="M76" i="52"/>
  <c r="M73" i="52"/>
  <c r="M72" i="52"/>
  <c r="M71" i="52"/>
  <c r="M32" i="52"/>
  <c r="M67" i="52"/>
  <c r="M66" i="52"/>
  <c r="M63" i="52"/>
  <c r="M62" i="52"/>
  <c r="M61" i="52"/>
  <c r="M60" i="52"/>
  <c r="M59" i="52"/>
  <c r="M58" i="52"/>
  <c r="M52" i="52"/>
  <c r="M41" i="52"/>
  <c r="M40" i="52"/>
  <c r="M39" i="52"/>
  <c r="M36" i="52"/>
  <c r="M35" i="52"/>
  <c r="M34" i="52"/>
  <c r="M29" i="52"/>
  <c r="M26" i="52"/>
  <c r="M25" i="52"/>
  <c r="M22" i="52"/>
  <c r="M21" i="52"/>
  <c r="M9" i="52"/>
  <c r="M10" i="52"/>
  <c r="M11" i="52"/>
  <c r="M12" i="52"/>
  <c r="M13" i="52"/>
  <c r="M14" i="52"/>
  <c r="M15" i="52"/>
  <c r="M16" i="52"/>
  <c r="M17" i="52"/>
  <c r="L8" i="18" l="1"/>
  <c r="L9" i="18"/>
  <c r="L10" i="18"/>
  <c r="L11" i="18"/>
  <c r="L12" i="18"/>
  <c r="L13" i="18"/>
  <c r="L14" i="18"/>
  <c r="L15" i="18"/>
  <c r="L16" i="18"/>
  <c r="L17" i="18"/>
  <c r="L18" i="18"/>
  <c r="L19" i="18"/>
  <c r="L20" i="18"/>
  <c r="L21" i="18"/>
  <c r="L22" i="18"/>
  <c r="L23" i="18"/>
  <c r="L24" i="18"/>
  <c r="L25" i="18"/>
  <c r="L26" i="18"/>
  <c r="L27" i="18"/>
  <c r="L28" i="18"/>
  <c r="L29" i="18"/>
  <c r="L30" i="18"/>
  <c r="L31" i="18"/>
  <c r="L32" i="18"/>
  <c r="L33" i="18"/>
  <c r="L34" i="18"/>
  <c r="L35" i="18"/>
  <c r="L36" i="18"/>
  <c r="L37" i="18"/>
  <c r="L38" i="18"/>
  <c r="L39" i="18"/>
  <c r="L40" i="18"/>
  <c r="L41" i="18"/>
  <c r="L42" i="18"/>
  <c r="L43" i="18"/>
  <c r="L44" i="18"/>
  <c r="L45" i="18"/>
  <c r="L7" i="18"/>
  <c r="B35" i="18" l="1"/>
  <c r="B34" i="18"/>
  <c r="B33" i="18"/>
  <c r="B32" i="18"/>
  <c r="H122" i="51" l="1"/>
  <c r="H70" i="51" l="1"/>
  <c r="E21" i="51"/>
  <c r="H21" i="51"/>
  <c r="H17" i="51"/>
  <c r="K89" i="51" l="1"/>
  <c r="K88" i="51"/>
  <c r="K87" i="51"/>
  <c r="K86" i="51"/>
  <c r="K85" i="51"/>
  <c r="J84" i="51"/>
  <c r="H84" i="51"/>
  <c r="E84" i="51"/>
  <c r="H74" i="51"/>
  <c r="E74" i="51"/>
  <c r="K84" i="51" l="1"/>
  <c r="K141" i="51" l="1"/>
  <c r="K140" i="51"/>
  <c r="K139" i="51"/>
  <c r="K138" i="51"/>
  <c r="K137" i="51"/>
  <c r="J136" i="51"/>
  <c r="H136" i="51"/>
  <c r="E136" i="51"/>
  <c r="H126" i="51"/>
  <c r="E126" i="51"/>
  <c r="K136" i="51" l="1"/>
  <c r="E540" i="5"/>
  <c r="E539" i="5"/>
  <c r="E538" i="5"/>
  <c r="E537" i="5"/>
  <c r="D540" i="5"/>
  <c r="D539" i="5"/>
  <c r="D538" i="5"/>
  <c r="D537" i="5"/>
  <c r="G9" i="20" l="1"/>
  <c r="G10" i="20"/>
  <c r="G11" i="20"/>
  <c r="G12" i="20"/>
  <c r="G13" i="20"/>
  <c r="G14" i="20"/>
  <c r="G15" i="20"/>
  <c r="G16" i="20"/>
  <c r="G17" i="20"/>
  <c r="G18" i="20"/>
  <c r="G19" i="20"/>
  <c r="G20" i="20"/>
  <c r="G21" i="20"/>
  <c r="G22" i="20"/>
  <c r="G23" i="20"/>
  <c r="G24" i="20"/>
  <c r="G25" i="20"/>
  <c r="G26" i="20"/>
  <c r="G27" i="20"/>
  <c r="G28" i="20"/>
  <c r="G29" i="20"/>
  <c r="G30" i="20"/>
  <c r="G31" i="20"/>
  <c r="G32" i="20"/>
  <c r="G8" i="20"/>
  <c r="G7" i="20" l="1"/>
  <c r="B89" i="52" l="1"/>
  <c r="B87" i="52"/>
  <c r="I87" i="52" s="1"/>
  <c r="B190" i="52" l="1"/>
  <c r="I190" i="52" s="1"/>
  <c r="B191" i="52"/>
  <c r="I191" i="52" s="1"/>
  <c r="G197" i="49"/>
  <c r="G196" i="49"/>
  <c r="D7" i="13" l="1"/>
  <c r="C540" i="5" l="1"/>
  <c r="C539" i="5"/>
  <c r="C538" i="5"/>
  <c r="C537" i="5"/>
  <c r="L85" i="38" l="1"/>
  <c r="L84" i="38"/>
  <c r="L83" i="38"/>
  <c r="L82" i="38"/>
  <c r="L81" i="38"/>
  <c r="L80" i="38"/>
  <c r="L79" i="38"/>
  <c r="L78" i="38"/>
  <c r="N6" i="38" l="1"/>
  <c r="L118" i="38"/>
  <c r="L119" i="38"/>
  <c r="L120" i="38"/>
  <c r="L121" i="38"/>
  <c r="L122" i="38"/>
  <c r="L123" i="38"/>
  <c r="L124" i="38"/>
  <c r="L125" i="38"/>
  <c r="L126" i="38"/>
  <c r="L127" i="38"/>
  <c r="L128" i="38"/>
  <c r="L129" i="38"/>
  <c r="L130" i="38"/>
  <c r="L131" i="38"/>
  <c r="L117" i="38"/>
  <c r="L8" i="38"/>
  <c r="L9" i="38"/>
  <c r="L10" i="38"/>
  <c r="L11" i="38"/>
  <c r="L12" i="38"/>
  <c r="L13" i="38"/>
  <c r="L14" i="38"/>
  <c r="L15" i="38"/>
  <c r="L16" i="38"/>
  <c r="L17" i="38"/>
  <c r="L18" i="38"/>
  <c r="L19" i="38"/>
  <c r="L20" i="38"/>
  <c r="L21" i="38"/>
  <c r="L22" i="38"/>
  <c r="L23" i="38"/>
  <c r="L24" i="38"/>
  <c r="L25" i="38"/>
  <c r="L26" i="38"/>
  <c r="L27" i="38"/>
  <c r="L28" i="38"/>
  <c r="L29" i="38"/>
  <c r="L30" i="38"/>
  <c r="L31" i="38"/>
  <c r="L32" i="38"/>
  <c r="L33" i="38"/>
  <c r="L34" i="38"/>
  <c r="L35" i="38"/>
  <c r="L36" i="38"/>
  <c r="L37" i="38"/>
  <c r="L38" i="38"/>
  <c r="L39" i="38"/>
  <c r="L40" i="38"/>
  <c r="L41" i="38"/>
  <c r="L42" i="38"/>
  <c r="L43" i="38"/>
  <c r="L44" i="38"/>
  <c r="L45" i="38"/>
  <c r="L46" i="38"/>
  <c r="L47" i="38"/>
  <c r="L48" i="38"/>
  <c r="L49" i="38"/>
  <c r="L50" i="38"/>
  <c r="L51" i="38"/>
  <c r="L52" i="38"/>
  <c r="L53" i="38"/>
  <c r="L54" i="38"/>
  <c r="L55" i="38"/>
  <c r="L56" i="38"/>
  <c r="L57" i="38"/>
  <c r="L58" i="38"/>
  <c r="L59" i="38"/>
  <c r="L60" i="38"/>
  <c r="L61" i="38"/>
  <c r="L62" i="38"/>
  <c r="L63" i="38"/>
  <c r="L64" i="38"/>
  <c r="L65" i="38"/>
  <c r="L66" i="38"/>
  <c r="L67" i="38"/>
  <c r="L68" i="38"/>
  <c r="L69" i="38"/>
  <c r="L70" i="38"/>
  <c r="L71" i="38"/>
  <c r="L72" i="38"/>
  <c r="L73" i="38"/>
  <c r="L74" i="38"/>
  <c r="L75" i="38"/>
  <c r="L76" i="38"/>
  <c r="L77" i="38"/>
  <c r="L86" i="38"/>
  <c r="L87" i="38"/>
  <c r="L88" i="38"/>
  <c r="L89" i="38"/>
  <c r="L90" i="38"/>
  <c r="L91" i="38"/>
  <c r="L92" i="38"/>
  <c r="L93" i="38"/>
  <c r="L94" i="38"/>
  <c r="L95" i="38"/>
  <c r="L96" i="38"/>
  <c r="L97" i="38"/>
  <c r="L98" i="38"/>
  <c r="L99" i="38"/>
  <c r="L100" i="38"/>
  <c r="L101" i="38"/>
  <c r="L102" i="38"/>
  <c r="L103" i="38"/>
  <c r="L104" i="38"/>
  <c r="L105" i="38"/>
  <c r="L106" i="38"/>
  <c r="L107" i="38"/>
  <c r="L108" i="38"/>
  <c r="L109" i="38"/>
  <c r="L110" i="38"/>
  <c r="L111" i="38"/>
  <c r="L112" i="38"/>
  <c r="L113" i="38"/>
  <c r="L114" i="38"/>
  <c r="L115" i="38"/>
  <c r="L7" i="38"/>
  <c r="O6" i="38" l="1"/>
  <c r="M5" i="52"/>
  <c r="K5" i="52" l="1"/>
  <c r="I5" i="52"/>
  <c r="F5" i="52"/>
  <c r="G6" i="49"/>
  <c r="E6" i="49"/>
  <c r="B254" i="52"/>
  <c r="B248" i="52"/>
  <c r="I248" i="52" s="1"/>
  <c r="B247" i="52"/>
  <c r="B245" i="52"/>
  <c r="I245" i="52" s="1"/>
  <c r="B244" i="52"/>
  <c r="I244" i="52" s="1"/>
  <c r="B243" i="52"/>
  <c r="B241" i="52"/>
  <c r="I241" i="52" s="1"/>
  <c r="B240" i="52"/>
  <c r="I240" i="52" s="1"/>
  <c r="B239" i="52"/>
  <c r="B237" i="52"/>
  <c r="I237" i="52" s="1"/>
  <c r="B236" i="52"/>
  <c r="I236" i="52" s="1"/>
  <c r="B235" i="52"/>
  <c r="B233" i="52"/>
  <c r="I233" i="52" s="1"/>
  <c r="B231" i="52"/>
  <c r="I231" i="52" s="1"/>
  <c r="B230" i="52"/>
  <c r="I230" i="52" s="1"/>
  <c r="B229" i="52"/>
  <c r="I229" i="52" s="1"/>
  <c r="B228" i="52"/>
  <c r="I228" i="52" s="1"/>
  <c r="B227" i="52"/>
  <c r="I227" i="52" s="1"/>
  <c r="B226" i="52"/>
  <c r="I226" i="52" s="1"/>
  <c r="B225" i="52"/>
  <c r="B221" i="52"/>
  <c r="I221" i="52" s="1"/>
  <c r="B220" i="52"/>
  <c r="I220" i="52" s="1"/>
  <c r="B219" i="52"/>
  <c r="I219" i="52" s="1"/>
  <c r="B218" i="52"/>
  <c r="B214" i="52"/>
  <c r="I214" i="52" s="1"/>
  <c r="B213" i="52"/>
  <c r="I213" i="52" s="1"/>
  <c r="B212" i="52"/>
  <c r="B211" i="52"/>
  <c r="I211" i="52" s="1"/>
  <c r="B210" i="52"/>
  <c r="B209" i="52"/>
  <c r="I209" i="52" s="1"/>
  <c r="B208" i="52"/>
  <c r="B206" i="52"/>
  <c r="I206" i="52" s="1"/>
  <c r="B205" i="52"/>
  <c r="I205" i="52" s="1"/>
  <c r="B203" i="52"/>
  <c r="I203" i="52" s="1"/>
  <c r="B202" i="52"/>
  <c r="I202" i="52" s="1"/>
  <c r="B201" i="52"/>
  <c r="I201" i="52" s="1"/>
  <c r="B200" i="52"/>
  <c r="I200" i="52" s="1"/>
  <c r="B199" i="52"/>
  <c r="I199" i="52" s="1"/>
  <c r="B198" i="52"/>
  <c r="I198" i="52" s="1"/>
  <c r="B197" i="52"/>
  <c r="B196" i="52"/>
  <c r="B195" i="52"/>
  <c r="I195" i="52" s="1"/>
  <c r="K195" i="52" s="1"/>
  <c r="L195" i="52" s="1"/>
  <c r="B194" i="52"/>
  <c r="B192" i="52"/>
  <c r="I192" i="52" s="1"/>
  <c r="B189" i="52"/>
  <c r="I189" i="52" s="1"/>
  <c r="B188" i="52"/>
  <c r="I188" i="52" s="1"/>
  <c r="B187" i="52"/>
  <c r="B186" i="52"/>
  <c r="I186" i="52" s="1"/>
  <c r="B185" i="52"/>
  <c r="B183" i="52"/>
  <c r="I183" i="52" s="1"/>
  <c r="B182" i="52"/>
  <c r="I182" i="52" s="1"/>
  <c r="B181" i="52"/>
  <c r="I181" i="52" s="1"/>
  <c r="B180" i="52"/>
  <c r="B179" i="52"/>
  <c r="I179" i="52" s="1"/>
  <c r="B178" i="52"/>
  <c r="I178" i="52" s="1"/>
  <c r="B177" i="52"/>
  <c r="I177" i="52" s="1"/>
  <c r="K177" i="52" s="1"/>
  <c r="L177" i="52" s="1"/>
  <c r="B176" i="52"/>
  <c r="I176" i="52" s="1"/>
  <c r="B175" i="52"/>
  <c r="B174" i="52"/>
  <c r="B173" i="52"/>
  <c r="B171" i="52"/>
  <c r="B169" i="52"/>
  <c r="B167" i="52"/>
  <c r="B165" i="52"/>
  <c r="I165" i="52" s="1"/>
  <c r="B164" i="52"/>
  <c r="I164" i="52" s="1"/>
  <c r="B163" i="52"/>
  <c r="I163" i="52" s="1"/>
  <c r="B162" i="52"/>
  <c r="I162" i="52" s="1"/>
  <c r="B161" i="52"/>
  <c r="B159" i="52"/>
  <c r="I159" i="52" s="1"/>
  <c r="B157" i="52"/>
  <c r="I157" i="52" s="1"/>
  <c r="B156" i="52"/>
  <c r="I156" i="52" s="1"/>
  <c r="B155" i="52"/>
  <c r="B153" i="52"/>
  <c r="I153" i="52" s="1"/>
  <c r="B151" i="52"/>
  <c r="B150" i="52"/>
  <c r="I150" i="52" s="1"/>
  <c r="B149" i="52"/>
  <c r="I149" i="52" s="1"/>
  <c r="K149" i="52" s="1"/>
  <c r="L149" i="52" s="1"/>
  <c r="B148" i="52"/>
  <c r="I148" i="52" s="1"/>
  <c r="K148" i="52" s="1"/>
  <c r="L148" i="52" s="1"/>
  <c r="B147" i="52"/>
  <c r="I147" i="52" s="1"/>
  <c r="K147" i="52" s="1"/>
  <c r="B146" i="52"/>
  <c r="B145" i="52"/>
  <c r="I145" i="52" s="1"/>
  <c r="B144" i="52"/>
  <c r="B142" i="52"/>
  <c r="I142" i="52" s="1"/>
  <c r="B140" i="52"/>
  <c r="I140" i="52" s="1"/>
  <c r="B138" i="52"/>
  <c r="I138" i="52" s="1"/>
  <c r="B137" i="52"/>
  <c r="I137" i="52" s="1"/>
  <c r="B136" i="52"/>
  <c r="B134" i="52"/>
  <c r="I134" i="52" s="1"/>
  <c r="B133" i="52"/>
  <c r="I133" i="52" s="1"/>
  <c r="B131" i="52"/>
  <c r="I131" i="52" s="1"/>
  <c r="B130" i="52"/>
  <c r="I130" i="52" s="1"/>
  <c r="B129" i="52"/>
  <c r="I129" i="52" s="1"/>
  <c r="B128" i="52"/>
  <c r="B127" i="52"/>
  <c r="I127" i="52" s="1"/>
  <c r="B126" i="52"/>
  <c r="B125" i="52"/>
  <c r="I125" i="52" s="1"/>
  <c r="B124" i="52"/>
  <c r="I124" i="52" s="1"/>
  <c r="B123" i="52"/>
  <c r="B122" i="52"/>
  <c r="I122" i="52" s="1"/>
  <c r="B121" i="52"/>
  <c r="B119" i="52"/>
  <c r="I119" i="52" s="1"/>
  <c r="B118" i="52"/>
  <c r="I118" i="52" s="1"/>
  <c r="B117" i="52"/>
  <c r="I117" i="52" s="1"/>
  <c r="B116" i="52"/>
  <c r="B114" i="52"/>
  <c r="I114" i="52" s="1"/>
  <c r="B112" i="52"/>
  <c r="I112" i="52" s="1"/>
  <c r="B111" i="52"/>
  <c r="I111" i="52" s="1"/>
  <c r="B110" i="52"/>
  <c r="I110" i="52" s="1"/>
  <c r="B109" i="52"/>
  <c r="I109" i="52" s="1"/>
  <c r="B108" i="52"/>
  <c r="I108" i="52" s="1"/>
  <c r="B107" i="52"/>
  <c r="I107" i="52" s="1"/>
  <c r="B106" i="52"/>
  <c r="B104" i="52"/>
  <c r="I104" i="52" s="1"/>
  <c r="B102" i="52"/>
  <c r="I102" i="52" s="1"/>
  <c r="B101" i="52"/>
  <c r="I101" i="52" s="1"/>
  <c r="B100" i="52"/>
  <c r="I100" i="52" s="1"/>
  <c r="B99" i="52"/>
  <c r="I99" i="52" s="1"/>
  <c r="B98" i="52"/>
  <c r="I98" i="52" s="1"/>
  <c r="B97" i="52"/>
  <c r="I97" i="52" s="1"/>
  <c r="B96" i="52"/>
  <c r="B94" i="52"/>
  <c r="I94" i="52" s="1"/>
  <c r="B93" i="52"/>
  <c r="B91" i="52"/>
  <c r="B85" i="52"/>
  <c r="I85" i="52" s="1"/>
  <c r="B84" i="52"/>
  <c r="I84" i="52" s="1"/>
  <c r="B83" i="52"/>
  <c r="I83" i="52" s="1"/>
  <c r="B82" i="52"/>
  <c r="I82" i="52" s="1"/>
  <c r="B81" i="52"/>
  <c r="I81" i="52" s="1"/>
  <c r="J80" i="52"/>
  <c r="J79" i="52" s="1"/>
  <c r="F80" i="52"/>
  <c r="F79" i="52" s="1"/>
  <c r="B80" i="52"/>
  <c r="B79" i="52"/>
  <c r="B77" i="52"/>
  <c r="I77" i="52" s="1"/>
  <c r="B76" i="52"/>
  <c r="I76" i="52" s="1"/>
  <c r="J75" i="52"/>
  <c r="F75" i="52"/>
  <c r="B75" i="52"/>
  <c r="B73" i="52"/>
  <c r="I73" i="52" s="1"/>
  <c r="B72" i="52"/>
  <c r="I72" i="52" s="1"/>
  <c r="B71" i="52"/>
  <c r="I71" i="52" s="1"/>
  <c r="J70" i="52"/>
  <c r="J65" i="52" s="1"/>
  <c r="F70" i="52"/>
  <c r="F65" i="52" s="1"/>
  <c r="B70" i="52"/>
  <c r="B68" i="52"/>
  <c r="B67" i="52"/>
  <c r="I67" i="52" s="1"/>
  <c r="B66" i="52"/>
  <c r="I66" i="52" s="1"/>
  <c r="B65" i="52"/>
  <c r="B63" i="52"/>
  <c r="I63" i="52" s="1"/>
  <c r="B62" i="52"/>
  <c r="I62" i="52" s="1"/>
  <c r="B61" i="52"/>
  <c r="I61" i="52" s="1"/>
  <c r="B60" i="52"/>
  <c r="I60" i="52" s="1"/>
  <c r="B59" i="52"/>
  <c r="I59" i="52" s="1"/>
  <c r="B58" i="52"/>
  <c r="I58" i="52" s="1"/>
  <c r="J57" i="52"/>
  <c r="F57" i="52"/>
  <c r="B57" i="52"/>
  <c r="B56" i="52"/>
  <c r="B54" i="52"/>
  <c r="I54" i="52" s="1"/>
  <c r="B53" i="52"/>
  <c r="I53" i="52" s="1"/>
  <c r="B52" i="52"/>
  <c r="I52" i="52" s="1"/>
  <c r="J51" i="52"/>
  <c r="F51" i="52"/>
  <c r="B51" i="52"/>
  <c r="B49" i="52"/>
  <c r="I49" i="52" s="1"/>
  <c r="B48" i="52"/>
  <c r="I48" i="52" s="1"/>
  <c r="J47" i="52"/>
  <c r="F47" i="52"/>
  <c r="B47" i="52"/>
  <c r="B46" i="52"/>
  <c r="I46" i="52" s="1"/>
  <c r="B45" i="52"/>
  <c r="I45" i="52" s="1"/>
  <c r="J44" i="52"/>
  <c r="F44" i="52"/>
  <c r="B44" i="52"/>
  <c r="B43" i="52"/>
  <c r="B41" i="52"/>
  <c r="I41" i="52" s="1"/>
  <c r="B40" i="52"/>
  <c r="I40" i="52" s="1"/>
  <c r="B39" i="52"/>
  <c r="I39" i="52" s="1"/>
  <c r="J38" i="52"/>
  <c r="F38" i="52"/>
  <c r="B38" i="52"/>
  <c r="B36" i="52"/>
  <c r="I36" i="52" s="1"/>
  <c r="B35" i="52"/>
  <c r="I35" i="52" s="1"/>
  <c r="B34" i="52"/>
  <c r="I34" i="52" s="1"/>
  <c r="B33" i="52"/>
  <c r="B32" i="52"/>
  <c r="I32" i="52" s="1"/>
  <c r="B31" i="52"/>
  <c r="B30" i="52"/>
  <c r="B29" i="52"/>
  <c r="I29" i="52" s="1"/>
  <c r="J28" i="52"/>
  <c r="F28" i="52"/>
  <c r="B28" i="52"/>
  <c r="B26" i="52"/>
  <c r="I26" i="52" s="1"/>
  <c r="B25" i="52"/>
  <c r="I25" i="52" s="1"/>
  <c r="J24" i="52"/>
  <c r="F24" i="52"/>
  <c r="B24" i="52"/>
  <c r="B22" i="52"/>
  <c r="I22" i="52" s="1"/>
  <c r="B21" i="52"/>
  <c r="I21" i="52" s="1"/>
  <c r="J20" i="52"/>
  <c r="F20" i="52"/>
  <c r="B20" i="52"/>
  <c r="B19" i="52"/>
  <c r="B17" i="52"/>
  <c r="I17" i="52" s="1"/>
  <c r="B16" i="52"/>
  <c r="I16" i="52" s="1"/>
  <c r="B15" i="52"/>
  <c r="I15" i="52" s="1"/>
  <c r="B14" i="52"/>
  <c r="I14" i="52" s="1"/>
  <c r="B13" i="52"/>
  <c r="I13" i="52" s="1"/>
  <c r="B12" i="52"/>
  <c r="I12" i="52" s="1"/>
  <c r="B11" i="52"/>
  <c r="I11" i="52" s="1"/>
  <c r="B10" i="52"/>
  <c r="I10" i="52" s="1"/>
  <c r="B9" i="52"/>
  <c r="I9" i="52" s="1"/>
  <c r="J8" i="52"/>
  <c r="F8" i="52"/>
  <c r="B8" i="52"/>
  <c r="B7" i="52"/>
  <c r="B6" i="52"/>
  <c r="K37" i="51"/>
  <c r="K36" i="51"/>
  <c r="K35" i="51"/>
  <c r="K34" i="51"/>
  <c r="K33" i="51"/>
  <c r="J32" i="51"/>
  <c r="H32" i="51"/>
  <c r="E32" i="51"/>
  <c r="G252" i="49"/>
  <c r="G251" i="49"/>
  <c r="G250" i="49"/>
  <c r="G249" i="49"/>
  <c r="G248" i="49"/>
  <c r="F247" i="49"/>
  <c r="E247" i="49"/>
  <c r="M247" i="52" s="1"/>
  <c r="G245" i="49"/>
  <c r="G241" i="49"/>
  <c r="G240" i="49"/>
  <c r="F239" i="49"/>
  <c r="G237" i="49"/>
  <c r="G236" i="49"/>
  <c r="F235" i="49"/>
  <c r="E235" i="49"/>
  <c r="M235" i="52" s="1"/>
  <c r="G233" i="49"/>
  <c r="G231" i="49"/>
  <c r="G230" i="49"/>
  <c r="G229" i="49"/>
  <c r="G228" i="49"/>
  <c r="G227" i="49"/>
  <c r="G226" i="49"/>
  <c r="F225" i="49"/>
  <c r="E225" i="49"/>
  <c r="M225" i="52" s="1"/>
  <c r="G223" i="49"/>
  <c r="G221" i="49"/>
  <c r="G220" i="49"/>
  <c r="G219" i="49"/>
  <c r="F218" i="49"/>
  <c r="E218" i="49"/>
  <c r="G214" i="49"/>
  <c r="G212" i="49"/>
  <c r="G211" i="49"/>
  <c r="G210" i="49"/>
  <c r="G209" i="49"/>
  <c r="G206" i="49"/>
  <c r="G203" i="49"/>
  <c r="G192" i="49"/>
  <c r="G205" i="49"/>
  <c r="G202" i="49"/>
  <c r="G201" i="49"/>
  <c r="G200" i="49"/>
  <c r="G199" i="49"/>
  <c r="G198" i="49"/>
  <c r="G195" i="49"/>
  <c r="G191" i="49"/>
  <c r="G190" i="49"/>
  <c r="G189" i="49"/>
  <c r="G188" i="49"/>
  <c r="G187" i="49"/>
  <c r="G186" i="49"/>
  <c r="G182" i="49"/>
  <c r="G181" i="49"/>
  <c r="G180" i="49"/>
  <c r="G179" i="49"/>
  <c r="G178" i="49"/>
  <c r="G177" i="49"/>
  <c r="G176" i="49"/>
  <c r="G175" i="49"/>
  <c r="G165" i="49"/>
  <c r="G164" i="49"/>
  <c r="G163" i="49"/>
  <c r="G162" i="49"/>
  <c r="F161" i="49"/>
  <c r="E161" i="49"/>
  <c r="M161" i="52" s="1"/>
  <c r="G159" i="49"/>
  <c r="G157" i="49"/>
  <c r="G156" i="49"/>
  <c r="F155" i="49"/>
  <c r="E155" i="49"/>
  <c r="M155" i="52" s="1"/>
  <c r="G153" i="49"/>
  <c r="G151" i="49"/>
  <c r="G150" i="49"/>
  <c r="G148" i="49"/>
  <c r="G147" i="49"/>
  <c r="G145" i="49"/>
  <c r="G142" i="49"/>
  <c r="E12" i="63" s="1"/>
  <c r="E16" i="63" s="1"/>
  <c r="G140" i="49"/>
  <c r="G138" i="49"/>
  <c r="G137" i="49"/>
  <c r="F136" i="49"/>
  <c r="E136" i="49"/>
  <c r="M136" i="52" s="1"/>
  <c r="G132" i="49"/>
  <c r="G134" i="49"/>
  <c r="G130" i="49"/>
  <c r="G129" i="49"/>
  <c r="G124" i="49"/>
  <c r="G131" i="49"/>
  <c r="G133" i="49"/>
  <c r="G128" i="49"/>
  <c r="G127" i="49"/>
  <c r="G126" i="49"/>
  <c r="G125" i="49"/>
  <c r="G123" i="49"/>
  <c r="G122" i="49"/>
  <c r="G119" i="49"/>
  <c r="G118" i="49"/>
  <c r="G117" i="49"/>
  <c r="F116" i="49"/>
  <c r="E116" i="49"/>
  <c r="M116" i="52" s="1"/>
  <c r="G114" i="49"/>
  <c r="G112" i="49"/>
  <c r="G111" i="49"/>
  <c r="G110" i="49"/>
  <c r="G109" i="49"/>
  <c r="G108" i="49"/>
  <c r="G107" i="49"/>
  <c r="F106" i="49"/>
  <c r="E106" i="49"/>
  <c r="M106" i="52" s="1"/>
  <c r="G102" i="49"/>
  <c r="G101" i="49"/>
  <c r="G100" i="49"/>
  <c r="G99" i="49"/>
  <c r="G98" i="49"/>
  <c r="G97" i="49"/>
  <c r="F96" i="49"/>
  <c r="F93" i="49" s="1"/>
  <c r="E96" i="49"/>
  <c r="G94" i="49"/>
  <c r="G85" i="49"/>
  <c r="G84" i="49"/>
  <c r="G83" i="49"/>
  <c r="G82" i="49"/>
  <c r="G81" i="49"/>
  <c r="F80" i="49"/>
  <c r="F79" i="49" s="1"/>
  <c r="E80" i="49"/>
  <c r="G77" i="49"/>
  <c r="G76" i="49"/>
  <c r="F75" i="49"/>
  <c r="E75" i="49"/>
  <c r="M75" i="52" s="1"/>
  <c r="G73" i="49"/>
  <c r="G72" i="49"/>
  <c r="G71" i="49"/>
  <c r="F70" i="49"/>
  <c r="F65" i="49" s="1"/>
  <c r="E70" i="49"/>
  <c r="G68" i="49"/>
  <c r="G67" i="49"/>
  <c r="G66" i="49"/>
  <c r="G63" i="49"/>
  <c r="G62" i="49"/>
  <c r="G61" i="49"/>
  <c r="G60" i="49"/>
  <c r="G59" i="49"/>
  <c r="G58" i="49"/>
  <c r="F57" i="49"/>
  <c r="E57" i="49"/>
  <c r="M57" i="52" s="1"/>
  <c r="G54" i="49"/>
  <c r="G52" i="49"/>
  <c r="F51" i="49"/>
  <c r="E51" i="49"/>
  <c r="M51" i="52" s="1"/>
  <c r="G49" i="49"/>
  <c r="G48" i="49"/>
  <c r="F47" i="49"/>
  <c r="E47" i="49"/>
  <c r="M47" i="52" s="1"/>
  <c r="G46" i="49"/>
  <c r="G45" i="49"/>
  <c r="F44" i="49"/>
  <c r="E44" i="49"/>
  <c r="M44" i="52" s="1"/>
  <c r="G41" i="49"/>
  <c r="G40" i="49"/>
  <c r="G39" i="49"/>
  <c r="F38" i="49"/>
  <c r="E38" i="49"/>
  <c r="M38" i="52" s="1"/>
  <c r="G36" i="49"/>
  <c r="G35" i="49"/>
  <c r="G34" i="49"/>
  <c r="G33" i="49"/>
  <c r="G32" i="49"/>
  <c r="G31" i="49"/>
  <c r="G30" i="49"/>
  <c r="G29" i="49"/>
  <c r="F28" i="49"/>
  <c r="E28" i="49"/>
  <c r="M28" i="52" s="1"/>
  <c r="G26" i="49"/>
  <c r="G25" i="49"/>
  <c r="F24" i="49"/>
  <c r="E24" i="49"/>
  <c r="M24" i="52" s="1"/>
  <c r="G22" i="49"/>
  <c r="G21" i="49"/>
  <c r="F20" i="49"/>
  <c r="E20" i="49"/>
  <c r="M20" i="52" s="1"/>
  <c r="G17" i="49"/>
  <c r="G16" i="49"/>
  <c r="G15" i="49"/>
  <c r="G14" i="49"/>
  <c r="G13" i="49"/>
  <c r="G12" i="49"/>
  <c r="G11" i="49"/>
  <c r="G10" i="49"/>
  <c r="G9" i="49"/>
  <c r="F8" i="49"/>
  <c r="E8" i="49"/>
  <c r="F254" i="49" l="1"/>
  <c r="M218" i="52"/>
  <c r="E254" i="49"/>
  <c r="M254" i="52" s="1"/>
  <c r="K176" i="52"/>
  <c r="L176" i="52" s="1"/>
  <c r="I175" i="52"/>
  <c r="L147" i="52"/>
  <c r="K146" i="52"/>
  <c r="I121" i="52"/>
  <c r="K29" i="49"/>
  <c r="K32" i="49"/>
  <c r="M8" i="52"/>
  <c r="M96" i="52"/>
  <c r="E93" i="49"/>
  <c r="M93" i="52" s="1"/>
  <c r="K34" i="49"/>
  <c r="E79" i="49"/>
  <c r="M79" i="52" s="1"/>
  <c r="M80" i="52"/>
  <c r="E65" i="49"/>
  <c r="M65" i="52" s="1"/>
  <c r="M70" i="52"/>
  <c r="F56" i="52"/>
  <c r="J56" i="52"/>
  <c r="K32" i="51"/>
  <c r="F167" i="49"/>
  <c r="J19" i="52"/>
  <c r="J43" i="52"/>
  <c r="F43" i="52"/>
  <c r="G235" i="49"/>
  <c r="G247" i="49"/>
  <c r="G116" i="49"/>
  <c r="G161" i="49"/>
  <c r="G174" i="49"/>
  <c r="G20" i="49"/>
  <c r="G24" i="49"/>
  <c r="G208" i="49"/>
  <c r="G194" i="49"/>
  <c r="G106" i="49"/>
  <c r="G44" i="49"/>
  <c r="G57" i="49"/>
  <c r="G38" i="49"/>
  <c r="G70" i="49"/>
  <c r="G155" i="49"/>
  <c r="E19" i="49"/>
  <c r="M19" i="52" s="1"/>
  <c r="G47" i="49"/>
  <c r="G51" i="49"/>
  <c r="G75" i="49"/>
  <c r="G121" i="49"/>
  <c r="G136" i="49"/>
  <c r="G218" i="49"/>
  <c r="G243" i="49"/>
  <c r="F43" i="49"/>
  <c r="E43" i="49"/>
  <c r="M43" i="52" s="1"/>
  <c r="F19" i="49"/>
  <c r="G80" i="49"/>
  <c r="G225" i="49"/>
  <c r="F19" i="52"/>
  <c r="G28" i="49"/>
  <c r="F56" i="49"/>
  <c r="G96" i="49"/>
  <c r="G185" i="49"/>
  <c r="G239" i="49"/>
  <c r="G8" i="49"/>
  <c r="G146" i="49"/>
  <c r="F89" i="52" l="1"/>
  <c r="F169" i="52" s="1"/>
  <c r="F89" i="49"/>
  <c r="F169" i="49" s="1"/>
  <c r="J89" i="52"/>
  <c r="J169" i="52" s="1"/>
  <c r="G79" i="49"/>
  <c r="E167" i="49"/>
  <c r="M167" i="52" s="1"/>
  <c r="G65" i="49"/>
  <c r="G144" i="49"/>
  <c r="E56" i="49"/>
  <c r="M56" i="52" s="1"/>
  <c r="G93" i="49"/>
  <c r="G19" i="49"/>
  <c r="G43" i="49"/>
  <c r="E89" i="49" l="1"/>
  <c r="M89" i="52" s="1"/>
  <c r="G56" i="49"/>
  <c r="G167" i="49"/>
  <c r="G89" i="49" l="1"/>
  <c r="E169" i="49"/>
  <c r="M169" i="52" s="1"/>
  <c r="G169" i="49" l="1"/>
  <c r="H208" i="49" l="1"/>
  <c r="H216" i="49"/>
  <c r="H89" i="49"/>
  <c r="H225" i="49"/>
  <c r="H173" i="49"/>
  <c r="H254" i="49"/>
  <c r="J169" i="49"/>
  <c r="H43" i="49"/>
  <c r="H239" i="49"/>
  <c r="H167" i="49"/>
  <c r="H51" i="49"/>
  <c r="H155" i="49"/>
  <c r="H223" i="49"/>
  <c r="H218" i="49"/>
  <c r="H235" i="49"/>
  <c r="H169" i="49"/>
  <c r="H247" i="49"/>
  <c r="H116" i="49"/>
  <c r="H161" i="49"/>
  <c r="H136" i="49"/>
  <c r="H233" i="49"/>
  <c r="H93" i="49"/>
  <c r="H144" i="49"/>
  <c r="H114" i="49"/>
  <c r="H159" i="49"/>
  <c r="H19" i="49"/>
  <c r="H38" i="49"/>
  <c r="H106" i="49"/>
  <c r="H140" i="49"/>
  <c r="H8" i="49"/>
  <c r="H121" i="49"/>
  <c r="H28" i="49"/>
  <c r="H56" i="49"/>
  <c r="H243" i="49"/>
  <c r="H153" i="49"/>
  <c r="BC6" i="34" l="1"/>
  <c r="BB6" i="34"/>
  <c r="BA6" i="34"/>
  <c r="AZ6" i="34"/>
  <c r="AY6" i="34"/>
  <c r="AX6" i="34"/>
  <c r="AW6" i="34"/>
  <c r="AV6" i="34"/>
  <c r="AU6" i="34"/>
  <c r="AT6" i="34"/>
  <c r="AS6" i="34"/>
  <c r="AR6" i="34"/>
  <c r="AQ6" i="34"/>
  <c r="AP6" i="34"/>
  <c r="AO6" i="34"/>
  <c r="AN6" i="34"/>
  <c r="AM6" i="34"/>
  <c r="AL6" i="34"/>
  <c r="AK6" i="34"/>
  <c r="AJ6" i="34"/>
  <c r="AI6" i="34"/>
  <c r="AH6" i="34"/>
  <c r="AG6" i="34"/>
  <c r="AF6" i="34"/>
  <c r="AE6" i="34"/>
  <c r="AD6" i="34"/>
  <c r="AC6" i="34"/>
  <c r="AB6" i="34"/>
  <c r="AA6" i="34"/>
  <c r="Z6" i="34"/>
  <c r="Y6" i="34"/>
  <c r="X6" i="34"/>
  <c r="W6" i="34"/>
  <c r="V6" i="34"/>
  <c r="U6" i="34"/>
  <c r="T6" i="34"/>
  <c r="S6" i="34"/>
  <c r="R6" i="34"/>
  <c r="Q6" i="34"/>
  <c r="P6" i="34"/>
  <c r="O6" i="34"/>
  <c r="N6" i="34"/>
  <c r="M6" i="34"/>
  <c r="L6" i="34"/>
  <c r="K6" i="34"/>
  <c r="J6" i="34"/>
  <c r="I6" i="34"/>
  <c r="H6" i="34"/>
  <c r="G6" i="34"/>
  <c r="F6" i="34"/>
  <c r="F7" i="1" l="1"/>
  <c r="G105" i="5" s="1"/>
  <c r="C106" i="5" l="1"/>
  <c r="E106" i="5"/>
  <c r="D106" i="5"/>
  <c r="C105" i="5"/>
  <c r="D105" i="5"/>
  <c r="C108" i="5"/>
  <c r="E108" i="5"/>
  <c r="D108" i="5"/>
  <c r="E105" i="5"/>
  <c r="O4" i="38"/>
  <c r="C126" i="38"/>
  <c r="E120" i="38"/>
  <c r="E101" i="38"/>
  <c r="P4" i="72"/>
  <c r="W4" i="72"/>
  <c r="N4" i="38"/>
  <c r="E125" i="38"/>
  <c r="C120" i="38"/>
  <c r="E86" i="38"/>
  <c r="E4" i="72"/>
  <c r="C117" i="38"/>
  <c r="E131" i="38"/>
  <c r="E126" i="38"/>
  <c r="C119" i="38"/>
  <c r="C86" i="38"/>
  <c r="B4" i="72"/>
  <c r="E128" i="38"/>
  <c r="E130" i="38"/>
  <c r="C124" i="38"/>
  <c r="E119" i="38"/>
  <c r="E78" i="38"/>
  <c r="E123" i="38"/>
  <c r="E122" i="38"/>
  <c r="E129" i="38"/>
  <c r="E124" i="38"/>
  <c r="E118" i="38"/>
  <c r="C78" i="38"/>
  <c r="C129" i="38"/>
  <c r="B1" i="51"/>
  <c r="E127" i="38"/>
  <c r="E121" i="38"/>
  <c r="C116" i="38"/>
  <c r="Q4" i="72"/>
  <c r="E117" i="38"/>
  <c r="B1" i="2"/>
  <c r="B27" i="1"/>
  <c r="B7" i="69"/>
  <c r="B1" i="72"/>
  <c r="B1" i="36"/>
  <c r="C39" i="24"/>
  <c r="C31" i="24"/>
  <c r="C23" i="24"/>
  <c r="C15" i="24"/>
  <c r="C7" i="24"/>
  <c r="C32" i="55"/>
  <c r="C22" i="55"/>
  <c r="C14" i="55"/>
  <c r="D8" i="22"/>
  <c r="G6" i="22"/>
  <c r="AA16" i="23"/>
  <c r="R16" i="23"/>
  <c r="J16" i="23"/>
  <c r="J14" i="23"/>
  <c r="D15" i="34"/>
  <c r="D11" i="34"/>
  <c r="D7" i="34"/>
  <c r="D14" i="21"/>
  <c r="D10" i="21"/>
  <c r="L6" i="21"/>
  <c r="C5" i="21"/>
  <c r="C26" i="20"/>
  <c r="C18" i="20"/>
  <c r="C12" i="20"/>
  <c r="H5" i="20"/>
  <c r="G77" i="38"/>
  <c r="E59" i="38"/>
  <c r="C35" i="38"/>
  <c r="E16" i="38"/>
  <c r="K4" i="38"/>
  <c r="F5" i="73"/>
  <c r="K4" i="73"/>
  <c r="C4" i="73"/>
  <c r="B9" i="35"/>
  <c r="C44" i="18"/>
  <c r="C37" i="18"/>
  <c r="C26" i="18"/>
  <c r="C18" i="18"/>
  <c r="C10" i="18"/>
  <c r="G5" i="18"/>
  <c r="M5" i="16"/>
  <c r="O4" i="16"/>
  <c r="E5" i="16"/>
  <c r="D4" i="16"/>
  <c r="B17" i="15"/>
  <c r="B10" i="15"/>
  <c r="B1" i="15"/>
  <c r="C24" i="13"/>
  <c r="C16" i="13"/>
  <c r="C8" i="13"/>
  <c r="K4" i="52"/>
  <c r="C44" i="63"/>
  <c r="D30" i="63"/>
  <c r="D20" i="63"/>
  <c r="C9" i="63"/>
  <c r="E250" i="52"/>
  <c r="E240" i="52"/>
  <c r="E229" i="52"/>
  <c r="E219" i="52"/>
  <c r="E209" i="52"/>
  <c r="E199" i="52"/>
  <c r="E190" i="52"/>
  <c r="E181" i="52"/>
  <c r="E173" i="52"/>
  <c r="E161" i="52"/>
  <c r="E149" i="52"/>
  <c r="E138" i="52"/>
  <c r="E129" i="52"/>
  <c r="E121" i="52"/>
  <c r="E110" i="52"/>
  <c r="E100" i="52"/>
  <c r="E89" i="52"/>
  <c r="E79" i="52"/>
  <c r="E68" i="52"/>
  <c r="E59" i="52"/>
  <c r="E49" i="52"/>
  <c r="E40" i="52"/>
  <c r="E31" i="52"/>
  <c r="E21" i="52"/>
  <c r="C29" i="1"/>
  <c r="B25" i="1"/>
  <c r="B6" i="69"/>
  <c r="B1" i="29"/>
  <c r="B1" i="25"/>
  <c r="C38" i="24"/>
  <c r="C30" i="24"/>
  <c r="C22" i="24"/>
  <c r="C14" i="24"/>
  <c r="B1" i="24"/>
  <c r="C31" i="55"/>
  <c r="C21" i="55"/>
  <c r="C11" i="55"/>
  <c r="C8" i="22"/>
  <c r="E5" i="22"/>
  <c r="Z16" i="23"/>
  <c r="Q16" i="23"/>
  <c r="T15" i="23"/>
  <c r="AD9" i="23"/>
  <c r="C15" i="34"/>
  <c r="C11" i="34"/>
  <c r="C7" i="34"/>
  <c r="C14" i="21"/>
  <c r="C10" i="21"/>
  <c r="K6" i="21"/>
  <c r="B1" i="21"/>
  <c r="C25" i="20"/>
  <c r="C17" i="20"/>
  <c r="C11" i="20"/>
  <c r="G5" i="20"/>
  <c r="E70" i="38"/>
  <c r="G58" i="38"/>
  <c r="E34" i="38"/>
  <c r="C16" i="38"/>
  <c r="J4" i="38"/>
  <c r="M5" i="73"/>
  <c r="E5" i="73"/>
  <c r="J4" i="73"/>
  <c r="B4" i="73"/>
  <c r="B8" i="35"/>
  <c r="C43" i="18"/>
  <c r="G36" i="18"/>
  <c r="C25" i="18"/>
  <c r="C17" i="18"/>
  <c r="C9" i="18"/>
  <c r="F5" i="18"/>
  <c r="L5" i="16"/>
  <c r="N4" i="16"/>
  <c r="D5" i="16"/>
  <c r="B4" i="16"/>
  <c r="B16" i="15"/>
  <c r="B9" i="15"/>
  <c r="F6" i="14"/>
  <c r="C23" i="13"/>
  <c r="C15" i="13"/>
  <c r="C7" i="13"/>
  <c r="J4" i="52"/>
  <c r="C43" i="63"/>
  <c r="D29" i="63"/>
  <c r="C18" i="63"/>
  <c r="C7" i="63"/>
  <c r="E249" i="52"/>
  <c r="E239" i="52"/>
  <c r="E228" i="52"/>
  <c r="E218" i="52"/>
  <c r="E208" i="52"/>
  <c r="E198" i="52"/>
  <c r="E189" i="52"/>
  <c r="E180" i="52"/>
  <c r="E171" i="52"/>
  <c r="E159" i="52"/>
  <c r="E148" i="52"/>
  <c r="E137" i="52"/>
  <c r="E128" i="52"/>
  <c r="E119" i="52"/>
  <c r="E109" i="52"/>
  <c r="E99" i="52"/>
  <c r="E87" i="52"/>
  <c r="E77" i="52"/>
  <c r="E67" i="52"/>
  <c r="E58" i="52"/>
  <c r="E48" i="52"/>
  <c r="E39" i="52"/>
  <c r="E30" i="52"/>
  <c r="E20" i="52"/>
  <c r="C28" i="1"/>
  <c r="B21" i="1"/>
  <c r="B1" i="69"/>
  <c r="I4" i="36"/>
  <c r="C45" i="24"/>
  <c r="C37" i="24"/>
  <c r="C29" i="24"/>
  <c r="C21" i="24"/>
  <c r="C13" i="24"/>
  <c r="B1" i="56"/>
  <c r="C30" i="55"/>
  <c r="C20" i="55"/>
  <c r="C10" i="55"/>
  <c r="J7" i="22"/>
  <c r="C5" i="22"/>
  <c r="X16" i="23"/>
  <c r="P16" i="23"/>
  <c r="Q15" i="23"/>
  <c r="G9" i="23"/>
  <c r="D14" i="34"/>
  <c r="D10" i="34"/>
  <c r="E6" i="34"/>
  <c r="D13" i="21"/>
  <c r="D9" i="21"/>
  <c r="J6" i="21"/>
  <c r="C32" i="20"/>
  <c r="C24" i="20"/>
  <c r="D16" i="20"/>
  <c r="C10" i="20"/>
  <c r="F5" i="20"/>
  <c r="C70" i="38"/>
  <c r="E51" i="38"/>
  <c r="G33" i="38"/>
  <c r="E15" i="38"/>
  <c r="I4" i="38"/>
  <c r="L5" i="73"/>
  <c r="D5" i="73"/>
  <c r="I4" i="73"/>
  <c r="B1" i="73"/>
  <c r="B7" i="35"/>
  <c r="G42" i="18"/>
  <c r="C36" i="18"/>
  <c r="C24" i="18"/>
  <c r="C16" i="18"/>
  <c r="C8" i="18"/>
  <c r="E5" i="18"/>
  <c r="Q5" i="16"/>
  <c r="M4" i="16"/>
  <c r="C5" i="16"/>
  <c r="B1" i="16"/>
  <c r="B15" i="15"/>
  <c r="B8" i="15"/>
  <c r="D6" i="14"/>
  <c r="C22" i="13"/>
  <c r="C14" i="13"/>
  <c r="E6" i="13"/>
  <c r="I4" i="52"/>
  <c r="C42" i="63"/>
  <c r="D28" i="63"/>
  <c r="C16" i="63"/>
  <c r="C6" i="63"/>
  <c r="E248" i="52"/>
  <c r="E237" i="52"/>
  <c r="E227" i="52"/>
  <c r="E216" i="52"/>
  <c r="E206" i="52"/>
  <c r="E197" i="52"/>
  <c r="E188" i="52"/>
  <c r="E179" i="52"/>
  <c r="E169" i="52"/>
  <c r="E157" i="52"/>
  <c r="E147" i="52"/>
  <c r="E136" i="52"/>
  <c r="E127" i="52"/>
  <c r="E118" i="52"/>
  <c r="E108" i="52"/>
  <c r="E98" i="52"/>
  <c r="E85" i="52"/>
  <c r="E76" i="52"/>
  <c r="E66" i="52"/>
  <c r="E57" i="52"/>
  <c r="E47" i="52"/>
  <c r="E38" i="52"/>
  <c r="E29" i="52"/>
  <c r="E19" i="52"/>
  <c r="C27" i="1"/>
  <c r="D14" i="35"/>
  <c r="B17" i="42"/>
  <c r="H4" i="36"/>
  <c r="C44" i="24"/>
  <c r="C36" i="24"/>
  <c r="C28" i="24"/>
  <c r="C20" i="24"/>
  <c r="C12" i="24"/>
  <c r="C37" i="55"/>
  <c r="C29" i="55"/>
  <c r="C19" i="55"/>
  <c r="C9" i="55"/>
  <c r="D7" i="22"/>
  <c r="B1" i="22"/>
  <c r="W16" i="23"/>
  <c r="O16" i="23"/>
  <c r="N15" i="23"/>
  <c r="D9" i="23"/>
  <c r="C14" i="34"/>
  <c r="C10" i="34"/>
  <c r="D5" i="34"/>
  <c r="C13" i="21"/>
  <c r="C9" i="21"/>
  <c r="I6" i="21"/>
  <c r="C31" i="20"/>
  <c r="C23" i="20"/>
  <c r="C16" i="20"/>
  <c r="C9" i="20"/>
  <c r="E5" i="20"/>
  <c r="E69" i="38"/>
  <c r="C51" i="38"/>
  <c r="E26" i="38"/>
  <c r="G14" i="38"/>
  <c r="H4" i="38"/>
  <c r="K5" i="73"/>
  <c r="C5" i="73"/>
  <c r="H4" i="73"/>
  <c r="D13" i="35"/>
  <c r="D6" i="35"/>
  <c r="C42" i="18"/>
  <c r="C31" i="18"/>
  <c r="C23" i="18"/>
  <c r="C15" i="18"/>
  <c r="C7" i="18"/>
  <c r="J4" i="18"/>
  <c r="P5" i="16"/>
  <c r="K4" i="16"/>
  <c r="I4" i="16"/>
  <c r="B21" i="15"/>
  <c r="B14" i="15"/>
  <c r="D7" i="15"/>
  <c r="F5" i="14"/>
  <c r="C21" i="13"/>
  <c r="C13" i="13"/>
  <c r="D5" i="13"/>
  <c r="H4" i="52"/>
  <c r="C37" i="63"/>
  <c r="D27" i="63"/>
  <c r="D15" i="63"/>
  <c r="C3" i="63"/>
  <c r="E247" i="52"/>
  <c r="E236" i="52"/>
  <c r="E226" i="52"/>
  <c r="E214" i="52"/>
  <c r="E205" i="52"/>
  <c r="E196" i="52"/>
  <c r="E187" i="52"/>
  <c r="E178" i="52"/>
  <c r="E167" i="52"/>
  <c r="E156" i="52"/>
  <c r="E146" i="52"/>
  <c r="E134" i="52"/>
  <c r="E126" i="52"/>
  <c r="E117" i="52"/>
  <c r="E107" i="52"/>
  <c r="E97" i="52"/>
  <c r="E84" i="52"/>
  <c r="E75" i="52"/>
  <c r="E65" i="52"/>
  <c r="E56" i="52"/>
  <c r="E46" i="52"/>
  <c r="E36" i="52"/>
  <c r="E28" i="52"/>
  <c r="E17" i="52"/>
  <c r="C31" i="1"/>
  <c r="B14" i="35"/>
  <c r="B7" i="42"/>
  <c r="G4" i="36"/>
  <c r="C43" i="24"/>
  <c r="C35" i="24"/>
  <c r="C27" i="24"/>
  <c r="C19" i="24"/>
  <c r="C11" i="24"/>
  <c r="C36" i="55"/>
  <c r="C28" i="55"/>
  <c r="C18" i="55"/>
  <c r="C8" i="55"/>
  <c r="C7" i="22"/>
  <c r="AF16" i="23"/>
  <c r="V16" i="23"/>
  <c r="N16" i="23"/>
  <c r="AD14" i="23"/>
  <c r="B9" i="23"/>
  <c r="D13" i="34"/>
  <c r="D9" i="34"/>
  <c r="C5" i="34"/>
  <c r="D12" i="21"/>
  <c r="D8" i="21"/>
  <c r="H6" i="21"/>
  <c r="C30" i="20"/>
  <c r="C22" i="20"/>
  <c r="D15" i="20"/>
  <c r="C8" i="20"/>
  <c r="C5" i="20"/>
  <c r="E68" i="38"/>
  <c r="G50" i="38"/>
  <c r="C26" i="38"/>
  <c r="E7" i="38"/>
  <c r="G4" i="38"/>
  <c r="J5" i="73"/>
  <c r="B5" i="73"/>
  <c r="G4" i="73"/>
  <c r="B13" i="35"/>
  <c r="C5" i="35"/>
  <c r="C41" i="18"/>
  <c r="C30" i="18"/>
  <c r="C22" i="18"/>
  <c r="C14" i="18"/>
  <c r="K5" i="18"/>
  <c r="H4" i="18"/>
  <c r="O5" i="16"/>
  <c r="I5" i="16"/>
  <c r="H4" i="16"/>
  <c r="B20" i="15"/>
  <c r="B13" i="15"/>
  <c r="B7" i="15"/>
  <c r="E5" i="14"/>
  <c r="C20" i="13"/>
  <c r="C12" i="13"/>
  <c r="C5" i="13"/>
  <c r="G4" i="52"/>
  <c r="C35" i="63"/>
  <c r="C26" i="63"/>
  <c r="D14" i="63"/>
  <c r="B1" i="63"/>
  <c r="E245" i="52"/>
  <c r="E235" i="52"/>
  <c r="E225" i="52"/>
  <c r="E213" i="52"/>
  <c r="E203" i="52"/>
  <c r="E195" i="52"/>
  <c r="E186" i="52"/>
  <c r="E177" i="52"/>
  <c r="E165" i="52"/>
  <c r="E155" i="52"/>
  <c r="E145" i="52"/>
  <c r="E133" i="52"/>
  <c r="E125" i="52"/>
  <c r="E116" i="52"/>
  <c r="E106" i="52"/>
  <c r="E96" i="52"/>
  <c r="E83" i="52"/>
  <c r="E73" i="52"/>
  <c r="E63" i="52"/>
  <c r="E54" i="52"/>
  <c r="E45" i="52"/>
  <c r="E35" i="52"/>
  <c r="E26" i="52"/>
  <c r="E16" i="52"/>
  <c r="B31" i="1"/>
  <c r="B10" i="69"/>
  <c r="B6" i="42"/>
  <c r="F4" i="36"/>
  <c r="C42" i="24"/>
  <c r="C34" i="24"/>
  <c r="C26" i="24"/>
  <c r="C18" i="24"/>
  <c r="C10" i="24"/>
  <c r="C35" i="55"/>
  <c r="C25" i="55"/>
  <c r="C17" i="55"/>
  <c r="C7" i="55"/>
  <c r="J6" i="22"/>
  <c r="AE16" i="23"/>
  <c r="U16" i="23"/>
  <c r="M16" i="23"/>
  <c r="Z14" i="23"/>
  <c r="AD8" i="23"/>
  <c r="C13" i="34"/>
  <c r="C9" i="34"/>
  <c r="B1" i="34"/>
  <c r="C12" i="21"/>
  <c r="C8" i="21"/>
  <c r="G6" i="21"/>
  <c r="C29" i="20"/>
  <c r="C21" i="20"/>
  <c r="C15" i="20"/>
  <c r="C7" i="20"/>
  <c r="B5" i="20"/>
  <c r="G67" i="38"/>
  <c r="E43" i="38"/>
  <c r="E25" i="38"/>
  <c r="C7" i="38"/>
  <c r="F4" i="38"/>
  <c r="I5" i="73"/>
  <c r="N4" i="73"/>
  <c r="F4" i="73"/>
  <c r="B12" i="35"/>
  <c r="B5" i="35"/>
  <c r="C40" i="18"/>
  <c r="C29" i="18"/>
  <c r="C21" i="18"/>
  <c r="C13" i="18"/>
  <c r="J5" i="18"/>
  <c r="E4" i="18"/>
  <c r="N5" i="16"/>
  <c r="H5" i="16"/>
  <c r="G4" i="16"/>
  <c r="B19" i="15"/>
  <c r="D12" i="15"/>
  <c r="D6" i="15"/>
  <c r="C5" i="14"/>
  <c r="C19" i="13"/>
  <c r="C11" i="13"/>
  <c r="B1" i="13"/>
  <c r="D33" i="63"/>
  <c r="C24" i="63"/>
  <c r="D13" i="63"/>
  <c r="E254" i="52"/>
  <c r="E244" i="52"/>
  <c r="E233" i="52"/>
  <c r="E223" i="52"/>
  <c r="E212" i="52"/>
  <c r="E202" i="52"/>
  <c r="E194" i="52"/>
  <c r="E185" i="52"/>
  <c r="E176" i="52"/>
  <c r="E164" i="52"/>
  <c r="E153" i="52"/>
  <c r="E144" i="52"/>
  <c r="E132" i="52"/>
  <c r="E124" i="52"/>
  <c r="E114" i="52"/>
  <c r="E104" i="52"/>
  <c r="E94" i="52"/>
  <c r="E82" i="52"/>
  <c r="E72" i="52"/>
  <c r="E62" i="52"/>
  <c r="E53" i="52"/>
  <c r="E44" i="52"/>
  <c r="E34" i="52"/>
  <c r="E25" i="52"/>
  <c r="E15" i="52"/>
  <c r="B29" i="1"/>
  <c r="B9" i="69"/>
  <c r="B4" i="42"/>
  <c r="B28" i="1"/>
  <c r="C32" i="24"/>
  <c r="C33" i="55"/>
  <c r="L14" i="23"/>
  <c r="C15" i="21"/>
  <c r="C27" i="20"/>
  <c r="G85" i="38"/>
  <c r="L4" i="38"/>
  <c r="D4" i="73"/>
  <c r="C27" i="18"/>
  <c r="B1" i="18"/>
  <c r="D17" i="15"/>
  <c r="C17" i="13"/>
  <c r="D31" i="63"/>
  <c r="E241" i="52"/>
  <c r="E200" i="52"/>
  <c r="E162" i="52"/>
  <c r="E122" i="52"/>
  <c r="E80" i="52"/>
  <c r="E41" i="52"/>
  <c r="E11" i="52"/>
  <c r="B4" i="52"/>
  <c r="E14" i="52"/>
  <c r="C8" i="34"/>
  <c r="C38" i="18"/>
  <c r="E174" i="52"/>
  <c r="B8" i="69"/>
  <c r="C25" i="24"/>
  <c r="C24" i="55"/>
  <c r="AD16" i="23"/>
  <c r="E4" i="23"/>
  <c r="D11" i="21"/>
  <c r="C20" i="20"/>
  <c r="E60" i="38"/>
  <c r="C4" i="38"/>
  <c r="B11" i="35"/>
  <c r="C20" i="18"/>
  <c r="P4" i="16"/>
  <c r="B12" i="15"/>
  <c r="C10" i="13"/>
  <c r="D22" i="63"/>
  <c r="E231" i="52"/>
  <c r="E192" i="52"/>
  <c r="E151" i="52"/>
  <c r="E112" i="52"/>
  <c r="E71" i="52"/>
  <c r="E33" i="52"/>
  <c r="E10" i="52"/>
  <c r="C40" i="24"/>
  <c r="E210" i="52"/>
  <c r="B1" i="42"/>
  <c r="C24" i="24"/>
  <c r="C23" i="55"/>
  <c r="AB16" i="23"/>
  <c r="B1" i="23"/>
  <c r="C11" i="21"/>
  <c r="C19" i="20"/>
  <c r="C60" i="38"/>
  <c r="B1" i="38"/>
  <c r="B10" i="35"/>
  <c r="C19" i="18"/>
  <c r="Q4" i="16"/>
  <c r="B11" i="15"/>
  <c r="C9" i="13"/>
  <c r="D21" i="63"/>
  <c r="E230" i="52"/>
  <c r="E191" i="52"/>
  <c r="E150" i="52"/>
  <c r="E111" i="52"/>
  <c r="E70" i="52"/>
  <c r="E32" i="52"/>
  <c r="E9" i="52"/>
  <c r="E24" i="52"/>
  <c r="E60" i="52"/>
  <c r="E7" i="52"/>
  <c r="C8" i="24"/>
  <c r="I5" i="20"/>
  <c r="B1" i="14"/>
  <c r="E51" i="52"/>
  <c r="E4" i="36"/>
  <c r="C17" i="24"/>
  <c r="C16" i="55"/>
  <c r="T16" i="23"/>
  <c r="D12" i="34"/>
  <c r="D7" i="21"/>
  <c r="C14" i="20"/>
  <c r="G42" i="38"/>
  <c r="H5" i="73"/>
  <c r="B1" i="35"/>
  <c r="C12" i="18"/>
  <c r="G5" i="16"/>
  <c r="C5" i="15"/>
  <c r="C5" i="52"/>
  <c r="D12" i="63"/>
  <c r="E221" i="52"/>
  <c r="E183" i="52"/>
  <c r="E142" i="52"/>
  <c r="E102" i="52"/>
  <c r="E61" i="52"/>
  <c r="E8" i="52"/>
  <c r="E52" i="52"/>
  <c r="K16" i="23"/>
  <c r="H5" i="18"/>
  <c r="E130" i="52"/>
  <c r="D4" i="36"/>
  <c r="C16" i="24"/>
  <c r="C15" i="55"/>
  <c r="S16" i="23"/>
  <c r="C12" i="34"/>
  <c r="C7" i="21"/>
  <c r="C13" i="20"/>
  <c r="E35" i="38"/>
  <c r="G5" i="73"/>
  <c r="C45" i="18"/>
  <c r="C11" i="18"/>
  <c r="F5" i="16"/>
  <c r="B5" i="15"/>
  <c r="L4" i="52"/>
  <c r="D11" i="63"/>
  <c r="E220" i="52"/>
  <c r="E182" i="52"/>
  <c r="E140" i="52"/>
  <c r="E101" i="52"/>
  <c r="E22" i="52"/>
  <c r="B1" i="55"/>
  <c r="E4" i="16"/>
  <c r="E13" i="52"/>
  <c r="C41" i="24"/>
  <c r="C9" i="24"/>
  <c r="C6" i="55"/>
  <c r="L16" i="23"/>
  <c r="D8" i="34"/>
  <c r="D6" i="21"/>
  <c r="D6" i="20"/>
  <c r="E24" i="38"/>
  <c r="M4" i="73"/>
  <c r="C39" i="18"/>
  <c r="I5" i="18"/>
  <c r="F4" i="16"/>
  <c r="B5" i="14"/>
  <c r="B1" i="52"/>
  <c r="E252" i="52"/>
  <c r="E211" i="52"/>
  <c r="E175" i="52"/>
  <c r="E131" i="52"/>
  <c r="E93" i="52"/>
  <c r="D5" i="52"/>
  <c r="E5" i="21"/>
  <c r="L4" i="73"/>
  <c r="E251" i="52"/>
  <c r="M4" i="52"/>
  <c r="C33" i="24"/>
  <c r="C34" i="55"/>
  <c r="I6" i="22"/>
  <c r="N14" i="23"/>
  <c r="D15" i="21"/>
  <c r="C28" i="20"/>
  <c r="B1" i="20"/>
  <c r="C6" i="38"/>
  <c r="E4" i="73"/>
  <c r="C28" i="18"/>
  <c r="C4" i="18"/>
  <c r="B18" i="15"/>
  <c r="C18" i="13"/>
  <c r="D32" i="63"/>
  <c r="E243" i="52"/>
  <c r="E201" i="52"/>
  <c r="E163" i="52"/>
  <c r="E123" i="52"/>
  <c r="E81" i="52"/>
  <c r="E43" i="52"/>
  <c r="E12" i="52"/>
  <c r="E4" i="52"/>
  <c r="G23" i="38"/>
  <c r="C46" i="63"/>
  <c r="E91" i="52"/>
  <c r="D256" i="49"/>
  <c r="D247" i="49"/>
  <c r="D236" i="49"/>
  <c r="D226" i="49"/>
  <c r="D214" i="49"/>
  <c r="D205" i="49"/>
  <c r="D196" i="49"/>
  <c r="D187" i="49"/>
  <c r="D178" i="49"/>
  <c r="D157" i="49"/>
  <c r="D147" i="49"/>
  <c r="D136" i="49"/>
  <c r="D127" i="49"/>
  <c r="D118" i="49"/>
  <c r="D108" i="49"/>
  <c r="D98" i="49"/>
  <c r="D85" i="49"/>
  <c r="D76" i="49"/>
  <c r="D66" i="49"/>
  <c r="D57" i="49"/>
  <c r="D47" i="49"/>
  <c r="D38" i="49"/>
  <c r="D31" i="49"/>
  <c r="D22" i="49"/>
  <c r="D13" i="49"/>
  <c r="C6" i="49"/>
  <c r="B25" i="6"/>
  <c r="B21" i="6"/>
  <c r="B17" i="6"/>
  <c r="B13" i="6"/>
  <c r="B9" i="6"/>
  <c r="B18" i="47"/>
  <c r="B10" i="47"/>
  <c r="D6" i="47"/>
  <c r="C5" i="47"/>
  <c r="B14" i="46"/>
  <c r="D6" i="46"/>
  <c r="D218" i="49"/>
  <c r="D110" i="49"/>
  <c r="D40" i="49"/>
  <c r="B18" i="6"/>
  <c r="E5" i="47"/>
  <c r="D254" i="49"/>
  <c r="D245" i="49"/>
  <c r="D235" i="49"/>
  <c r="D225" i="49"/>
  <c r="D213" i="49"/>
  <c r="D203" i="49"/>
  <c r="D195" i="49"/>
  <c r="D186" i="49"/>
  <c r="D177" i="49"/>
  <c r="D167" i="49"/>
  <c r="D156" i="49"/>
  <c r="D146" i="49"/>
  <c r="D134" i="49"/>
  <c r="D126" i="49"/>
  <c r="D117" i="49"/>
  <c r="D107" i="49"/>
  <c r="D97" i="49"/>
  <c r="D84" i="49"/>
  <c r="D75" i="49"/>
  <c r="D65" i="49"/>
  <c r="D56" i="49"/>
  <c r="D46" i="49"/>
  <c r="D36" i="49"/>
  <c r="D30" i="49"/>
  <c r="D21" i="49"/>
  <c r="D12" i="49"/>
  <c r="C24" i="6"/>
  <c r="C20" i="6"/>
  <c r="C16" i="6"/>
  <c r="C12" i="6"/>
  <c r="C8" i="6"/>
  <c r="B17" i="47"/>
  <c r="B9" i="47"/>
  <c r="C6" i="47"/>
  <c r="B5" i="47"/>
  <c r="B13" i="46"/>
  <c r="C6" i="46"/>
  <c r="D198" i="49"/>
  <c r="D121" i="49"/>
  <c r="D49" i="49"/>
  <c r="B14" i="6"/>
  <c r="B8" i="46"/>
  <c r="D244" i="49"/>
  <c r="D233" i="49"/>
  <c r="D223" i="49"/>
  <c r="D212" i="49"/>
  <c r="D202" i="49"/>
  <c r="D194" i="49"/>
  <c r="D185" i="49"/>
  <c r="D176" i="49"/>
  <c r="D165" i="49"/>
  <c r="D155" i="49"/>
  <c r="D145" i="49"/>
  <c r="D133" i="49"/>
  <c r="D125" i="49"/>
  <c r="D116" i="49"/>
  <c r="D106" i="49"/>
  <c r="D96" i="49"/>
  <c r="D83" i="49"/>
  <c r="D73" i="49"/>
  <c r="D63" i="49"/>
  <c r="D54" i="49"/>
  <c r="D45" i="49"/>
  <c r="D35" i="49"/>
  <c r="J29" i="49"/>
  <c r="D20" i="49"/>
  <c r="D11" i="49"/>
  <c r="B24" i="6"/>
  <c r="B20" i="6"/>
  <c r="B16" i="6"/>
  <c r="B12" i="6"/>
  <c r="B8" i="6"/>
  <c r="B16" i="47"/>
  <c r="B8" i="47"/>
  <c r="B6" i="47"/>
  <c r="B1" i="47"/>
  <c r="B12" i="46"/>
  <c r="B1" i="46"/>
  <c r="D208" i="49"/>
  <c r="D171" i="49"/>
  <c r="D100" i="49"/>
  <c r="J32" i="49"/>
  <c r="B22" i="6"/>
  <c r="B16" i="46"/>
  <c r="D252" i="49"/>
  <c r="D243" i="49"/>
  <c r="D231" i="49"/>
  <c r="D221" i="49"/>
  <c r="D211" i="49"/>
  <c r="D201" i="49"/>
  <c r="D192" i="49"/>
  <c r="D183" i="49"/>
  <c r="D175" i="49"/>
  <c r="D164" i="49"/>
  <c r="D153" i="49"/>
  <c r="D144" i="49"/>
  <c r="D132" i="49"/>
  <c r="D124" i="49"/>
  <c r="D114" i="49"/>
  <c r="D104" i="49"/>
  <c r="D94" i="49"/>
  <c r="D82" i="49"/>
  <c r="D72" i="49"/>
  <c r="D62" i="49"/>
  <c r="D53" i="49"/>
  <c r="D44" i="49"/>
  <c r="J34" i="49"/>
  <c r="D29" i="49"/>
  <c r="D19" i="49"/>
  <c r="D10" i="49"/>
  <c r="C23" i="6"/>
  <c r="C19" i="6"/>
  <c r="C15" i="6"/>
  <c r="C11" i="6"/>
  <c r="B7" i="6"/>
  <c r="B15" i="47"/>
  <c r="B7" i="47"/>
  <c r="H5" i="47"/>
  <c r="B19" i="46"/>
  <c r="B11" i="46"/>
  <c r="D239" i="49"/>
  <c r="D161" i="49"/>
  <c r="D89" i="49"/>
  <c r="D25" i="49"/>
  <c r="B12" i="47"/>
  <c r="D251" i="49"/>
  <c r="D241" i="49"/>
  <c r="D230" i="49"/>
  <c r="D220" i="49"/>
  <c r="D210" i="49"/>
  <c r="D200" i="49"/>
  <c r="D191" i="49"/>
  <c r="D182" i="49"/>
  <c r="D174" i="49"/>
  <c r="D163" i="49"/>
  <c r="D151" i="49"/>
  <c r="D142" i="49"/>
  <c r="D131" i="49"/>
  <c r="D123" i="49"/>
  <c r="D112" i="49"/>
  <c r="D102" i="49"/>
  <c r="D93" i="49"/>
  <c r="D81" i="49"/>
  <c r="D71" i="49"/>
  <c r="D61" i="49"/>
  <c r="D52" i="49"/>
  <c r="D43" i="49"/>
  <c r="D34" i="49"/>
  <c r="D28" i="49"/>
  <c r="D17" i="49"/>
  <c r="D9" i="49"/>
  <c r="D5" i="49"/>
  <c r="B23" i="6"/>
  <c r="B19" i="6"/>
  <c r="B15" i="6"/>
  <c r="B11" i="6"/>
  <c r="B1" i="6"/>
  <c r="B14" i="47"/>
  <c r="H6" i="47"/>
  <c r="G5" i="47"/>
  <c r="B18" i="46"/>
  <c r="B10" i="46"/>
  <c r="D228" i="49"/>
  <c r="D138" i="49"/>
  <c r="D59" i="49"/>
  <c r="B1" i="49"/>
  <c r="F6" i="47"/>
  <c r="D250" i="49"/>
  <c r="D240" i="49"/>
  <c r="D229" i="49"/>
  <c r="D219" i="49"/>
  <c r="D209" i="49"/>
  <c r="D199" i="49"/>
  <c r="D190" i="49"/>
  <c r="D181" i="49"/>
  <c r="D173" i="49"/>
  <c r="D162" i="49"/>
  <c r="D150" i="49"/>
  <c r="D140" i="49"/>
  <c r="D130" i="49"/>
  <c r="D122" i="49"/>
  <c r="D111" i="49"/>
  <c r="D101" i="49"/>
  <c r="D91" i="49"/>
  <c r="D80" i="49"/>
  <c r="D70" i="49"/>
  <c r="D60" i="49"/>
  <c r="D51" i="49"/>
  <c r="D41" i="49"/>
  <c r="D33" i="49"/>
  <c r="D26" i="49"/>
  <c r="D16" i="49"/>
  <c r="D8" i="49"/>
  <c r="B5" i="49"/>
  <c r="C22" i="6"/>
  <c r="C18" i="6"/>
  <c r="C14" i="6"/>
  <c r="C10" i="6"/>
  <c r="B21" i="47"/>
  <c r="B13" i="47"/>
  <c r="G6" i="47"/>
  <c r="F5" i="47"/>
  <c r="B17" i="46"/>
  <c r="B9" i="46"/>
  <c r="D249" i="49"/>
  <c r="D180" i="49"/>
  <c r="D129" i="49"/>
  <c r="D68" i="49"/>
  <c r="D7" i="49"/>
  <c r="B10" i="6"/>
  <c r="D248" i="49"/>
  <c r="D237" i="49"/>
  <c r="D227" i="49"/>
  <c r="D216" i="49"/>
  <c r="D206" i="49"/>
  <c r="D197" i="49"/>
  <c r="D188" i="49"/>
  <c r="D179" i="49"/>
  <c r="D169" i="49"/>
  <c r="D159" i="49"/>
  <c r="D148" i="49"/>
  <c r="D137" i="49"/>
  <c r="D128" i="49"/>
  <c r="D119" i="49"/>
  <c r="D109" i="49"/>
  <c r="D99" i="49"/>
  <c r="D87" i="49"/>
  <c r="D77" i="49"/>
  <c r="D67" i="49"/>
  <c r="D58" i="49"/>
  <c r="D48" i="49"/>
  <c r="D39" i="49"/>
  <c r="D32" i="49"/>
  <c r="D24" i="49"/>
  <c r="D14" i="49"/>
  <c r="H6" i="49"/>
  <c r="C25" i="6"/>
  <c r="C21" i="6"/>
  <c r="C17" i="6"/>
  <c r="C13" i="6"/>
  <c r="C9" i="6"/>
  <c r="B19" i="47"/>
  <c r="B11" i="47"/>
  <c r="E6" i="47"/>
  <c r="D5" i="47"/>
  <c r="B15" i="46"/>
  <c r="B7" i="46"/>
  <c r="D189" i="49"/>
  <c r="D149" i="49"/>
  <c r="D79" i="49"/>
  <c r="D15" i="49"/>
  <c r="B20" i="47"/>
  <c r="C33" i="18"/>
  <c r="C32" i="18"/>
  <c r="C34" i="18"/>
  <c r="C35" i="18"/>
  <c r="G7" i="1"/>
  <c r="N5" i="73" s="1"/>
  <c r="J167" i="49" l="1"/>
  <c r="H6" i="22"/>
  <c r="D6" i="6"/>
  <c r="F5" i="49"/>
  <c r="J252" i="49"/>
  <c r="F4" i="52"/>
  <c r="G5" i="49"/>
  <c r="E5" i="49"/>
  <c r="K5" i="38"/>
  <c r="AE17" i="23"/>
  <c r="AA17" i="23"/>
  <c r="R17" i="23"/>
  <c r="P17" i="23"/>
  <c r="W17" i="23"/>
  <c r="O17" i="23"/>
  <c r="M17" i="23"/>
  <c r="U17" i="23"/>
  <c r="L17" i="23"/>
  <c r="T17" i="23"/>
  <c r="V17" i="23"/>
  <c r="K27" i="49"/>
  <c r="J5" i="38"/>
  <c r="L5" i="38"/>
  <c r="I5" i="38"/>
  <c r="E5" i="15"/>
  <c r="O5" i="38"/>
  <c r="N5" i="38"/>
  <c r="E5" i="63"/>
  <c r="L6" i="18"/>
  <c r="E6" i="14"/>
  <c r="G6" i="20"/>
  <c r="E28" i="55"/>
  <c r="E14" i="55"/>
  <c r="E6" i="55"/>
  <c r="E6" i="35"/>
  <c r="F6" i="20"/>
  <c r="E6" i="20"/>
  <c r="E6" i="22"/>
  <c r="E6" i="21"/>
  <c r="K6" i="18"/>
  <c r="I6" i="18"/>
  <c r="H6" i="18"/>
  <c r="J6" i="18"/>
  <c r="E3" i="23"/>
  <c r="D6" i="34"/>
  <c r="F6" i="13"/>
  <c r="K233" i="52" l="1"/>
  <c r="L233" i="52" s="1"/>
  <c r="K223" i="52"/>
  <c r="L223" i="52" s="1"/>
  <c r="K192" i="52"/>
  <c r="L192" i="52" s="1"/>
  <c r="K190" i="52"/>
  <c r="L190" i="52" s="1"/>
  <c r="K188" i="52"/>
  <c r="L188" i="52" s="1"/>
  <c r="K182" i="52"/>
  <c r="L182" i="52" s="1"/>
  <c r="K179" i="52"/>
  <c r="L179" i="52" s="1"/>
  <c r="K159" i="52"/>
  <c r="L159" i="52" s="1"/>
  <c r="K153" i="52"/>
  <c r="L153" i="52" s="1"/>
  <c r="K140" i="52"/>
  <c r="L140" i="52" s="1"/>
  <c r="K114" i="52"/>
  <c r="L114" i="52" s="1"/>
  <c r="K133" i="52"/>
  <c r="L133" i="52" s="1"/>
  <c r="K131" i="52"/>
  <c r="L131" i="52" s="1"/>
  <c r="K125" i="52"/>
  <c r="L125" i="52" s="1"/>
  <c r="K118" i="52"/>
  <c r="L118" i="52" s="1"/>
  <c r="K110" i="52"/>
  <c r="L110" i="52" s="1"/>
  <c r="K102" i="52"/>
  <c r="L102" i="52" s="1"/>
  <c r="K98" i="52"/>
  <c r="L98" i="52" s="1"/>
  <c r="K181" i="52"/>
  <c r="L181" i="52" s="1"/>
  <c r="K142" i="52"/>
  <c r="L142" i="52" s="1"/>
  <c r="K164" i="52"/>
  <c r="L164" i="52" s="1"/>
  <c r="K132" i="52"/>
  <c r="L132" i="52" s="1"/>
  <c r="K221" i="52"/>
  <c r="L221" i="52" s="1"/>
  <c r="K252" i="52"/>
  <c r="L252" i="52" s="1"/>
  <c r="K250" i="52"/>
  <c r="L250" i="52" s="1"/>
  <c r="K241" i="52"/>
  <c r="L241" i="52" s="1"/>
  <c r="K237" i="52"/>
  <c r="L237" i="52" s="1"/>
  <c r="K231" i="52"/>
  <c r="L231" i="52" s="1"/>
  <c r="K229" i="52"/>
  <c r="L229" i="52" s="1"/>
  <c r="K227" i="52"/>
  <c r="L227" i="52" s="1"/>
  <c r="K213" i="52"/>
  <c r="L213" i="52" s="1"/>
  <c r="K209" i="52"/>
  <c r="L209" i="52" s="1"/>
  <c r="K205" i="52"/>
  <c r="L205" i="52" s="1"/>
  <c r="K201" i="52"/>
  <c r="L201" i="52" s="1"/>
  <c r="K199" i="52"/>
  <c r="L199" i="52" s="1"/>
  <c r="K165" i="52"/>
  <c r="L165" i="52" s="1"/>
  <c r="K163" i="52"/>
  <c r="L163" i="52" s="1"/>
  <c r="K157" i="52"/>
  <c r="L157" i="52" s="1"/>
  <c r="K150" i="52"/>
  <c r="L150" i="52" s="1"/>
  <c r="K129" i="52"/>
  <c r="L129" i="52" s="1"/>
  <c r="K112" i="52"/>
  <c r="L112" i="52" s="1"/>
  <c r="K108" i="52"/>
  <c r="L108" i="52" s="1"/>
  <c r="K100" i="52"/>
  <c r="L100" i="52" s="1"/>
  <c r="K94" i="52"/>
  <c r="L94" i="52" s="1"/>
  <c r="K178" i="52"/>
  <c r="L178" i="52" s="1"/>
  <c r="K138" i="52"/>
  <c r="L138" i="52" s="1"/>
  <c r="K127" i="52"/>
  <c r="L127" i="52" s="1"/>
  <c r="K111" i="52"/>
  <c r="L111" i="52" s="1"/>
  <c r="K99" i="52"/>
  <c r="L99" i="52" s="1"/>
  <c r="K245" i="52"/>
  <c r="L245" i="52" s="1"/>
  <c r="K191" i="52"/>
  <c r="L191" i="52" s="1"/>
  <c r="K189" i="52"/>
  <c r="L189" i="52" s="1"/>
  <c r="K183" i="52"/>
  <c r="L183" i="52" s="1"/>
  <c r="K134" i="52"/>
  <c r="L134" i="52" s="1"/>
  <c r="K124" i="52"/>
  <c r="L124" i="52" s="1"/>
  <c r="K109" i="52"/>
  <c r="L109" i="52" s="1"/>
  <c r="K220" i="52"/>
  <c r="L220" i="52" s="1"/>
  <c r="K251" i="52"/>
  <c r="L251" i="52" s="1"/>
  <c r="K249" i="52"/>
  <c r="L249" i="52" s="1"/>
  <c r="K230" i="52"/>
  <c r="L230" i="52" s="1"/>
  <c r="K228" i="52"/>
  <c r="L228" i="52" s="1"/>
  <c r="K211" i="52"/>
  <c r="L211" i="52" s="1"/>
  <c r="K202" i="52"/>
  <c r="L202" i="52" s="1"/>
  <c r="K200" i="52"/>
  <c r="L200" i="52" s="1"/>
  <c r="K130" i="52"/>
  <c r="L130" i="52" s="1"/>
  <c r="K119" i="52"/>
  <c r="L119" i="52" s="1"/>
  <c r="K101" i="52"/>
  <c r="L101" i="52" s="1"/>
  <c r="K87" i="52"/>
  <c r="L87" i="52" s="1"/>
  <c r="K72" i="52"/>
  <c r="L72" i="52" s="1"/>
  <c r="K13" i="52"/>
  <c r="L13" i="52" s="1"/>
  <c r="K34" i="52"/>
  <c r="L34" i="52" s="1"/>
  <c r="K62" i="52"/>
  <c r="L62" i="52" s="1"/>
  <c r="K83" i="52"/>
  <c r="L83" i="52" s="1"/>
  <c r="K49" i="52"/>
  <c r="L49" i="52" s="1"/>
  <c r="K10" i="52"/>
  <c r="L10" i="52" s="1"/>
  <c r="K22" i="52"/>
  <c r="L22" i="52" s="1"/>
  <c r="K63" i="52"/>
  <c r="L63" i="52" s="1"/>
  <c r="K48" i="52"/>
  <c r="L48" i="52" s="1"/>
  <c r="K26" i="52"/>
  <c r="L26" i="52" s="1"/>
  <c r="K14" i="52"/>
  <c r="L14" i="52" s="1"/>
  <c r="K41" i="52"/>
  <c r="L41" i="52" s="1"/>
  <c r="K53" i="52"/>
  <c r="L53" i="52" s="1"/>
  <c r="K203" i="52"/>
  <c r="L203" i="52" s="1"/>
  <c r="K82" i="52"/>
  <c r="L82" i="52" s="1"/>
  <c r="K36" i="52"/>
  <c r="L36" i="52" s="1"/>
  <c r="K54" i="52"/>
  <c r="L54" i="52" s="1"/>
  <c r="K85" i="52"/>
  <c r="L85" i="52" s="1"/>
  <c r="K45" i="52"/>
  <c r="L45" i="52" s="1"/>
  <c r="K67" i="52"/>
  <c r="L67" i="52" s="1"/>
  <c r="K60" i="52"/>
  <c r="L60" i="52" s="1"/>
  <c r="K46" i="52"/>
  <c r="L46" i="52" s="1"/>
  <c r="K35" i="52"/>
  <c r="L35" i="52" s="1"/>
  <c r="K12" i="52"/>
  <c r="L12" i="52" s="1"/>
  <c r="K32" i="52"/>
  <c r="L32" i="52" s="1"/>
  <c r="K17" i="52"/>
  <c r="L17" i="52" s="1"/>
  <c r="K84" i="52"/>
  <c r="L84" i="52" s="1"/>
  <c r="K73" i="52"/>
  <c r="L73" i="52" s="1"/>
  <c r="K40" i="52"/>
  <c r="L40" i="52" s="1"/>
  <c r="K77" i="52"/>
  <c r="L77" i="52" s="1"/>
  <c r="K11" i="52"/>
  <c r="L11" i="52" s="1"/>
  <c r="K61" i="52"/>
  <c r="L61" i="52" s="1"/>
  <c r="K16" i="52"/>
  <c r="L16" i="52" s="1"/>
  <c r="K59" i="52"/>
  <c r="L59" i="52" s="1"/>
  <c r="I146" i="52" l="1"/>
  <c r="I144" i="52" s="1"/>
  <c r="K145" i="52"/>
  <c r="K162" i="52"/>
  <c r="I161" i="52"/>
  <c r="K236" i="52"/>
  <c r="I235" i="52"/>
  <c r="K117" i="52"/>
  <c r="I116" i="52"/>
  <c r="K198" i="52"/>
  <c r="I194" i="52"/>
  <c r="K226" i="52"/>
  <c r="I225" i="52"/>
  <c r="K219" i="52"/>
  <c r="I218" i="52"/>
  <c r="K240" i="52"/>
  <c r="I239" i="52"/>
  <c r="K97" i="52"/>
  <c r="I96" i="52"/>
  <c r="I93" i="52" s="1"/>
  <c r="K248" i="52"/>
  <c r="I247" i="52"/>
  <c r="K122" i="52"/>
  <c r="K121" i="52" s="1"/>
  <c r="K186" i="52"/>
  <c r="I185" i="52"/>
  <c r="K156" i="52"/>
  <c r="I155" i="52"/>
  <c r="K107" i="52"/>
  <c r="I106" i="52"/>
  <c r="K137" i="52"/>
  <c r="I136" i="52"/>
  <c r="I174" i="52"/>
  <c r="K175" i="52"/>
  <c r="I243" i="52"/>
  <c r="K244" i="52"/>
  <c r="K214" i="52"/>
  <c r="I208" i="52"/>
  <c r="K15" i="52"/>
  <c r="I47" i="52"/>
  <c r="K81" i="52"/>
  <c r="I80" i="52"/>
  <c r="I79" i="52" s="1"/>
  <c r="K29" i="52"/>
  <c r="I28" i="52"/>
  <c r="I70" i="52"/>
  <c r="I65" i="52" s="1"/>
  <c r="K71" i="52"/>
  <c r="K25" i="52"/>
  <c r="I24" i="52"/>
  <c r="K9" i="52"/>
  <c r="I8" i="52"/>
  <c r="I51" i="52"/>
  <c r="K52" i="52"/>
  <c r="K39" i="52"/>
  <c r="I38" i="52"/>
  <c r="I44" i="52"/>
  <c r="K58" i="52"/>
  <c r="I57" i="52"/>
  <c r="K76" i="52"/>
  <c r="I75" i="52"/>
  <c r="K66" i="52"/>
  <c r="K206" i="52"/>
  <c r="K21" i="52"/>
  <c r="I20" i="52"/>
  <c r="K104" i="52"/>
  <c r="I173" i="52" l="1"/>
  <c r="I254" i="52" s="1"/>
  <c r="L145" i="52"/>
  <c r="K144" i="52"/>
  <c r="L122" i="52"/>
  <c r="L121" i="52"/>
  <c r="K96" i="52"/>
  <c r="L96" i="52" s="1"/>
  <c r="L97" i="52"/>
  <c r="L219" i="52"/>
  <c r="K218" i="52"/>
  <c r="L218" i="52" s="1"/>
  <c r="L236" i="52"/>
  <c r="K235" i="52"/>
  <c r="L235" i="52" s="1"/>
  <c r="L107" i="52"/>
  <c r="K106" i="52"/>
  <c r="L106" i="52" s="1"/>
  <c r="L186" i="52"/>
  <c r="K185" i="52"/>
  <c r="L185" i="52" s="1"/>
  <c r="K243" i="52"/>
  <c r="L243" i="52" s="1"/>
  <c r="L244" i="52"/>
  <c r="L248" i="52"/>
  <c r="K247" i="52"/>
  <c r="L247" i="52" s="1"/>
  <c r="K239" i="52"/>
  <c r="L239" i="52" s="1"/>
  <c r="L240" i="52"/>
  <c r="L226" i="52"/>
  <c r="K225" i="52"/>
  <c r="L225" i="52" s="1"/>
  <c r="L117" i="52"/>
  <c r="K116" i="52"/>
  <c r="L116" i="52" s="1"/>
  <c r="L162" i="52"/>
  <c r="K161" i="52"/>
  <c r="L161" i="52" s="1"/>
  <c r="L175" i="52"/>
  <c r="K174" i="52"/>
  <c r="L198" i="52"/>
  <c r="K194" i="52"/>
  <c r="L194" i="52" s="1"/>
  <c r="I167" i="52"/>
  <c r="L137" i="52"/>
  <c r="K136" i="52"/>
  <c r="L136" i="52" s="1"/>
  <c r="L156" i="52"/>
  <c r="K155" i="52"/>
  <c r="L155" i="52" s="1"/>
  <c r="L214" i="52"/>
  <c r="K208" i="52"/>
  <c r="L208" i="52" s="1"/>
  <c r="I56" i="52"/>
  <c r="L15" i="52"/>
  <c r="I19" i="52"/>
  <c r="I43" i="52"/>
  <c r="L206" i="52"/>
  <c r="L66" i="52"/>
  <c r="K51" i="52"/>
  <c r="L51" i="52" s="1"/>
  <c r="L52" i="52"/>
  <c r="K28" i="52"/>
  <c r="L28" i="52" s="1"/>
  <c r="L29" i="52"/>
  <c r="L81" i="52"/>
  <c r="K80" i="52"/>
  <c r="K47" i="52"/>
  <c r="L47" i="52" s="1"/>
  <c r="K70" i="52"/>
  <c r="L71" i="52"/>
  <c r="L104" i="52"/>
  <c r="K44" i="52"/>
  <c r="K20" i="52"/>
  <c r="L21" i="52"/>
  <c r="K75" i="52"/>
  <c r="L75" i="52" s="1"/>
  <c r="L76" i="52"/>
  <c r="K57" i="52"/>
  <c r="L58" i="52"/>
  <c r="K38" i="52"/>
  <c r="L38" i="52" s="1"/>
  <c r="L39" i="52"/>
  <c r="K8" i="52"/>
  <c r="L9" i="52"/>
  <c r="L25" i="52"/>
  <c r="K24" i="52"/>
  <c r="L24" i="52" s="1"/>
  <c r="L174" i="52" l="1"/>
  <c r="K173" i="52"/>
  <c r="K254" i="52" s="1"/>
  <c r="I89" i="52"/>
  <c r="I169" i="52" s="1"/>
  <c r="K93" i="52"/>
  <c r="L93" i="52" s="1"/>
  <c r="L146" i="52"/>
  <c r="L70" i="52"/>
  <c r="K65" i="52"/>
  <c r="L65" i="52" s="1"/>
  <c r="L57" i="52"/>
  <c r="K19" i="52"/>
  <c r="L19" i="52" s="1"/>
  <c r="L20" i="52"/>
  <c r="L44" i="52"/>
  <c r="K43" i="52"/>
  <c r="L43" i="52" s="1"/>
  <c r="L8" i="52"/>
  <c r="L80" i="52"/>
  <c r="K79" i="52"/>
  <c r="L79" i="52" s="1"/>
  <c r="L173" i="52" l="1"/>
  <c r="L144" i="52"/>
  <c r="K167" i="52"/>
  <c r="L167" i="52" s="1"/>
  <c r="K56" i="52"/>
  <c r="L56" i="52" s="1"/>
  <c r="K89" i="52" l="1"/>
  <c r="K169" i="52" s="1"/>
  <c r="L169" i="52" s="1"/>
  <c r="L89" i="52" l="1"/>
  <c r="F256" i="49"/>
  <c r="G173" i="49" l="1"/>
  <c r="G254" i="49" l="1"/>
  <c r="J254" i="49" s="1"/>
  <c r="E256" i="49"/>
  <c r="G256" i="49" s="1"/>
  <c r="E7" i="63" s="1"/>
  <c r="L254" i="52"/>
  <c r="E18" i="63" l="1"/>
  <c r="E24" i="63" s="1"/>
  <c r="E37" i="63" s="1"/>
  <c r="E46" i="63" s="1"/>
  <c r="B6" i="6" l="1"/>
  <c r="H9" i="23"/>
  <c r="E9" i="23"/>
  <c r="W5" i="72"/>
  <c r="D10" i="15"/>
  <c r="B17" i="1"/>
  <c r="D16" i="15"/>
  <c r="D13" i="15"/>
  <c r="B9" i="1"/>
  <c r="B6" i="15"/>
  <c r="D15" i="15"/>
  <c r="D9" i="15"/>
  <c r="B24" i="1"/>
  <c r="D19" i="15"/>
  <c r="I4" i="18"/>
  <c r="D18" i="15"/>
  <c r="D20" i="15"/>
  <c r="B13" i="1"/>
  <c r="B1" i="1"/>
  <c r="G6" i="18"/>
  <c r="P6" i="72"/>
  <c r="AF8" i="23"/>
  <c r="B11" i="1"/>
  <c r="AE9" i="23"/>
  <c r="B19" i="1"/>
  <c r="D21" i="15"/>
  <c r="E5" i="72"/>
  <c r="D43" i="63"/>
  <c r="Q5" i="72"/>
  <c r="AB14" i="23"/>
  <c r="E6" i="72"/>
  <c r="K4" i="18"/>
  <c r="P5" i="72"/>
  <c r="AF9" i="23"/>
  <c r="D11" i="15"/>
  <c r="D8" i="15"/>
  <c r="B6" i="72"/>
  <c r="AE8" i="23"/>
  <c r="C6" i="15"/>
  <c r="Q6" i="72"/>
  <c r="W6" i="72"/>
  <c r="D14" i="15"/>
  <c r="B5" i="72"/>
  <c r="AA14" i="23"/>
</calcChain>
</file>

<file path=xl/sharedStrings.xml><?xml version="1.0" encoding="utf-8"?>
<sst xmlns="http://schemas.openxmlformats.org/spreadsheetml/2006/main" count="19843" uniqueCount="5020">
  <si>
    <t>Intro</t>
  </si>
  <si>
    <t>Update list</t>
  </si>
  <si>
    <t>Aktualisierungsliste</t>
  </si>
  <si>
    <t>Liste des mises-à-jour</t>
  </si>
  <si>
    <t>Glossary</t>
  </si>
  <si>
    <t>General Inputs</t>
  </si>
  <si>
    <t>General inputs</t>
  </si>
  <si>
    <t>Entrées générales</t>
  </si>
  <si>
    <t>Asset Prices</t>
  </si>
  <si>
    <t>Fixed Income</t>
  </si>
  <si>
    <t>Fixed income cash flows</t>
  </si>
  <si>
    <t>Liabilities</t>
  </si>
  <si>
    <t xml:space="preserve">Delta-Normal market risk </t>
  </si>
  <si>
    <t>Scenarios</t>
  </si>
  <si>
    <t>Szenarien</t>
  </si>
  <si>
    <t>Life insurance risk-factors sensitivities</t>
  </si>
  <si>
    <t>life</t>
  </si>
  <si>
    <t>Health insurance risk-factors sensitivities</t>
  </si>
  <si>
    <t>health</t>
  </si>
  <si>
    <t xml:space="preserve">Non-life simulations </t>
  </si>
  <si>
    <t>nonlife</t>
  </si>
  <si>
    <t>Expected insurance result</t>
  </si>
  <si>
    <t>Type</t>
  </si>
  <si>
    <t>Currency</t>
  </si>
  <si>
    <t>Description</t>
  </si>
  <si>
    <t>Exposure</t>
  </si>
  <si>
    <t>Comments</t>
  </si>
  <si>
    <t>equity</t>
  </si>
  <si>
    <t>hedge fund</t>
  </si>
  <si>
    <t>real estate private</t>
  </si>
  <si>
    <t>CHF</t>
  </si>
  <si>
    <t>EUR</t>
  </si>
  <si>
    <t>GBP</t>
  </si>
  <si>
    <t>USD</t>
  </si>
  <si>
    <t>currency</t>
  </si>
  <si>
    <t>AAA</t>
  </si>
  <si>
    <t>AA</t>
  </si>
  <si>
    <t>A</t>
  </si>
  <si>
    <t>BBB</t>
  </si>
  <si>
    <t>BB</t>
  </si>
  <si>
    <t>GOVI</t>
  </si>
  <si>
    <t>EUGO</t>
  </si>
  <si>
    <t>CANT</t>
  </si>
  <si>
    <t>CORP</t>
  </si>
  <si>
    <t>Rating</t>
  </si>
  <si>
    <t>Total market value</t>
  </si>
  <si>
    <t>Spread</t>
  </si>
  <si>
    <t>Only if there are negative cash flows</t>
  </si>
  <si>
    <t>spread</t>
  </si>
  <si>
    <t>Value</t>
  </si>
  <si>
    <t>Asset type</t>
  </si>
  <si>
    <t>Forward price</t>
  </si>
  <si>
    <t>Nominal</t>
  </si>
  <si>
    <t>Forward rate</t>
  </si>
  <si>
    <t>Foreign currency</t>
  </si>
  <si>
    <t>rate</t>
  </si>
  <si>
    <t xml:space="preserve">Time to maturity </t>
  </si>
  <si>
    <t>USSN1010</t>
  </si>
  <si>
    <t>EURCHF</t>
  </si>
  <si>
    <t>USDCHF</t>
  </si>
  <si>
    <t>GBPCHF</t>
  </si>
  <si>
    <t>JPYCHF</t>
  </si>
  <si>
    <t>VIX</t>
  </si>
  <si>
    <t>HFRIFOF</t>
  </si>
  <si>
    <t>LPXIDITR</t>
  </si>
  <si>
    <t>Implizite Zinsvolatilität</t>
  </si>
  <si>
    <t>Credit Spread EU Govi unter AAA</t>
  </si>
  <si>
    <t>Credit Spread CH Pfandbriefe und Govi-related</t>
  </si>
  <si>
    <t>Credit Spread CH Corporates</t>
  </si>
  <si>
    <t>Swap-Government Spread</t>
  </si>
  <si>
    <t xml:space="preserve">Implizite FX-Volatilität </t>
  </si>
  <si>
    <t>Aktien Schweiz</t>
  </si>
  <si>
    <t>Aktien USA</t>
  </si>
  <si>
    <t>Aktien Grossbritannien</t>
  </si>
  <si>
    <t>Aktien Japan</t>
  </si>
  <si>
    <t>Implizite Aktienvolatilität</t>
  </si>
  <si>
    <t>Private Equity</t>
  </si>
  <si>
    <t>Immobilienfonds Schweiz</t>
  </si>
  <si>
    <t>Name of the scenario</t>
  </si>
  <si>
    <t>Type of input</t>
  </si>
  <si>
    <t>Volatility</t>
  </si>
  <si>
    <t>Stocks CH</t>
  </si>
  <si>
    <t>Stocks USA</t>
  </si>
  <si>
    <t>Stocks Japan</t>
  </si>
  <si>
    <t>Hedge funds</t>
  </si>
  <si>
    <t>Private equity</t>
  </si>
  <si>
    <t>Time to maturity</t>
  </si>
  <si>
    <t>JPY</t>
  </si>
  <si>
    <t>k</t>
  </si>
  <si>
    <t>l</t>
  </si>
  <si>
    <t>m</t>
  </si>
  <si>
    <t>private equity</t>
  </si>
  <si>
    <t>Initial exchange rate</t>
  </si>
  <si>
    <t>Time to maturity (in years)</t>
  </si>
  <si>
    <t>Correlation matrix</t>
  </si>
  <si>
    <t>Risk</t>
  </si>
  <si>
    <t>market</t>
  </si>
  <si>
    <t>English</t>
  </si>
  <si>
    <t>Deutsch</t>
  </si>
  <si>
    <t>Français</t>
  </si>
  <si>
    <t>Leben</t>
  </si>
  <si>
    <t>Eingabe</t>
  </si>
  <si>
    <t>Explanations</t>
  </si>
  <si>
    <t>Asset type (underlying)</t>
  </si>
  <si>
    <t>Underlying exposure (t=0)</t>
  </si>
  <si>
    <t>Long/Short</t>
  </si>
  <si>
    <t>Hier ist die vereinbarte Position einzutragen.</t>
  </si>
  <si>
    <t>Contract 1</t>
  </si>
  <si>
    <t>Contract 2</t>
  </si>
  <si>
    <t>Contract 3</t>
  </si>
  <si>
    <t>Sterblichkeit</t>
  </si>
  <si>
    <t>Langlebigkeit</t>
  </si>
  <si>
    <t>Invalidität</t>
  </si>
  <si>
    <t>Reaktivierung</t>
  </si>
  <si>
    <t>Kosten</t>
  </si>
  <si>
    <t>Storno</t>
  </si>
  <si>
    <t>Kapitaloption</t>
  </si>
  <si>
    <t>Kosten BVG</t>
  </si>
  <si>
    <t>Storno BVG</t>
  </si>
  <si>
    <t>Permanente Reduktion der Sterblichkeiten um 15 % für all jene Policen, bei denen eine Reduktion der Sterblichkeit zu einer Verminderung des risikotragenden Kapitals führt.</t>
  </si>
  <si>
    <t>Relative Erhöhung der Invalidisierungswahrscheinlichkeiten um 25 %.</t>
  </si>
  <si>
    <t>Relative Verminderung der Reaktivierungswahrscheinlichkeiten um 40 %.</t>
  </si>
  <si>
    <t>Rating / Instrument</t>
  </si>
  <si>
    <t>Garantien und Kreditderivate</t>
  </si>
  <si>
    <t>Positionsklasse SA-BIZ</t>
  </si>
  <si>
    <t>A.1.1</t>
  </si>
  <si>
    <t>Zentralregierungen und Zentralbanken</t>
  </si>
  <si>
    <t>B</t>
  </si>
  <si>
    <t>CCC-D</t>
  </si>
  <si>
    <t>A.1.2</t>
  </si>
  <si>
    <t>Fixed</t>
  </si>
  <si>
    <t>A.2.1</t>
  </si>
  <si>
    <t>Öffentlichrechtliche Körperschaften</t>
  </si>
  <si>
    <t>A.2.2</t>
  </si>
  <si>
    <t>A.2.3</t>
  </si>
  <si>
    <t>Kantone ohne Rating</t>
  </si>
  <si>
    <t>A.3.1</t>
  </si>
  <si>
    <t>Multilaterale Entwicklungsbanken</t>
  </si>
  <si>
    <t>A.3.2</t>
  </si>
  <si>
    <t>A.4.1</t>
  </si>
  <si>
    <t>A.4.2</t>
  </si>
  <si>
    <t>Banken und Effektenhändler, Ursprungslaufzeit der Forderung &gt; 3 Monate</t>
  </si>
  <si>
    <t>A.5.1</t>
  </si>
  <si>
    <t>A.5.2</t>
  </si>
  <si>
    <t>Einzahlungsverpflichtungen gegenüber dem Träger der Einlagensicherung</t>
  </si>
  <si>
    <t>A.6.1</t>
  </si>
  <si>
    <t>Börsen und Clearinghäuser und zentrale Gegenparteien</t>
  </si>
  <si>
    <t>A.6.2</t>
  </si>
  <si>
    <t>A.6.3</t>
  </si>
  <si>
    <t>Börsen und Clearinghäuser, sofern Kreditrisiken in direktem Zusammenhang mit der durch eine zentrale Gegenpartei garantierten Leistungserfüllung von Geschäften stehen, wo die zentrale Gegenpartei lediglich die Abwicklung garantiert (insbesondere Kassageschäfte).</t>
  </si>
  <si>
    <t>A.7.1</t>
  </si>
  <si>
    <t>Unternehmen</t>
  </si>
  <si>
    <t>A.8.1</t>
  </si>
  <si>
    <t>Verbriefungen</t>
  </si>
  <si>
    <t>Instrument</t>
  </si>
  <si>
    <t>A.8.2</t>
  </si>
  <si>
    <t>Wiederverbriefungen</t>
  </si>
  <si>
    <t>B.1.1</t>
  </si>
  <si>
    <t>B.1.2</t>
  </si>
  <si>
    <t>B.2.1</t>
  </si>
  <si>
    <t>Inländische Pfandbriefe</t>
  </si>
  <si>
    <t>B.3.1</t>
  </si>
  <si>
    <t>Wohnliegenschaften in der Schweiz und im Ausland, bis zu zwei Drittel des Verkehrswertes, welche die „Richtlinie betreffend Mindestanforderungen bei Hypothekarfinanzierung“ der Schweizerischen Bankiervereinigung einhalten.</t>
  </si>
  <si>
    <t>B.3.2</t>
  </si>
  <si>
    <t>B.3.3</t>
  </si>
  <si>
    <t>B.3.4</t>
  </si>
  <si>
    <t>Übrige Liegenschaften</t>
  </si>
  <si>
    <t>B.4.1</t>
  </si>
  <si>
    <t>B.4.2</t>
  </si>
  <si>
    <t>B.5.1</t>
  </si>
  <si>
    <t>B.5.2</t>
  </si>
  <si>
    <t>B.5.3</t>
  </si>
  <si>
    <t>B.6.1</t>
  </si>
  <si>
    <t>B.6.2</t>
  </si>
  <si>
    <t>Kreditäquivalente aus Einzahlungs- und Nachschussverpflichtungen</t>
  </si>
  <si>
    <t>B.6.3</t>
  </si>
  <si>
    <t>Übrige Positionen (inkl. Rechnungsbegrenzungsposten)</t>
  </si>
  <si>
    <t>Expected return</t>
  </si>
  <si>
    <t>real estate</t>
  </si>
  <si>
    <t>Für Assets im Deltamodell ist die Überrendite unternehmensspezifisch anhand der gegebenen Benchmarks einzutragen.</t>
  </si>
  <si>
    <t>c(n, 1)</t>
  </si>
  <si>
    <t>c(n, 2)</t>
  </si>
  <si>
    <t>c(n, 3)</t>
  </si>
  <si>
    <t>c(n, 4)</t>
  </si>
  <si>
    <t>c(n, 5)</t>
  </si>
  <si>
    <t>c(n, 6)</t>
  </si>
  <si>
    <t>c(n, 7)</t>
  </si>
  <si>
    <t>c(n, 8)</t>
  </si>
  <si>
    <t>c(n, 9)</t>
  </si>
  <si>
    <t>c(n, 10)</t>
  </si>
  <si>
    <t>c(n, 11)</t>
  </si>
  <si>
    <t>c(n, 12)</t>
  </si>
  <si>
    <t>c(n, 13)</t>
  </si>
  <si>
    <t>c(n, 14)</t>
  </si>
  <si>
    <t>c(n, 15)</t>
  </si>
  <si>
    <t>c(n, 16)</t>
  </si>
  <si>
    <t>c(n, 17)</t>
  </si>
  <si>
    <t>c(n, 18)</t>
  </si>
  <si>
    <t>c(n, 19)</t>
  </si>
  <si>
    <t>c(n, 20)</t>
  </si>
  <si>
    <t>c(n, 21)</t>
  </si>
  <si>
    <t>c(n, 22)</t>
  </si>
  <si>
    <t>c(n, 23)</t>
  </si>
  <si>
    <t>c(n, 24)</t>
  </si>
  <si>
    <t>c(n, 25)</t>
  </si>
  <si>
    <t>c(n, 26)</t>
  </si>
  <si>
    <t>c(n, 27)</t>
  </si>
  <si>
    <t>c(n, 28)</t>
  </si>
  <si>
    <t>c(n, 29)</t>
  </si>
  <si>
    <t>c(n, 30)</t>
  </si>
  <si>
    <t>c(n, 31)</t>
  </si>
  <si>
    <t>c(n, 32)</t>
  </si>
  <si>
    <t>c(n, 33)</t>
  </si>
  <si>
    <t>c(n, 34)</t>
  </si>
  <si>
    <t>c(n, 35)</t>
  </si>
  <si>
    <t>c(n, 36)</t>
  </si>
  <si>
    <t>c(n, 37)</t>
  </si>
  <si>
    <t>c(n, 38)</t>
  </si>
  <si>
    <t>c(n, 39)</t>
  </si>
  <si>
    <t>c(n, 40)</t>
  </si>
  <si>
    <t>c(n, 41)</t>
  </si>
  <si>
    <t>c(n, 42)</t>
  </si>
  <si>
    <t>c(n, 43)</t>
  </si>
  <si>
    <t>c(n, 44)</t>
  </si>
  <si>
    <t>c(n, 45)</t>
  </si>
  <si>
    <t>c(n, 46)</t>
  </si>
  <si>
    <t>c(n, 47)</t>
  </si>
  <si>
    <t>c(n, 48)</t>
  </si>
  <si>
    <t>c(n, 49)</t>
  </si>
  <si>
    <t>Riskiertes Kapital</t>
  </si>
  <si>
    <t>Altersrentenzahlungen</t>
  </si>
  <si>
    <t>Laufende Invalidenrentenzahlungen</t>
  </si>
  <si>
    <t>Kostencashflow</t>
  </si>
  <si>
    <t>Stornozahlung (Rückzahlung des Altersguthaben bzw. Rückkaufswert)</t>
  </si>
  <si>
    <t>Kapitalzahlung bei Erleben des Pensionsalters  </t>
  </si>
  <si>
    <t>Expected Financial Result</t>
  </si>
  <si>
    <t>Macroeconomic Scenarios</t>
  </si>
  <si>
    <t>Market-Value-Margin life insurance</t>
  </si>
  <si>
    <t xml:space="preserve">Credit risk Basel III </t>
  </si>
  <si>
    <t>Expected financial results</t>
  </si>
  <si>
    <t>Macroeconomic scenarios</t>
  </si>
  <si>
    <t>Scénarios macroéconomiques</t>
  </si>
  <si>
    <t>example</t>
  </si>
  <si>
    <t>Simulations</t>
  </si>
  <si>
    <t>x</t>
  </si>
  <si>
    <t>F(x)</t>
  </si>
  <si>
    <t>:</t>
  </si>
  <si>
    <t>c(n, 0)</t>
  </si>
  <si>
    <t>mu</t>
  </si>
  <si>
    <t>sigma</t>
  </si>
  <si>
    <t>interest rate, CHF rate</t>
  </si>
  <si>
    <t>interest rate, EUR rate</t>
  </si>
  <si>
    <t>interest rate, GBP rate</t>
  </si>
  <si>
    <t>Groupes (standalones)</t>
  </si>
  <si>
    <t>interest rate, USD rate</t>
  </si>
  <si>
    <t>real estate commercial</t>
  </si>
  <si>
    <t>interest rate, JPY rate</t>
  </si>
  <si>
    <t>Risikogewichtete Positionen nach CRM</t>
  </si>
  <si>
    <t>lognormal parameters</t>
  </si>
  <si>
    <t>Nr.</t>
  </si>
  <si>
    <t>Datum</t>
  </si>
  <si>
    <t>Schaden</t>
  </si>
  <si>
    <t>Kranken</t>
  </si>
  <si>
    <t>Kollektivtaggeld</t>
  </si>
  <si>
    <t>Delta-Normal Marktrisiko</t>
  </si>
  <si>
    <t>Sensitivitäten des Risikofaktors aus der Krankenversicherung</t>
  </si>
  <si>
    <t>Sensitivitäten des Risikofaktors aus der Lebensversicherung</t>
  </si>
  <si>
    <t>Erwartetes Finanzergebnis</t>
  </si>
  <si>
    <t>Makroökonomische Szenarien</t>
  </si>
  <si>
    <t>Allgemeine Eingaben</t>
  </si>
  <si>
    <t>Kreditrisiko gemäss Standardansatz Basel III</t>
  </si>
  <si>
    <t>Credit Spread EU GOVI under AAA</t>
  </si>
  <si>
    <t>Cashflows aus festverzinslichen Wertpapieren</t>
  </si>
  <si>
    <t>Hier ist der vereinbarte Wechselkurs einzutragen.</t>
  </si>
  <si>
    <t>Sprache auswählen; Choisir la langue; Select language</t>
  </si>
  <si>
    <t>Name der Versicherungsgesellschaft</t>
  </si>
  <si>
    <t>Muster-Gesellschaft</t>
  </si>
  <si>
    <t>Kontaktperson</t>
  </si>
  <si>
    <t>E-Mail</t>
  </si>
  <si>
    <t>Parameters</t>
  </si>
  <si>
    <t>Life</t>
  </si>
  <si>
    <t>Health</t>
  </si>
  <si>
    <t>Input</t>
  </si>
  <si>
    <t>Vie</t>
  </si>
  <si>
    <t>Maladie</t>
  </si>
  <si>
    <t>Entrée</t>
  </si>
  <si>
    <t>Parameter</t>
  </si>
  <si>
    <t>Paramètres</t>
  </si>
  <si>
    <t>Nom de la société d'assurance</t>
  </si>
  <si>
    <t>Name of the insurance company</t>
  </si>
  <si>
    <t>Contact Person</t>
  </si>
  <si>
    <t>Personne de contact</t>
  </si>
  <si>
    <t>Selection</t>
  </si>
  <si>
    <t>Total</t>
  </si>
  <si>
    <t>BIZ, IWF und multilaterale Entwicklungsbanken</t>
  </si>
  <si>
    <t>Banken und Effektenhändler</t>
  </si>
  <si>
    <t>Gemeinschaftseinrichtungen</t>
  </si>
  <si>
    <t>Pfandbriefe</t>
  </si>
  <si>
    <t>Direkt und indirekt grundpfandgesicherte Positionen</t>
  </si>
  <si>
    <t>Nachrangige Positionen</t>
  </si>
  <si>
    <t>DBRS</t>
  </si>
  <si>
    <t>AAA – AAL</t>
  </si>
  <si>
    <t>AH – AL</t>
  </si>
  <si>
    <t>BBBH – BBBL</t>
  </si>
  <si>
    <t>BBH – BBL</t>
  </si>
  <si>
    <t>BH – BL</t>
  </si>
  <si>
    <t>CCCH – CL</t>
  </si>
  <si>
    <t>Fitch</t>
  </si>
  <si>
    <t>AAA – AA-</t>
  </si>
  <si>
    <t>A+ – A-</t>
  </si>
  <si>
    <t>BBB+ – BBB-</t>
  </si>
  <si>
    <t>BB+ – BB-</t>
  </si>
  <si>
    <t>B+ – B-</t>
  </si>
  <si>
    <t>CCC+ – C</t>
  </si>
  <si>
    <t>Aaa – Aa3</t>
  </si>
  <si>
    <t>A1 – A3</t>
  </si>
  <si>
    <t>Baa1 – Baa3</t>
  </si>
  <si>
    <t>Ba1 – Ba3</t>
  </si>
  <si>
    <t>B1 – B3</t>
  </si>
  <si>
    <t>Caa1 – C</t>
  </si>
  <si>
    <t>Aaa – Aa-</t>
  </si>
  <si>
    <t>Baa+ – Baa-</t>
  </si>
  <si>
    <t>Ba+ – Ba-</t>
  </si>
  <si>
    <t>C</t>
  </si>
  <si>
    <t>R-1H , R-1M, R-1L</t>
  </si>
  <si>
    <t>R-2H , R-2M, R-2L</t>
  </si>
  <si>
    <t>R-3</t>
  </si>
  <si>
    <t>R-4 , R-5 , D</t>
  </si>
  <si>
    <t>F1+ , F1</t>
  </si>
  <si>
    <t>F2</t>
  </si>
  <si>
    <t>F3</t>
  </si>
  <si>
    <t>B , C , RD , D</t>
  </si>
  <si>
    <t>P-1</t>
  </si>
  <si>
    <t>P-2</t>
  </si>
  <si>
    <t>P-3</t>
  </si>
  <si>
    <t>NP</t>
  </si>
  <si>
    <t>A-1+ , A-1</t>
  </si>
  <si>
    <t>A-2</t>
  </si>
  <si>
    <t>A-3</t>
  </si>
  <si>
    <t>B-1 , B-2 , B-3 , C, SD , D</t>
  </si>
  <si>
    <t>Credit risk Basel III - Information</t>
  </si>
  <si>
    <t>Kreditrisiko Basel III - Informationen</t>
  </si>
  <si>
    <t>Risque de crédit Bâle III - Informations</t>
  </si>
  <si>
    <t>Risque de crédit Bâle III</t>
  </si>
  <si>
    <t>SST-Währung</t>
  </si>
  <si>
    <t>Monnaie du SST</t>
  </si>
  <si>
    <t>Erwartetes versicherungstechnisches Ergebnis</t>
  </si>
  <si>
    <t>Equity</t>
  </si>
  <si>
    <t>Aktien</t>
  </si>
  <si>
    <t>Actions</t>
  </si>
  <si>
    <t>Hedge Funds</t>
  </si>
  <si>
    <t>Geschäftsimmobilien</t>
  </si>
  <si>
    <t>Immobilier commercial</t>
  </si>
  <si>
    <t>Wohnimmobilien</t>
  </si>
  <si>
    <t>Immeubles résidentiels</t>
  </si>
  <si>
    <t>Art</t>
  </si>
  <si>
    <t>Genre</t>
  </si>
  <si>
    <t>Währung</t>
  </si>
  <si>
    <t>Monnaie</t>
  </si>
  <si>
    <t>Erklärungen</t>
  </si>
  <si>
    <t>Explications</t>
  </si>
  <si>
    <t>Bemerkungen</t>
  </si>
  <si>
    <t>Remarques</t>
  </si>
  <si>
    <t>Wert</t>
  </si>
  <si>
    <t>Valeur</t>
  </si>
  <si>
    <t>Exposition</t>
  </si>
  <si>
    <t>Notation</t>
  </si>
  <si>
    <t>Mio.</t>
  </si>
  <si>
    <t>million</t>
  </si>
  <si>
    <t>Allgemeine Begriffe</t>
  </si>
  <si>
    <t>General terms</t>
  </si>
  <si>
    <t>Gesamtmarktwert</t>
  </si>
  <si>
    <t>Valeur de marché totale</t>
  </si>
  <si>
    <t>Nur wenn negative Cash Flows vorhanden sind</t>
  </si>
  <si>
    <t>Seulement dans le cas de cash flows négatifs</t>
  </si>
  <si>
    <t>Contract</t>
  </si>
  <si>
    <t>Vertrag</t>
  </si>
  <si>
    <t>Contrat</t>
  </si>
  <si>
    <t>Assetklasse</t>
  </si>
  <si>
    <t>Type d'actif</t>
  </si>
  <si>
    <t>Fälligkeit (in Jahren)</t>
  </si>
  <si>
    <t>Exposition sous-jacente (t=0)</t>
  </si>
  <si>
    <t>Zugrundeliegendes Exposure (t=0)</t>
  </si>
  <si>
    <t>Terminpreis</t>
  </si>
  <si>
    <t>Prix à terme</t>
  </si>
  <si>
    <t>Lang/Kurz</t>
  </si>
  <si>
    <t>Nominale</t>
  </si>
  <si>
    <t>Nominell</t>
  </si>
  <si>
    <t>Taux à terme</t>
  </si>
  <si>
    <t>Terminkurs</t>
  </si>
  <si>
    <t>Devises</t>
  </si>
  <si>
    <t>Fremdwährung</t>
  </si>
  <si>
    <t>Beschreibung</t>
  </si>
  <si>
    <t>Up</t>
  </si>
  <si>
    <t>Down</t>
  </si>
  <si>
    <t>Risikofaktor</t>
  </si>
  <si>
    <t>En haut</t>
  </si>
  <si>
    <t>Vers le bas</t>
  </si>
  <si>
    <t>Nach oben</t>
  </si>
  <si>
    <t>Nach unten</t>
  </si>
  <si>
    <t>Swap government spread</t>
  </si>
  <si>
    <t>Implied stock volatility</t>
  </si>
  <si>
    <t>Implied FX-Volatility</t>
  </si>
  <si>
    <t>Implied interest rate volatility</t>
  </si>
  <si>
    <t>Volatilité implicite des actions</t>
  </si>
  <si>
    <t>Real estate funds Switzerland</t>
  </si>
  <si>
    <t>basis points (bp)</t>
  </si>
  <si>
    <t>Basispunkte (bp)</t>
  </si>
  <si>
    <t>Points de base (bp)</t>
  </si>
  <si>
    <t>Erwartete Rendite</t>
  </si>
  <si>
    <t>Rendement attendu</t>
  </si>
  <si>
    <t>Hypotheken</t>
  </si>
  <si>
    <t>Entreprises</t>
  </si>
  <si>
    <t>Immobilien</t>
  </si>
  <si>
    <t>Immobilier</t>
  </si>
  <si>
    <t>Delta-Restterm</t>
  </si>
  <si>
    <t>Delta Remainder</t>
  </si>
  <si>
    <t>Positions adossées à des sûretés</t>
  </si>
  <si>
    <t>Pondération du risque</t>
  </si>
  <si>
    <t>Sans notation</t>
  </si>
  <si>
    <t>Gouvernements centraux et banques centrales</t>
  </si>
  <si>
    <t>Corporations de droit public</t>
  </si>
  <si>
    <t>Corporations de droit public sans notations, si elles sont habilitées à lever des impôts ou si leurs engagements sont garantis intégralement et de manière illimitée par une communauté publique</t>
  </si>
  <si>
    <t>Cantons sans notation</t>
  </si>
  <si>
    <t>BRI, FMI et banques multilatérales de développement</t>
  </si>
  <si>
    <t>Banques et négociants en valeurs mobilières</t>
  </si>
  <si>
    <t>Banques et négociants en valeurs mobilières, durée initiale de la créance ≤ 3 mois</t>
  </si>
  <si>
    <t>Etablissements créés en commun</t>
  </si>
  <si>
    <t>Titrisations</t>
  </si>
  <si>
    <t>Autres positions sur la clientèle de détail</t>
  </si>
  <si>
    <t>Lettres de gage</t>
  </si>
  <si>
    <t>Lettres de gage suisses</t>
  </si>
  <si>
    <t>Positions garanties directement et indirectement par des gages immobiliers</t>
  </si>
  <si>
    <t>Autres immeubles</t>
  </si>
  <si>
    <t>Positions subordonnées</t>
  </si>
  <si>
    <t>Autres positions subordonnées</t>
  </si>
  <si>
    <t>Autres positions</t>
  </si>
  <si>
    <t>Autres positions (y compris les délimitations comptables transitoires)</t>
  </si>
  <si>
    <t>Erläuterungen</t>
  </si>
  <si>
    <t>Besicherte Positionen</t>
  </si>
  <si>
    <t>Risikogewicht</t>
  </si>
  <si>
    <t>Nicht geratet</t>
  </si>
  <si>
    <t>Banken und Effektenhändler, Ursprungslaufzeit der Forderung ≤ 3 Monate</t>
  </si>
  <si>
    <t>Explanatory notes</t>
  </si>
  <si>
    <t>Collateralised positions</t>
  </si>
  <si>
    <t>Risk weight</t>
  </si>
  <si>
    <t>Central governments and central banks</t>
  </si>
  <si>
    <t>Public-sector entities</t>
  </si>
  <si>
    <t>BIS, IMF and multilateral development banks</t>
  </si>
  <si>
    <t>Multilateral development banks</t>
  </si>
  <si>
    <t>Bank for International Settlements (BIS), International Monetary Fund (IMF), specific multilateral development banks designated by the regulatory authority (FINMA)</t>
  </si>
  <si>
    <t>Banks and securities dealers</t>
  </si>
  <si>
    <t>Banks and securities dealers, initial term to maturity of claim of ≤ 3 months</t>
  </si>
  <si>
    <t>Joint institutions of banks</t>
  </si>
  <si>
    <t>Deposit liabilities toward deposit insurance agency</t>
  </si>
  <si>
    <t>Corporate positions</t>
  </si>
  <si>
    <t>Securitisations</t>
  </si>
  <si>
    <t xml:space="preserve">Natural persons and small businesses (retail positions) </t>
  </si>
  <si>
    <t xml:space="preserve">Other retail positions </t>
  </si>
  <si>
    <t>Mortgage bonds</t>
  </si>
  <si>
    <t>Swiss mortgage bonds</t>
  </si>
  <si>
    <t>Positions secured directly or indirectly by charges on real estate</t>
  </si>
  <si>
    <t>Other properties</t>
  </si>
  <si>
    <t>Subordinated positions</t>
  </si>
  <si>
    <t xml:space="preserve">Other subordinated positions </t>
  </si>
  <si>
    <t xml:space="preserve">Other positions </t>
  </si>
  <si>
    <t>Credit equivalent from calls on shares and other equities</t>
  </si>
  <si>
    <t>Other positions (incl. accrued and deferred items)</t>
  </si>
  <si>
    <t>Scénarios</t>
  </si>
  <si>
    <t>Impact (loss) due to the scenario</t>
  </si>
  <si>
    <t>Auswirkung (Verlust) aufgrund des Szenarios</t>
  </si>
  <si>
    <t>Default of the reinsurer</t>
  </si>
  <si>
    <t xml:space="preserve">Ausfall der Rückversicherer </t>
  </si>
  <si>
    <t>Longevity</t>
  </si>
  <si>
    <t xml:space="preserve">Langlebigkeit </t>
  </si>
  <si>
    <t>Disability</t>
  </si>
  <si>
    <t xml:space="preserve">Invalidität </t>
  </si>
  <si>
    <t>Lapses</t>
  </si>
  <si>
    <t>Panic in stadium</t>
  </si>
  <si>
    <t xml:space="preserve">Panik im Stadion </t>
  </si>
  <si>
    <t>Industrial accident</t>
  </si>
  <si>
    <t xml:space="preserve">Industrieunfall </t>
  </si>
  <si>
    <t>Enterprise excursion</t>
  </si>
  <si>
    <t>Betriebsausflug</t>
  </si>
  <si>
    <t>Under reserving</t>
  </si>
  <si>
    <t>Unterreservierung</t>
  </si>
  <si>
    <t>Financial Distress (insurance risk part)</t>
  </si>
  <si>
    <t>Pandemia (insurance risk part)</t>
  </si>
  <si>
    <t>Pandemie (Versicherungsteil)</t>
  </si>
  <si>
    <t>Terrorism</t>
  </si>
  <si>
    <t xml:space="preserve">Terrorismus </t>
  </si>
  <si>
    <t>Real estate concentration</t>
  </si>
  <si>
    <t>Immobilienkonzentration</t>
  </si>
  <si>
    <t>Concentration scenario</t>
  </si>
  <si>
    <t>Konzentrationsszenario</t>
  </si>
  <si>
    <t>Self defined scenario</t>
  </si>
  <si>
    <t>Selbst definiertes Szenario</t>
  </si>
  <si>
    <t>Costs</t>
  </si>
  <si>
    <t>Capital option</t>
  </si>
  <si>
    <t>Cost BVG</t>
  </si>
  <si>
    <t>Lapses BVG</t>
  </si>
  <si>
    <t>Mortality</t>
  </si>
  <si>
    <t>Sensitivity</t>
  </si>
  <si>
    <t>Sensibilité</t>
  </si>
  <si>
    <t>Change in RBC</t>
  </si>
  <si>
    <t>Veränderung des RTK</t>
  </si>
  <si>
    <t>Variation du CPR</t>
  </si>
  <si>
    <t>simulations</t>
  </si>
  <si>
    <t>cumulative distribution function</t>
  </si>
  <si>
    <t>Défaut de réassureurs</t>
  </si>
  <si>
    <t>Longévité</t>
  </si>
  <si>
    <t>Invalidité</t>
  </si>
  <si>
    <t>Résiliations</t>
  </si>
  <si>
    <t>Panique au stade</t>
  </si>
  <si>
    <t>Accident industriel</t>
  </si>
  <si>
    <t>Sortie d’entreprise</t>
  </si>
  <si>
    <t>Provisionnement insuffisant</t>
  </si>
  <si>
    <t>Pandémie (part risques d'assurance)</t>
  </si>
  <si>
    <t>Financial Distress (Versicherungsteil)</t>
  </si>
  <si>
    <t>Financial Distress (part risques d'assurance)</t>
  </si>
  <si>
    <t>Terrorisme</t>
  </si>
  <si>
    <t>Concentration immobilière</t>
  </si>
  <si>
    <t>Concentrations</t>
  </si>
  <si>
    <t>Mortalité</t>
  </si>
  <si>
    <t>Frais</t>
  </si>
  <si>
    <t>Option en capital</t>
  </si>
  <si>
    <t>Résultat financier attendu</t>
  </si>
  <si>
    <t>Nom du scénario</t>
  </si>
  <si>
    <t>Szenarioname</t>
  </si>
  <si>
    <t>Durée jusqu'à l'échéance (en années)</t>
  </si>
  <si>
    <t>Hypothèques</t>
  </si>
  <si>
    <t>Ratingtabellen</t>
  </si>
  <si>
    <t>Not rated</t>
  </si>
  <si>
    <t>Resecuritisations</t>
  </si>
  <si>
    <t>Bourses et chambres de compensation et contreparties centrales</t>
  </si>
  <si>
    <t>Retitrisations</t>
  </si>
  <si>
    <t>Positionsklassen SA-BIZ ohne Verwendung externer Ratings</t>
  </si>
  <si>
    <t xml:space="preserve">Position categories (SA-BIS) applying external ratings </t>
  </si>
  <si>
    <t>Classes de positions de l'AS-BRI sans notations externes</t>
  </si>
  <si>
    <t xml:space="preserve">Residential properties in Switzerland and abroad, over 80% of market value </t>
  </si>
  <si>
    <t>Banques et négociants en valeurs mobilières, durée initiale de la créance &gt;  3 mois</t>
  </si>
  <si>
    <t>Banks and securities dealers, initial term to maturity of claim of &gt; 3 months</t>
  </si>
  <si>
    <t>Dommages</t>
  </si>
  <si>
    <t>Résultat d'assurance attendu</t>
  </si>
  <si>
    <t>Cash flows des produits à taux fixe</t>
  </si>
  <si>
    <t>Risques de marché delta-normal</t>
  </si>
  <si>
    <t>Sensibilités aux facteurs de risques d'assurance vie</t>
  </si>
  <si>
    <t>Montant minimum assurance vie</t>
  </si>
  <si>
    <t>Sensibilités aux facteurs de risques d'assurance maladie</t>
  </si>
  <si>
    <t>Facteur de risques</t>
  </si>
  <si>
    <t>Volatilité implicite du taux de change</t>
  </si>
  <si>
    <t>Fonds immobiliers Suisse</t>
  </si>
  <si>
    <t>Reste delta</t>
  </si>
  <si>
    <t>Impact (perte) dû au scénario</t>
  </si>
  <si>
    <t>Scénario propre</t>
  </si>
  <si>
    <t>Frais LPP</t>
  </si>
  <si>
    <t>Résiliations LPP</t>
  </si>
  <si>
    <t>Réactivation</t>
  </si>
  <si>
    <t>Collective workers compensation</t>
  </si>
  <si>
    <t>Reactivation</t>
  </si>
  <si>
    <t>Non Life</t>
  </si>
  <si>
    <t>SST currency</t>
  </si>
  <si>
    <t>Dieses SST-Template enthält Tabellenblätter mit verschiedenen Registerfarben. Es wird die folgende Farbenkonvention verwendet:</t>
  </si>
  <si>
    <t>Angaben</t>
  </si>
  <si>
    <t>Data</t>
  </si>
  <si>
    <t>Tabellenblätter mit Informationen und Parametern. Diese Tabellenblätter sind in der Regel nicht zu ändern.</t>
  </si>
  <si>
    <t>Données</t>
  </si>
  <si>
    <t>Tabellenblätter, die vom Versicherungsunternehmen auszufüllen sind.</t>
  </si>
  <si>
    <t>Mindestbetrag Lebensversicherung</t>
  </si>
  <si>
    <t>Bezeichnung im Blatt Credit Risk (Rating / Instrument)</t>
  </si>
  <si>
    <t>Wohnliegenschaften in der Schweiz und im Ausland, über zwei Drittel und bis und mit 80% des Verkehrswertes, welche die „Richtlinie betreffend Mindestanforderungen bei Hypothekarfinanzierung“ der Schweizerischen Bankiervereinigung einhalten.</t>
  </si>
  <si>
    <t>Objets d'habitation situés en Suisse et à l'étranger, jusqu'à deux tiers de la valeur vénale, si les "Directives relatives aux exigences minimales pour les financements hypothécaires" de l'Association suisse des banquiers sont respectées.</t>
  </si>
  <si>
    <t xml:space="preserve">Residential properties in Switzerland and abroad, up to two thirds of market value, which fulfill the guidelines concerning the minimum standards for mortgage financing issued by the Swiss Bankers Association. </t>
  </si>
  <si>
    <t xml:space="preserve">Residential properties in Switzerland and abroad, above two thirds and up to and including 80% of market value, which fulfill the guidelines concerning the minimum standards for mortgage financing issued by the Swiss Bankers Association. </t>
  </si>
  <si>
    <t>Contreparties centrales lorsque les risques de crédit découlent directement de contrats traités en bourse ou hors bourse par la contrepartie centrale qui garantit l'exécution des transactions (notamment dérivés, opérations de mise en pension et opérations similaires, où la contrepartie centrale garantit l'exécution des obligations sur toute la durée).</t>
  </si>
  <si>
    <t>Bourses et chambres de compensation lorsque les risques de crédit découlent directement de l'exécution de prestations garanties par une contrepartie centrale, dans le cadre de transactions où la contrepartie centrale ne garantit que le traitement (notamment opérations de caisse).</t>
  </si>
  <si>
    <t>Standard probability of occurence (FINMA) in %</t>
  </si>
  <si>
    <t>Standardeintrittswahrscheinlichkeit der FINMA in %</t>
  </si>
  <si>
    <t>Probabilité d’occurrence standard de la FINMA en %</t>
  </si>
  <si>
    <t>Risk factor</t>
  </si>
  <si>
    <t>Volatilité du taux d'intérêt implicite</t>
  </si>
  <si>
    <t>Aktien European Economic and Monetary Union (EMU)</t>
  </si>
  <si>
    <t>Stocks European Economic and Monetary Union (EMU)</t>
  </si>
  <si>
    <t>Stocks UK</t>
  </si>
  <si>
    <t>Probability of the scenario in %</t>
  </si>
  <si>
    <t>Explanations / Comments</t>
  </si>
  <si>
    <t>Permanente Erhöhung sämtlicher Kosten des übrigen Geschäfts um 25 %. 
Dieser Risikotreiber gilt nur für das übrige Geschäft.</t>
  </si>
  <si>
    <t>Permanente Erhöhung sämtlicher Kosten des BVG Geschäfts um 25 %.
Dieser Risikotreiber gilt nur für das BVG Geschäft.</t>
  </si>
  <si>
    <t>Permanente relative Reduktion / Erhöhung der Kapitalbezugsquote um 10 %. 
Hinweis: Grundsätzlich ist die Auslenkung zu wählen, welche (auf Bestandesebene) risikoerhöhend wirkt.</t>
  </si>
  <si>
    <t>Permanente relative Erhöhung der Stornoraten des BVG Geschäfts um 40%. 
Dieser Risikotreiber gilt nur für das BVG Geschäft.</t>
  </si>
  <si>
    <t>Participation</t>
  </si>
  <si>
    <t>Position categories (SA-BIS)</t>
  </si>
  <si>
    <t>Classes de positions (SA-BRI)</t>
  </si>
  <si>
    <t>Exposure without credit risk mitigation (CRM)</t>
  </si>
  <si>
    <t>Exposure ohne Kreditrisikominderung (CRM)</t>
  </si>
  <si>
    <t>Exposition sans diminution du risque de crédit (CRM)</t>
  </si>
  <si>
    <t>Guarantees and credit derivatives</t>
  </si>
  <si>
    <t>Garanties et dérivés de crédit</t>
  </si>
  <si>
    <t>Risk weighted positions after CRM</t>
  </si>
  <si>
    <t>Positions pondérées du risque après CRM</t>
  </si>
  <si>
    <t>A.</t>
  </si>
  <si>
    <t>B.</t>
  </si>
  <si>
    <t>A.1</t>
  </si>
  <si>
    <t>B.1</t>
  </si>
  <si>
    <t>A.2</t>
  </si>
  <si>
    <t>A.3</t>
  </si>
  <si>
    <t>A.4</t>
  </si>
  <si>
    <t>A.5</t>
  </si>
  <si>
    <t>A.7</t>
  </si>
  <si>
    <t>A.8</t>
  </si>
  <si>
    <t>Überfällige Positionen</t>
  </si>
  <si>
    <t>Positions en souffrance</t>
  </si>
  <si>
    <t xml:space="preserve">Past-due positions </t>
  </si>
  <si>
    <t>A.6</t>
  </si>
  <si>
    <t>B.2</t>
  </si>
  <si>
    <t>B.3</t>
  </si>
  <si>
    <t>B.4</t>
  </si>
  <si>
    <t>B.5</t>
  </si>
  <si>
    <t>B.6</t>
  </si>
  <si>
    <t>Unit</t>
  </si>
  <si>
    <t>S1.1</t>
  </si>
  <si>
    <t>S1.2</t>
  </si>
  <si>
    <t>S1.3</t>
  </si>
  <si>
    <t>S2.1</t>
  </si>
  <si>
    <t>S3.1</t>
  </si>
  <si>
    <t>S3.2</t>
  </si>
  <si>
    <t>S3.3</t>
  </si>
  <si>
    <t>S3.5</t>
  </si>
  <si>
    <t>S3.7</t>
  </si>
  <si>
    <t>U1.1</t>
  </si>
  <si>
    <t>U1.2</t>
  </si>
  <si>
    <t>U1.3</t>
  </si>
  <si>
    <t>U2.2</t>
  </si>
  <si>
    <t>Weltweite Rezession</t>
  </si>
  <si>
    <t>Weltweite Depression</t>
  </si>
  <si>
    <t>Immobilienkrise in der Schweiz</t>
  </si>
  <si>
    <t>Signatur</t>
  </si>
  <si>
    <t>Identifier</t>
  </si>
  <si>
    <t>Identificateur</t>
  </si>
  <si>
    <t>Récession mondiale</t>
  </si>
  <si>
    <t>Dépression mondiale</t>
  </si>
  <si>
    <t>Crise immobilière en Suisse</t>
  </si>
  <si>
    <t>Global recession</t>
  </si>
  <si>
    <t>Global depression</t>
  </si>
  <si>
    <t>Real estate crisis CH</t>
  </si>
  <si>
    <t>T.01.01</t>
  </si>
  <si>
    <t>T.01.03</t>
  </si>
  <si>
    <t>T.01.04</t>
  </si>
  <si>
    <t>T.01.05</t>
  </si>
  <si>
    <t>T.01.06</t>
  </si>
  <si>
    <t>T.01.07</t>
  </si>
  <si>
    <t>T.01.08</t>
  </si>
  <si>
    <t>T.01.09</t>
  </si>
  <si>
    <t>T.01.02</t>
  </si>
  <si>
    <t>T.02.01</t>
  </si>
  <si>
    <t>T.08.01</t>
  </si>
  <si>
    <t>T.02.02</t>
  </si>
  <si>
    <t>T.02.03</t>
  </si>
  <si>
    <t>T.02.04</t>
  </si>
  <si>
    <t>T.02.05</t>
  </si>
  <si>
    <t>T.02.06</t>
  </si>
  <si>
    <t>T.02.07</t>
  </si>
  <si>
    <t>T.02.08</t>
  </si>
  <si>
    <t>T.08.02</t>
  </si>
  <si>
    <t>T.08.03</t>
  </si>
  <si>
    <t>T.08.04</t>
  </si>
  <si>
    <t>T.08.05</t>
  </si>
  <si>
    <t>T.12.01</t>
  </si>
  <si>
    <t>T.12.02</t>
  </si>
  <si>
    <t>T.12.03</t>
  </si>
  <si>
    <t>T.12.04</t>
  </si>
  <si>
    <t>T.12.05</t>
  </si>
  <si>
    <t>T.12.06</t>
  </si>
  <si>
    <t>T.12.07</t>
  </si>
  <si>
    <t>T.12.08</t>
  </si>
  <si>
    <t>T.12.09</t>
  </si>
  <si>
    <t>T.13.01</t>
  </si>
  <si>
    <t>T.13.02</t>
  </si>
  <si>
    <t>T.13.03</t>
  </si>
  <si>
    <t>T.13.04</t>
  </si>
  <si>
    <t>T.13.05</t>
  </si>
  <si>
    <t>T.13.06</t>
  </si>
  <si>
    <t>T.14.01</t>
  </si>
  <si>
    <t>T.14.02</t>
  </si>
  <si>
    <t>T.14.03</t>
  </si>
  <si>
    <t>T.14.04</t>
  </si>
  <si>
    <t>Wahrscheinlichkeit des Szenarios in %</t>
  </si>
  <si>
    <t>Probabilité du scénario en %</t>
  </si>
  <si>
    <t>T.17.01</t>
  </si>
  <si>
    <t>T.17.02</t>
  </si>
  <si>
    <t>T.17.03</t>
  </si>
  <si>
    <t>T.17.04</t>
  </si>
  <si>
    <t>T.17.05</t>
  </si>
  <si>
    <t>T.17.06</t>
  </si>
  <si>
    <t>T.17.07</t>
  </si>
  <si>
    <t>T.16.01</t>
  </si>
  <si>
    <t>T.16.02</t>
  </si>
  <si>
    <t>T.16.03</t>
  </si>
  <si>
    <t>T.16.04</t>
  </si>
  <si>
    <t>T.16.05</t>
  </si>
  <si>
    <t>T.16.06</t>
  </si>
  <si>
    <t>T.16.07</t>
  </si>
  <si>
    <t>T.14.05</t>
  </si>
  <si>
    <t>This SST-Template includes worksheets with different tab colors. The following color convention is used.</t>
  </si>
  <si>
    <t>Worksheets that are to be completed by the insurance company.</t>
  </si>
  <si>
    <t>Worksheets with information and parameters. As a rule these worksheets are not to be modified.</t>
  </si>
  <si>
    <t xml:space="preserve">Ce SST-Template contient des onglets avec différentes couleurs. La convention suivante s'applique: </t>
  </si>
  <si>
    <t>Onglets, que la société d'assurance doit compléter.</t>
  </si>
  <si>
    <t>Onglets avec informations et paramètres. En principe ces onglets ne doivent pas être modifiés.</t>
  </si>
  <si>
    <t>Input fields: In these cells insurance company specific information are to be entered.</t>
  </si>
  <si>
    <t>Champs de saisie: dans ces cellules les informations spécifiques à la société d'assurance doivent être entrées.</t>
  </si>
  <si>
    <t>T.01.10</t>
  </si>
  <si>
    <t>T.01.11</t>
  </si>
  <si>
    <t>T.01.12</t>
  </si>
  <si>
    <t>T.01.13</t>
  </si>
  <si>
    <t>T.01.14</t>
  </si>
  <si>
    <t>Branch</t>
  </si>
  <si>
    <t>Tabellenblatt</t>
  </si>
  <si>
    <t>SST-Template</t>
  </si>
  <si>
    <t>Template SST</t>
  </si>
  <si>
    <t>Version vom</t>
  </si>
  <si>
    <t>SST Template</t>
  </si>
  <si>
    <t>Hedge fund</t>
  </si>
  <si>
    <t>Real estate commercial</t>
  </si>
  <si>
    <t>Real estate private</t>
  </si>
  <si>
    <t>Mortgages</t>
  </si>
  <si>
    <t>Sensitivität</t>
  </si>
  <si>
    <t>Expected Cash flows c(n,tau)</t>
  </si>
  <si>
    <t>Öffentlichrechtliche Körperschaften ohne Rating, sofern diese über das Recht zur Erhebung von Steuern verfügen oder sofern deren Verpflichtungen vollständig und unbegrenzt durch ein öffentliches Gemeinwesen garantiert sind.</t>
  </si>
  <si>
    <t>Banque des Règlements Internationaux (BRI), Fonds monétaire international (FMI), certaines banques multilatérales de développement désignées par l'autorité de surveillance (FINMA)</t>
  </si>
  <si>
    <t>Etablissements créés en commun par les banques, reconnus par l'autorité de surveillance (FINMA)</t>
  </si>
  <si>
    <t>Joint institutions of banks recognised by the regulatory authority (FINMA)</t>
  </si>
  <si>
    <t>Engagements de versement envers l'Association de garantie des dépôts</t>
  </si>
  <si>
    <t>Equivalents-crédit résultant des engagements de libérer et de faire des versements supplémentaires</t>
  </si>
  <si>
    <t>Parts de positions non couvertes, ajustées à concurrence des correctifs de valeurs individuels, dans la mesure où ceux-ci représentent moins de 20 % de l'encours.</t>
  </si>
  <si>
    <t>Parts de positions non couvertes, ajustées à concurrence des correctifs de valeurs individuels, dans la mesure où ceux-ci représentent au moins 20 % de l'encours.</t>
  </si>
  <si>
    <t>Banques multilatérales de développement</t>
  </si>
  <si>
    <t>Classes de positions (AS-BRI) avec notations externes</t>
  </si>
  <si>
    <t>Positionsklassen (SA-BIZ) bei Verwendung externer Ratings</t>
  </si>
  <si>
    <t>Von der FINMA anerkannte Gemeinschaftseinrichtungen der Banken</t>
  </si>
  <si>
    <t>Natürliche Personen und Kleinunternehmer (Retail)</t>
  </si>
  <si>
    <t>Übrige Retailpositionen</t>
  </si>
  <si>
    <t>Wohnliegenschaften in der Schweiz und im Ausland, über 80% des Verkehrswertes</t>
  </si>
  <si>
    <t>Übrige nachrangige Positionen</t>
  </si>
  <si>
    <t>Übrige Positionen</t>
  </si>
  <si>
    <t>Unrated public-sector entities provided that they possess tax-raising powers or their liabilities are guaranteed in full and without limitation by a public entity.</t>
  </si>
  <si>
    <t>Unrated Cantons</t>
  </si>
  <si>
    <t>Stock exchanges, clearing houses and central counterparties</t>
  </si>
  <si>
    <t>Stock exchanges and clearing houses, provided credit risks are directly related to the delivery of transactions where the central counterparty solely guarantees the execution of the transaction (particularly spot transactions).</t>
  </si>
  <si>
    <t>Position categories (SA-BIS) without external ratings</t>
  </si>
  <si>
    <t>The non-collateralised portions of positions adjusted by individual value adjustments, where the specific value adjustments represent less than 20% of the outstanding amount.</t>
  </si>
  <si>
    <t>The non-collateralised portions of positions adjusted by individual value adjustments, where the specific value adjustments represent at least 20% of the outstanding amount.</t>
  </si>
  <si>
    <t>U2.3</t>
  </si>
  <si>
    <t>U2.4</t>
  </si>
  <si>
    <t>U2.5</t>
  </si>
  <si>
    <t>U2.6</t>
  </si>
  <si>
    <t>U2.7</t>
  </si>
  <si>
    <t>U2.8</t>
  </si>
  <si>
    <t>U2.9</t>
  </si>
  <si>
    <t>S3.4</t>
  </si>
  <si>
    <t>U1.4</t>
  </si>
  <si>
    <t>U1.5</t>
  </si>
  <si>
    <t>U1.6</t>
  </si>
  <si>
    <t>Die Restlaufzeit ist ab dem Bilanz Stichtag gemessen und ist ganzzahlig anzugeben, mindestens 1 Jahr.</t>
  </si>
  <si>
    <t>Das Underlying Exposure ist in der angegebenen Währung einzutragen. Es wird angenommen, dass der gehedgte Preisindex auf 1 normiert ist.</t>
  </si>
  <si>
    <t>Hier ist die zu hedgende Fremdwährung einzutragen. Die Fremdwährung ist eine andere Währung als die SST-Währung. Die Einheit ist in Mio. anzugeben.</t>
  </si>
  <si>
    <t>Hier ist der vereinbarte Forward-Preis für das Underlying einzutragen. 
Bei einem vollständigen Hedge ist der vereinbarte Forward Preis in der Grössenordnung des Underlying Exposure.</t>
  </si>
  <si>
    <t>CY Parameters</t>
  </si>
  <si>
    <t>PY Parameters</t>
  </si>
  <si>
    <t>Additional parameters</t>
  </si>
  <si>
    <t>Discounted net reserves</t>
  </si>
  <si>
    <t>Coefficient of variation</t>
  </si>
  <si>
    <t>Das Nominal ist in der zu hedgenden Währung einzutragen.</t>
  </si>
  <si>
    <t>Eidgenossenschaft und Schweizerische Nationalbank, sofern die Forderung auf Landeswährung lautet und in dieser refinanziert ist.</t>
  </si>
  <si>
    <t>Confédération et Banque nationale suisse, pour autant que la créance soit libellée dans la monnaie du pays et refinancée dans cette même monnaie.</t>
  </si>
  <si>
    <t>Swiss Confederation and Swiss National Bank, provided that the claim is denominated in the national currency and is also refinanced in it.</t>
  </si>
  <si>
    <t>Bank für Internationalen Zahlungsausgleich (BIZ), Internationaler Währungsfonds (IWF), bestimmte von der FINMA bezeichnete multilaterale Entwicklungsbanken</t>
  </si>
  <si>
    <t>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t>
  </si>
  <si>
    <t>Central counterparties, provided credit risks are directly related to the performance of contracts traded on-exchange or OTC guaranteed by a central counterparty (particularly derivatives, repo or repo-like transactions where the central counterparty guarantees the servicing of the debt over the course of the entire term).</t>
  </si>
  <si>
    <t>Retailpositionen, wenn der Gesamtwert der Positionen nach Art. 49 Abs. 1, ohne grundpfandrechtliche Sicherung durch Wohnliegenschaften, gegenüber einer Gegenpartei 1,5 Mio. CHF und 1 % aller Retailpositionen nicht übersteigt.</t>
  </si>
  <si>
    <t xml:space="preserve">Retail positions where the total value of the positions according to art. 49 sect. 1, excluding collateral in the form of charges on residential real estate — does not exceed CHF1.5 million and 1% of all retail positions per individual counterparty. </t>
  </si>
  <si>
    <t>Nachrangige Positionen gegenüber öffentlich-rechtlichen Körperschaften, deren Risikogewicht nach Anhang Ziff. 2 (SA-BIZ) höchstens 50% beträgt.</t>
  </si>
  <si>
    <t>Positions subordonnées sur des corporations de droit public, dont la pondération-risque selon l'annexe 2 (AS-BRI) ne dépasse pas 50 %</t>
  </si>
  <si>
    <t xml:space="preserve">Positions subordinated to public-sector entities with a risk weighting according to Appendix 2 (SA-BIS) of no more than 50%. </t>
  </si>
  <si>
    <t>Die um Einzelwertberichtigungen korrigierten Positionen nach Ziffer 3.1, wobei grundpfandgesicherte Positionen nach den Ziffern 3.2–3.4 als unbesichert gelten.</t>
  </si>
  <si>
    <t>Positions selon chiffre 3.1, ajustées à concurrence des correctifs de valeurs individuels. Les positions garanties par des gages immobiliers selon chiffres 3.2 à 3.4 sont réputées non couvertes.</t>
  </si>
  <si>
    <t>Positions under 3.1 corrected by specific value adjustments, with positions secured against charges on real estate under 3.2 - 3.4 counting as non-collateralised</t>
  </si>
  <si>
    <t>Die um Einzelwertberichtigungen korrigierten unbesicherten Positionsanteile, sofern die Einzelwertberichtigungen mindestens 20 % des ausstehenden Betrags ausmachen.</t>
  </si>
  <si>
    <t>Die um die Einzelwertberichtigungen korrigierten unbesicherten Positionsanteile, sofern die Einzelwertberichtigungen weniger als 20 % des ausstehenden Betrags ausmachen.</t>
  </si>
  <si>
    <t>Flüssige Mittel, jedoch ohne Positionen, die unter Anhang 2, Punkt 6.2 fallen.</t>
  </si>
  <si>
    <t>Liquidités, sans les positions relevant du point 6.2 de l'annexe 2.</t>
  </si>
  <si>
    <t>Liquid assets, excluded the positions under Annexe 2, 6.2</t>
  </si>
  <si>
    <t>Changes in the liabilities due to a move in the risk factor</t>
  </si>
  <si>
    <t>Changes in the assets due to a move in the risk factor</t>
  </si>
  <si>
    <t>Risk factor change</t>
  </si>
  <si>
    <t>Auslenkung des Risikofaktors</t>
  </si>
  <si>
    <t>Modification du facteur de risque</t>
  </si>
  <si>
    <t>Änderungen der Passiven bei Auslenkung des Risikofaktors</t>
  </si>
  <si>
    <t>Änderungen der Aktiven bei Auslenkung des Risikofaktors</t>
  </si>
  <si>
    <t>Example</t>
  </si>
  <si>
    <t>Ground-up modelling parameters</t>
  </si>
  <si>
    <t>Ja / Nein</t>
  </si>
  <si>
    <t xml:space="preserve">Kommentar bzw. Verweis auf den diesbezüglich relevanten Abschnitt im SST-Bericht </t>
  </si>
  <si>
    <t>Marktrisiko</t>
  </si>
  <si>
    <t>Gibt es seit der letzten SST-Erhebung nennenswerte Veränderungen in der Asset- und Liabilitystruktur?</t>
  </si>
  <si>
    <t xml:space="preserve">Liegt ein Exposure gegenüber einer Fremdwährung vor, die nicht als Risikofaktor vorhanden ist? </t>
  </si>
  <si>
    <t>Versicherungstechnisches Risiko</t>
  </si>
  <si>
    <t>Gibt es nennenswerte Anpassungen in der Zeichnungspolitik seit dem letzten SST?</t>
  </si>
  <si>
    <t>Gibt es nennenswerte Veränderungen in der Zusammensetzung der versicherungstechnischen Risiken seit dem letzten SST?</t>
  </si>
  <si>
    <t>Gibt es nach Ihrer Einschätzung nennenswerte Veränderungen bei möglichen Risikokonzentrationen seit dem letzten SST?</t>
  </si>
  <si>
    <t>Werden unternehmensspezifische Szenarien aggregiert?</t>
  </si>
  <si>
    <t>Werden insbesondere Szenarien zur Abbildung von Kumulrisiken aggregiert? (bspw. Immobilienszenario)</t>
  </si>
  <si>
    <t>Kreditrisiko</t>
  </si>
  <si>
    <t>Gab es nennenswerte Veränderungen im Kreditrisikoexposure seit dem letzten SST?</t>
  </si>
  <si>
    <t>Verwendetes Modell</t>
  </si>
  <si>
    <t>Name des Moduls / Submoduls</t>
  </si>
  <si>
    <t>Referenz letzter FINMA-Entscheid</t>
  </si>
  <si>
    <t>Abweichungen vom letzten FINMA-Entscheid</t>
  </si>
  <si>
    <t>Kurzbeschreibung  der Modelländerung(-en) und weitere Kommentare</t>
  </si>
  <si>
    <t xml:space="preserve">Referenz zur verwendeten Modelldokumentation </t>
  </si>
  <si>
    <t>Art (bei internen Modellen in der Regel eine Verfügung, bei Standardmodellen ein Brief) und Datum.</t>
  </si>
  <si>
    <t>Ja/Nein</t>
  </si>
  <si>
    <t>SST-Bilanz</t>
  </si>
  <si>
    <t>Beteiligungen: Quote &gt; 50 %</t>
  </si>
  <si>
    <t>Beteiligungen: Quote 20 % bis 50 %</t>
  </si>
  <si>
    <t>Kollektive Kapitalanlagen</t>
  </si>
  <si>
    <t>Anlagefonds: Immobilien</t>
  </si>
  <si>
    <t>Anlagefonds: Aktien</t>
  </si>
  <si>
    <t>Anlagefonds: Obligationen</t>
  </si>
  <si>
    <t>Anlagefonds: Geldmarkt</t>
  </si>
  <si>
    <t>Anlagefonds: Übrige</t>
  </si>
  <si>
    <t>Anlagefonds: Gemischt</t>
  </si>
  <si>
    <t>Alternative Anlagen</t>
  </si>
  <si>
    <t>davon Rohstoffe</t>
  </si>
  <si>
    <t>Strukturierte Produkte</t>
  </si>
  <si>
    <t>Sonstige Kapitalanlagen</t>
  </si>
  <si>
    <t>Fondsanteilgebundene Lebensversicherung</t>
  </si>
  <si>
    <t>An interne Anlagebestände oder andere Bezugswerte gebundene Lebensversicherung</t>
  </si>
  <si>
    <t>Übrige Aktiven</t>
  </si>
  <si>
    <t>Total übrige Aktiven</t>
  </si>
  <si>
    <t>davon Einzelgeschäft</t>
  </si>
  <si>
    <t>davon Kollektivgeschäft</t>
  </si>
  <si>
    <t>Rückstellungen für vertragliche Überschussbeteiligungen (Leben): Brutto</t>
  </si>
  <si>
    <t>Rückstellungen für vertragliche Überschussbeteiligungen (Schaden): Brutto</t>
  </si>
  <si>
    <t>Rückstellungen für vertragliche Überschussbeteiligungen (Kranken): Brutto</t>
  </si>
  <si>
    <t>Aktive Rückversicherung (indirektes Geschäft)</t>
  </si>
  <si>
    <t>Total Fremdkapital</t>
  </si>
  <si>
    <t>Staffelrechnung</t>
  </si>
  <si>
    <t>in % der Total Aktiven</t>
  </si>
  <si>
    <t>1)</t>
  </si>
  <si>
    <t>1.1 Kapitalanlagen</t>
  </si>
  <si>
    <t>1.1 Investments</t>
  </si>
  <si>
    <t>2)</t>
  </si>
  <si>
    <t>1.1.1 Immobilien</t>
  </si>
  <si>
    <t xml:space="preserve">1.1.1 Real estate </t>
  </si>
  <si>
    <t>3)</t>
  </si>
  <si>
    <t>Wohnimmobilien: Inland</t>
  </si>
  <si>
    <t>Immeubles d'habitation: domestique</t>
  </si>
  <si>
    <t>Residential properties: domestic</t>
  </si>
  <si>
    <t>4)</t>
  </si>
  <si>
    <t>Wohnimmobilien Ausland</t>
  </si>
  <si>
    <t>Immeubles d'habitation: à l'étranger</t>
  </si>
  <si>
    <t>Residential properties: abroad</t>
  </si>
  <si>
    <t>5)</t>
  </si>
  <si>
    <t>Büro- und Verwaltungsbauten: Inland</t>
  </si>
  <si>
    <t>Bâtiments administratifs et à usage de bureaux: domestique</t>
  </si>
  <si>
    <t>Office and administration buildings: domestic</t>
  </si>
  <si>
    <t>6)</t>
  </si>
  <si>
    <t>Büro- und Verwaltungsbauten: Ausland</t>
  </si>
  <si>
    <t>Bâtiments administratifs et à usage de bureaux: à l'étranger</t>
  </si>
  <si>
    <t>Office and administration buildings: abroad</t>
  </si>
  <si>
    <t>7)</t>
  </si>
  <si>
    <t>Gemischtgenutzte Immobilien: Inland</t>
  </si>
  <si>
    <t>Immeubles avec utilisation mixte: domestique</t>
  </si>
  <si>
    <t>8)</t>
  </si>
  <si>
    <t>Angefangene Bauten: Inland</t>
  </si>
  <si>
    <t>Immeubles en construction: domestique</t>
  </si>
  <si>
    <t>Real estate under construction: domestic</t>
  </si>
  <si>
    <t>9)</t>
  </si>
  <si>
    <t>Bauland: Inland</t>
  </si>
  <si>
    <t>Terrain à construire: domestique</t>
  </si>
  <si>
    <t>Building land: domestic</t>
  </si>
  <si>
    <t>10)</t>
  </si>
  <si>
    <t>Diverse Konti</t>
  </si>
  <si>
    <t>Übrige Immobilien: Inland</t>
  </si>
  <si>
    <t>Autres immeubles: domestique</t>
  </si>
  <si>
    <t>Other real estate: domestic</t>
  </si>
  <si>
    <t>11)</t>
  </si>
  <si>
    <t>Übrige Immobilien: Ausland</t>
  </si>
  <si>
    <t>Autres immeubles: à l'étranger</t>
  </si>
  <si>
    <t>Other real estate: abroad</t>
  </si>
  <si>
    <t>12)</t>
  </si>
  <si>
    <t>1.1.2 Beteiligungen</t>
  </si>
  <si>
    <t xml:space="preserve">1.1.2 Participations </t>
  </si>
  <si>
    <t>1.1.2 Participations</t>
  </si>
  <si>
    <t>13)</t>
  </si>
  <si>
    <t>Participations: part &gt; 50%</t>
  </si>
  <si>
    <t>14)</t>
  </si>
  <si>
    <t>Beteiligungen an Versicherungsgesellschaften</t>
  </si>
  <si>
    <t>Participations dans des sociétés d'assurance</t>
  </si>
  <si>
    <t>15)</t>
  </si>
  <si>
    <t>Übrige Beteiligungen</t>
  </si>
  <si>
    <t>Autres participations</t>
  </si>
  <si>
    <t>16)</t>
  </si>
  <si>
    <t>17)</t>
  </si>
  <si>
    <t>18)</t>
  </si>
  <si>
    <t>AA- und höher</t>
  </si>
  <si>
    <t>A- bis und mit A+</t>
  </si>
  <si>
    <t>BBB- bis und mit BBB+</t>
  </si>
  <si>
    <t>tiefer als BBB- und kein Rating</t>
  </si>
  <si>
    <t>19)</t>
  </si>
  <si>
    <t>1.1.3 Festverzinsliche Wertpapiere</t>
  </si>
  <si>
    <t>1.1.3 Titres à revenu fixe</t>
  </si>
  <si>
    <t>20)</t>
  </si>
  <si>
    <t>Staats- und Zentralbankenanleihen</t>
  </si>
  <si>
    <t>21)</t>
  </si>
  <si>
    <t>22)</t>
  </si>
  <si>
    <t>davon andere öffentliche Körperschaften</t>
  </si>
  <si>
    <t>dont autres corporations de droit public</t>
  </si>
  <si>
    <t xml:space="preserve">of which other public-sector entities </t>
  </si>
  <si>
    <t>23)</t>
  </si>
  <si>
    <t>Unternehmensanleihen</t>
  </si>
  <si>
    <t>Emprunts d'entreprises</t>
  </si>
  <si>
    <t>Corporate bonds</t>
  </si>
  <si>
    <t>24)</t>
  </si>
  <si>
    <t>davon Banken und Effektenhändler</t>
  </si>
  <si>
    <t>dont banques et négociants en valeurs mobilières</t>
  </si>
  <si>
    <t>of which banks and securities dealers</t>
  </si>
  <si>
    <t>25)</t>
  </si>
  <si>
    <t>Pfandbriefanleihen / Covered Bonds</t>
  </si>
  <si>
    <t>Alle anderen Anleihen (Pfandbriefanleihen, Wandelanleihen, sonstige Anleihen)</t>
  </si>
  <si>
    <t>Lettres de gage / Covered Bonds</t>
  </si>
  <si>
    <t>Mortgage bonds / Covered bonds</t>
  </si>
  <si>
    <t>26)</t>
  </si>
  <si>
    <t>Wandelanleihen</t>
  </si>
  <si>
    <t>Emprunts convertibles</t>
  </si>
  <si>
    <t>Convertible bonds</t>
  </si>
  <si>
    <t>27)</t>
  </si>
  <si>
    <t>Sonstige Anleihen (inkl. Optionsanleihen, supranationale Anleihen)</t>
  </si>
  <si>
    <t>Other bonds (incl. warrant bonds, supranational bonds)</t>
  </si>
  <si>
    <t>28)</t>
  </si>
  <si>
    <t>1.1.4 Darlehen</t>
  </si>
  <si>
    <t>1.1.4 Prêts</t>
  </si>
  <si>
    <t>1.1.4 Loans</t>
  </si>
  <si>
    <t>29)</t>
  </si>
  <si>
    <t>Nachrangige Darlehen</t>
  </si>
  <si>
    <t>Prêts subordonnés</t>
  </si>
  <si>
    <t>Subordinated loans</t>
  </si>
  <si>
    <t>30)</t>
  </si>
  <si>
    <t>Policendarlehen</t>
  </si>
  <si>
    <t>Prêts sur police</t>
  </si>
  <si>
    <t>31)</t>
  </si>
  <si>
    <t>Sonstige Darlehen</t>
  </si>
  <si>
    <t>Prêts divers</t>
  </si>
  <si>
    <t>Other loans</t>
  </si>
  <si>
    <t>32)</t>
  </si>
  <si>
    <t>1.1.5 Hypotheken</t>
  </si>
  <si>
    <t>1.1.5 Hypothèques</t>
  </si>
  <si>
    <t>1.1.5 Mortgages</t>
  </si>
  <si>
    <t>33)</t>
  </si>
  <si>
    <t>Hypotheken bis 80 % des Verkehrswertes</t>
  </si>
  <si>
    <t>Hypothèques jusqu'à 80 % de la valeur vénale</t>
  </si>
  <si>
    <t xml:space="preserve">Mortgages up to 80% of market value </t>
  </si>
  <si>
    <t>34)</t>
  </si>
  <si>
    <t>35)</t>
  </si>
  <si>
    <t>36)</t>
  </si>
  <si>
    <t>Hypotheken mehr als 80 % des Verkehrswertes</t>
  </si>
  <si>
    <t>Hypothèques au-delà de 80 % de la valeur vénale</t>
  </si>
  <si>
    <t xml:space="preserve">Mortgages over 80% of market value </t>
  </si>
  <si>
    <t>37)</t>
  </si>
  <si>
    <t>38)</t>
  </si>
  <si>
    <t>39)</t>
  </si>
  <si>
    <t>1.1.6 Aktien</t>
  </si>
  <si>
    <t>1.1.6 Actions</t>
  </si>
  <si>
    <t>40)</t>
  </si>
  <si>
    <t>Aktien und ähnliche Wertschriften</t>
  </si>
  <si>
    <t>Actions et titres similaires</t>
  </si>
  <si>
    <t>Equities and similar securities</t>
  </si>
  <si>
    <t>41)</t>
  </si>
  <si>
    <t>Anlagen an Immobiliengesellschaften</t>
  </si>
  <si>
    <t>Placements dans des sociétés immobilières</t>
  </si>
  <si>
    <t>Investments in real estate companies</t>
  </si>
  <si>
    <t>42)</t>
  </si>
  <si>
    <t>43)</t>
  </si>
  <si>
    <t>1.1.7 Übrige Kapitalanlagen</t>
  </si>
  <si>
    <t>1.1.7 Other investments</t>
  </si>
  <si>
    <t>44)</t>
  </si>
  <si>
    <t>45)</t>
  </si>
  <si>
    <t>Fonds de placement: biens immobiliers</t>
  </si>
  <si>
    <t>Investment funds: real estate</t>
  </si>
  <si>
    <t>46)</t>
  </si>
  <si>
    <t>Fonds de placement: actions</t>
  </si>
  <si>
    <t>Investment funds: equities</t>
  </si>
  <si>
    <t>47)</t>
  </si>
  <si>
    <t>Fonds de placement: obligations</t>
  </si>
  <si>
    <t>Investment funds: bonds</t>
  </si>
  <si>
    <t>48)</t>
  </si>
  <si>
    <t>Fonds de placement: marché monétaire</t>
  </si>
  <si>
    <t>Investment funds: money market</t>
  </si>
  <si>
    <t>49)</t>
  </si>
  <si>
    <t>Fonds de placement: autres</t>
  </si>
  <si>
    <t>Investment funds: other</t>
  </si>
  <si>
    <t>50)</t>
  </si>
  <si>
    <t>Fonds de placement: mixtes</t>
  </si>
  <si>
    <t>Investment funds: mixed</t>
  </si>
  <si>
    <t>51)</t>
  </si>
  <si>
    <t>Placements alternatifs</t>
  </si>
  <si>
    <t>Alternative investments</t>
  </si>
  <si>
    <t>52)</t>
  </si>
  <si>
    <t>53)</t>
  </si>
  <si>
    <t>54)</t>
  </si>
  <si>
    <t>davon Partizipationen (Anteil &lt; 20%)</t>
  </si>
  <si>
    <t>dont participations (part &lt; 20%)</t>
  </si>
  <si>
    <t>of which participations (holding &lt; 20%)</t>
  </si>
  <si>
    <t>55)</t>
  </si>
  <si>
    <t>Other alternative investments</t>
  </si>
  <si>
    <t>56)</t>
  </si>
  <si>
    <t>57)</t>
  </si>
  <si>
    <t>58)</t>
  </si>
  <si>
    <t>59)</t>
  </si>
  <si>
    <t>Produits structurés</t>
  </si>
  <si>
    <t>Structured products</t>
  </si>
  <si>
    <t>60)</t>
  </si>
  <si>
    <t>Insurance-Linked Securities (z.B. Cat Bonds)</t>
  </si>
  <si>
    <t>Insurance linked securities (e.g. cat bonds)</t>
  </si>
  <si>
    <t>61)</t>
  </si>
  <si>
    <t>62)</t>
  </si>
  <si>
    <t>Other investments</t>
  </si>
  <si>
    <t>63)</t>
  </si>
  <si>
    <t>Verbriefte Forderungen</t>
  </si>
  <si>
    <t>Créances titrisées</t>
  </si>
  <si>
    <t>Securitized claims</t>
  </si>
  <si>
    <t>64)</t>
  </si>
  <si>
    <t>65)</t>
  </si>
  <si>
    <t>66)</t>
  </si>
  <si>
    <t>67)</t>
  </si>
  <si>
    <t>68)</t>
  </si>
  <si>
    <t>Andere Kapitalanlagen (Infrastrukturanlagen, Currency Overlay, u.a.)</t>
  </si>
  <si>
    <t xml:space="preserve">Other investments (investments in infrastructure, currency overlay, i.a.) </t>
  </si>
  <si>
    <t>69)</t>
  </si>
  <si>
    <t>1.2 Kapitalanlagen aus anteilgebundener Lebensversicherung</t>
  </si>
  <si>
    <t>1.2 Placements provenant de l'assurance sur la vie liée à des participations</t>
  </si>
  <si>
    <t>70)</t>
  </si>
  <si>
    <t>Assurance sur la vie liée à des parts de fonds de placement</t>
  </si>
  <si>
    <t>Unit-linked life insurance</t>
  </si>
  <si>
    <t>71)</t>
  </si>
  <si>
    <t>Assurance sur la vie liée à des fonds cantonnés ou à d’autres valeurs de référence</t>
  </si>
  <si>
    <t>Life insurance linked to internal investment holdings or other reference values</t>
  </si>
  <si>
    <t>72)</t>
  </si>
  <si>
    <t>Biens immobiliers</t>
  </si>
  <si>
    <t>73)</t>
  </si>
  <si>
    <t>Festverzinsliche Wertpapiere, Darlehen</t>
  </si>
  <si>
    <t>Titres à revenu fixe, prêts</t>
  </si>
  <si>
    <t>Fixed income securities, loans</t>
  </si>
  <si>
    <t>74)</t>
  </si>
  <si>
    <t>75)</t>
  </si>
  <si>
    <t>76)</t>
  </si>
  <si>
    <t>77)</t>
  </si>
  <si>
    <t>Übrige Anlagen</t>
  </si>
  <si>
    <t>Autres placements</t>
  </si>
  <si>
    <t>78)</t>
  </si>
  <si>
    <t>1.3 Forderungen aus derivativen Finanzinstrumenten</t>
  </si>
  <si>
    <t>1.3 Créances sur instruments financiers dérivés</t>
  </si>
  <si>
    <t>1.3 Receivables from derivative financial instruments</t>
  </si>
  <si>
    <t>79)</t>
  </si>
  <si>
    <t>Zinsrisikobezogene Instrumente</t>
  </si>
  <si>
    <t>Instruments liés au risque de taux d'intérêt</t>
  </si>
  <si>
    <t>Interest-risk-related instruments</t>
  </si>
  <si>
    <t>80)</t>
  </si>
  <si>
    <t>Währungsrisikobezogene Instrumente</t>
  </si>
  <si>
    <t>Instruments liés au risque de change</t>
  </si>
  <si>
    <t>Currency-risk-related instruments</t>
  </si>
  <si>
    <t>81)</t>
  </si>
  <si>
    <t>(Aktien-)Marktrisikobezogene Instrumente</t>
  </si>
  <si>
    <t>Instruments liés au risque de marché / des actions</t>
  </si>
  <si>
    <t>(Equity) Market-risk-related instruments</t>
  </si>
  <si>
    <t>82)</t>
  </si>
  <si>
    <t>Kreditrisikobezogene Instrumente</t>
  </si>
  <si>
    <t>Instruments liés au risque de crédit</t>
  </si>
  <si>
    <t>Credit-risk-related instruments</t>
  </si>
  <si>
    <t>83)</t>
  </si>
  <si>
    <t>Versicherungsrisikobezogene Instrumente (z.B. Cat Derivate)</t>
  </si>
  <si>
    <t>Instruments liés au risque d'assurance (p. ex. Cat Derivate)</t>
  </si>
  <si>
    <t>Insurance-risk-related instruments (e.g. cat derivative)</t>
  </si>
  <si>
    <t>84)</t>
  </si>
  <si>
    <t>85)</t>
  </si>
  <si>
    <t>Total Kapitalanlagen</t>
  </si>
  <si>
    <t>Total des placements de capitaux</t>
  </si>
  <si>
    <t>Total investments</t>
  </si>
  <si>
    <t>86)</t>
  </si>
  <si>
    <t>Autres actifs</t>
  </si>
  <si>
    <t>Other assets</t>
  </si>
  <si>
    <t>87)</t>
  </si>
  <si>
    <t>1.4 Depotforderungen aus übernommener Rückversicherung</t>
  </si>
  <si>
    <t>1.4 Dépôts découlant de la réassurance acceptée</t>
  </si>
  <si>
    <t xml:space="preserve">1.4 Deposits made under assumed reinsurance contracts </t>
  </si>
  <si>
    <t>88)</t>
  </si>
  <si>
    <t>1.5 Flüssige Mittel</t>
  </si>
  <si>
    <t>1.5 Liquidités</t>
  </si>
  <si>
    <t>1.5 Cash and cash equivalents</t>
  </si>
  <si>
    <t>89)</t>
  </si>
  <si>
    <t>Bargeld</t>
  </si>
  <si>
    <t>Numéraire</t>
  </si>
  <si>
    <t>Cash</t>
  </si>
  <si>
    <t>90)</t>
  </si>
  <si>
    <t>Bankguthaben</t>
  </si>
  <si>
    <t xml:space="preserve">Avoirs sur comptes bancaires </t>
  </si>
  <si>
    <t>Bank credit balance</t>
  </si>
  <si>
    <t>91)</t>
  </si>
  <si>
    <t>Forderungen aus Geldmarktanlagen</t>
  </si>
  <si>
    <t>Créances sur le marché monétaire</t>
  </si>
  <si>
    <t>Receivables from money market investments</t>
  </si>
  <si>
    <t>92)</t>
  </si>
  <si>
    <t>1.6 Anteil versicherungstechnische Rückstellungen aus Rückversicherung</t>
  </si>
  <si>
    <t>1.6 Part des réassureurs dans les provisions techniques</t>
  </si>
  <si>
    <t>1.6 Share of technical provisions from reinsurance</t>
  </si>
  <si>
    <t>93)</t>
  </si>
  <si>
    <t>94)</t>
  </si>
  <si>
    <t>davon Anteil Rückversicherer (Leben) am Überschussfonds</t>
  </si>
  <si>
    <t>dont part des réassureurs (vie) dans le fonds d'excédents</t>
  </si>
  <si>
    <t>of which share of reinsurers (life) to the surplus funds</t>
  </si>
  <si>
    <t>95)</t>
  </si>
  <si>
    <t>96)</t>
  </si>
  <si>
    <t>davon Anteil Rückversicherer (Schaden) am Überschussfonds</t>
  </si>
  <si>
    <t>dont part des réassureurs (dommage) dans le fonds d'excédents</t>
  </si>
  <si>
    <t>of which share of reinsurers (casuality) to the surplus funds</t>
  </si>
  <si>
    <t>97)</t>
  </si>
  <si>
    <t>98)</t>
  </si>
  <si>
    <t>davon Anteil Rückversicherer (Kranken) am Überschussfonds</t>
  </si>
  <si>
    <t>dont part des réassureurs (maladie) dans le fonds d'excédents</t>
  </si>
  <si>
    <t>of which share of reinsurers (health) to the surplus funds</t>
  </si>
  <si>
    <t>99)</t>
  </si>
  <si>
    <t>100)</t>
  </si>
  <si>
    <t>101)</t>
  </si>
  <si>
    <t>102)</t>
  </si>
  <si>
    <t>103)</t>
  </si>
  <si>
    <t>104)</t>
  </si>
  <si>
    <t>105)</t>
  </si>
  <si>
    <t>106)</t>
  </si>
  <si>
    <t>1.7 Sachanlagen</t>
  </si>
  <si>
    <t>1.7 Immobilisations corporelles</t>
  </si>
  <si>
    <t>107)</t>
  </si>
  <si>
    <t>Betriebsliegenschaften</t>
  </si>
  <si>
    <t>Immeubles d'exploitation</t>
  </si>
  <si>
    <t>Commercial real estate</t>
  </si>
  <si>
    <t>108)</t>
  </si>
  <si>
    <t>Sonstige Sachanlagen</t>
  </si>
  <si>
    <t>Autres immobilisations corporelles</t>
  </si>
  <si>
    <t>109)</t>
  </si>
  <si>
    <t>1.8 Aktivierte Abschlusskosten</t>
  </si>
  <si>
    <t>1.8 Frais d'acquisition activés</t>
  </si>
  <si>
    <t>1.8 Deferred acquisition costs</t>
  </si>
  <si>
    <t>110)</t>
  </si>
  <si>
    <t>1.9 Immaterielle Vermögenswerte</t>
  </si>
  <si>
    <t>1.9 Intangible assets</t>
  </si>
  <si>
    <t>111)</t>
  </si>
  <si>
    <t>1.10 Forderungen aus dem Versicherungsgeschäft</t>
  </si>
  <si>
    <t>1.10 Créances nées d'opérations d'assurance</t>
  </si>
  <si>
    <t>112)</t>
  </si>
  <si>
    <t>Forderungen gegenüber Versicherungsnehmern und Agenten</t>
  </si>
  <si>
    <t>Créances sur les preneurs d'assurance et agents</t>
  </si>
  <si>
    <t>113)</t>
  </si>
  <si>
    <t>114)</t>
  </si>
  <si>
    <t>115)</t>
  </si>
  <si>
    <t>116)</t>
  </si>
  <si>
    <t>117)</t>
  </si>
  <si>
    <t>davon Forderungen gegenüber Beteiligungen</t>
  </si>
  <si>
    <t>dont créances sur des participations</t>
  </si>
  <si>
    <t>of which receivables vis-à-vis participations</t>
  </si>
  <si>
    <t>118)</t>
  </si>
  <si>
    <t>1.11 Übrige Forderungen</t>
  </si>
  <si>
    <t>1.11 Autres créances</t>
  </si>
  <si>
    <t>1.11 Other receivables</t>
  </si>
  <si>
    <t>119)</t>
  </si>
  <si>
    <t>1.12 Sonstige Aktiven</t>
  </si>
  <si>
    <t>1.12 Autres actifs</t>
  </si>
  <si>
    <t>1.12 Other assets</t>
  </si>
  <si>
    <t>120)</t>
  </si>
  <si>
    <t>Erhaltene Garantien</t>
  </si>
  <si>
    <t>Garanties reçues</t>
  </si>
  <si>
    <t>Guarantees received</t>
  </si>
  <si>
    <t>121)</t>
  </si>
  <si>
    <t>Sonstige Vermögenswerte</t>
  </si>
  <si>
    <t>122)</t>
  </si>
  <si>
    <t>1.13 Nicht einbezahltes Grundkapital</t>
  </si>
  <si>
    <t>1.13 Capital non encore libéré</t>
  </si>
  <si>
    <t>1.13 Unpaid share capital</t>
  </si>
  <si>
    <t>123)</t>
  </si>
  <si>
    <t>1.14 Aktive Rechnungsabgrenzungen</t>
  </si>
  <si>
    <t>1.14 Comptes de régularisation</t>
  </si>
  <si>
    <t>124)</t>
  </si>
  <si>
    <t>Vorausbezahlte Versicherungsleistungen</t>
  </si>
  <si>
    <t>Prestations d'assurance versées à l'avance</t>
  </si>
  <si>
    <t>Pre-paid insurance benefits</t>
  </si>
  <si>
    <t>125)</t>
  </si>
  <si>
    <t>Abgegrenzte Zinsen und Mieten</t>
  </si>
  <si>
    <t>Intérêts et loyers acquis non échus</t>
  </si>
  <si>
    <t>Accrued interest and rent</t>
  </si>
  <si>
    <t>126)</t>
  </si>
  <si>
    <t>Latente Steuerforderungen</t>
  </si>
  <si>
    <t>Actifs d'impôts différés</t>
  </si>
  <si>
    <t>Deferred tax assets</t>
  </si>
  <si>
    <t>127)</t>
  </si>
  <si>
    <t>Sonstige Rechnungsabgrenzungsposten</t>
  </si>
  <si>
    <t>Autres comptes de régularisation</t>
  </si>
  <si>
    <t>Other accrued expenses and deferred income</t>
  </si>
  <si>
    <t>128)</t>
  </si>
  <si>
    <t>129)</t>
  </si>
  <si>
    <t>1.15 Total Aktiven</t>
  </si>
  <si>
    <t>1.15 Total Assets</t>
  </si>
  <si>
    <t>130)</t>
  </si>
  <si>
    <t>Fremdkapital</t>
  </si>
  <si>
    <t>Capital étranger</t>
  </si>
  <si>
    <t>131)</t>
  </si>
  <si>
    <t>2.1 Versicherungstechnische Rückstellungen: Brutto</t>
  </si>
  <si>
    <t>2.1 Provisions techniques: brutes</t>
  </si>
  <si>
    <t>2.1 Technical provisions: gross</t>
  </si>
  <si>
    <t>132)</t>
  </si>
  <si>
    <t>133)</t>
  </si>
  <si>
    <t>134)</t>
  </si>
  <si>
    <t>dont affaires individuelles</t>
  </si>
  <si>
    <t>of which individual business</t>
  </si>
  <si>
    <t>135)</t>
  </si>
  <si>
    <t>dont affaires collectives</t>
  </si>
  <si>
    <t>of which group business</t>
  </si>
  <si>
    <t>136)</t>
  </si>
  <si>
    <t>Schwankungsrückstellungen und weitere statutarische Reserven (Leben): Brutto</t>
  </si>
  <si>
    <t>Provisions de fluctuation et autres réserves statutaires (vie): brutes</t>
  </si>
  <si>
    <t>137)</t>
  </si>
  <si>
    <t>138)</t>
  </si>
  <si>
    <t>davon Zillmerabschlag (Leben): Brutto</t>
  </si>
  <si>
    <t>dont déduction de Zillmer (vie): brute</t>
  </si>
  <si>
    <t>of which Zillmer discount (life): gross</t>
  </si>
  <si>
    <t>139)</t>
  </si>
  <si>
    <t>Provisions pour parts d'excédents contractuels (vie): brutes</t>
  </si>
  <si>
    <t>Reserves for contractual profit participation (life): gross</t>
  </si>
  <si>
    <t>140)</t>
  </si>
  <si>
    <t>Rückstellungen für Überschussfonds (Leben): Brutto</t>
  </si>
  <si>
    <t>Provisions pour fonds d'excédents (vie): brutes</t>
  </si>
  <si>
    <t>Reserves for surplus funds (life): gross</t>
  </si>
  <si>
    <t>141)</t>
  </si>
  <si>
    <t>142)</t>
  </si>
  <si>
    <t>Best estimate of insurance liabilities (non-life): gross</t>
  </si>
  <si>
    <t>143)</t>
  </si>
  <si>
    <t>of which best estimate of insurance liabilities of the UVG portfolio</t>
  </si>
  <si>
    <t>144)</t>
  </si>
  <si>
    <t>Schwankungsrückstellungen und weitere statutarische Reserven (Schaden): Brutto</t>
  </si>
  <si>
    <t>Provisions de fluctuation et autres réserves statutaires (dommage): brutes</t>
  </si>
  <si>
    <t>145)</t>
  </si>
  <si>
    <t>146)</t>
  </si>
  <si>
    <t>Provisions pour parts d'excédents contractuels (dommage): brutes</t>
  </si>
  <si>
    <t>Reserves for contractual profit participation (non-life): gross</t>
  </si>
  <si>
    <t>Rückstellungen für Überschussfonds (Schaden): Brutto</t>
  </si>
  <si>
    <t>Provisions pour fonds d'excédents (dommage): brutes</t>
  </si>
  <si>
    <t>Reserves for surplus funds (non-life): gross</t>
  </si>
  <si>
    <t>148)</t>
  </si>
  <si>
    <t>149)</t>
  </si>
  <si>
    <t>Best estimate of insurance liabilities (health): gross</t>
  </si>
  <si>
    <t>150)</t>
  </si>
  <si>
    <t>151)</t>
  </si>
  <si>
    <t>Schwankungsrückstellungen und weitere statutarische Reserven (Kranken): Brutto</t>
  </si>
  <si>
    <t>152)</t>
  </si>
  <si>
    <t>153)</t>
  </si>
  <si>
    <t>Provisions pour parts d'excédents contractuels (maladie): brutes</t>
  </si>
  <si>
    <t>Reserves for contractual profit participation (health): gross</t>
  </si>
  <si>
    <t>154)</t>
  </si>
  <si>
    <t>Rückstellungen für Überschussfonds (Kranken): Brutto</t>
  </si>
  <si>
    <t>Provisions pour fonds d'excédents (maladie): brutes</t>
  </si>
  <si>
    <t>Reserves for surplus funds (health): gross</t>
  </si>
  <si>
    <t>155)</t>
  </si>
  <si>
    <t>Direktversicherung: Sonstiges Geschäft</t>
  </si>
  <si>
    <t>156)</t>
  </si>
  <si>
    <t>Réassurance active (affaires indirectes)</t>
  </si>
  <si>
    <t>Active reinsurance (indirect business)</t>
  </si>
  <si>
    <t>157)</t>
  </si>
  <si>
    <t>Aktive Rückversicherung: Lebensversicherungsgeschäft (ohne ALV)</t>
  </si>
  <si>
    <t>Aktive Rückversicherung: Schadenversicherungsgeschäft</t>
  </si>
  <si>
    <t>Réassurance active: assurance dommages</t>
  </si>
  <si>
    <t>159)</t>
  </si>
  <si>
    <t>Aktive Rückversicherung: Krankenversicherungsgeschäft</t>
  </si>
  <si>
    <t>Réassurance active: assurance maladie</t>
  </si>
  <si>
    <t>160)</t>
  </si>
  <si>
    <t>Aktive Rückversicherung: Sonstiges Geschäft</t>
  </si>
  <si>
    <t>Réassurance active: autres affaires</t>
  </si>
  <si>
    <t>161)</t>
  </si>
  <si>
    <t>2.2 Versicherungstechnische Rückstellungen für anteilgebundene Lebensversicherung: Brutto</t>
  </si>
  <si>
    <t>2.2 Provisions techniques de l'assurance sur la vie liée à des participations: brutes</t>
  </si>
  <si>
    <t>162)</t>
  </si>
  <si>
    <t>Fondsanteilgebundene Lebensversicherung (A 2.1 - A 2.3 &amp; A 6.1)</t>
  </si>
  <si>
    <t>Assurance de vie liée à des fonds de placement (A 2.1 - A 2.3 et A 6.1)</t>
  </si>
  <si>
    <t>Unit-linked life insurance (A 2.1 - A 2.3 et A 6.1)</t>
  </si>
  <si>
    <t>163)</t>
  </si>
  <si>
    <t>davon Optionen und Garantien</t>
  </si>
  <si>
    <t>dont options et garanties</t>
  </si>
  <si>
    <t>of which options and guarantees</t>
  </si>
  <si>
    <t>164)</t>
  </si>
  <si>
    <t>An interne Anlagebestände oder andere Bezugswerte gebundene Lebensversicherung: Brutto (A 2.4 - A 2.6 &amp; A 6.2)</t>
  </si>
  <si>
    <t>Assurance de vie liée à des fonds cantonnés ou à d'autres valeurs de référence: brutes (A 2.4 - A 2.6 &amp; A 6.2)</t>
  </si>
  <si>
    <t>Life insurance linked to internal investment positions and other reference values (A 2.4 - A 2.6 &amp; A 6.2)</t>
  </si>
  <si>
    <t>165)</t>
  </si>
  <si>
    <t>166)</t>
  </si>
  <si>
    <t>Aktive Rückversicherung: Anteilgebundenes Lebensversicherungsgeschäft</t>
  </si>
  <si>
    <t>Réassurance active: Assurance sur la vie liée à des participations - Affaires</t>
  </si>
  <si>
    <t>167)</t>
  </si>
  <si>
    <t>2.3 Nichtversicherungstechnische Rückstellungen</t>
  </si>
  <si>
    <t>2.3 Provisions non techniques</t>
  </si>
  <si>
    <t>2.3 Non-technical provisions</t>
  </si>
  <si>
    <t>168)</t>
  </si>
  <si>
    <t>Rückstellungen für Personalvorsorge</t>
  </si>
  <si>
    <t>Provisions pour la prévoyance en faveur du personnel</t>
  </si>
  <si>
    <t>Reserves for employee benefits</t>
  </si>
  <si>
    <t>169)</t>
  </si>
  <si>
    <t xml:space="preserve">Finanzielle Rückstellungen </t>
  </si>
  <si>
    <t>Provisions financières</t>
  </si>
  <si>
    <t>Financial provisions</t>
  </si>
  <si>
    <t>170)</t>
  </si>
  <si>
    <t xml:space="preserve">Sonstige Rückstellungen </t>
  </si>
  <si>
    <t>Autres provisions</t>
  </si>
  <si>
    <t>Other provisions</t>
  </si>
  <si>
    <t>171)</t>
  </si>
  <si>
    <t>2.4 Verzinsliche Verbindlichkeiten</t>
  </si>
  <si>
    <t>2.4 Dettes liées à des instruments de taux</t>
  </si>
  <si>
    <t>2.4 Interest-bearing liabilities</t>
  </si>
  <si>
    <t>172)</t>
  </si>
  <si>
    <t>2.5. Verbindlichkeiten aus derivativen Finanzinstrumenten</t>
  </si>
  <si>
    <t>2.5 Liabilities from derivative financial instruments</t>
  </si>
  <si>
    <t>173)</t>
  </si>
  <si>
    <t>174)</t>
  </si>
  <si>
    <t>175)</t>
  </si>
  <si>
    <t>176)</t>
  </si>
  <si>
    <t>177)</t>
  </si>
  <si>
    <t>Versicherungsbezogene Instrumente (z.B. Cat Derivate)</t>
  </si>
  <si>
    <t>Insurance-risk-related instruments  (e.g. cat derivative)</t>
  </si>
  <si>
    <t>178)</t>
  </si>
  <si>
    <t>179)</t>
  </si>
  <si>
    <t>2.6 Depotverbindlichkeiten aus abgegebener Rückversicherung</t>
  </si>
  <si>
    <t>2.6 Dépôts résultant de la réassurance cédée</t>
  </si>
  <si>
    <t>180)</t>
  </si>
  <si>
    <t>2.7 Verbindlichkeiten aus dem Versicherungsgeschäft</t>
  </si>
  <si>
    <t>2.7 Dettes nées d'opérations d'assurance</t>
  </si>
  <si>
    <t>2.7 Liabilities from insurance business</t>
  </si>
  <si>
    <t>181)</t>
  </si>
  <si>
    <t>182)</t>
  </si>
  <si>
    <t>Sonstige Depotverbindlichkeiten</t>
  </si>
  <si>
    <t>Autres dépôts reçus de réassureurs</t>
  </si>
  <si>
    <t>Other deposit liabilities</t>
  </si>
  <si>
    <t>183)</t>
  </si>
  <si>
    <t>Sonstige Verbindlichkeiten aus dem Versicherungsgeschäft</t>
  </si>
  <si>
    <t>Autres dettes nées d'opérations d'assurance</t>
  </si>
  <si>
    <t>Other liabilities from insurance business</t>
  </si>
  <si>
    <t>184)</t>
  </si>
  <si>
    <t>2.8 Sonstige Passiven</t>
  </si>
  <si>
    <t>2.8 Autres passifs</t>
  </si>
  <si>
    <t>2.8 Other liabilities</t>
  </si>
  <si>
    <t>185)</t>
  </si>
  <si>
    <t>Gegebene Garantien, Bürgschaften</t>
  </si>
  <si>
    <t>Garanties données, cautionnements</t>
  </si>
  <si>
    <t>Guarantees given, sureties</t>
  </si>
  <si>
    <t>186)</t>
  </si>
  <si>
    <t>Sonstige Verbindlichkeiten</t>
  </si>
  <si>
    <t>Dettes diverses</t>
  </si>
  <si>
    <t>Other liabilities</t>
  </si>
  <si>
    <t>187)</t>
  </si>
  <si>
    <t>188)</t>
  </si>
  <si>
    <t xml:space="preserve">Autres postes du compte de régularisation </t>
  </si>
  <si>
    <t>189)</t>
  </si>
  <si>
    <t>2.10 Nachrangige Verbindlichkeiten</t>
  </si>
  <si>
    <t>2.10 Dettes subordonnées</t>
  </si>
  <si>
    <t>190)</t>
  </si>
  <si>
    <t>Unbefristete Anleihen und Darlehen mit Eigenkapitalcharakter</t>
  </si>
  <si>
    <t>Emprunts et prêts à caractère de fonds propres, à durée indéterminée</t>
  </si>
  <si>
    <t>191)</t>
  </si>
  <si>
    <t>Unbefristete sonstige Verbindlichkeiten mit Eigenkapitalcharakter</t>
  </si>
  <si>
    <t>192)</t>
  </si>
  <si>
    <t>Anleihen, Darlehen und sonstige Verbindlichkeiten, die zwingend in Eigenkapital gewandelt werden müssen</t>
  </si>
  <si>
    <t>Emprunts, prêts et autres dettes devant obligatoirement être convertis en fonds propres</t>
  </si>
  <si>
    <t>Bonds, loans and other liabilities that must be converted into equity capital</t>
  </si>
  <si>
    <t>193)</t>
  </si>
  <si>
    <t>Anleihen und Darlehen mit Eigenkapitalcharakter mit fester Laufzeit</t>
  </si>
  <si>
    <t>Emprunts et prêts à caractère de fonds propres, à durée déterminée</t>
  </si>
  <si>
    <t>Fixed-term bonds and loans with characteristics of equity</t>
  </si>
  <si>
    <t>194)</t>
  </si>
  <si>
    <t>Sonstige Verbindlichkeiten mit Eigenkapitalcharakter mit fester Laufzeit</t>
  </si>
  <si>
    <t>Autres dettes à caractère de fonds propres, à durée déterminée</t>
  </si>
  <si>
    <t>Fixed-term other liabilities with characteristics of equity</t>
  </si>
  <si>
    <t>195)</t>
  </si>
  <si>
    <t>Total capital étranger</t>
  </si>
  <si>
    <t>Total liabilities</t>
  </si>
  <si>
    <t>196)</t>
  </si>
  <si>
    <t>Differenz</t>
  </si>
  <si>
    <t>Différence</t>
  </si>
  <si>
    <t>Difference</t>
  </si>
  <si>
    <t>Es gibt zwei mögliche Varianten von Umlegungen:</t>
  </si>
  <si>
    <r>
      <t xml:space="preserve">Beispiel für </t>
    </r>
    <r>
      <rPr>
        <b/>
        <sz val="11"/>
        <rFont val="Arial"/>
        <family val="2"/>
      </rPr>
      <t>Variante 1</t>
    </r>
    <r>
      <rPr>
        <sz val="11"/>
        <rFont val="Arial"/>
        <family val="2"/>
      </rPr>
      <t xml:space="preserve">: Umlegung einer Bilanzposition auf </t>
    </r>
    <r>
      <rPr>
        <u/>
        <sz val="11"/>
        <rFont val="Arial"/>
        <family val="2"/>
      </rPr>
      <t>eine</t>
    </r>
    <r>
      <rPr>
        <sz val="11"/>
        <rFont val="Arial"/>
        <family val="2"/>
      </rPr>
      <t xml:space="preserve"> andere Bilanzposition (automatisiert und daher gegenüber Variante 2 zu bevorzugen)</t>
    </r>
  </si>
  <si>
    <t>"Ein Teil der aktivierten Abschlusskosten soll ins Deckungskapital übernommen werden."</t>
  </si>
  <si>
    <t>F</t>
  </si>
  <si>
    <t>G</t>
  </si>
  <si>
    <t>H</t>
  </si>
  <si>
    <t>Versicherungsverpflichtungen (brutto)</t>
  </si>
  <si>
    <r>
      <t xml:space="preserve">Beispiel für </t>
    </r>
    <r>
      <rPr>
        <b/>
        <sz val="11"/>
        <rFont val="Arial"/>
        <family val="2"/>
      </rPr>
      <t>Variante 2</t>
    </r>
    <r>
      <rPr>
        <sz val="11"/>
        <rFont val="Arial"/>
        <family val="2"/>
      </rPr>
      <t xml:space="preserve">: Umlegung einer Bilanzposition auf </t>
    </r>
    <r>
      <rPr>
        <u/>
        <sz val="11"/>
        <rFont val="Arial"/>
        <family val="2"/>
      </rPr>
      <t>mehrere</t>
    </r>
    <r>
      <rPr>
        <sz val="11"/>
        <rFont val="Arial"/>
        <family val="2"/>
      </rPr>
      <t xml:space="preserve"> andere Bilanzpositionen (nur für komplexe Umlegungen!)</t>
    </r>
  </si>
  <si>
    <t>I</t>
  </si>
  <si>
    <t>J</t>
  </si>
  <si>
    <t>K</t>
  </si>
  <si>
    <t>Kapitalanlagen für Rechnung und Risiko von Inhabern von Lebensversicherungen (ohne «Separate Accounts»)</t>
  </si>
  <si>
    <t>Spalte B</t>
  </si>
  <si>
    <t>Referenzierung der Zellen mittels Zeilennummer.</t>
  </si>
  <si>
    <t>Spalte C</t>
  </si>
  <si>
    <t>Berücksichtigung des Vorzeichens: + für Aktiven und - für Passiven</t>
  </si>
  <si>
    <t>Spalte G</t>
  </si>
  <si>
    <t>In der Spalte G wird die Zeilennummer der Zelle angegeben, in welche eine Bilanzposition ganz oder teilweise umgelegt werden soll.</t>
  </si>
  <si>
    <t>Spalte H</t>
  </si>
  <si>
    <t>Spalte K</t>
  </si>
  <si>
    <r>
      <t xml:space="preserve">Die Spalte K ist zu benützen, wenn eine Bilanzposition auf </t>
    </r>
    <r>
      <rPr>
        <u/>
        <sz val="11"/>
        <rFont val="Arial"/>
        <family val="2"/>
      </rPr>
      <t>mehrere</t>
    </r>
    <r>
      <rPr>
        <sz val="11"/>
        <rFont val="Arial"/>
        <family val="2"/>
      </rPr>
      <t xml:space="preserve"> neue statutarische Positionen aufgegliedert werden soll. In diesem Fall ist im SST-Bericht zusätzlich detailliert zu beschreiben, wie die Aufgliederung erfolgte.</t>
    </r>
  </si>
  <si>
    <t>Verwendete Farben</t>
  </si>
  <si>
    <t>grün</t>
  </si>
  <si>
    <t>Richtige Referenzierung</t>
  </si>
  <si>
    <t>gelb</t>
  </si>
  <si>
    <t>Fehlende Referenzierung</t>
  </si>
  <si>
    <t>blau</t>
  </si>
  <si>
    <t>Wert angegeben</t>
  </si>
  <si>
    <t>REF</t>
  </si>
  <si>
    <t>Vorzeichen</t>
  </si>
  <si>
    <t>T.01.15</t>
  </si>
  <si>
    <t>Seed Nummer</t>
  </si>
  <si>
    <t>Seed Number</t>
  </si>
  <si>
    <t>Seed number</t>
  </si>
  <si>
    <t>SST Checklist</t>
  </si>
  <si>
    <t>SST Check-list</t>
  </si>
  <si>
    <t>Applied Model</t>
  </si>
  <si>
    <t>Modèle utilisé</t>
  </si>
  <si>
    <t>Bilan SST</t>
  </si>
  <si>
    <t>SST Balance sheet</t>
  </si>
  <si>
    <t>RBC</t>
  </si>
  <si>
    <t xml:space="preserve">Calcul du capital porteur de risques (CPR) </t>
  </si>
  <si>
    <t>Berechnung des risikotragenden Kapitals (RTK)</t>
  </si>
  <si>
    <t>Computation of the risk bearing capital (RBC)</t>
  </si>
  <si>
    <t>Differences_Stat_SSTBalance</t>
  </si>
  <si>
    <t>T.01.16</t>
  </si>
  <si>
    <t>Sparte</t>
  </si>
  <si>
    <t>Branche</t>
  </si>
  <si>
    <t>T.22.01</t>
  </si>
  <si>
    <t>T.22.02</t>
  </si>
  <si>
    <t>T.22.03</t>
  </si>
  <si>
    <t>T.22.04</t>
  </si>
  <si>
    <t>T.22.05</t>
  </si>
  <si>
    <t>T.22.06</t>
  </si>
  <si>
    <t>T.22.07</t>
  </si>
  <si>
    <t>T.22.08</t>
  </si>
  <si>
    <t>T.22.09</t>
  </si>
  <si>
    <t>T.22.10</t>
  </si>
  <si>
    <t>T.22.11</t>
  </si>
  <si>
    <t>T.22.12</t>
  </si>
  <si>
    <t>T.19.01</t>
  </si>
  <si>
    <t>T.19.02</t>
  </si>
  <si>
    <t>T.19.03</t>
  </si>
  <si>
    <t>T.19.04</t>
  </si>
  <si>
    <t>T.19.05</t>
  </si>
  <si>
    <t>T.19.06</t>
  </si>
  <si>
    <t>T.19.07</t>
  </si>
  <si>
    <t>T.19.08</t>
  </si>
  <si>
    <t>T.19.09</t>
  </si>
  <si>
    <t>T.19.10</t>
  </si>
  <si>
    <t>T.18.01</t>
  </si>
  <si>
    <t>T.18.02</t>
  </si>
  <si>
    <t>T.18.03</t>
  </si>
  <si>
    <t>T.18.04</t>
  </si>
  <si>
    <t>T.18.05</t>
  </si>
  <si>
    <t>T.18.06</t>
  </si>
  <si>
    <t>T.18.07</t>
  </si>
  <si>
    <t>T.18.08</t>
  </si>
  <si>
    <t>T.18.09</t>
  </si>
  <si>
    <t>T.18.10</t>
  </si>
  <si>
    <t xml:space="preserve">1) </t>
  </si>
  <si>
    <t>Capital porteur de risques en situation de run-off</t>
  </si>
  <si>
    <t>Risk bearing capital under run-off assumptions</t>
  </si>
  <si>
    <t>Risk bearing capital under going-concern assumptions</t>
  </si>
  <si>
    <t>T.08.06</t>
  </si>
  <si>
    <t>T.09.01</t>
  </si>
  <si>
    <t>Total other assets</t>
  </si>
  <si>
    <t>Differenzen aufgrund des veränderten Stichtages</t>
  </si>
  <si>
    <t>Equated account</t>
  </si>
  <si>
    <t>Calcul échelonné</t>
  </si>
  <si>
    <t>Différence due au changement de la date de référence</t>
  </si>
  <si>
    <t>Differences due to the change of the reference date</t>
  </si>
  <si>
    <t>en % du total des actives</t>
  </si>
  <si>
    <t>in % of total assets</t>
  </si>
  <si>
    <t>T.09.02</t>
  </si>
  <si>
    <t>T.09.03</t>
  </si>
  <si>
    <t>T.09.04</t>
  </si>
  <si>
    <t>T.09.05</t>
  </si>
  <si>
    <t>T.09.07</t>
  </si>
  <si>
    <t>T.09.08</t>
  </si>
  <si>
    <t>T.09.09</t>
  </si>
  <si>
    <t>Participations: part 20% à 50%</t>
  </si>
  <si>
    <t>All other investments (mortgage bonds, convertible bonds, other bonds)</t>
  </si>
  <si>
    <t>Tous les autres placements (lettres de gage, emprunts convertibles, autres placements)</t>
  </si>
  <si>
    <t>Rück</t>
  </si>
  <si>
    <t>Réassurance</t>
  </si>
  <si>
    <t>Reinsurance</t>
  </si>
  <si>
    <t>T.01.17</t>
  </si>
  <si>
    <t>T.01.18</t>
  </si>
  <si>
    <t>T.01.19</t>
  </si>
  <si>
    <t>Signe</t>
  </si>
  <si>
    <t>Sign</t>
  </si>
  <si>
    <t xml:space="preserve">Statutarischer Bilanzwert nach Allokation </t>
  </si>
  <si>
    <t>Allokation REF (Hier Zeilenref angeben, auf die alloziert werden soll.)</t>
  </si>
  <si>
    <t>Valeur statutaire après allocation</t>
  </si>
  <si>
    <t>Allocation REF (indiquer la ligne de référence)</t>
  </si>
  <si>
    <t>Allocation REF (indicate the reference line)</t>
  </si>
  <si>
    <t>Statutory value after allocation</t>
  </si>
  <si>
    <t xml:space="preserve">Statutarischer Wert  </t>
  </si>
  <si>
    <t xml:space="preserve">Valeur statutaire  </t>
  </si>
  <si>
    <t xml:space="preserve">Statutory value  </t>
  </si>
  <si>
    <t>Invaliditätsrisikoprämien</t>
  </si>
  <si>
    <t>Actions Japon</t>
  </si>
  <si>
    <t>Actions Royaume-Uni</t>
  </si>
  <si>
    <t>Actions États-Unis d'Amérique (USA)</t>
  </si>
  <si>
    <t>Actions Union européenne économique et monétaire (EMU)</t>
  </si>
  <si>
    <t>Actions Suisse</t>
  </si>
  <si>
    <t>Credit Spread USA AAA</t>
  </si>
  <si>
    <t>Credit Spread USA AA</t>
  </si>
  <si>
    <t>Credit Spread USA A</t>
  </si>
  <si>
    <t>Credit Spread USA BBB</t>
  </si>
  <si>
    <t>Credit Spread USA BB</t>
  </si>
  <si>
    <t>Credit Spread EU AA</t>
  </si>
  <si>
    <t>Credit Spread EU A</t>
  </si>
  <si>
    <t>Credit Spread EU BBB</t>
  </si>
  <si>
    <t>Credit Spread EU Govi au-dessous de AAA</t>
  </si>
  <si>
    <t>Credit Spread CH Lettres de gage et Govi-related</t>
  </si>
  <si>
    <t>Credit Spread CH Mortgage bonds and Govi-related</t>
  </si>
  <si>
    <t>CHF kurzfristiger Zinssatz</t>
  </si>
  <si>
    <t>CHF mittelfristiger Zinssatz</t>
  </si>
  <si>
    <t>CHF langfristiger Zinssatz</t>
  </si>
  <si>
    <t>EUR kurzfristiger Zinssatz</t>
  </si>
  <si>
    <t>USD kurzfristiger Zinssatz</t>
  </si>
  <si>
    <t>GBP kurzfristiger Zinssatz</t>
  </si>
  <si>
    <t>EUR mittelfristiger Zinssatz</t>
  </si>
  <si>
    <t>USD mittelfristiger Zinssatz</t>
  </si>
  <si>
    <t>GBP mittelfristiger Zinssatz</t>
  </si>
  <si>
    <t>EUR langfristiger Zinssatz</t>
  </si>
  <si>
    <t>USD langfristiger Zinssatz</t>
  </si>
  <si>
    <t>GBP langfristiger Zinssatz</t>
  </si>
  <si>
    <t>CHF short-term rate</t>
  </si>
  <si>
    <t>CHF mid-term rate</t>
  </si>
  <si>
    <t>CHF long-term rate</t>
  </si>
  <si>
    <t>EUR short-term rate</t>
  </si>
  <si>
    <t>EUR mid-term rate</t>
  </si>
  <si>
    <t>EUR long-term rate</t>
  </si>
  <si>
    <t>USD short-term rate</t>
  </si>
  <si>
    <t>USD mid-term rate</t>
  </si>
  <si>
    <t>USD long-term rate</t>
  </si>
  <si>
    <t>GBP short-term rate</t>
  </si>
  <si>
    <t>GBP mid-term rate</t>
  </si>
  <si>
    <t>GBP long-term rate</t>
  </si>
  <si>
    <t>CHF taux d'intérêt à moyen terme</t>
  </si>
  <si>
    <t>CHF taux d'intérêt à court terme</t>
  </si>
  <si>
    <t>CHF taux d'intérêt à long terme</t>
  </si>
  <si>
    <t>EUR taux d'intérêt à court terme</t>
  </si>
  <si>
    <t>EUR taux d'intérêt à moyen terme</t>
  </si>
  <si>
    <t>EUR taux d'intérêt à long terme</t>
  </si>
  <si>
    <t>USD taux d'intérêt à court terme</t>
  </si>
  <si>
    <t>USD taux d'intérêt à moyen terme</t>
  </si>
  <si>
    <t>USD taux d'intérêt à long terme</t>
  </si>
  <si>
    <t>GBP taux d'intérêt à court terme</t>
  </si>
  <si>
    <t>GBP taux d'intérêt à moyen terme</t>
  </si>
  <si>
    <t>GBP taux d'intérêt à long terme</t>
  </si>
  <si>
    <t>CHF 2Y</t>
  </si>
  <si>
    <t>CHF 10Y</t>
  </si>
  <si>
    <t>CHF 30Y</t>
  </si>
  <si>
    <t>EUR 2Y</t>
  </si>
  <si>
    <t>EUR 10Y</t>
  </si>
  <si>
    <t>EUR 30Y</t>
  </si>
  <si>
    <t>USD 2Y</t>
  </si>
  <si>
    <t>USD 10Y</t>
  </si>
  <si>
    <t>USD 30Y</t>
  </si>
  <si>
    <t>GBP 2Y</t>
  </si>
  <si>
    <t>GBP 10Y</t>
  </si>
  <si>
    <t>GBP 30Y</t>
  </si>
  <si>
    <t>USD Spread AAA</t>
  </si>
  <si>
    <t>USD Spread AA</t>
  </si>
  <si>
    <t>USD Spread A</t>
  </si>
  <si>
    <t>USD Spread BBB</t>
  </si>
  <si>
    <t>USD Spread BB</t>
  </si>
  <si>
    <t>EUGO Spread</t>
  </si>
  <si>
    <t>CH CANT Spread</t>
  </si>
  <si>
    <t>CH CORP Spread</t>
  </si>
  <si>
    <t>10Y Swap Spread</t>
  </si>
  <si>
    <t>USDCHF Volatility</t>
  </si>
  <si>
    <t>MSCI CH</t>
  </si>
  <si>
    <t>MSCI EMU</t>
  </si>
  <si>
    <t>MSCI US</t>
  </si>
  <si>
    <t>MSCI UK</t>
  </si>
  <si>
    <t>MSCI JP</t>
  </si>
  <si>
    <t>Rued Blass</t>
  </si>
  <si>
    <t>Short cut</t>
  </si>
  <si>
    <t>T.02.09</t>
  </si>
  <si>
    <t>Abkürzung</t>
  </si>
  <si>
    <t>Abbréviation</t>
  </si>
  <si>
    <t>Beteiligung</t>
  </si>
  <si>
    <t>EUR Spread AA</t>
  </si>
  <si>
    <t>EUR Spread BBB</t>
  </si>
  <si>
    <t>EUR Spread A</t>
  </si>
  <si>
    <t>Yes</t>
  </si>
  <si>
    <t>Contract 4</t>
  </si>
  <si>
    <t>Contract 5</t>
  </si>
  <si>
    <t>Contract 6</t>
  </si>
  <si>
    <t>Contract 7</t>
  </si>
  <si>
    <t>Contract 8</t>
  </si>
  <si>
    <t>Contract 9</t>
  </si>
  <si>
    <t>Contract 10</t>
  </si>
  <si>
    <t>No</t>
  </si>
  <si>
    <t>Risk factor Id</t>
  </si>
  <si>
    <t>RF1</t>
  </si>
  <si>
    <t>asset price</t>
  </si>
  <si>
    <t>RF2</t>
  </si>
  <si>
    <t>RF3</t>
  </si>
  <si>
    <t>RF4</t>
  </si>
  <si>
    <t>RF5</t>
  </si>
  <si>
    <t>RF6</t>
  </si>
  <si>
    <t>RF7</t>
  </si>
  <si>
    <t>RF8</t>
  </si>
  <si>
    <t>RF9</t>
  </si>
  <si>
    <t>RF10</t>
  </si>
  <si>
    <t>RF11</t>
  </si>
  <si>
    <t>RF12</t>
  </si>
  <si>
    <t>RF13</t>
  </si>
  <si>
    <t>RF14</t>
  </si>
  <si>
    <t>RF15</t>
  </si>
  <si>
    <t>RF16</t>
  </si>
  <si>
    <t>RF17</t>
  </si>
  <si>
    <t>RF18</t>
  </si>
  <si>
    <t>RF19</t>
  </si>
  <si>
    <t>RF20</t>
  </si>
  <si>
    <t>RF21</t>
  </si>
  <si>
    <t>RF22</t>
  </si>
  <si>
    <t>RF23</t>
  </si>
  <si>
    <t>RF24</t>
  </si>
  <si>
    <t>RF25</t>
  </si>
  <si>
    <t>RF26</t>
  </si>
  <si>
    <t>RF27</t>
  </si>
  <si>
    <t>RF28</t>
  </si>
  <si>
    <t>RF29</t>
  </si>
  <si>
    <t>RF30</t>
  </si>
  <si>
    <t>RF31</t>
  </si>
  <si>
    <t>RF32</t>
  </si>
  <si>
    <t>RF33</t>
  </si>
  <si>
    <t>RF34</t>
  </si>
  <si>
    <t>RF35</t>
  </si>
  <si>
    <t>RF36</t>
  </si>
  <si>
    <t>RF37</t>
  </si>
  <si>
    <t>RF38</t>
  </si>
  <si>
    <t>RF39</t>
  </si>
  <si>
    <t>RF40</t>
  </si>
  <si>
    <t>RF41</t>
  </si>
  <si>
    <t>RF42</t>
  </si>
  <si>
    <t>RF43</t>
  </si>
  <si>
    <t>RF44</t>
  </si>
  <si>
    <t>RF45</t>
  </si>
  <si>
    <t>RF46</t>
  </si>
  <si>
    <t>RF47</t>
  </si>
  <si>
    <t>RF48</t>
  </si>
  <si>
    <t>RF49</t>
  </si>
  <si>
    <t>RF50</t>
  </si>
  <si>
    <t>RF51</t>
  </si>
  <si>
    <t>RF52</t>
  </si>
  <si>
    <t>RF53</t>
  </si>
  <si>
    <t>RF54</t>
  </si>
  <si>
    <t>RF55</t>
  </si>
  <si>
    <t>RF56</t>
  </si>
  <si>
    <t>RF57</t>
  </si>
  <si>
    <t>RF58</t>
  </si>
  <si>
    <t>RF59</t>
  </si>
  <si>
    <t>RF60</t>
  </si>
  <si>
    <t>RF61</t>
  </si>
  <si>
    <t>RF62</t>
  </si>
  <si>
    <t>RF63</t>
  </si>
  <si>
    <t>RF64</t>
  </si>
  <si>
    <t>RF65</t>
  </si>
  <si>
    <t>RF66</t>
  </si>
  <si>
    <t>RF67</t>
  </si>
  <si>
    <t>RF68</t>
  </si>
  <si>
    <t>RF69</t>
  </si>
  <si>
    <t>other</t>
  </si>
  <si>
    <t>RF70</t>
  </si>
  <si>
    <t>RF71</t>
  </si>
  <si>
    <t>RF72</t>
  </si>
  <si>
    <t>Label</t>
  </si>
  <si>
    <t>participation</t>
  </si>
  <si>
    <t>Financial Distress (market risk part)</t>
  </si>
  <si>
    <t>Correlation Matrix Life Risk</t>
  </si>
  <si>
    <t>Correlation Matrix Health Risk</t>
  </si>
  <si>
    <t>Correlation Matrix Aggregation Risks</t>
  </si>
  <si>
    <t>Correlation</t>
  </si>
  <si>
    <t>Korrelationsmatrizen</t>
  </si>
  <si>
    <t>Matrices de corrélation</t>
  </si>
  <si>
    <t>Correlation matrices</t>
  </si>
  <si>
    <t>Zuordnungstabelle für die Marktrisikofaktoren</t>
  </si>
  <si>
    <t>Tableau de correspondance pour les facteurs de risques</t>
  </si>
  <si>
    <t>Mapping table for the market risk-factors</t>
  </si>
  <si>
    <t xml:space="preserve">Gibt es in der SST-Bilanz Positionen, deren Risiko durch die verwendeten Risikofaktoren nicht oder nur ungenügend erfasst wird ? </t>
  </si>
  <si>
    <t>Bewertung (z.B. Zinskurve)</t>
  </si>
  <si>
    <t>Versicherungsrisiko - Leben</t>
  </si>
  <si>
    <t>Versicherungsrisiko - Schaden</t>
  </si>
  <si>
    <t>Versicherungsrisiko - Kranken</t>
  </si>
  <si>
    <t>Versicherungsrisiko - Rückversicherung</t>
  </si>
  <si>
    <t>Versicherungsrisiko - Rückversicherungscaptives</t>
  </si>
  <si>
    <t>Mindestbetrag</t>
  </si>
  <si>
    <t>Aggregation</t>
  </si>
  <si>
    <t>Gruppenmodellierung</t>
  </si>
  <si>
    <t>Konzerninterne Garantien</t>
  </si>
  <si>
    <t>Versicherungsrisiko - Naturkatastrophenrisiken</t>
  </si>
  <si>
    <t>Hedgefonds</t>
  </si>
  <si>
    <t>Corporates</t>
  </si>
  <si>
    <t>Real estate</t>
  </si>
  <si>
    <t>A.7a</t>
  </si>
  <si>
    <t>Glossar Deutsch - Französisch - Englisch</t>
  </si>
  <si>
    <t>Glossaire allemand - français - anglais</t>
  </si>
  <si>
    <t>Glossary German - French - English</t>
  </si>
  <si>
    <t>Parameter für das Marktrisiko</t>
  </si>
  <si>
    <t>Paramètres pour le risque de marché</t>
  </si>
  <si>
    <t>Market risk parameters</t>
  </si>
  <si>
    <t>Erwartete brutto Prämien (vor Rückversicherung)</t>
  </si>
  <si>
    <t>Erwartete netto Prämien (nach Rückversicherung)</t>
  </si>
  <si>
    <t>Erwartete brutto Jahresschäden (vor Rückversicherung)</t>
  </si>
  <si>
    <t>Erwartete netto Jahresschäden (nach Rückversicherung)</t>
  </si>
  <si>
    <t>Erwartete Kosten</t>
  </si>
  <si>
    <t xml:space="preserve">Einzelkranken - Anzahl Versicherte (Kopfzählung)  </t>
  </si>
  <si>
    <t>Simulation des risques d'assurance dommage</t>
  </si>
  <si>
    <t xml:space="preserve">Versicherungstechnisches Risiko Schadengeschäft </t>
  </si>
  <si>
    <t>Krankenversicherung</t>
  </si>
  <si>
    <t>implied interest rate volatility</t>
  </si>
  <si>
    <t>swap government spread</t>
  </si>
  <si>
    <t>implied fx-volatility</t>
  </si>
  <si>
    <t>implied stock volatility</t>
  </si>
  <si>
    <t>Best Estimate der Versicherungsverpflichtungen (Leben): Brutto</t>
  </si>
  <si>
    <t>Best Estimate der Versicherungsverpflichtungen (Schaden): Brutto</t>
  </si>
  <si>
    <t>Best Estimate der Versicherungsverpflichtungen (Kranken): Brutto</t>
  </si>
  <si>
    <t>Best Estimate der Langzeitverpflichtungen (Kranken): Brutto</t>
  </si>
  <si>
    <t>davon Best Estimate der Verpflichtungen des UVG-Bestandes: Brutto</t>
  </si>
  <si>
    <t>Total (immaterial) participation</t>
  </si>
  <si>
    <t>SST-Checkliste</t>
  </si>
  <si>
    <t>T.05.01</t>
  </si>
  <si>
    <t>T.05.02</t>
  </si>
  <si>
    <t>T.05.03</t>
  </si>
  <si>
    <t>T.05.04</t>
  </si>
  <si>
    <t>T.05.05</t>
  </si>
  <si>
    <t>T.05.06</t>
  </si>
  <si>
    <t>T.05.07</t>
  </si>
  <si>
    <t>T.05.08</t>
  </si>
  <si>
    <t>T.05.09</t>
  </si>
  <si>
    <t>T.05.10</t>
  </si>
  <si>
    <t>T.05.11</t>
  </si>
  <si>
    <t>T.05.12</t>
  </si>
  <si>
    <t>T.05.13</t>
  </si>
  <si>
    <t>T.05.14</t>
  </si>
  <si>
    <t>T.05.15</t>
  </si>
  <si>
    <t>T.05.16</t>
  </si>
  <si>
    <t>Risque de marché</t>
  </si>
  <si>
    <t>Risque de crédit</t>
  </si>
  <si>
    <t>Credit risk</t>
  </si>
  <si>
    <t>Oui / Non</t>
  </si>
  <si>
    <t>Yes / No</t>
  </si>
  <si>
    <t>Market risk</t>
  </si>
  <si>
    <t>T.06.01</t>
  </si>
  <si>
    <t>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t>
  </si>
  <si>
    <t>T.06.02</t>
  </si>
  <si>
    <t>T.06.03</t>
  </si>
  <si>
    <t>T.06.04</t>
  </si>
  <si>
    <t>T.06.05</t>
  </si>
  <si>
    <t>T.06.06</t>
  </si>
  <si>
    <t>T.06.07</t>
  </si>
  <si>
    <t>T.06.08</t>
  </si>
  <si>
    <t>T.06.09</t>
  </si>
  <si>
    <t>T.06.10</t>
  </si>
  <si>
    <t>T.06.11</t>
  </si>
  <si>
    <t>T.06.12</t>
  </si>
  <si>
    <t>T.06.13</t>
  </si>
  <si>
    <t>T.06.14</t>
  </si>
  <si>
    <t>T.06.15</t>
  </si>
  <si>
    <t>T.06.16</t>
  </si>
  <si>
    <t>T.06.17</t>
  </si>
  <si>
    <t>T.06.18</t>
  </si>
  <si>
    <t>T.06.19</t>
  </si>
  <si>
    <t>T.06.20</t>
  </si>
  <si>
    <t>T.06.21</t>
  </si>
  <si>
    <t>T.06.22</t>
  </si>
  <si>
    <t>T.06.23</t>
  </si>
  <si>
    <t>T.06.24</t>
  </si>
  <si>
    <t>T.06.25</t>
  </si>
  <si>
    <t>T.06.26</t>
  </si>
  <si>
    <t>T.06.27</t>
  </si>
  <si>
    <t>T.06.28</t>
  </si>
  <si>
    <t>T.06.29</t>
  </si>
  <si>
    <t>MVM Maladie</t>
  </si>
  <si>
    <t>MVM Kranken</t>
  </si>
  <si>
    <t>T.08.07</t>
  </si>
  <si>
    <t>T.08.08</t>
  </si>
  <si>
    <t>T.08.09</t>
  </si>
  <si>
    <t>MVM Health</t>
  </si>
  <si>
    <t>T.07.01</t>
  </si>
  <si>
    <t>T.07.02</t>
  </si>
  <si>
    <t>T.07.03</t>
  </si>
  <si>
    <t>T.07.04</t>
  </si>
  <si>
    <t>T.07.05</t>
  </si>
  <si>
    <t>T.07.06</t>
  </si>
  <si>
    <t>T.07.07</t>
  </si>
  <si>
    <t>T.07.08</t>
  </si>
  <si>
    <t>T.07.09</t>
  </si>
  <si>
    <t>T.07.10</t>
  </si>
  <si>
    <t>T.07.11</t>
  </si>
  <si>
    <t>T.07.12</t>
  </si>
  <si>
    <t>T.11.01</t>
  </si>
  <si>
    <t>T.11.02</t>
  </si>
  <si>
    <t>T.11.03</t>
  </si>
  <si>
    <t>T.11.04</t>
  </si>
  <si>
    <t>T.11.05</t>
  </si>
  <si>
    <t>T.11.06</t>
  </si>
  <si>
    <t>T.11.07</t>
  </si>
  <si>
    <t>T.11.08</t>
  </si>
  <si>
    <t>T.11.09</t>
  </si>
  <si>
    <t>Total (immaterielle) Beteiligungen</t>
  </si>
  <si>
    <t>Total participations immatérielles</t>
  </si>
  <si>
    <t>T.14.06</t>
  </si>
  <si>
    <t>T.15.01</t>
  </si>
  <si>
    <t>T.15.02</t>
  </si>
  <si>
    <t>T.15.03</t>
  </si>
  <si>
    <t>T.15.04</t>
  </si>
  <si>
    <t>T.15.05</t>
  </si>
  <si>
    <t>T.15.06</t>
  </si>
  <si>
    <t>T.15.07</t>
  </si>
  <si>
    <t>T.15.08</t>
  </si>
  <si>
    <t>T.17.08</t>
  </si>
  <si>
    <t>T.17.09</t>
  </si>
  <si>
    <t>T.17.10</t>
  </si>
  <si>
    <t>T.17.11</t>
  </si>
  <si>
    <t>T.17.12</t>
  </si>
  <si>
    <t>T.17.13</t>
  </si>
  <si>
    <t>T.17.14</t>
  </si>
  <si>
    <t>T.17.15</t>
  </si>
  <si>
    <t>T.17.16</t>
  </si>
  <si>
    <t>T.17.17</t>
  </si>
  <si>
    <t>T.17.18</t>
  </si>
  <si>
    <t>T.17.19</t>
  </si>
  <si>
    <t>T.17.20</t>
  </si>
  <si>
    <t>T.17.21</t>
  </si>
  <si>
    <t>T.17.22</t>
  </si>
  <si>
    <t>T.17.23</t>
  </si>
  <si>
    <t>T.17.24</t>
  </si>
  <si>
    <t>T.17.25</t>
  </si>
  <si>
    <t>T.19.11</t>
  </si>
  <si>
    <t>T.19.12</t>
  </si>
  <si>
    <t>T.19.13</t>
  </si>
  <si>
    <t>T.19.14</t>
  </si>
  <si>
    <t>T.19.15</t>
  </si>
  <si>
    <t>T.19.16</t>
  </si>
  <si>
    <t>T.19.17</t>
  </si>
  <si>
    <t>T.19.18</t>
  </si>
  <si>
    <t>T.19.19</t>
  </si>
  <si>
    <t>T.19.20</t>
  </si>
  <si>
    <t>T.19.21</t>
  </si>
  <si>
    <t>T.19.22</t>
  </si>
  <si>
    <t>T.21.01</t>
  </si>
  <si>
    <t>T.21.02</t>
  </si>
  <si>
    <t>T.21.03</t>
  </si>
  <si>
    <t>T.21.04</t>
  </si>
  <si>
    <t>T.21.05</t>
  </si>
  <si>
    <t>T.21.06</t>
  </si>
  <si>
    <t>T.21.07</t>
  </si>
  <si>
    <t>T.21.08</t>
  </si>
  <si>
    <t>T.21.09</t>
  </si>
  <si>
    <t>T.21.10</t>
  </si>
  <si>
    <t>T.21.11</t>
  </si>
  <si>
    <t>T.21.12</t>
  </si>
  <si>
    <t>T.25.01</t>
  </si>
  <si>
    <t>Kurzbezeichnung</t>
  </si>
  <si>
    <t>Shortcut</t>
  </si>
  <si>
    <t>T.22.13</t>
  </si>
  <si>
    <t>T.20.01</t>
  </si>
  <si>
    <t>T.20.02</t>
  </si>
  <si>
    <t>T.20.03</t>
  </si>
  <si>
    <t>T.20.04</t>
  </si>
  <si>
    <t>T.20.05</t>
  </si>
  <si>
    <t>Tableaux des notations</t>
  </si>
  <si>
    <t>Rating tables</t>
  </si>
  <si>
    <t>Classes de notation selon Bâle III / OFR - long terme</t>
  </si>
  <si>
    <t>Rating categories according to Basel III / CAO - Long term</t>
  </si>
  <si>
    <t>Désignation dans l'onglet Credit Risk (Rating / Instrument)</t>
  </si>
  <si>
    <t>General risk weight according to SA-BIS - Short term</t>
  </si>
  <si>
    <t>Pondération du risque générale selon AS-BRI - court terme</t>
  </si>
  <si>
    <t>Denotation in the spreadsheet Credit Risk (Rating / Instrument)</t>
  </si>
  <si>
    <t>Ratingklassen nach Basel III / ERV - Langfristig</t>
  </si>
  <si>
    <t>Risikogewicht allgemein nach SA BIZ - Kurzfristig</t>
  </si>
  <si>
    <t>Kollektivtaggeld - Erwartete Prämien (vor Rückversicherung)</t>
  </si>
  <si>
    <t>Kollektivtaggeld - Erwartete Leistungen (vor Rückversicherung)</t>
  </si>
  <si>
    <t>Versicherungsrisiko Einzelkranken: Sterblichkeit (Expected Shortfall)</t>
  </si>
  <si>
    <t>Versicherungsrisiko Einzelkranken: Storno (Expected Shortfall)</t>
  </si>
  <si>
    <t>Versicherungsrisiko Einzelkranken: Verwaltungskosten (Expected Shortfall)</t>
  </si>
  <si>
    <t>Versicherungsrisiko Einzelkranken: Leistungen (Expected Shortfall)</t>
  </si>
  <si>
    <t>T.26.01</t>
  </si>
  <si>
    <t>T.26.03</t>
  </si>
  <si>
    <t>T.26.04</t>
  </si>
  <si>
    <t>T.26.05</t>
  </si>
  <si>
    <t>T.26.06</t>
  </si>
  <si>
    <t>T.26.07</t>
  </si>
  <si>
    <t>T.26.02</t>
  </si>
  <si>
    <t>Standard deviation</t>
  </si>
  <si>
    <t>Threshold</t>
  </si>
  <si>
    <t>Pareto shape</t>
  </si>
  <si>
    <t>Standardabweichung</t>
  </si>
  <si>
    <t>Seuil</t>
  </si>
  <si>
    <t>Variationskoeffizient</t>
  </si>
  <si>
    <t>Coefficient de variation</t>
  </si>
  <si>
    <t>Table: Exchange rates</t>
  </si>
  <si>
    <t>Table: Volatilities</t>
  </si>
  <si>
    <t>Table: Correlation matrix</t>
  </si>
  <si>
    <t>Preisabhängige Assets und Beteiligungen</t>
  </si>
  <si>
    <t>Expositions à des classes d'actifs dépendantes des prix et participations</t>
  </si>
  <si>
    <t>Asset prices exposures and participations</t>
  </si>
  <si>
    <t>davon Rückversicherung / Retrozession</t>
  </si>
  <si>
    <t>dont réassurance / rétrocession</t>
  </si>
  <si>
    <t>of which reinsurance / retrocession</t>
  </si>
  <si>
    <t>T.09.10</t>
  </si>
  <si>
    <t>Best Estimate der sonstigen Versicherungsverpflichtungen (Leben): Brutto</t>
  </si>
  <si>
    <t>Best estimate of other insurance liabilities (life): gross</t>
  </si>
  <si>
    <t>Best Estimate der sonstigen Versicherungsverpflichtungen (Schaden): Brutto</t>
  </si>
  <si>
    <t>Best estimate of other insurance liabilities (non-life): gross</t>
  </si>
  <si>
    <t>Best Estimate der sonstigen Versicherungsverpflichtungen (Kranken): Brutto</t>
  </si>
  <si>
    <t>Best estimate of other insurance liabilities (health): gross</t>
  </si>
  <si>
    <t>davon Best Estimate der Versicherungsverpflichtungen Einzelkranken: Brutto</t>
  </si>
  <si>
    <t>davon Best Estimate der Versicherungsverpflichtungen Kollektivtaggeld: Brutto</t>
  </si>
  <si>
    <t>of which best estimate of insurance liabilities individual health insurance: gross</t>
  </si>
  <si>
    <t>of which best estimate of insurance liabilities daily allowance: gross</t>
  </si>
  <si>
    <t>A.7.1a</t>
  </si>
  <si>
    <t>Total Rückversicherung / Retrozession</t>
  </si>
  <si>
    <t>Total réassurance / rétrocession</t>
  </si>
  <si>
    <t>Total reinsurance / retrocession</t>
  </si>
  <si>
    <t>Gesamttotal</t>
  </si>
  <si>
    <t>Grand total</t>
  </si>
  <si>
    <t>Marktwert festverzinsliche Kapitalanlagen</t>
  </si>
  <si>
    <t>Duration festverzinsliche Kapitalanlagen [Jahre]</t>
  </si>
  <si>
    <t>Marktwert versicherungstechnische Verpflichtungen</t>
  </si>
  <si>
    <t>Duration versicherungstechnische Verpflichtungen [Jahre]</t>
  </si>
  <si>
    <t>T.07.13</t>
  </si>
  <si>
    <t>T.07.14</t>
  </si>
  <si>
    <t>T.07.15</t>
  </si>
  <si>
    <t>Bezeichnung der Modelldokumentation worauf der letzte FINMA-Entscheid beruht.</t>
  </si>
  <si>
    <t>Valeur de marché des titres à revenu fixe</t>
  </si>
  <si>
    <t>Market value fixed income securities</t>
  </si>
  <si>
    <t>Valeur de marché des engagements actuariels</t>
  </si>
  <si>
    <t>Duration of insurance liabilities [years]</t>
  </si>
  <si>
    <t>Duration of fixed income securities [years]</t>
  </si>
  <si>
    <t>Duration des titres à revenu fixe [ans]</t>
  </si>
  <si>
    <t>Duration des engagements actuariels [ans]</t>
  </si>
  <si>
    <t>Wechselkurs EUR/CHF</t>
  </si>
  <si>
    <t>Wechselkurs USD/CHF</t>
  </si>
  <si>
    <t>Wechselkurs GBP/CHF</t>
  </si>
  <si>
    <t>Wechselkurs JPY/CHF</t>
  </si>
  <si>
    <t>Taux de change EUR/CHF</t>
  </si>
  <si>
    <t>Taux de change USD/CHF</t>
  </si>
  <si>
    <t>Taux de change GBP/CHF</t>
  </si>
  <si>
    <t>Taux de change JPY/CHF</t>
  </si>
  <si>
    <t>Exchange rate EUR/CHF</t>
  </si>
  <si>
    <t>Exchange rate USD/CHF</t>
  </si>
  <si>
    <t>Exchange rate GBP/CHF</t>
  </si>
  <si>
    <t>Exchange rate JPY/CHF</t>
  </si>
  <si>
    <t>S4.1</t>
  </si>
  <si>
    <t>S4.2</t>
  </si>
  <si>
    <t>Dividendes et remboursements de capital prévus (-)</t>
  </si>
  <si>
    <t>Anticipated dividends and repayments of capital (-)</t>
  </si>
  <si>
    <t>Collective compensation</t>
  </si>
  <si>
    <t>Rückstellungsrisiko (netto)</t>
  </si>
  <si>
    <t>bp or %</t>
  </si>
  <si>
    <t>bp</t>
  </si>
  <si>
    <t>%</t>
  </si>
  <si>
    <t>Target currency</t>
  </si>
  <si>
    <t>Market Initial Values</t>
  </si>
  <si>
    <t>Marktwerte für das Marktrisiko</t>
  </si>
  <si>
    <t>Valeurs de marché pour le risque de marché</t>
  </si>
  <si>
    <t>Market values for the market risk</t>
  </si>
  <si>
    <t>Zusätzliche Effekte auf das Zielkapital</t>
  </si>
  <si>
    <t>Additional effects on the target capital</t>
  </si>
  <si>
    <t>Market value of insurance liabilities</t>
  </si>
  <si>
    <t>T.15.09</t>
  </si>
  <si>
    <t>T.15.10</t>
  </si>
  <si>
    <t>T.15.11</t>
  </si>
  <si>
    <t>T.15.12</t>
  </si>
  <si>
    <t>T.15.13</t>
  </si>
  <si>
    <t>T.15.14</t>
  </si>
  <si>
    <t>T.15.15</t>
  </si>
  <si>
    <t>Die Restlaufzeit wird ab dem Bilanz Stichtag gemessen und ist ganzzahlig anzugeben, mindestens 1 Jahr.</t>
  </si>
  <si>
    <t>T.16.08</t>
  </si>
  <si>
    <t>T.16.09</t>
  </si>
  <si>
    <t>T.16.10</t>
  </si>
  <si>
    <t>T.16.11</t>
  </si>
  <si>
    <t>T.16.12</t>
  </si>
  <si>
    <t>T.16.13</t>
  </si>
  <si>
    <t>T.18.11</t>
  </si>
  <si>
    <t>T.18.12</t>
  </si>
  <si>
    <t>T.24.01</t>
  </si>
  <si>
    <t>T.24.02</t>
  </si>
  <si>
    <t>T.24.03</t>
  </si>
  <si>
    <t>T.24.04</t>
  </si>
  <si>
    <t>T.24.05</t>
  </si>
  <si>
    <t>T.24.06</t>
  </si>
  <si>
    <t xml:space="preserve">In der Zelle Selection können drei verschiedene Optionen 1) Simulationen 2) Kumulierte Verteilungsfunktion 3) Parameter der Lognormalverteilung gewählt werden. Falls kein Nichtleben Versicherungsrisiko vorhanden ist, wähle "no nonlife risk". </t>
  </si>
  <si>
    <t>T.23.01</t>
  </si>
  <si>
    <t>Erwartete Cashflows c(n,tau)</t>
  </si>
  <si>
    <t>T.22.14</t>
  </si>
  <si>
    <t>T.22.15</t>
  </si>
  <si>
    <t>T.22.16</t>
  </si>
  <si>
    <t>T.22.17</t>
  </si>
  <si>
    <t>T.22.18</t>
  </si>
  <si>
    <t>T.22.19</t>
  </si>
  <si>
    <t>T.22.20</t>
  </si>
  <si>
    <t>T.22.21</t>
  </si>
  <si>
    <t>T.29.01</t>
  </si>
  <si>
    <t>T.29.02</t>
  </si>
  <si>
    <t>T.29.03</t>
  </si>
  <si>
    <t>T.29.04</t>
  </si>
  <si>
    <t>T.29.05</t>
  </si>
  <si>
    <t>T.31.01</t>
  </si>
  <si>
    <t>Financial Distress (Teil Marktrisiko)</t>
  </si>
  <si>
    <t>Pandemie (Teil Marktrisiko)</t>
  </si>
  <si>
    <t>Pandemia (market risk part)</t>
  </si>
  <si>
    <t>Pandémie (part risque de marché)</t>
  </si>
  <si>
    <t>Financial Distress (part risque de marché)</t>
  </si>
  <si>
    <t>Einzelkranken</t>
  </si>
  <si>
    <t>Maladie individuelle</t>
  </si>
  <si>
    <t>Individual health</t>
  </si>
  <si>
    <t>Agrégation</t>
  </si>
  <si>
    <t>Montant minimum</t>
  </si>
  <si>
    <t>Insurance risk - life</t>
  </si>
  <si>
    <t>Insurance risk - nonlife</t>
  </si>
  <si>
    <t>Risque d'assurance - vie</t>
  </si>
  <si>
    <t>Risque d'assurance - dommage</t>
  </si>
  <si>
    <t>Risque d'assurance - maladie</t>
  </si>
  <si>
    <t>Risque d'assurance - réassurance</t>
  </si>
  <si>
    <t>Risque d'assurance - captives de réassurance</t>
  </si>
  <si>
    <t>Risque d'assurance - risques de catastrophes naturelles</t>
  </si>
  <si>
    <t>Insurance risk - health</t>
  </si>
  <si>
    <t>Insurance risk - reinsurance</t>
  </si>
  <si>
    <t>Insurance risk - reinsurance captives</t>
  </si>
  <si>
    <t>Insurance risk - natural catastrophe risks</t>
  </si>
  <si>
    <t>Variationskoeffizient der Rückstellungsrisiken (netto)</t>
  </si>
  <si>
    <t>Diskontierter erwarteter Schadenaufwand Normalschäden (netto; netgross für StandRe-Anwender)</t>
  </si>
  <si>
    <t>Diskontierter erwarteter Schadenaufwand Grossschäden exkl. Naturkatastrophen (netto; netgross für StandRe-Anwender)</t>
  </si>
  <si>
    <t>Diskontierter erwarteter Schadenaufwand Naturkatastrophen (netto; netgross für StandRe-Anwender)</t>
  </si>
  <si>
    <t>Comment</t>
  </si>
  <si>
    <t>Only for Type = "asset price" relevant</t>
  </si>
  <si>
    <t>Only for Type = "currency" relevant</t>
  </si>
  <si>
    <t>Only for Type = "rate" relevant</t>
  </si>
  <si>
    <t>Only for Type = "spread" relevant</t>
  </si>
  <si>
    <t>Only for Type = "other" relevant</t>
  </si>
  <si>
    <t>Scale factor</t>
  </si>
  <si>
    <t>Original RF</t>
  </si>
  <si>
    <t>Original RF Indicator</t>
  </si>
  <si>
    <t>Original RF are included in the correlation matrix</t>
  </si>
  <si>
    <t>Mapping rules</t>
  </si>
  <si>
    <t>For market risk relevant</t>
  </si>
  <si>
    <t>Falls Simulationen gewählt wird, ist hier der Simulationsvektor einzukopieren. Negative Werte stellen Verluste dar. Die Verteilung ist zentriert anzugeben.</t>
  </si>
  <si>
    <t>Falls die Parameter der Lognormalverteilung gewählt wurden, sind die Parameter mu respektive sigma der Lognormalverteilung einzutragen.</t>
  </si>
  <si>
    <t>Simulation der Schadenversicherungsrisiken</t>
  </si>
  <si>
    <t>Auszufüllen, falls abweichend von den Angaben in Spalte C ("Bezeichnung der verwendeten Modelldokumentation").</t>
  </si>
  <si>
    <t xml:space="preserve">Bezeichnung der verwendeten Modelldokumentation </t>
  </si>
  <si>
    <t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t>
  </si>
  <si>
    <t xml:space="preserve">Angabe der Kapitel- oder Seitennummer aus dem in Spalte C angegebenen Dokument, wo die Modelländerung beschrieben wird.
Alternativ kann auch auf ein Detaildokument verwiesen werden. </t>
  </si>
  <si>
    <t>T.14.07</t>
  </si>
  <si>
    <t>T.14.08</t>
  </si>
  <si>
    <t>T.14.09</t>
  </si>
  <si>
    <t>T.14.10</t>
  </si>
  <si>
    <t>T.07.16</t>
  </si>
  <si>
    <t>T.07.17</t>
  </si>
  <si>
    <t>T.07.18</t>
  </si>
  <si>
    <t>T.07.19</t>
  </si>
  <si>
    <t>T.07.20</t>
  </si>
  <si>
    <t>T.07.21</t>
  </si>
  <si>
    <t>CY Parameter</t>
  </si>
  <si>
    <t>PY Parameter</t>
  </si>
  <si>
    <t>Ground-up Modellparameter</t>
  </si>
  <si>
    <t>Normalschäden</t>
  </si>
  <si>
    <t>Grossschäden</t>
  </si>
  <si>
    <t>Zusätzliche Parameter</t>
  </si>
  <si>
    <t>Pareto Shape</t>
  </si>
  <si>
    <t>Paramètres additionnels</t>
  </si>
  <si>
    <t>Quota share (QS)</t>
  </si>
  <si>
    <t>Annual Aggregate Loss (AAL)</t>
  </si>
  <si>
    <t>Each and Every Loss (EEL)</t>
  </si>
  <si>
    <t>Annual Aggregate Deductible (AAD)</t>
  </si>
  <si>
    <t>Each and Every Deductible (EED)</t>
  </si>
  <si>
    <t>From</t>
  </si>
  <si>
    <t>To</t>
  </si>
  <si>
    <t>ÜBR</t>
  </si>
  <si>
    <t>Auswirkung auf die Aktiven</t>
  </si>
  <si>
    <t>Auswirkung auf die Passiven</t>
  </si>
  <si>
    <t>Impact sur les actifs</t>
  </si>
  <si>
    <t>Impact sur les passifs</t>
  </si>
  <si>
    <t>Impact on the assets</t>
  </si>
  <si>
    <t>Impact on the liabilities</t>
  </si>
  <si>
    <t>Have there been any significant changes in the asset and liability structure since the last SST analysis?</t>
  </si>
  <si>
    <t xml:space="preserve">Are there any SST balance sheet positions whose risk is omitted or insufficiently captured by the risk factors used? </t>
  </si>
  <si>
    <t xml:space="preserve">Is there any foreign currency exposure that is omitted as a risk factor? </t>
  </si>
  <si>
    <t>Underwriting risk</t>
  </si>
  <si>
    <t>Has there been any significant change in underwriting policy since the last SST?</t>
  </si>
  <si>
    <t>Have there been any significant changes in the underwriting risk composition since the last SST?</t>
  </si>
  <si>
    <t>In your opinion, have there been any significant changes in possible risk concentrations since the last SST?</t>
  </si>
  <si>
    <t>Are any company-specific scenarios being aggregated?</t>
  </si>
  <si>
    <t>Have there been any significant changes in credit risk exposure since the last SST?</t>
  </si>
  <si>
    <t xml:space="preserve">Comments or reference to the corresponding section in the SST report </t>
  </si>
  <si>
    <t>Name of the module / submodule</t>
  </si>
  <si>
    <t>The list of modules includes all of the insurance company's SST model, including the modules from its standard models. When using a (partially) internal model, the designations from the standard model must be adapted in the model documentation in accordance with the insurance company’s designation. It is also possible to add or delete lines. 
Examples of modules: Valuation, market risk, credit risk, underwriting risk (life, non-life, nat. cat., health), minimum amount, aggregation, scenarios.</t>
  </si>
  <si>
    <t xml:space="preserve">Designation of the model documentation used </t>
  </si>
  <si>
    <t>Reference to the most recent FINMA decision</t>
  </si>
  <si>
    <t>Type (usually an administrative order for internal models, a letter for standard models) and date.</t>
  </si>
  <si>
    <t>Name of the model documentation that the most recent FINMA decision is based on.</t>
  </si>
  <si>
    <t>Deviations from the most recent FINMA decision</t>
  </si>
  <si>
    <t>Summary of the model change(s) and other comments</t>
  </si>
  <si>
    <t xml:space="preserve">Changes in the risk situation and model changes must be listed and explained in the SST report, the same as before. 
The information in Columns G and H should give a quick overview of model changes and refer to the relevant places in the model documentation. The model changes must be shown cumulatively in relation to the most recent FINMA decision. A separate line must be used for each model change. </t>
  </si>
  <si>
    <t xml:space="preserve">Reference to the model documentation used </t>
  </si>
  <si>
    <t xml:space="preserve">Indication of the chapter or page number of the document mentioned in Column C where the model change is described.
Alternatively, it is possible to refer to a detailed document. </t>
  </si>
  <si>
    <t>Valuation (e.g. yield curve)</t>
  </si>
  <si>
    <t>Group modelling</t>
  </si>
  <si>
    <t>Group-internal guarantees</t>
  </si>
  <si>
    <t>Best estimate of insurance liabilities (life): gross</t>
  </si>
  <si>
    <t>The currency defined based on the asset class in the Asset Prices sheet. The unit must be entered in millions.</t>
  </si>
  <si>
    <t>The residual term is measured from the balance sheet reference date and must be stated in whole numbers, at least 1 year.</t>
  </si>
  <si>
    <t>The underlying exposure must be entered in the currency indicated. It is assumed that the hedged price index is standardised to 1.</t>
  </si>
  <si>
    <t>Enter the agreed forward price here. 
In the case of a complete hedge, the agreed forward price is in the range of the underlying exposure.</t>
  </si>
  <si>
    <t>Enter the agreed position here.</t>
  </si>
  <si>
    <t>The nominal must be entered in the currency to be hedged.</t>
  </si>
  <si>
    <t>Enter the agreed exchange rate here.</t>
  </si>
  <si>
    <t>Enter the foreign currency to be hedged here. The foreign currency is a currency other than the SST currency. The unit must be entered in millions.</t>
  </si>
  <si>
    <t>The risk market is defined in the worksheet Macroeconomic Scenarios and is automatically evaluated.</t>
  </si>
  <si>
    <t>Permanent reduction in mortality by 15% for all policies where lower mortality leads to a reduction of risk-bearing capital.</t>
  </si>
  <si>
    <t>Relative increase in the probability of disability by  25%.</t>
  </si>
  <si>
    <t>Relative decrease in the probability of resuming gainful employment by 40%.</t>
  </si>
  <si>
    <t>Permanent increase of all costs of the remaining transactions by 25%. 
This risk driver applies only to the remaining transactions.</t>
  </si>
  <si>
    <t>Permanent relative reduction / increase of the capital withdrawal ratio by 10%. 
Note: In principle, choose the option that increases the risk (at portfolio level).</t>
  </si>
  <si>
    <t>Permanent increase of all costs of the BVG business by 25%.
This risk driver applies only to the BVG business.</t>
  </si>
  <si>
    <t>Permanent relative increase of the BVG business's cancellation rates by 40%. 
This risk driver applies only to the BVG business.</t>
  </si>
  <si>
    <t>Capital at risk</t>
  </si>
  <si>
    <t>Retirement pension payments</t>
  </si>
  <si>
    <t>Disability risk premiums</t>
  </si>
  <si>
    <t>Current disability pension payments</t>
  </si>
  <si>
    <t>Cost cash flow</t>
  </si>
  <si>
    <t>Cancellation payment (repayment of retirement assets or surrender value)</t>
  </si>
  <si>
    <t>Capital payment upon reaching retirement age  </t>
  </si>
  <si>
    <t>If simulations are selected, the simulation vector must be copied in here. Negative values indicate losses. The distribution must be shown as centred.</t>
  </si>
  <si>
    <t>If the lognormal distribution parameters were selected, the mu or sigma parameters must be entered.</t>
  </si>
  <si>
    <t>Expected gross premiums (before reinsurance)</t>
  </si>
  <si>
    <t>Expected net premiums (after reinsurance)</t>
  </si>
  <si>
    <t>Expected gross annual claims (before reinsurance)</t>
  </si>
  <si>
    <t>Expected net annual claims (after reinsurance)</t>
  </si>
  <si>
    <t>Expected costs</t>
  </si>
  <si>
    <t>Reserve risk (net)</t>
  </si>
  <si>
    <t>of which centred new claims risk from normal losses (net; “netgross” for StandRe users)</t>
  </si>
  <si>
    <t>of which centred new claims risk from major losses excl. natural catastrophes (net; “netgross” for StandRe users)</t>
  </si>
  <si>
    <t>of which centred new claims risk from natural catastrophes (netto; “netgross” for StandRe users)</t>
  </si>
  <si>
    <t>Variation coefficient of reserve risks (net)</t>
  </si>
  <si>
    <t>Variation coefficient of new claims risks from normal claims (net; “netgross” for StandRe users)</t>
  </si>
  <si>
    <t>Health insurance</t>
  </si>
  <si>
    <t>Insurance risk, individual patients: Mortality (expected shortfall)</t>
  </si>
  <si>
    <t>Insurance risk, individual patients: Cancellations (expected shortfall)</t>
  </si>
  <si>
    <t>Insurance risk, individual patients: Administrative expenses (expected shortfall)</t>
  </si>
  <si>
    <t>Insurance risk, individual patients: Benefits (expected shortfall)</t>
  </si>
  <si>
    <t xml:space="preserve">Individual patients – no. of insured persons (headcount)  </t>
  </si>
  <si>
    <t>Group daily benefits – expected premiums (before reinsurance)</t>
  </si>
  <si>
    <t>Group daily benefits – expected benefits (before reinsurance)</t>
  </si>
  <si>
    <t>Y a-t-il eu des changements notables dans la structure actifs-passifs depuis le dernier calcul SST ?</t>
  </si>
  <si>
    <t xml:space="preserve">Y a-t-il des positions dans le bilan SST dont le risque n’est pas ou pas suffisamment pris en compte par les facteurs de risque utilisés ? </t>
  </si>
  <si>
    <t xml:space="preserve">Existe-t-il une exposition vis-à-vis d’une monnaie étrangère qui n’est pas indiquée en tant que facteur de risque ? </t>
  </si>
  <si>
    <t>Risques d’assurance</t>
  </si>
  <si>
    <t>Y a-t-il eu des changements significatifs dans la politique de souscription depuis le dernier SST ?</t>
  </si>
  <si>
    <t>Y a-t-il eu des changements significatifs dans la composition des risques d’assurance depuis le dernier SST ?</t>
  </si>
  <si>
    <t>Selon votre estimation y a-t-il eu des changements significatifs concernant les concentrations de risques depuis le dernier SST ?</t>
  </si>
  <si>
    <t>Des scénarios propres à l’entreprise sont-ils agrégés ?</t>
  </si>
  <si>
    <t>Y a-t-il eu des changements notables dans l’exposition au risque de crédit depuis le dernier SST ?</t>
  </si>
  <si>
    <t xml:space="preserve">Commentaire ou renvoi à la section déterminante correspondante dans le rapport SST. </t>
  </si>
  <si>
    <t>Nom du module / sous-module</t>
  </si>
  <si>
    <t xml:space="preserve">La liste des modules inclut la totalité du modèle SST de l’entreprise d’assurance, y compris les modules résultant de modèles standard. En cas d’utilisation d’un modèle interne (partiel), les désignations du modèle standard doivent être adaptées dans la documentation du modèle, conformément à la dénomination de l’entreprise d’assurance. Des lignes peuvent également être ajoutées ou supprimées. 
Exemples de modules : évaluation, risque de marché, risque de crédit, risques d’assurance (vie, dommages, cat. nat., maladie), montant minimal, agrégation, scénarios.
</t>
  </si>
  <si>
    <t xml:space="preserve">Désignation de la documentation du modèle utilisée </t>
  </si>
  <si>
    <t>Dernière décision de la FINMA comme référence</t>
  </si>
  <si>
    <t>Type (généralement une décision pour les modèles internes, une lettre pour les modèles standard) et date.</t>
  </si>
  <si>
    <t>Désignation de la documentation modèle sur laquelle repose la dernière décision de la FINMA.</t>
  </si>
  <si>
    <t>Divergence par rapport à la dernière décision de la FINMA</t>
  </si>
  <si>
    <t>Description succincte de la / des modification(s) du modèle et autres commentaires</t>
  </si>
  <si>
    <t xml:space="preserve">Les changements de la situation en matière de risques ainsi que les modifications du modèle doivent être énoncées et expliquées comme précédemment dans le rapport SST. 
Les informations à la colonne G et H doivent permettre un aperçu rapide des modifications du modèle, conjointement avec des renvois aux passages pertinents dans la documentation du modèle. Les modifications du modèle doivent alors être détaillées de manière cumulative, en référence à la dernière décision de la FINMA. Une ligne séparée doit être utilisée pour chaque modification du modèle.
</t>
  </si>
  <si>
    <t xml:space="preserve">Référence concernant la documentation du modèle utilisée </t>
  </si>
  <si>
    <t xml:space="preserve">Indication du numéro de chapitre ou de page du document spécifié dans la colonne C, où la modification du modèle est décrite.
Un renvoi à un document détaillé est alternativement possible
</t>
  </si>
  <si>
    <t>Evaluation (par ex. courbe des taux)</t>
  </si>
  <si>
    <t>Modélisation de groupes</t>
  </si>
  <si>
    <t>Garanties internes</t>
  </si>
  <si>
    <t>Effets supplémentaires sur le capital cible</t>
  </si>
  <si>
    <t>La monnaie est définie en fonction de la catégorie d’actifs dans la feuille Asset Prices. L’unité doit être spécifiée en millions.</t>
  </si>
  <si>
    <t>La durée résiduelle est mesurée à partir de la date de référence du bilan et doit être indiquée sous forme de nombre entier, avec un minimum d’un an.</t>
  </si>
  <si>
    <t>L’exposition sous-jacente doit être inscrite dans la monnaie spécifiée. On suppose que l’indice de prix couvert est normalisé à 1.</t>
  </si>
  <si>
    <t>Le prix à terme convenu pour le sous-jacent doit être inscrit ici.</t>
  </si>
  <si>
    <t>Dans le cas d’une couverture complète, le prix à terme convenu correspond approximativement à l’exposition du sous-jacent.</t>
  </si>
  <si>
    <t>Le nominal doit être inscrit dans la monnaie à couvrir.</t>
  </si>
  <si>
    <t>Le taux de change convenu doit être saisi ici.</t>
  </si>
  <si>
    <t>La monnaie étrangère à couvrir doit être saisie ici. La monnaie étrangère est différente de la monnaie du SST. L’unité doit être spécifiée en millions.</t>
  </si>
  <si>
    <t>La position convenue doit être saisie ici.</t>
  </si>
  <si>
    <t>Abréviation</t>
  </si>
  <si>
    <t>Modifications des actifs dues à des modifications du facteur de risque</t>
  </si>
  <si>
    <t>Modifications des passifs dues à des modifications du facteur de risque</t>
  </si>
  <si>
    <t>Personnes physiques et petites entreprises ("retail")</t>
  </si>
  <si>
    <t>Positions sur la clientèle de détail pour autant que la valeur totale des positions sur une contrepartie selon l'art. 49, al. 1, non couvertes par des gages immobiliers sous forme d'objets d'habitation, n'excède pas 1,5 million CHF et 1 % de toutes les positions sur cette clientèle.</t>
  </si>
  <si>
    <t>Objets d'habitation en Suisse et à l'étranger, au-delà de deux tiers et jusqu'à 80 % de la valeur vénale, si les "Directives relatives aux exigences minimales pour les financements hypothécaires" de l'Association suisse des banquiers sont respectées.</t>
  </si>
  <si>
    <t>Objets d'habitation en Suisse et à l'étranger, au-delà de 80 % de la valeur vénale</t>
  </si>
  <si>
    <r>
      <t xml:space="preserve">Le risque de marché est défini dans l'onglet </t>
    </r>
    <r>
      <rPr>
        <i/>
        <sz val="10"/>
        <color theme="1"/>
        <rFont val="Arial"/>
        <family val="2"/>
      </rPr>
      <t>Macroeconomic Scenarios</t>
    </r>
    <r>
      <rPr>
        <sz val="10"/>
        <color theme="1"/>
        <rFont val="Arial"/>
        <family val="2"/>
      </rPr>
      <t xml:space="preserve"> et est évalué automatiquement.</t>
    </r>
  </si>
  <si>
    <t>Réduction permanente des mortalités de 15 % pour toutes les polices dans lesquelles une réduction de la mortalité entraîne une diminution du capital porteur de risque.</t>
  </si>
  <si>
    <t>Augmentation relative des probabilités d’invalidité de 25 %.</t>
  </si>
  <si>
    <t>Diminution relative des probabilités de réactivation de 40 %.</t>
  </si>
  <si>
    <t xml:space="preserve">Augmentation permanente de tous les coûts des autres activités de 25 %. 
Ces facteurs de risque ne valent que pour les autres activités.
</t>
  </si>
  <si>
    <t xml:space="preserve">Réduction / augmentation relative permanente du taux de versement sous forme de capital de 10 %. 
Remarque : la variation qui augmente le risque (au niveau du portefeuille) doit en principe être choisie.
</t>
  </si>
  <si>
    <t xml:space="preserve">Augmentation permanente de tous les coûts de l’activité LPP de 25 %.
Ces facteurs de risque ne valent que pour l’activité LPP.
</t>
  </si>
  <si>
    <t xml:space="preserve">Augmentation relative permanente des taux de résiliation de l’activité LPP de 40 %. 
Ces facteurs de risque ne valent que pour l’activité LPP.
</t>
  </si>
  <si>
    <t>Cash flows attendus c(n,tau)</t>
  </si>
  <si>
    <t>Capital risqué</t>
  </si>
  <si>
    <t>Versement des rentes de vieillesse</t>
  </si>
  <si>
    <t>Prime de risque d’invalidité</t>
  </si>
  <si>
    <t>Versements courants des rentes d’invalidité</t>
  </si>
  <si>
    <t>Cash-flow coûts</t>
  </si>
  <si>
    <t>Paiement de résiliation (remboursement de l’avoir de vieillesse ou valeur de rachat)</t>
  </si>
  <si>
    <t>Versement du capital en cas d’atteinte de l’âge de la retraite  </t>
  </si>
  <si>
    <t>Si le choix se porte sur Simulation, le vecteur de simulation doit être copié ici. Les valeurs négatives représentent des pertes. La distribution doit être indiquée sous une forme centrée.</t>
  </si>
  <si>
    <t>Si les paramètres de la distribution lognormale ont été choisis, les paramètres mu et sigma de la distribution lognormale doivent être saisis.</t>
  </si>
  <si>
    <t>Primes brutes attendues (avant réassurance)</t>
  </si>
  <si>
    <t>Primes nettes attendues (après réassurance)</t>
  </si>
  <si>
    <t>Sinistres annuels bruts attendus (avant réassurance)</t>
  </si>
  <si>
    <t>Sinistres annuels nets attendus (après réassurance)</t>
  </si>
  <si>
    <t>Coûts attendus</t>
  </si>
  <si>
    <t xml:space="preserve">Risque actuariel Affaires dommages </t>
  </si>
  <si>
    <t>Risque de provision (net)</t>
  </si>
  <si>
    <t>Coefficient de variation des risques de provisionnement</t>
  </si>
  <si>
    <t>Assurance-maladie</t>
  </si>
  <si>
    <t>Risque d’assurance Maladie individuelle: Mortalité (expected shortfall)</t>
  </si>
  <si>
    <t>Risque d’assurance Maladie individuelle: Résiliation (expected shortfall)</t>
  </si>
  <si>
    <t>Risque d’assurance Maladie individuelle: Frais d’administration (expected shortfall)</t>
  </si>
  <si>
    <t>Risque d’assurance Maladie individuelle: Prestations (expected shortfall)</t>
  </si>
  <si>
    <t xml:space="preserve">Maladie individuelle - nombre d’assurés (décompte des têtes)  </t>
  </si>
  <si>
    <t>Grands sinistres</t>
  </si>
  <si>
    <t>A compléter si différent des indications dans la colonne C (« Désignation de la documentation du modèle utilisée »).</t>
  </si>
  <si>
    <t>To be completed if different from the information in Column C ("Designation of the model documentation used").</t>
  </si>
  <si>
    <t xml:space="preserve">Trois options différentes peuvent être choisies dans la cellule Selection : 1) simulations, 2) cumulative distribution function et 3) lognormal parameters. no nonlife risk doit être choisi s’il n’y a aucun risque de l’assurance dommages. </t>
  </si>
  <si>
    <t xml:space="preserve">There are three options in the cell Selection: 1) simulations, 2) cumulative distribution function und 3) lognormal parameters. Choose no non-life risk if applicable. </t>
  </si>
  <si>
    <r>
      <t xml:space="preserve">Die Währung ist abhängig von der Assetklasse im Blatt </t>
    </r>
    <r>
      <rPr>
        <i/>
        <sz val="10"/>
        <rFont val="Arial"/>
        <family val="2"/>
      </rPr>
      <t>Asset Prices</t>
    </r>
    <r>
      <rPr>
        <sz val="10"/>
        <rFont val="Arial"/>
        <family val="2"/>
      </rPr>
      <t xml:space="preserve"> definiert. Die Einheit ist in Mio. anzugeben.</t>
    </r>
  </si>
  <si>
    <r>
      <t xml:space="preserve">Die Assetklassen sind im Blatt </t>
    </r>
    <r>
      <rPr>
        <i/>
        <sz val="10"/>
        <rFont val="Arial"/>
        <family val="2"/>
      </rPr>
      <t>Asset Prices</t>
    </r>
    <r>
      <rPr>
        <sz val="10"/>
        <rFont val="Arial"/>
        <family val="2"/>
      </rPr>
      <t xml:space="preserve"> definiert.</t>
    </r>
  </si>
  <si>
    <r>
      <t>Les catégories d’actifs sont définies dans la feuille</t>
    </r>
    <r>
      <rPr>
        <i/>
        <sz val="10"/>
        <color theme="1"/>
        <rFont val="Arial"/>
        <family val="2"/>
      </rPr>
      <t xml:space="preserve"> Asset Prices</t>
    </r>
    <r>
      <rPr>
        <sz val="10"/>
        <color theme="1"/>
        <rFont val="Arial"/>
        <family val="2"/>
      </rPr>
      <t>.</t>
    </r>
  </si>
  <si>
    <r>
      <t xml:space="preserve">The asset classes are defined in the </t>
    </r>
    <r>
      <rPr>
        <i/>
        <sz val="10"/>
        <color theme="1"/>
        <rFont val="Arial"/>
        <family val="2"/>
      </rPr>
      <t>Asset Prices</t>
    </r>
    <r>
      <rPr>
        <sz val="10"/>
        <color theme="1"/>
        <rFont val="Arial"/>
        <family val="2"/>
      </rPr>
      <t xml:space="preserve"> sheet.</t>
    </r>
  </si>
  <si>
    <r>
      <t xml:space="preserve">Das Marktrisiko ist im Blatt </t>
    </r>
    <r>
      <rPr>
        <i/>
        <sz val="10"/>
        <rFont val="Arial"/>
        <family val="2"/>
      </rPr>
      <t>Macroeconomic Scenarios</t>
    </r>
    <r>
      <rPr>
        <sz val="10"/>
        <rFont val="Arial"/>
        <family val="2"/>
      </rPr>
      <t xml:space="preserve"> definiert und wird automatisch ausgewertet.</t>
    </r>
  </si>
  <si>
    <r>
      <t xml:space="preserve">davon zentriertes Neuschadenrisiko Normalschäden (netto; </t>
    </r>
    <r>
      <rPr>
        <i/>
        <sz val="10"/>
        <rFont val="Arial"/>
        <family val="2"/>
      </rPr>
      <t>netgross für StandRe-Anwender</t>
    </r>
    <r>
      <rPr>
        <sz val="10"/>
        <rFont val="Arial"/>
        <family val="2"/>
      </rPr>
      <t>)</t>
    </r>
  </si>
  <si>
    <r>
      <t xml:space="preserve">davon zentriertes Neuschadenrisiko Grossschäden exkl. Naturkatastrophen (netto; </t>
    </r>
    <r>
      <rPr>
        <i/>
        <sz val="10"/>
        <rFont val="Arial"/>
        <family val="2"/>
      </rPr>
      <t>netgross für StandRe-Anwender</t>
    </r>
    <r>
      <rPr>
        <sz val="10"/>
        <rFont val="Arial"/>
        <family val="2"/>
      </rPr>
      <t>)</t>
    </r>
  </si>
  <si>
    <r>
      <t xml:space="preserve">davon zentriertes Neuschadenrisiko Naturkatastrophen (netto; </t>
    </r>
    <r>
      <rPr>
        <i/>
        <sz val="10"/>
        <rFont val="Arial"/>
        <family val="2"/>
      </rPr>
      <t>netgross für StandRe-Anwender</t>
    </r>
    <r>
      <rPr>
        <sz val="10"/>
        <rFont val="Arial"/>
        <family val="2"/>
      </rPr>
      <t>)</t>
    </r>
  </si>
  <si>
    <r>
      <t xml:space="preserve">Variationskoeffizient der Neuschadenrisiken Normalschäden (netto; </t>
    </r>
    <r>
      <rPr>
        <i/>
        <sz val="10"/>
        <rFont val="Arial"/>
        <family val="2"/>
      </rPr>
      <t>netgross für StandRe-Anwender</t>
    </r>
    <r>
      <rPr>
        <sz val="10"/>
        <rFont val="Arial"/>
        <family val="2"/>
      </rPr>
      <t>)</t>
    </r>
  </si>
  <si>
    <t xml:space="preserve">Des désignations explicites pour la documentation du modèle doivent être utilisées ici, y compris la date et/ou le numéro de version. Selon la structure de la documentation du modèle, il suffit d’un renvoi à un document principal qui renvoie à d’autres documents détaillés. Si plusieurs documents individuels sont mentionnés, une nouvelle ligne doit être utilisée pour chaque document individuel. 
Le document déterminant de la FINMA (description technique) doit être indiqué pour les modèles standard de la FINMA. Les éventuels autres documents spécifiques à l’entreprise doivent également être mentionnés. 
</t>
  </si>
  <si>
    <t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t>
  </si>
  <si>
    <t xml:space="preserve">Here it is necessary to use unambiguous designations in the model documentation, including the date and/or version number. Depending on the model documentation's structure, it is sufficient to mention the main document to which additional detailed documents refer. If several individual documents are listed, a new line must be used for each of them. 
In the case of FINMA standard models, the relevant FINMA document (technical description) must be indicated. Any other company-specific documents must also be listed. </t>
  </si>
  <si>
    <t>Kontonummer</t>
  </si>
  <si>
    <t>Numéro de compte</t>
  </si>
  <si>
    <t>Account number</t>
  </si>
  <si>
    <t>Version française</t>
  </si>
  <si>
    <t>English version</t>
  </si>
  <si>
    <t>English Version</t>
  </si>
  <si>
    <t>There are two types of allocation:</t>
  </si>
  <si>
    <r>
      <rPr>
        <sz val="11"/>
        <color theme="1"/>
        <rFont val="Arial"/>
        <family val="2"/>
      </rPr>
      <t xml:space="preserve">Example of </t>
    </r>
    <r>
      <rPr>
        <b/>
        <sz val="11"/>
        <color rgb="FF000000"/>
        <rFont val="Arial"/>
        <family val="2"/>
      </rPr>
      <t>Variation 1</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one</t>
    </r>
    <r>
      <rPr>
        <sz val="11"/>
        <color rgb="FF000000"/>
        <rFont val="Arial"/>
        <family val="2"/>
      </rPr>
      <t xml:space="preserve"> other balance sheet item (automated and therefore to be preferred over Variation 2)</t>
    </r>
  </si>
  <si>
    <t>"A part of the deferred acquisition costs is to be transferred to the actuarial reserve."</t>
  </si>
  <si>
    <r>
      <rPr>
        <sz val="11"/>
        <color theme="1"/>
        <rFont val="Arial"/>
        <family val="2"/>
      </rPr>
      <t xml:space="preserve">Example of </t>
    </r>
    <r>
      <rPr>
        <b/>
        <sz val="11"/>
        <color rgb="FF000000"/>
        <rFont val="Arial"/>
        <family val="2"/>
      </rPr>
      <t>Variation 2</t>
    </r>
    <r>
      <rPr>
        <sz val="11"/>
        <color rgb="FF000000"/>
        <rFont val="Arial"/>
        <family val="2"/>
      </rPr>
      <t>:</t>
    </r>
    <r>
      <rPr>
        <sz val="11"/>
        <color rgb="FF000000"/>
        <rFont val="Arial"/>
        <family val="2"/>
      </rPr>
      <t xml:space="preserve"> </t>
    </r>
    <r>
      <rPr>
        <sz val="11"/>
        <color rgb="FF000000"/>
        <rFont val="Arial"/>
        <family val="2"/>
      </rPr>
      <t xml:space="preserve">Allocation of one balance sheet item to </t>
    </r>
    <r>
      <rPr>
        <u/>
        <sz val="11"/>
        <color rgb="FF000000"/>
        <rFont val="Arial"/>
        <family val="2"/>
      </rPr>
      <t>several</t>
    </r>
    <r>
      <rPr>
        <sz val="11"/>
        <color rgb="FF000000"/>
        <rFont val="Arial"/>
        <family val="2"/>
      </rPr>
      <t xml:space="preserve"> other balance sheet items (only for complex allocations!)</t>
    </r>
  </si>
  <si>
    <t>Investments for the account and risk of life insurance policyholders (excluding Separate Accounts)</t>
  </si>
  <si>
    <t>Column B</t>
  </si>
  <si>
    <t>Referencing of cells by means of row number.</t>
  </si>
  <si>
    <t>Column C</t>
  </si>
  <si>
    <t>Inclusion of the prefix: + for assets and - for liabilities</t>
  </si>
  <si>
    <t>Column G</t>
  </si>
  <si>
    <t>Column G shows the row number of the cell to which a balance sheet item is to be fully or partially allocated.</t>
  </si>
  <si>
    <t>Column H</t>
  </si>
  <si>
    <t>Column K</t>
  </si>
  <si>
    <r>
      <rPr>
        <sz val="11"/>
        <color theme="1"/>
        <rFont val="Arial"/>
        <family val="2"/>
      </rPr>
      <t xml:space="preserve">Column K is to be used for breaking down a balance sheet item into </t>
    </r>
    <r>
      <rPr>
        <u/>
        <sz val="11"/>
        <color theme="1"/>
        <rFont val="Arial"/>
        <family val="2"/>
      </rPr>
      <t>several</t>
    </r>
    <r>
      <rPr>
        <sz val="11"/>
        <color theme="1"/>
        <rFont val="Arial"/>
        <family val="2"/>
      </rPr>
      <t xml:space="preserve"> new statutory positions.</t>
    </r>
    <r>
      <rPr>
        <sz val="11"/>
        <color rgb="FF000000"/>
        <rFont val="Arial"/>
        <family val="2"/>
      </rPr>
      <t xml:space="preserve"> </t>
    </r>
    <r>
      <rPr>
        <sz val="11"/>
        <color rgb="FF000000"/>
        <rFont val="Arial"/>
        <family val="2"/>
      </rPr>
      <t>In this case, the SST report must also describe in detail how the breakdown was made.</t>
    </r>
  </si>
  <si>
    <t>Colours used</t>
  </si>
  <si>
    <t>Green</t>
  </si>
  <si>
    <t>Correct referencing</t>
  </si>
  <si>
    <t>Yellow</t>
  </si>
  <si>
    <t>Missing referencing</t>
  </si>
  <si>
    <t>Blue</t>
  </si>
  <si>
    <t>Value indicated</t>
  </si>
  <si>
    <t>Table: Risk-free yield curves</t>
  </si>
  <si>
    <t>davon Schweizer Kantone und Gemeinden</t>
  </si>
  <si>
    <t>dont cantons et communes en Suisse</t>
  </si>
  <si>
    <t>of which Swiss cantons and municipalities</t>
  </si>
  <si>
    <t>Übrige derivative Instrumente</t>
  </si>
  <si>
    <t>Other derivative instruments</t>
  </si>
  <si>
    <t>Autres instruments dérivés</t>
  </si>
  <si>
    <t>Termes généraux</t>
  </si>
  <si>
    <t>Il existe deux variantes de transfert envisageables :</t>
  </si>
  <si>
    <r>
      <rPr>
        <sz val="11"/>
        <color theme="1"/>
        <rFont val="Arial"/>
        <family val="2"/>
      </rPr>
      <t xml:space="preserve">Exemple pour la </t>
    </r>
    <r>
      <rPr>
        <b/>
        <sz val="11"/>
        <color theme="1"/>
        <rFont val="Arial"/>
        <family val="2"/>
      </rPr>
      <t>variante 1</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un</t>
    </r>
    <r>
      <rPr>
        <sz val="11"/>
        <color rgb="FF000000"/>
        <rFont val="Arial"/>
        <family val="2"/>
      </rPr>
      <t xml:space="preserve"> autre poste du bilan (automatisé et donc à privilégier par rapport à la variante 2)</t>
    </r>
  </si>
  <si>
    <t>« Une partie des frais d’acquisition activés doit être reprise dans les réserves mathématiques. »</t>
  </si>
  <si>
    <t>Engagements d’assurance (bruts)</t>
  </si>
  <si>
    <r>
      <rPr>
        <sz val="11"/>
        <color theme="1"/>
        <rFont val="Arial"/>
        <family val="2"/>
      </rPr>
      <t xml:space="preserve">Exemple pour la </t>
    </r>
    <r>
      <rPr>
        <b/>
        <sz val="11"/>
        <color theme="1"/>
        <rFont val="Arial"/>
        <family val="2"/>
      </rPr>
      <t>variante 2</t>
    </r>
    <r>
      <rPr>
        <sz val="11"/>
        <color theme="1"/>
        <rFont val="Arial"/>
        <family val="2"/>
      </rPr>
      <t> :</t>
    </r>
    <r>
      <rPr>
        <sz val="11"/>
        <color rgb="FF000000"/>
        <rFont val="Arial"/>
        <family val="2"/>
      </rPr>
      <t xml:space="preserve"> </t>
    </r>
    <r>
      <rPr>
        <sz val="11"/>
        <color rgb="FF000000"/>
        <rFont val="Arial"/>
        <family val="2"/>
      </rPr>
      <t xml:space="preserve">Transfert d’un poste du bilan à </t>
    </r>
    <r>
      <rPr>
        <u/>
        <sz val="11"/>
        <color rgb="FF000000"/>
        <rFont val="Arial"/>
        <family val="2"/>
      </rPr>
      <t>plusieurs</t>
    </r>
    <r>
      <rPr>
        <sz val="11"/>
        <color rgb="FF000000"/>
        <rFont val="Arial"/>
        <family val="2"/>
      </rPr>
      <t xml:space="preserve"> autres postes du bilan (uniquement pour les ventilations complexes !)</t>
    </r>
  </si>
  <si>
    <r>
      <t xml:space="preserve">Placements de capitaux pour le compte et aux risques de titulaires de contrats d’assurance sur la vie (sans </t>
    </r>
    <r>
      <rPr>
        <b/>
        <i/>
        <u/>
        <sz val="11"/>
        <rFont val="Arial"/>
        <family val="2"/>
      </rPr>
      <t>« separate accounts »</t>
    </r>
    <r>
      <rPr>
        <b/>
        <sz val="11"/>
        <rFont val="Arial"/>
        <family val="2"/>
      </rPr>
      <t>)</t>
    </r>
  </si>
  <si>
    <t>Colonne B</t>
  </si>
  <si>
    <t>Référencement des cellules avec un numéro de ligne.</t>
  </si>
  <si>
    <t>Colonne C</t>
  </si>
  <si>
    <t>Prise en compte du signe : + pour les actifs et - pour les passifs</t>
  </si>
  <si>
    <t>Colonne G</t>
  </si>
  <si>
    <t>La colonne G indique le numéro de ligne de la cellule dans laquelle un poste du bilan doit être entièrement ou partiellement transféré.</t>
  </si>
  <si>
    <t>Colonne H</t>
  </si>
  <si>
    <t>Colonne K</t>
  </si>
  <si>
    <r>
      <rPr>
        <sz val="11"/>
        <color theme="1"/>
        <rFont val="Arial"/>
        <family val="2"/>
      </rPr>
      <t xml:space="preserve">La colonne K doit être utilisée lorsqu’un poste du bilan doit être ventilé entre </t>
    </r>
    <r>
      <rPr>
        <u/>
        <sz val="11"/>
        <color theme="1"/>
        <rFont val="Arial"/>
        <family val="2"/>
      </rPr>
      <t>plusieurs</t>
    </r>
    <r>
      <rPr>
        <sz val="11"/>
        <color theme="1"/>
        <rFont val="Arial"/>
        <family val="2"/>
      </rPr>
      <t xml:space="preserve"> nouveaux postes statutaires.</t>
    </r>
    <r>
      <rPr>
        <sz val="11"/>
        <color rgb="FF000000"/>
        <rFont val="Arial"/>
        <family val="2"/>
      </rPr>
      <t xml:space="preserve"> </t>
    </r>
    <r>
      <rPr>
        <sz val="11"/>
        <color rgb="FF000000"/>
        <rFont val="Arial"/>
        <family val="2"/>
      </rPr>
      <t>Dans ce cas, une description détaillée des modalités de la ventilation doit par ailleurs être fournie dans le rapport SST.</t>
    </r>
  </si>
  <si>
    <t>Couleurs utilisées</t>
  </si>
  <si>
    <t>Vert</t>
  </si>
  <si>
    <t>Référencement correct</t>
  </si>
  <si>
    <t>Jaune</t>
  </si>
  <si>
    <t>Référencement manquant</t>
  </si>
  <si>
    <t>Bleu</t>
  </si>
  <si>
    <t>Valeur indiquée</t>
  </si>
  <si>
    <r>
      <t xml:space="preserve">Pour les actifs dans le modèle delta, le rendement excédentaire doit être indiqué de manière spécifique à l’entreprise au moyen des </t>
    </r>
    <r>
      <rPr>
        <i/>
        <sz val="10"/>
        <rFont val="Arial"/>
        <family val="2"/>
      </rPr>
      <t>benchmarks</t>
    </r>
    <r>
      <rPr>
        <sz val="10"/>
        <rFont val="Arial"/>
        <family val="2"/>
      </rPr>
      <t xml:space="preserve"> donnés.</t>
    </r>
  </si>
  <si>
    <t>For assets in the delta model the excess return is entered on a company-specific basis based on the benchmarks provided.</t>
  </si>
  <si>
    <t>Aktiven</t>
  </si>
  <si>
    <t>Rückstellungen für vertragliche Überschussbeteiligungen</t>
  </si>
  <si>
    <t>Anlagefonds: Geldmarktfonds</t>
  </si>
  <si>
    <t>"In der Bilanz wurden sämtliche Anlagefonds unter Anlagefonds: Immobilien erfasst. Effektiv sind aber nur 35'000 in Immobilienfonds investiert."</t>
  </si>
  <si>
    <t>L</t>
  </si>
  <si>
    <t>Actifs</t>
  </si>
  <si>
    <t>Provisions pour parts d'excédents contractuels</t>
  </si>
  <si>
    <t>Provisions techniques</t>
  </si>
  <si>
    <t>Versicherungstechnische Rückstellungen</t>
  </si>
  <si>
    <t>« Tous les fonds de placement ont été saisis sous Fonds de placement: bien immobiliers dans le bilan. Mais seuls 35 000 sont effectivement investis dans des fonds immobiliers. »</t>
  </si>
  <si>
    <t>In der Spalte H wird der Betrag angegeben, der auf die in der Spalte G genannte Zeile umgelegt werden soll.</t>
  </si>
  <si>
    <t>La colonne H indique le montant qui doit être affecté à la ligne citée dans la colonne G.</t>
  </si>
  <si>
    <t>Assets</t>
  </si>
  <si>
    <t>Technical provisions</t>
  </si>
  <si>
    <t>Insurance obligations</t>
  </si>
  <si>
    <t>Premiums carried over</t>
  </si>
  <si>
    <t>“The balance sheet included all investment funds under Investment funds: real estate. However, only 35,000 are actually invested in real estate funds."</t>
  </si>
  <si>
    <t>Column H shows the amount to be allocated to the row indicated in Column G.</t>
  </si>
  <si>
    <t>short</t>
  </si>
  <si>
    <t>keyword</t>
  </si>
  <si>
    <t>description</t>
  </si>
  <si>
    <t>sheet</t>
  </si>
  <si>
    <t>row</t>
  </si>
  <si>
    <t>Credit risk factor Basel III</t>
  </si>
  <si>
    <t>MVM Cost of capital</t>
  </si>
  <si>
    <t>MVM nhmr factor</t>
  </si>
  <si>
    <t>Fundamental-Data-Sheet (FDS)</t>
  </si>
  <si>
    <t>Kommentare</t>
  </si>
  <si>
    <t>Allgemeine Informationen</t>
  </si>
  <si>
    <t>SST-Währung bzw. Währungskorb</t>
  </si>
  <si>
    <t>Kapitalanlagen</t>
  </si>
  <si>
    <t>Beteiligungen</t>
  </si>
  <si>
    <t>Festverzinsliche Wertpapiere</t>
  </si>
  <si>
    <t>davon Staats- und Zentralbankenanleihen</t>
  </si>
  <si>
    <t>davon Unternehmensanleihen</t>
  </si>
  <si>
    <t>Darlehen</t>
  </si>
  <si>
    <t>davon nachrangige Darlehen</t>
  </si>
  <si>
    <t>davon Policendarlehen</t>
  </si>
  <si>
    <t>Übrige Kapitalanlagen</t>
  </si>
  <si>
    <t>davon Private Equity</t>
  </si>
  <si>
    <t>davon verbriefte Forderungen</t>
  </si>
  <si>
    <t>übrige Aktiven</t>
  </si>
  <si>
    <t>Kapitalanlagen aus anteilgebundener Lebensversicherung</t>
  </si>
  <si>
    <t>Forderungen aus derivativen Finanzinstrumenten</t>
  </si>
  <si>
    <t>Flüssige Mittel</t>
  </si>
  <si>
    <t>Anteil versicherungstechnische Rückstellungen aus Rückversicherung</t>
  </si>
  <si>
    <t>davon Überschussfonds</t>
  </si>
  <si>
    <t>Aktive Rückversicherung (Retrozessionen) - indirektes Geschäft</t>
  </si>
  <si>
    <t>Forderungen aus dem Versicherungsgeschäft inkl. Depotforderungen</t>
  </si>
  <si>
    <t>Übrige Forderungen</t>
  </si>
  <si>
    <t>Andere Aktiven</t>
  </si>
  <si>
    <t>Total Aktiven</t>
  </si>
  <si>
    <t>Best Estimate der Versicherungsverpflichtungen (Leben): Brutto inkl. anteilgebundene Lebensversicherung</t>
  </si>
  <si>
    <t>davon anteilgebundene Lebensversicherung</t>
  </si>
  <si>
    <t>Best Estimate der sonstigen Versicherungsverpflichtungen</t>
  </si>
  <si>
    <t>Rückstellungen für Überschussfonds</t>
  </si>
  <si>
    <t>Nichtversicherungstechnische Rückstellungen</t>
  </si>
  <si>
    <t>Verzinsliche Verbindlichkeiten</t>
  </si>
  <si>
    <t>Verbindlichkeiten aus derivativen Finanzinstrumenten</t>
  </si>
  <si>
    <t>Depotverbindlichkeiten aus abgegebener Rückversicherung</t>
  </si>
  <si>
    <t>Verbindlichkeiten aus dem Versicherungsgeschäft</t>
  </si>
  <si>
    <t>Nachrangige Verbindlichkeiten</t>
  </si>
  <si>
    <t>Andere Verbindlichkeiten</t>
  </si>
  <si>
    <t>Risikotragendes Kapital</t>
  </si>
  <si>
    <t>Abzüge</t>
  </si>
  <si>
    <t>Kernkapital</t>
  </si>
  <si>
    <t>Ergänzendes Kapital</t>
  </si>
  <si>
    <t>RTK</t>
  </si>
  <si>
    <t>Hauptergebnisse</t>
  </si>
  <si>
    <t>Erwartetes finanzielles Ergebnis über risikofrei</t>
  </si>
  <si>
    <t>1-jahres Kreditrisiko</t>
  </si>
  <si>
    <t>1-jahres Marktrisiko (zentriert)</t>
  </si>
  <si>
    <t>1-jahres versicherungstechnisches Risiko (zentriert)</t>
  </si>
  <si>
    <t>Diversifikationseffekt</t>
  </si>
  <si>
    <t>Effekt der Szenarien auf das Zielkapital</t>
  </si>
  <si>
    <t>Market Value Margin</t>
  </si>
  <si>
    <t>Zusätzliche Effekte auf Zielkapital</t>
  </si>
  <si>
    <t>Zielkapital</t>
  </si>
  <si>
    <t>SST-Quotient</t>
  </si>
  <si>
    <t>Im aktuellen Jahr erwartete Werte</t>
  </si>
  <si>
    <t>Marktrisiko (Expected Shortfall Werte)</t>
  </si>
  <si>
    <t>Marktrisiko (alle Risikofaktoren)</t>
  </si>
  <si>
    <t>Diversifikationseffekte Marktrisiko</t>
  </si>
  <si>
    <t>Marktrisiko der Zinsen</t>
  </si>
  <si>
    <t>davon Marktrisiko der Zinsen in CHF</t>
  </si>
  <si>
    <t>davon Marktrisiko der Zinsen in EUR</t>
  </si>
  <si>
    <t>davon Marktrisiko der Zinsen in USD</t>
  </si>
  <si>
    <t>davon Marktrisiko der Zinsen in GBP</t>
  </si>
  <si>
    <t>Marktrisiko der Spreads</t>
  </si>
  <si>
    <t>Marktrisiko der Währungskurse</t>
  </si>
  <si>
    <t>Marktrisiko der Aktien</t>
  </si>
  <si>
    <t>Marktrisiko der Immobilien</t>
  </si>
  <si>
    <t>Marktrisiko der Hedgefonds</t>
  </si>
  <si>
    <t>Marktrisiko der Private Equity</t>
  </si>
  <si>
    <t>Marktrisiko der Beteiligungen</t>
  </si>
  <si>
    <t>Marktrisiko (andere)</t>
  </si>
  <si>
    <t>Weitere Marktrisiken 1</t>
  </si>
  <si>
    <t>Weitere Marktrisiken 2</t>
  </si>
  <si>
    <t>S2.1 Ausfall der Rückversicherer</t>
  </si>
  <si>
    <t>S3.1 Langlebigkeit</t>
  </si>
  <si>
    <t>S3.2 Invalidität</t>
  </si>
  <si>
    <t>S3.3 Storno</t>
  </si>
  <si>
    <t>S3.4 Panik im Stadion</t>
  </si>
  <si>
    <t>S3.5 Industrieunfall</t>
  </si>
  <si>
    <t>S4.1 Financial Distress</t>
  </si>
  <si>
    <t>S4.2 Pandemie</t>
  </si>
  <si>
    <t>U1.1 Terrorismus</t>
  </si>
  <si>
    <t>U1.2 Immobilienkonzentration</t>
  </si>
  <si>
    <t>U1.3 Konzentrationsszenario</t>
  </si>
  <si>
    <t>Versicherungstechnisches Risiko: Lebensgeschäft (Expected-Shortfall, inkl. Zufalls- und Parameterrisiko)</t>
  </si>
  <si>
    <t>Übriges Geschäft: Kosten</t>
  </si>
  <si>
    <t>Übriges Geschäft: Storno</t>
  </si>
  <si>
    <t>Kollektivgeschäft: Kosten</t>
  </si>
  <si>
    <t>Kollektivgeschäft: Storno</t>
  </si>
  <si>
    <t>Versicherungstechnisches Risiko: Schadengeschäft (Expected-Shortfall, inkl. Zufalls- und Parameterrisiko)</t>
  </si>
  <si>
    <t>Total 1-jahres versicherungstechnisches Risiko Schadengeschäft (zentriert)</t>
  </si>
  <si>
    <t>Rückstellungsrisiko</t>
  </si>
  <si>
    <t>Diskontierter erwarteter Schadenaufwand Normalschäden</t>
  </si>
  <si>
    <t>Diskontierter erwarteter Schadenaufwand Grossschäden exkl. Naturkatastrophen</t>
  </si>
  <si>
    <t>Diskontierter erwarteter Schadenaufwand Naturkatastrophen</t>
  </si>
  <si>
    <t>Zentriertes Neuschadenrisiko</t>
  </si>
  <si>
    <t>davon zentriertes Neuschadenrisiko Normalschäden</t>
  </si>
  <si>
    <t>davon zentriertes Neuschadenrisiko Grossschäden exkl. Naturkatastrophen</t>
  </si>
  <si>
    <t>davon zentriertes Neuschadenrisiko Naturkatastrophen</t>
  </si>
  <si>
    <t>Weitere versicherungstechnische Risiken aus dem Schadengeschäft (zentriert)</t>
  </si>
  <si>
    <t>Variationskoeffizient der Rückstellungsrisiken</t>
  </si>
  <si>
    <t>Variationskoeffizient der Neuschadenrisiken Normalschäden</t>
  </si>
  <si>
    <t>Versicherungstechnisches Risiko: Krankenversicherung (Expected-Shortfall und erwartete Werte)</t>
  </si>
  <si>
    <t>Total 1-jahres versicherungstechnisches Risiko Krankengeschäft (zentriert)</t>
  </si>
  <si>
    <t>Versicherungsrisiko Einzelkranken: Total</t>
  </si>
  <si>
    <t>Versicherungsrisiko Kollektivtaggeld</t>
  </si>
  <si>
    <t>Kollektivtaggeld: Erwartete Prämien (brutto)</t>
  </si>
  <si>
    <t>Kollektivtaggeld: Erwartete Leistungen (brutto)</t>
  </si>
  <si>
    <t xml:space="preserve">Einzelkranken: Anzahl Versicherte (Kopfzählung)  </t>
  </si>
  <si>
    <t>Festverzinsliche Wertpapiere: Ratingaufteilung</t>
  </si>
  <si>
    <t>Duration (Fisher-Weil)</t>
  </si>
  <si>
    <t>Time         (in years)</t>
  </si>
  <si>
    <t>Projection</t>
  </si>
  <si>
    <t>no nonlife risk</t>
  </si>
  <si>
    <t>Impact</t>
  </si>
  <si>
    <t>Indemnités journalières (ass. collectives) - Primes attendues (avant réassurance)</t>
  </si>
  <si>
    <t>Indemnités journalières (ass. collectives) - Prestations attendues (avant réassurance)</t>
  </si>
  <si>
    <r>
      <rPr>
        <i/>
        <sz val="10"/>
        <color theme="1"/>
        <rFont val="Arial"/>
        <family val="2"/>
      </rPr>
      <t>Best estimate</t>
    </r>
    <r>
      <rPr>
        <sz val="10"/>
        <color theme="1"/>
        <rFont val="Arial"/>
        <family val="2"/>
      </rPr>
      <t xml:space="preserve"> des engagements actuariels (vie): bruts</t>
    </r>
  </si>
  <si>
    <r>
      <rPr>
        <i/>
        <sz val="10"/>
        <color theme="1"/>
        <rFont val="Arial"/>
        <family val="2"/>
      </rPr>
      <t>Best estimate</t>
    </r>
    <r>
      <rPr>
        <sz val="10"/>
        <color theme="1"/>
        <rFont val="Arial"/>
        <family val="2"/>
      </rPr>
      <t xml:space="preserve"> des autres engagements actuariels (vie): bruts</t>
    </r>
  </si>
  <si>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</si>
  <si>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autres engagements actuariels (dommage): bruts</t>
    </r>
  </si>
  <si>
    <r>
      <t xml:space="preserve">dont </t>
    </r>
    <r>
      <rPr>
        <i/>
        <sz val="10"/>
        <color theme="1"/>
        <rFont val="Arial"/>
        <family val="2"/>
      </rPr>
      <t>Best estimate</t>
    </r>
    <r>
      <rPr>
        <sz val="10"/>
        <color theme="1"/>
        <rFont val="Arial"/>
        <family val="2"/>
      </rPr>
      <t xml:space="preserve"> des engagements actuariels du portefeuille LAA</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</si>
  <si>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</si>
  <si>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autres engagements actuariels (maladie): bruts</t>
    </r>
  </si>
  <si>
    <r>
      <rPr>
        <i/>
        <sz val="10"/>
        <color theme="1"/>
        <rFont val="Arial"/>
        <family val="2"/>
      </rPr>
      <t>Insurance linked securities</t>
    </r>
    <r>
      <rPr>
        <sz val="10"/>
        <color theme="1"/>
        <rFont val="Arial"/>
        <family val="2"/>
      </rPr>
      <t xml:space="preserve"> (p. ex.</t>
    </r>
    <r>
      <rPr>
        <i/>
        <sz val="10"/>
        <color theme="1"/>
        <rFont val="Arial"/>
        <family val="2"/>
      </rPr>
      <t xml:space="preserve"> cat bonds</t>
    </r>
    <r>
      <rPr>
        <sz val="10"/>
        <color theme="1"/>
        <rFont val="Arial"/>
        <family val="2"/>
      </rPr>
      <t>)</t>
    </r>
  </si>
  <si>
    <r>
      <t xml:space="preserve">Autres placements (investissements dans l'infrastructure, </t>
    </r>
    <r>
      <rPr>
        <i/>
        <sz val="10"/>
        <color theme="1"/>
        <rFont val="Arial"/>
        <family val="2"/>
      </rPr>
      <t>currency overlay</t>
    </r>
    <r>
      <rPr>
        <sz val="10"/>
        <color theme="1"/>
        <rFont val="Arial"/>
        <family val="2"/>
      </rPr>
      <t>, e.a.)</t>
    </r>
  </si>
  <si>
    <t>Best estimate of long-term insurance liabilities (health): gross</t>
  </si>
  <si>
    <r>
      <t>dont b</t>
    </r>
    <r>
      <rPr>
        <i/>
        <sz val="10"/>
        <color theme="1"/>
        <rFont val="Arial"/>
        <family val="2"/>
      </rPr>
      <t>est estimate</t>
    </r>
    <r>
      <rPr>
        <sz val="10"/>
        <color theme="1"/>
        <rFont val="Arial"/>
        <family val="2"/>
      </rPr>
      <t xml:space="preserve"> des engagements actuariels de l'assurance collective d’indemnités journalières: bruts</t>
    </r>
  </si>
  <si>
    <r>
      <t>dont b</t>
    </r>
    <r>
      <rPr>
        <i/>
        <sz val="10"/>
        <color theme="1"/>
        <rFont val="Arial"/>
        <family val="2"/>
      </rPr>
      <t>est estimate</t>
    </r>
    <r>
      <rPr>
        <sz val="10"/>
        <color theme="1"/>
        <rFont val="Arial"/>
        <family val="2"/>
      </rPr>
      <t xml:space="preserve"> des engagements actuariels de l'assurance-maladie individuelle: bruts </t>
    </r>
  </si>
  <si>
    <t>Capital de base</t>
  </si>
  <si>
    <t>Core capital</t>
  </si>
  <si>
    <t>Déductions</t>
  </si>
  <si>
    <t>Deductions</t>
  </si>
  <si>
    <t>Bilanzwert immaterielle Vermögenswerte (-)</t>
  </si>
  <si>
    <t>Valeur au bilan des actifs incorporels (-)</t>
  </si>
  <si>
    <t>Carrying value of intangible assets (-)</t>
  </si>
  <si>
    <t>vorgesehene Dividenden und Kapitalrückzahlungen (-)</t>
  </si>
  <si>
    <t>sonstige Abzüge (z.B. nicht anrechenbare konzernintene Darlehen) (-)</t>
  </si>
  <si>
    <t>Autres déductions (par ex. prêts intragroupes non imputables)</t>
  </si>
  <si>
    <t>Other deductions (e.g. non-eligible intra-group loans)</t>
  </si>
  <si>
    <t>Total Abzüge</t>
  </si>
  <si>
    <t>Déductions totales</t>
  </si>
  <si>
    <t>Total deductions</t>
  </si>
  <si>
    <t>Total Kernkapital</t>
  </si>
  <si>
    <t>Total capital de base</t>
  </si>
  <si>
    <t>Total core capital</t>
  </si>
  <si>
    <t>Capital complémentaire</t>
  </si>
  <si>
    <t>Supplementary capital</t>
  </si>
  <si>
    <t>Total ergänzendes Kapital</t>
  </si>
  <si>
    <t>Total capital complémentaire</t>
  </si>
  <si>
    <t>Total supplementary capital</t>
  </si>
  <si>
    <t>davon Hedgefonds</t>
  </si>
  <si>
    <t>Fundamental_Data</t>
  </si>
  <si>
    <t>T.01.20</t>
  </si>
  <si>
    <t>T.01.21</t>
  </si>
  <si>
    <t>In particular, are any scenarios for accumulation risks being aggregated? (E.g. real estate scenarios)</t>
  </si>
  <si>
    <t>Des scénarios pour les risques de cumul sont-ils notamment agrégés ? (par ex. scénario immobilier)</t>
  </si>
  <si>
    <t>Risikotragendes Kapital unter Runoff Bedingungen</t>
  </si>
  <si>
    <t>Risikotragendes Kapital unter Going Concern Bedingungen</t>
  </si>
  <si>
    <t>Capital porteur de risques en situation de going concern</t>
  </si>
  <si>
    <r>
      <t xml:space="preserve">According to </t>
    </r>
    <r>
      <rPr>
        <i/>
        <sz val="10"/>
        <color theme="1"/>
        <rFont val="Arial"/>
        <family val="2"/>
      </rPr>
      <t>the technical description of the specific branch. For life insurers is the expected insurance result = 0.</t>
    </r>
  </si>
  <si>
    <t>T.22.22</t>
  </si>
  <si>
    <t>Erhöhung der Sterblichkeiten für all jene Policen, bei denen eine Erhöhung der Sterblichkeit zu einer Verminderung des risikotragenden Kapitals führt. Für diese ist die Sterblichkeit relativ um 15 % zu erhöhen.</t>
  </si>
  <si>
    <t>Augmentation des mortalités pour toutes les polices dans lesquelles une augmentation de la mortalité entraîne une diminution du capital porteur de risque. Une augmentation relative de la mortalité de 15 % est requise pour celles-ci.</t>
  </si>
  <si>
    <t>Increase in mortality for all policies where higher mortality leads to a reduction in risk-bearing capital. For these, the mortality rate is to be increased relatively by 15%.</t>
  </si>
  <si>
    <t>Total (übriges Geschäft und Kollektivgeschäft)</t>
  </si>
  <si>
    <t>Provisions de fluctuation et autres réserves statutaires (maladie): brutes</t>
  </si>
  <si>
    <t>mit festen Zinssätzen</t>
  </si>
  <si>
    <t>mit variablen Zinssätzen</t>
  </si>
  <si>
    <t>avec taux d'intérêt fixes</t>
  </si>
  <si>
    <t>avec taux d'intérêt variables</t>
  </si>
  <si>
    <t>with fixed interest rates</t>
  </si>
  <si>
    <t>with variable interest rates</t>
  </si>
  <si>
    <t>Private Debt</t>
  </si>
  <si>
    <t>Senior Secured Loans</t>
  </si>
  <si>
    <t>Rohstoffe</t>
  </si>
  <si>
    <t>Asset Backed Securities (ABS)</t>
  </si>
  <si>
    <t>Mortgage Backed Securities (MBS)</t>
  </si>
  <si>
    <t>Collateralized Debt Obligations (CDO) und Collateralized Loan Obligations (CLO)</t>
  </si>
  <si>
    <t>Sterblichkeit (q)</t>
  </si>
  <si>
    <t>Langlebigkeit (lambda)</t>
  </si>
  <si>
    <t>Reaktivierungsrate</t>
  </si>
  <si>
    <t>Optionsausübung</t>
  </si>
  <si>
    <t>Information générales</t>
  </si>
  <si>
    <t>General information</t>
  </si>
  <si>
    <t>Monnaie du SST resp. panier de devises</t>
  </si>
  <si>
    <t>SST currency or currency basket</t>
  </si>
  <si>
    <t>Investments</t>
  </si>
  <si>
    <t xml:space="preserve">Participations </t>
  </si>
  <si>
    <t>Participations</t>
  </si>
  <si>
    <t>Titres à revenu fixe</t>
  </si>
  <si>
    <t>dont emprunts publics et des banques centrales</t>
  </si>
  <si>
    <t>of which government and central bank bonds</t>
  </si>
  <si>
    <t>dont emprunts d'entreprises</t>
  </si>
  <si>
    <t>of which corporate bonds</t>
  </si>
  <si>
    <t>Prêts</t>
  </si>
  <si>
    <t>Loans</t>
  </si>
  <si>
    <t>dont prêts subordonnés</t>
  </si>
  <si>
    <t>of which subordinated loans</t>
  </si>
  <si>
    <t>dont prêts sur police</t>
  </si>
  <si>
    <t>Autres placements de capitaux</t>
  </si>
  <si>
    <t>of which hedge funds</t>
  </si>
  <si>
    <t>of which private equity</t>
  </si>
  <si>
    <t>dont matières premières</t>
  </si>
  <si>
    <t>of which commodities</t>
  </si>
  <si>
    <t>dont créances titrisées</t>
  </si>
  <si>
    <t>of which securitized claims</t>
  </si>
  <si>
    <t>Placements provenant de l'assurance sur la vie liée à des participations</t>
  </si>
  <si>
    <t>Créances sur instruments financiers dérivés</t>
  </si>
  <si>
    <t>Receivables from derivative financial instruments</t>
  </si>
  <si>
    <t>Liquidités</t>
  </si>
  <si>
    <t>Cash and cash equivalents</t>
  </si>
  <si>
    <t>Part des réassureurs dans les provisions techniques</t>
  </si>
  <si>
    <t>Share of technical provisions from reinsurance</t>
  </si>
  <si>
    <t>dont fonds d'excédents</t>
  </si>
  <si>
    <t>of which surplus funds</t>
  </si>
  <si>
    <t>Autres créances</t>
  </si>
  <si>
    <t>Other receivables</t>
  </si>
  <si>
    <t>Total Assets</t>
  </si>
  <si>
    <t>Best estimate of insurance liabilities (life): gross incl. unit-linked life insurance</t>
  </si>
  <si>
    <t>Provisions pour fonds d'excédents</t>
  </si>
  <si>
    <t>Reserves for surplus funds</t>
  </si>
  <si>
    <t>Provisions non techniques</t>
  </si>
  <si>
    <t>Non-technical provisions</t>
  </si>
  <si>
    <t>Dettes liées à des instruments de taux</t>
  </si>
  <si>
    <t>Interest-bearing liabilities</t>
  </si>
  <si>
    <t>Liabilities from derivative financial instruments</t>
  </si>
  <si>
    <t>Dépôts résultant de la réassurance cédée</t>
  </si>
  <si>
    <t>Dettes nées d'opérations d'assurance</t>
  </si>
  <si>
    <t>Liabilities from insurance business</t>
  </si>
  <si>
    <t>Dettes subordonnées</t>
  </si>
  <si>
    <t>Subordinated liabilities</t>
  </si>
  <si>
    <t>Autres passifs</t>
  </si>
  <si>
    <t>Capital porteur de risques</t>
  </si>
  <si>
    <t>Risk bearing capital</t>
  </si>
  <si>
    <t>CPR</t>
  </si>
  <si>
    <t>Résultats principaux</t>
  </si>
  <si>
    <t>Main results</t>
  </si>
  <si>
    <t>1-year credit risk</t>
  </si>
  <si>
    <t>1-year market risk (centered)</t>
  </si>
  <si>
    <t>Effet de diversification</t>
  </si>
  <si>
    <t>Diversification effect</t>
  </si>
  <si>
    <t>Effet des scénarios sur le capital cible</t>
  </si>
  <si>
    <t>Effect of the scenarios on the target capital</t>
  </si>
  <si>
    <t>Capital cible</t>
  </si>
  <si>
    <t>Target capital</t>
  </si>
  <si>
    <t>Quotient SST</t>
  </si>
  <si>
    <t>SST ratio</t>
  </si>
  <si>
    <t>Valeurs attendues dans l'année</t>
  </si>
  <si>
    <t>Expected values in the current year</t>
  </si>
  <si>
    <t>Market risk (expected shortfall values)</t>
  </si>
  <si>
    <t>Effet de diversification risque de marché</t>
  </si>
  <si>
    <t>Risque de marché des intérêts</t>
  </si>
  <si>
    <t>dont risque de marché des taux d'intérêts en CHF</t>
  </si>
  <si>
    <t>dont risque de marché des taux d'intérêts en EUR</t>
  </si>
  <si>
    <t>dont risque de marché des taux d'intérêts en USD</t>
  </si>
  <si>
    <t>dont risque de marché des taux d'intérêts en GBP</t>
  </si>
  <si>
    <t>Risque de marché des Spreads</t>
  </si>
  <si>
    <t>Risque de marché des taux de change</t>
  </si>
  <si>
    <t>Risque de marché des actions</t>
  </si>
  <si>
    <t>Risque de marché des biens immobiliers</t>
  </si>
  <si>
    <t>Risque de marché - Private Equity</t>
  </si>
  <si>
    <t>Risque de marché - Hedge Funds</t>
  </si>
  <si>
    <t>Risque de marché - Participations</t>
  </si>
  <si>
    <t>Risque de marché (autres)</t>
  </si>
  <si>
    <t>Market risk (all other risk factors)</t>
  </si>
  <si>
    <t>Diversification effect of market risk</t>
  </si>
  <si>
    <t>Market risk of interest rates</t>
  </si>
  <si>
    <t>of which market risk of interest rates in CHF</t>
  </si>
  <si>
    <t>of which market risk of interest rates in EUR</t>
  </si>
  <si>
    <t>of which market risk of interest rates in USD</t>
  </si>
  <si>
    <t>of which market risk of interest rates in GBP</t>
  </si>
  <si>
    <t>Market risk of spreads</t>
  </si>
  <si>
    <t>Market risk of exchange rates</t>
  </si>
  <si>
    <t>Market risk of real estates</t>
  </si>
  <si>
    <t>Market risk of hedge funds</t>
  </si>
  <si>
    <t>Market risk of private equity</t>
  </si>
  <si>
    <t>Market risk of participations</t>
  </si>
  <si>
    <t>Market risk (other)</t>
  </si>
  <si>
    <t>Other market risks 1</t>
  </si>
  <si>
    <t>Other market risks 2</t>
  </si>
  <si>
    <t>Market risk of stocks</t>
  </si>
  <si>
    <t>S2.1 Défaut de réassureurs</t>
  </si>
  <si>
    <t>S3.1 Longévité</t>
  </si>
  <si>
    <t>S3.2 Invalidité</t>
  </si>
  <si>
    <t>S3.3 Résiliations</t>
  </si>
  <si>
    <t>S3.4 Panique au stade</t>
  </si>
  <si>
    <t>S3.5 Accident industriel</t>
  </si>
  <si>
    <t>S3.7 Sortie d’entreprise</t>
  </si>
  <si>
    <t>S4.1 Financial Distress (part risques d'assurance)</t>
  </si>
  <si>
    <t>S4.2 Pandémie (part risques d'assurance)</t>
  </si>
  <si>
    <t>S3.8 Provisionnement insuffisant</t>
  </si>
  <si>
    <t>U1.1 Terrorisme</t>
  </si>
  <si>
    <t>U1.2 Concentration immobilière</t>
  </si>
  <si>
    <t>U1.3 Concentrations</t>
  </si>
  <si>
    <t>S2.1 Default of the reinsurer</t>
  </si>
  <si>
    <t>S3.1 Longevity</t>
  </si>
  <si>
    <t>S3.2 Disability</t>
  </si>
  <si>
    <t>S3.3 Lapses</t>
  </si>
  <si>
    <t>S3.4 Panic in stadium</t>
  </si>
  <si>
    <t>S3.5 Industrial accident</t>
  </si>
  <si>
    <t>S3.7 Enterprise excursion</t>
  </si>
  <si>
    <t>S3.8 Under reserving</t>
  </si>
  <si>
    <t>S4.1 Financial Distress (insurance risk part)</t>
  </si>
  <si>
    <t>S4.2 Pandemia (insurance risk part)</t>
  </si>
  <si>
    <t>U1.1 Terrorism</t>
  </si>
  <si>
    <t>U1.2 Real estate concentration</t>
  </si>
  <si>
    <t>U1.3 Concentration scenario</t>
  </si>
  <si>
    <t>Expected financial result over risk</t>
  </si>
  <si>
    <t>1-year insurance risk (centered)</t>
  </si>
  <si>
    <t>Mortalité (q)</t>
  </si>
  <si>
    <t>Mortality (q)</t>
  </si>
  <si>
    <t>Longévité (lambda)</t>
  </si>
  <si>
    <t>Longevity (lambda)</t>
  </si>
  <si>
    <t>Taux de réactivation</t>
  </si>
  <si>
    <t>Exercise of options</t>
  </si>
  <si>
    <t>Risque de provision</t>
  </si>
  <si>
    <t>Charge de sinistres attendue escomptée pour les sinistres normaux</t>
  </si>
  <si>
    <t>Charge de sinistres attendue escomptée pour les grands sinistres, à l’exclusion des catastrophes naturelles</t>
  </si>
  <si>
    <t>Charge de sinistres attendue escomptée pour les catastrophes naturelles</t>
  </si>
  <si>
    <t>Risque centré de nouveau sinistre</t>
  </si>
  <si>
    <t>dont risque centré de nouveau sinistre pour les sinistres normaux</t>
  </si>
  <si>
    <t>dont risque centré de nouveau sinistre pour les grands sinistres, à l’exclusion des catastrophes naturelles</t>
  </si>
  <si>
    <t>dont risque centré de nouveau sinistre pour les catastrophes naturelles</t>
  </si>
  <si>
    <t>Coefficient de variation des risques de nouveau sinistre pour les sinistres normaux</t>
  </si>
  <si>
    <t>Discounted expected claims expenditure from normal losses</t>
  </si>
  <si>
    <t>Reserve risk</t>
  </si>
  <si>
    <t>Discounted expected claims expenditure from major losses excl. natural catastrophes</t>
  </si>
  <si>
    <t>Discounted expected claims expenditure from natural catastrophes</t>
  </si>
  <si>
    <t>Centred new claims risk</t>
  </si>
  <si>
    <t>of which centred new claims risk from normal losses</t>
  </si>
  <si>
    <t>of which centred new claims risk from major losses excl. natural catastrophes</t>
  </si>
  <si>
    <t>of which centred new claims risk from natural catastrophes</t>
  </si>
  <si>
    <t xml:space="preserve">Other underwriting risks from the claims business (centred) </t>
  </si>
  <si>
    <t>Variation coefficient of reserve risks</t>
  </si>
  <si>
    <t>Variation coefficient of new claims risks from normal claims</t>
  </si>
  <si>
    <t>Risque d'assurance dommages (Expected Shortfall; risques aléatoire et parametrique inclus)</t>
  </si>
  <si>
    <t>Insurance risk nonlife (Expected Shortfall; incl. estimation and parameter risks)</t>
  </si>
  <si>
    <t>Total 1-year insurance risk nonlife (centered)</t>
  </si>
  <si>
    <t>Risques d'assurance: Assurance Vie (Expected-Shortfall, risques aléatoire et parametrique inclus)</t>
  </si>
  <si>
    <t>Insurance risk life (Expected Shortfall; incl. estimation and parameter risks)</t>
  </si>
  <si>
    <t>Risque d'assurance assurance-maladie (Expected Shortfall et valeurs attendues)</t>
  </si>
  <si>
    <t>Insurance risk health (Expected Shortfall and expected values)</t>
  </si>
  <si>
    <t>Assurance collective d’indemnités journalières: Primes attendues (bruts)</t>
  </si>
  <si>
    <t>Risque d'assurance Assurance collective d’indemnités journalières</t>
  </si>
  <si>
    <t>Insurance risk Daily allowance</t>
  </si>
  <si>
    <t>Insurance risk Daily allowance: expected premiums (gross)</t>
  </si>
  <si>
    <t>Insurance risk Daily allowance: expected benefits (gross)</t>
  </si>
  <si>
    <t>Assurance collective d’indemnités journalières: Prestations attendues (brutes)</t>
  </si>
  <si>
    <t>Fixed income securities: Rating breakdown</t>
  </si>
  <si>
    <t>Corporate bonds AA- and higher</t>
  </si>
  <si>
    <t>Corporate bonds A- up to an including A+</t>
  </si>
  <si>
    <t>Corporate bonds BBB- up to and including BBB+</t>
  </si>
  <si>
    <t>Corporate bonds lower than BBB- and no rating</t>
  </si>
  <si>
    <t>Other bonds AA- and higher</t>
  </si>
  <si>
    <t>Other bonds A- up to an including A+</t>
  </si>
  <si>
    <t>Other bonds BBB- up to and including BBB+</t>
  </si>
  <si>
    <t>Other bonds lower than BBB- and no rating</t>
  </si>
  <si>
    <t>Emprunts publics AA- et plus élevé</t>
  </si>
  <si>
    <t>Emprunts publics A- jusqu'à A+</t>
  </si>
  <si>
    <t>Emprunts publics BBB- jusquà BBB+</t>
  </si>
  <si>
    <t>Emprunts publics inférieurs à BBB- et sans notation</t>
  </si>
  <si>
    <t>Emprunts d'entreprises AA- et plus élevé</t>
  </si>
  <si>
    <t>Emprunts d'entreprises A- jusqu'à A+</t>
  </si>
  <si>
    <t>Emprunts d'entreprises BBB- jusquà BBB+</t>
  </si>
  <si>
    <t>Emprunts d'entreprises inférieurs à BBB- et sans notation</t>
  </si>
  <si>
    <t>Autres placements AA- et plus élevé</t>
  </si>
  <si>
    <t>Autres placements A- jusqu'à A+</t>
  </si>
  <si>
    <t>Autres placements BBB- jusquà BBB+</t>
  </si>
  <si>
    <t>Autres placements inférieurs à BBB- et sans notation</t>
  </si>
  <si>
    <t>Duration (Fisher Weil)</t>
  </si>
  <si>
    <t>Autres risques de marché 1</t>
  </si>
  <si>
    <t>Autres risques de marché 2</t>
  </si>
  <si>
    <t>Risque de crédit sur un an</t>
  </si>
  <si>
    <t>Risque de marché sur un an (centré)</t>
  </si>
  <si>
    <t>Risque de marché (valeurs du expected shortfall)</t>
  </si>
  <si>
    <t>Risque de marché (tous les autres facteurs de risque)</t>
  </si>
  <si>
    <t>Risque d'assurance sur un an (centré)</t>
  </si>
  <si>
    <t xml:space="preserve">Maladie individuelle: nombre d’assurés (décompte des têtes)  </t>
  </si>
  <si>
    <t xml:space="preserve">Individual patients: no. of insured persons (headcount)  </t>
  </si>
  <si>
    <t>Total risque d'assurance dommages sur un an (centré)</t>
  </si>
  <si>
    <t>Equities</t>
  </si>
  <si>
    <r>
      <t xml:space="preserve">dont </t>
    </r>
    <r>
      <rPr>
        <i/>
        <sz val="10"/>
        <color theme="1"/>
        <rFont val="Arial"/>
        <family val="2"/>
      </rPr>
      <t>hedge funds</t>
    </r>
  </si>
  <si>
    <r>
      <t xml:space="preserve">dont </t>
    </r>
    <r>
      <rPr>
        <i/>
        <sz val="10"/>
        <color theme="1"/>
        <rFont val="Arial"/>
        <family val="2"/>
      </rPr>
      <t>private equity</t>
    </r>
  </si>
  <si>
    <t>Réassurance active (Rétrocessions) - affaires indirectes</t>
  </si>
  <si>
    <t>Créances nées d'opérations d'assurance y.c. dépôts</t>
  </si>
  <si>
    <t>Affaires collectives: Frais</t>
  </si>
  <si>
    <t>Affaires collectives: Résiliations</t>
  </si>
  <si>
    <t>Group business: Costs</t>
  </si>
  <si>
    <t>Group business: Lapses</t>
  </si>
  <si>
    <t>Total (autres affaires et affaires collectives)</t>
  </si>
  <si>
    <t>Total (other business and group business)</t>
  </si>
  <si>
    <t>Autres affaires: Frais</t>
  </si>
  <si>
    <t>Autres affaires: Résiliations</t>
  </si>
  <si>
    <t>Other business: Costs</t>
  </si>
  <si>
    <t>Other business: Lapses</t>
  </si>
  <si>
    <t>Reactivation rate</t>
  </si>
  <si>
    <t>dont assurance de vie liée à des fonds de placement</t>
  </si>
  <si>
    <t>of which unit-linked life insurance</t>
  </si>
  <si>
    <r>
      <rPr>
        <i/>
        <sz val="10"/>
        <color theme="1"/>
        <rFont val="Arial"/>
        <family val="2"/>
      </rPr>
      <t>Best estimate</t>
    </r>
    <r>
      <rPr>
        <sz val="10"/>
        <color theme="1"/>
        <rFont val="Arial"/>
        <family val="2"/>
      </rPr>
      <t xml:space="preserve"> des engagements actuariels (vie): bruts y.c. assurance de vie liée à des fonds de placement</t>
    </r>
  </si>
  <si>
    <r>
      <t xml:space="preserve">Attribution de la monnaie selon le document </t>
    </r>
    <r>
      <rPr>
        <i/>
        <sz val="10"/>
        <color theme="1"/>
        <rFont val="Arial"/>
        <family val="2"/>
      </rPr>
      <t>Description technique du modèle standard SST pour le risque de marché.</t>
    </r>
  </si>
  <si>
    <r>
      <t xml:space="preserve">Il faut indiquer dans cette feuille les déviations delta pour les positions du bilan qui n’ont pas encore été saisies dans les feuilles précédentes. 
Les déviations delta sont déterminées selon le document </t>
    </r>
    <r>
      <rPr>
        <i/>
        <sz val="10"/>
        <color theme="1"/>
        <rFont val="Arial"/>
        <family val="2"/>
      </rPr>
      <t>Description technique du modèle standard SST</t>
    </r>
    <r>
      <rPr>
        <sz val="10"/>
        <color theme="1"/>
        <rFont val="Arial"/>
        <family val="2"/>
      </rPr>
      <t xml:space="preserve"> pour le risque de marché.
Les déviations delta pour les engagements d'assurance sont déterminées selon le document </t>
    </r>
    <r>
      <rPr>
        <i/>
        <sz val="10"/>
        <color theme="1"/>
        <rFont val="Arial"/>
        <family val="2"/>
      </rPr>
      <t>Description technique pour le modèle standard</t>
    </r>
    <r>
      <rPr>
        <sz val="10"/>
        <color theme="1"/>
        <rFont val="Arial"/>
        <family val="2"/>
      </rPr>
      <t xml:space="preserve"> de la branche respective. 
   - Déviations delta TVOG vie individuelle
   - sensibilités delta pour rentes LAA et prestations de long terme
les facteurs de risque et les autres positions du bilan sont définies conformément au document </t>
    </r>
    <r>
      <rPr>
        <i/>
        <sz val="10"/>
        <color theme="1"/>
        <rFont val="Arial"/>
        <family val="2"/>
      </rPr>
      <t>Description technique pour le modèle standard risques de marché</t>
    </r>
    <r>
      <rPr>
        <sz val="10"/>
        <color theme="1"/>
        <rFont val="Arial"/>
        <family val="2"/>
      </rPr>
      <t>.</t>
    </r>
  </si>
  <si>
    <r>
      <t xml:space="preserve">Réévaluation des positions en cas de modification de + 100 % / - 0 % de la volatilité selon le document </t>
    </r>
    <r>
      <rPr>
        <i/>
        <sz val="10"/>
        <rFont val="Arial"/>
        <family val="2"/>
      </rPr>
      <t>Description technique du le modèle standard pour le risque de marché</t>
    </r>
    <r>
      <rPr>
        <sz val="10"/>
        <rFont val="Arial"/>
        <family val="2"/>
      </rPr>
      <t>.</t>
    </r>
  </si>
  <si>
    <r>
      <t xml:space="preserve">Il faut indiquer ici les expositions pour le résultat financier attendu, converties dans la monnaie de référence.
Le rendement excédentaire est calculé conformément au document </t>
    </r>
    <r>
      <rPr>
        <i/>
        <sz val="10"/>
        <color theme="1"/>
        <rFont val="Arial"/>
        <family val="2"/>
      </rPr>
      <t>Description technique du modèle standard SST pour le risque de marché</t>
    </r>
    <r>
      <rPr>
        <sz val="10"/>
        <color theme="1"/>
        <rFont val="Arial"/>
        <family val="2"/>
      </rPr>
      <t>.</t>
    </r>
  </si>
  <si>
    <t>Gemäss der Technischen Beschreibung des SST-Standardmodells der jeweiligen Sparten. Für Lebensversicherungen ist das erwartete versicherungstechnische Ergebnis = 0.</t>
  </si>
  <si>
    <r>
      <t xml:space="preserve">Selon le document </t>
    </r>
    <r>
      <rPr>
        <i/>
        <sz val="10"/>
        <color theme="1"/>
        <rFont val="Arial"/>
        <family val="2"/>
      </rPr>
      <t>Description technique du modèle standard SST de la branche respective. Pour l'assurance-vie le résultat d'assurance attendu est  = 0.</t>
    </r>
  </si>
  <si>
    <r>
      <t xml:space="preserve">Gemäss Dokument </t>
    </r>
    <r>
      <rPr>
        <i/>
        <sz val="10"/>
        <color theme="1"/>
        <rFont val="Arial"/>
        <family val="2"/>
      </rPr>
      <t>Technische Beschreibung für das SST-Standardmodell Lebenversicherung, Abschnitt 6.2.3</t>
    </r>
  </si>
  <si>
    <r>
      <t xml:space="preserve">According to </t>
    </r>
    <r>
      <rPr>
        <i/>
        <sz val="10"/>
        <color theme="1"/>
        <rFont val="Arial"/>
        <family val="2"/>
      </rPr>
      <t>Technische Beschreibung für das SST-Standardmodell Lebenversicherung, chapter 6.2.3</t>
    </r>
  </si>
  <si>
    <r>
      <t xml:space="preserve">Selon le document </t>
    </r>
    <r>
      <rPr>
        <i/>
        <sz val="10"/>
        <color theme="1"/>
        <rFont val="Arial"/>
        <family val="2"/>
      </rPr>
      <t>Description technique du modèle standard SST assurance-vie, section 6.2.3</t>
    </r>
  </si>
  <si>
    <r>
      <t xml:space="preserve">Die Zuordnung der Währung erfolgt gemäss dem Dokument </t>
    </r>
    <r>
      <rPr>
        <i/>
        <sz val="10"/>
        <color theme="1"/>
        <rFont val="Arial"/>
        <family val="2"/>
      </rPr>
      <t>Technische Beschreibung für das SST-Standardmodell Marktrisiko.</t>
    </r>
  </si>
  <si>
    <r>
      <t xml:space="preserve">Gemäss Dokument </t>
    </r>
    <r>
      <rPr>
        <i/>
        <sz val="10"/>
        <color theme="1"/>
        <rFont val="Arial"/>
        <family val="2"/>
      </rPr>
      <t>Technische Beschreibung für das SST-Standardmodell Lebenversicherung, Abschnitt 6.2.2</t>
    </r>
  </si>
  <si>
    <t>Selon le document Description technique du modèle standard SST assurance-vie, section 6.2.2</t>
  </si>
  <si>
    <r>
      <t xml:space="preserve">In diesem Blatt sind die Delta-Auslenkungen für diejenigen Bilanzpositionen, die in den vorhergehenden Blättern noch nicht erfasst worden sind, einzutragen. 
Die Delta-Auslenkungen werden gemäss Dokument </t>
    </r>
    <r>
      <rPr>
        <i/>
        <sz val="10"/>
        <rFont val="Arial"/>
        <family val="2"/>
      </rPr>
      <t>Technische Beschreibung für SST-Standardmodell Marktrisiko</t>
    </r>
    <r>
      <rPr>
        <sz val="10"/>
        <rFont val="Arial"/>
        <family val="2"/>
      </rPr>
      <t xml:space="preserve">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
    </r>
    <r>
      <rPr>
        <i/>
        <sz val="10"/>
        <rFont val="Arial"/>
        <family val="2"/>
      </rPr>
      <t>Technische Beschreibung für das Standardmodell Marktrisiko</t>
    </r>
    <r>
      <rPr>
        <sz val="10"/>
        <rFont val="Arial"/>
        <family val="2"/>
      </rPr>
      <t xml:space="preserve"> definiert.</t>
    </r>
  </si>
  <si>
    <r>
      <t xml:space="preserve">Neubewertung der Positionen bei + 100 % / - 0 % Änderung der Volatilität gemäss Dokument </t>
    </r>
    <r>
      <rPr>
        <i/>
        <sz val="10"/>
        <rFont val="Arial"/>
        <family val="2"/>
      </rPr>
      <t>Technische Beschreibung für das SST-Standardmodell Marktrisiko</t>
    </r>
    <r>
      <rPr>
        <sz val="10"/>
        <rFont val="Arial"/>
        <family val="2"/>
      </rPr>
      <t>.</t>
    </r>
  </si>
  <si>
    <r>
      <t xml:space="preserve">The delta ranges/sensitivities for balance sheet positions not covered in the preceding sheets should be entered in this sheet. 
The delta ranges are determined by the document </t>
    </r>
    <r>
      <rPr>
        <i/>
        <sz val="10"/>
        <color theme="1"/>
        <rFont val="Arial"/>
        <family val="2"/>
      </rPr>
      <t>Technische Beschreibung für das SST-Standardmodell Marktrisiko</t>
    </r>
    <r>
      <rPr>
        <sz val="10"/>
        <color theme="1"/>
        <rFont val="Arial"/>
        <family val="2"/>
      </rPr>
      <t xml:space="preserve">.
Delta ranges for insurance liabilities are determined according the technical description of the specific branch. 
   - Delta sensitivities for TVOG individual life
   - Delta sensitivities for pensions and long-term payments in accident insurance
The risk factors and other balance sheet positions are defined in </t>
    </r>
    <r>
      <rPr>
        <i/>
        <sz val="10"/>
        <color theme="1"/>
        <rFont val="Arial"/>
        <family val="2"/>
      </rPr>
      <t>Technische Beschreibung für das Standardmodell Marktrisiko.</t>
    </r>
  </si>
  <si>
    <r>
      <t xml:space="preserve">Revaluation of the positions for +100%/ - 0 % shift in volatility in accordance with </t>
    </r>
    <r>
      <rPr>
        <i/>
        <sz val="10"/>
        <color theme="1"/>
        <rFont val="Arial"/>
        <family val="2"/>
      </rPr>
      <t>Technische Beschreibung für das SST-Standardmodell Marktrisiko</t>
    </r>
    <r>
      <rPr>
        <sz val="10"/>
        <color theme="1"/>
        <rFont val="Arial"/>
        <family val="2"/>
      </rPr>
      <t>.</t>
    </r>
  </si>
  <si>
    <r>
      <t xml:space="preserve">Hier sind die Exposures für das erwartete finanzielle Ergebnis umgerechnet in die Referenzwährung einzutragen.
Die erwartete Überrendite wird gemäss Dokument </t>
    </r>
    <r>
      <rPr>
        <i/>
        <sz val="10"/>
        <rFont val="Arial"/>
        <family val="2"/>
      </rPr>
      <t>Technische Beschreibung für das SST-Standardmodell Marktrisiko</t>
    </r>
    <r>
      <rPr>
        <sz val="10"/>
        <rFont val="Arial"/>
        <family val="2"/>
      </rPr>
      <t xml:space="preserve"> berechnet.</t>
    </r>
  </si>
  <si>
    <t>The exposures for the expected financial result converted into the reference currency are entered here. The expected excess return is calculated according the document Technische Beschreibung für das SST-Standardmodell Marktrisiko.</t>
  </si>
  <si>
    <r>
      <t xml:space="preserve">Gemäss Dokument </t>
    </r>
    <r>
      <rPr>
        <i/>
        <sz val="10"/>
        <rFont val="Arial"/>
        <family val="2"/>
      </rPr>
      <t>Technische Beschreibung für das SST-Standardmodell Lebensversicherung</t>
    </r>
  </si>
  <si>
    <r>
      <t xml:space="preserve">Selon le document </t>
    </r>
    <r>
      <rPr>
        <i/>
        <sz val="10"/>
        <color theme="1"/>
        <rFont val="Arial"/>
        <family val="2"/>
      </rPr>
      <t>Description technique pour le modèle standard SST assurance-vie</t>
    </r>
  </si>
  <si>
    <r>
      <t xml:space="preserve">According to </t>
    </r>
    <r>
      <rPr>
        <i/>
        <sz val="10"/>
        <color theme="1"/>
        <rFont val="Arial"/>
        <family val="2"/>
      </rPr>
      <t>Technische Beschreibung für das SST-Standardmodell Lebensversicherung</t>
    </r>
  </si>
  <si>
    <t>dont risque centré de nouveau sinistre pour les sinistres normaux (net ; netgross pour utilisateurs de StandRe)</t>
  </si>
  <si>
    <t>Charge de sinistres attendue escomptée pour les sinistres normaux (nette ; netgross pour utilisateurs de StandRe)</t>
  </si>
  <si>
    <t>Charge de sinistres attendue escomptée pour les grands sinistres, à l’exclusion des catastrophes naturelles (nette ; netgross pour utilisateurs de StandRe)</t>
  </si>
  <si>
    <t>Charge de sinistres attendue escomptée pour les catastrophes naturelles (nette ; netgross pour utilisateurs de StandRe)</t>
  </si>
  <si>
    <t>dont risque centré de nouveau sinistre pour les grands sinistres, à l’exclusion des catastrophes naturelles (net ; netgross pour utilisateurs de StandRe)</t>
  </si>
  <si>
    <t>dont risque centré de nouveau sinistre pour les catastrophes naturelles (net ; netgross pour utilisateurs de StandRe)</t>
  </si>
  <si>
    <t>Coefficient de variation des risques de nouveau sinistre pour les sinistres normaux (net ; netgross pour utilisateurs de StandRe)</t>
  </si>
  <si>
    <r>
      <t xml:space="preserve">Currency mapping according to the document </t>
    </r>
    <r>
      <rPr>
        <i/>
        <sz val="10"/>
        <color theme="1"/>
        <rFont val="Arial"/>
        <family val="2"/>
      </rPr>
      <t>Technische Beschreibung für das SST-Standardmodell Marktrisiko.</t>
    </r>
  </si>
  <si>
    <t>Résultat financier attendu en sus du taux sans risque</t>
  </si>
  <si>
    <t>Autres risques d’assurance au titre de l’activité sinistres (centrés)</t>
  </si>
  <si>
    <t>Titres à revenu fixe: Subdivision selon la notation</t>
  </si>
  <si>
    <t>2.9. Passive Rechnungsabgrenzungen</t>
  </si>
  <si>
    <t>Anzahl Simulationen</t>
  </si>
  <si>
    <t>Nombre de simulations</t>
  </si>
  <si>
    <t>Number of simulations</t>
  </si>
  <si>
    <t>Aktien von Gruppengesellschaften</t>
  </si>
  <si>
    <t>Forderungen gegenüber Versicherungsgesellschaften: übrige</t>
  </si>
  <si>
    <t>Forderungen gegenüber Versicherungs- und Rückversicherungsgesellschaften</t>
  </si>
  <si>
    <t>Latente Steuerverpflichtungen</t>
  </si>
  <si>
    <t>SST Balance Sheet</t>
  </si>
  <si>
    <t>Insurance Cashflows</t>
  </si>
  <si>
    <t>Cashflows aus Versicherungsgeschäft</t>
  </si>
  <si>
    <t>Cash flows liés aux activités d'assurance</t>
  </si>
  <si>
    <t>Cash flows from insurance business</t>
  </si>
  <si>
    <r>
      <t xml:space="preserve">Erwartete Werte </t>
    </r>
    <r>
      <rPr>
        <sz val="10"/>
        <color theme="1"/>
        <rFont val="Arial"/>
        <family val="2"/>
      </rPr>
      <t>(alle Sparten)</t>
    </r>
  </si>
  <si>
    <t>Valeurs attendues (toutes les branches)</t>
  </si>
  <si>
    <t>Expected values (all branches)</t>
  </si>
  <si>
    <t>Eingabefelder: In diesen Feldern werden versicherungsspezifische Angaben erwartet.</t>
  </si>
  <si>
    <t>101000000MCV</t>
  </si>
  <si>
    <t>101100000MCV</t>
  </si>
  <si>
    <t>101200000MCV</t>
  </si>
  <si>
    <t>101200100MCV</t>
  </si>
  <si>
    <t>101200200MCV</t>
  </si>
  <si>
    <t>101300000MCV</t>
  </si>
  <si>
    <t>101300100MCV</t>
  </si>
  <si>
    <t>101300200MCV</t>
  </si>
  <si>
    <t>101300300MCV</t>
  </si>
  <si>
    <t>101300400MCV</t>
  </si>
  <si>
    <t>101310000MCV</t>
  </si>
  <si>
    <t>101400000MCV</t>
  </si>
  <si>
    <t>101410000MCV</t>
  </si>
  <si>
    <t>101500000MCV</t>
  </si>
  <si>
    <t>101600000MCV</t>
  </si>
  <si>
    <t>101600100MCV</t>
  </si>
  <si>
    <t>101600200MCV</t>
  </si>
  <si>
    <t>101600300MCV</t>
  </si>
  <si>
    <t>Beschreibung der Änderung</t>
  </si>
  <si>
    <t>101700000MCV</t>
  </si>
  <si>
    <t>101710000MCV</t>
  </si>
  <si>
    <t>101710100MCV</t>
  </si>
  <si>
    <t>101710200MCV</t>
  </si>
  <si>
    <t>101710300MCV</t>
  </si>
  <si>
    <t>Actions de sociétés du groupe</t>
  </si>
  <si>
    <t>Investments in subsidiaries: quota &gt;50%</t>
  </si>
  <si>
    <t>Investments in subsidiaries: quota &gt;20% to 50%</t>
  </si>
  <si>
    <t>Investments in subsidiaries: insurance companies</t>
  </si>
  <si>
    <t>Other investments in subsidiaries</t>
  </si>
  <si>
    <t>Mixed-use real estate: domestic</t>
  </si>
  <si>
    <t>Government and central banks bonds</t>
  </si>
  <si>
    <t>Policyholders' loan</t>
  </si>
  <si>
    <t>Anlagefonds: festverzinsliche Wertpapiere</t>
  </si>
  <si>
    <t>Investment funds: fixed income securities</t>
  </si>
  <si>
    <t>101710400MCV</t>
  </si>
  <si>
    <t>101710500MCV</t>
  </si>
  <si>
    <t>101710600MCV</t>
  </si>
  <si>
    <t>Alternative Kapitalanlagen</t>
  </si>
  <si>
    <t>Placements alternatifs de capitaux</t>
  </si>
  <si>
    <t>101720000MCV</t>
  </si>
  <si>
    <t>101721000MCV</t>
  </si>
  <si>
    <t>101722000MCV</t>
  </si>
  <si>
    <t>101723100MCV</t>
  </si>
  <si>
    <t>101723200MCV</t>
  </si>
  <si>
    <t>101723300MCV</t>
  </si>
  <si>
    <t>101730000MCV</t>
  </si>
  <si>
    <t>Andere strukturierte Produkte</t>
  </si>
  <si>
    <t>Other structured products</t>
  </si>
  <si>
    <t>Autres produits structurés</t>
  </si>
  <si>
    <t>101740000MCV</t>
  </si>
  <si>
    <t>101741000MCV</t>
  </si>
  <si>
    <t>101741100MCV</t>
  </si>
  <si>
    <t>101741200MCV</t>
  </si>
  <si>
    <t>101741300MCV</t>
  </si>
  <si>
    <t>101741400MCV</t>
  </si>
  <si>
    <t>101742100MCV</t>
  </si>
  <si>
    <t>Sonstige verbriefte Forderungen</t>
  </si>
  <si>
    <t>Autres créances titrisées</t>
  </si>
  <si>
    <t>Other securitized claims</t>
  </si>
  <si>
    <t>102000000MCV</t>
  </si>
  <si>
    <t>102100000MCV</t>
  </si>
  <si>
    <t>102200000MCV</t>
  </si>
  <si>
    <t>103000000MCV</t>
  </si>
  <si>
    <t>103000100MCV</t>
  </si>
  <si>
    <t>103000200MCV</t>
  </si>
  <si>
    <t>103000300MCV</t>
  </si>
  <si>
    <t>103000400MCV</t>
  </si>
  <si>
    <t>103000500MCV</t>
  </si>
  <si>
    <t>103000600MCV</t>
  </si>
  <si>
    <t>104000000MCV</t>
  </si>
  <si>
    <t>105000000MCV</t>
  </si>
  <si>
    <t>105000100MCV</t>
  </si>
  <si>
    <t>105000200MCV</t>
  </si>
  <si>
    <t>105000300MCV</t>
  </si>
  <si>
    <t>Direktversicherung: Lebensversicherungsgeschäft (ohne ALV)</t>
  </si>
  <si>
    <t>Direktversicherung: Schadenversicherungsgeschäft</t>
  </si>
  <si>
    <t>Direktversicherung: Krankenversicherungsgeschäft</t>
  </si>
  <si>
    <t>Direktversicherung: Anteilgebundenes Lebensversicherungsgeschäft</t>
  </si>
  <si>
    <t>Assurance directe : assurance sur la vie (hors ass.-vie liée à des participations)</t>
  </si>
  <si>
    <t>Réassurance active : assurance sur la vie (hors ass.-vie liée à des participations)</t>
  </si>
  <si>
    <t>Assurance directe : assurance dommages</t>
  </si>
  <si>
    <t>Assurance directe : assurance-maladie</t>
  </si>
  <si>
    <t>Réassurance active : assurance dommages</t>
  </si>
  <si>
    <t>Réassurance active : assurance-maladie</t>
  </si>
  <si>
    <t>Assurance directe : autres affaires</t>
  </si>
  <si>
    <t>Réassurance active : autres affaires</t>
  </si>
  <si>
    <t>Assurance directe : assurance-vie liée à des participations</t>
  </si>
  <si>
    <t>Réassurance active : assurance-vie liée à des participations</t>
  </si>
  <si>
    <t>Direct insurance: life insurance business (excluding unit linked life insurance)</t>
  </si>
  <si>
    <t>Reinsurance: life insurance business (excluding unit linked life insurance)</t>
  </si>
  <si>
    <t>Direct insurance: non-life insurance business</t>
  </si>
  <si>
    <t>Direct insurance: health insurance business</t>
  </si>
  <si>
    <t>Reinsurance: non-life insurance business</t>
  </si>
  <si>
    <t>Reinsurance: health insurance business</t>
  </si>
  <si>
    <t>Direct insurance: other business</t>
  </si>
  <si>
    <t>Reinsurance: other business</t>
  </si>
  <si>
    <t>Direct insurance: unit-linked life insurance business</t>
  </si>
  <si>
    <t>Reinsurance: unit-linked life insurance business</t>
  </si>
  <si>
    <t>106101000BE</t>
  </si>
  <si>
    <t>106102000BE</t>
  </si>
  <si>
    <t>106201000BE</t>
  </si>
  <si>
    <t>106202000BE</t>
  </si>
  <si>
    <t>106203000BE</t>
  </si>
  <si>
    <t>106204000BE</t>
  </si>
  <si>
    <t>106301000BE</t>
  </si>
  <si>
    <t>106302000BE</t>
  </si>
  <si>
    <t>107000000MCV</t>
  </si>
  <si>
    <t>108000000MCV</t>
  </si>
  <si>
    <t>109000000MCV</t>
  </si>
  <si>
    <t>110000000MCV</t>
  </si>
  <si>
    <t>Créances sur des compagnies d'assurance et de réassurance</t>
  </si>
  <si>
    <t>Receivables from insurance and reinsurance companies</t>
  </si>
  <si>
    <t>Créances sur des compagnies d'assurance: autres</t>
  </si>
  <si>
    <t>Receivables from insurance companies: other</t>
  </si>
  <si>
    <t>111000000MCV</t>
  </si>
  <si>
    <t>112000000MCV</t>
  </si>
  <si>
    <t>113000000MCV</t>
  </si>
  <si>
    <t>114000000MCV</t>
  </si>
  <si>
    <t>200000000MCV</t>
  </si>
  <si>
    <t>100000000MCV</t>
  </si>
  <si>
    <t>201102000BE</t>
  </si>
  <si>
    <t>201201000BE</t>
  </si>
  <si>
    <t>201101000BE</t>
  </si>
  <si>
    <t>201203000BE</t>
  </si>
  <si>
    <t>158)</t>
  </si>
  <si>
    <t>202020000BE</t>
  </si>
  <si>
    <t>201204000BE</t>
  </si>
  <si>
    <t>203000000MCV</t>
  </si>
  <si>
    <t>204000000MCV</t>
  </si>
  <si>
    <t>205000000MCV</t>
  </si>
  <si>
    <t>205000100MCV</t>
  </si>
  <si>
    <t>205000200MCV</t>
  </si>
  <si>
    <t>205000300MCV</t>
  </si>
  <si>
    <t>205000400MCV</t>
  </si>
  <si>
    <t>205000500MCV</t>
  </si>
  <si>
    <t>205000600MCV</t>
  </si>
  <si>
    <t>206000000MCV</t>
  </si>
  <si>
    <t>207000000MCV</t>
  </si>
  <si>
    <t>208000000MCV</t>
  </si>
  <si>
    <t>209000000MCV</t>
  </si>
  <si>
    <t>Engagements fiscaux différés</t>
  </si>
  <si>
    <t>Deferred tax liabilities</t>
  </si>
  <si>
    <t>Equity securities of group companies</t>
  </si>
  <si>
    <t>T.09.06</t>
  </si>
  <si>
    <t>Captive</t>
  </si>
  <si>
    <t>Grösster möglicher Schaden</t>
  </si>
  <si>
    <t>Erwarteter Schaden</t>
  </si>
  <si>
    <t>Erwartete Schadenanzahl</t>
  </si>
  <si>
    <t>Grosschadengrenze</t>
  </si>
  <si>
    <t>Jahresschadenlimit (AAL)</t>
  </si>
  <si>
    <t>Haftungslimit pro Risiko/Schaden (EEL)</t>
  </si>
  <si>
    <t>Jahresschadenselbstbehalt (AAD)</t>
  </si>
  <si>
    <t>Selbstbehalt pro Risiko/Schaden (EED)</t>
  </si>
  <si>
    <t>Quotenrückversicherung (QS)</t>
  </si>
  <si>
    <t>Erwartungswert der diskontierten Netto-Rückstellungen</t>
  </si>
  <si>
    <t>Paramètres CY</t>
  </si>
  <si>
    <t>Paramètres de la perte maximale possible</t>
  </si>
  <si>
    <t xml:space="preserve">Paramètres du modèle ground-up </t>
  </si>
  <si>
    <t>Sinistres ordinaires</t>
  </si>
  <si>
    <t>Perte maximale possible</t>
  </si>
  <si>
    <t>Sinistres attendus</t>
  </si>
  <si>
    <t>Fréquence attendue</t>
  </si>
  <si>
    <t>Ecart type</t>
  </si>
  <si>
    <t>Paramètres PY</t>
  </si>
  <si>
    <t>Maximum possible loss parameters</t>
  </si>
  <si>
    <t xml:space="preserve">Maximum possible loss </t>
  </si>
  <si>
    <t>Expected loss</t>
  </si>
  <si>
    <t>Expected frequency</t>
  </si>
  <si>
    <t>101723000XXX</t>
  </si>
  <si>
    <t>101722300XXX</t>
  </si>
  <si>
    <t>101730200XXX</t>
  </si>
  <si>
    <t>101730300XXX</t>
  </si>
  <si>
    <t>102200010XXX</t>
  </si>
  <si>
    <t>102200020XXX &amp; 102200030XXX</t>
  </si>
  <si>
    <t>102200040XXX</t>
  </si>
  <si>
    <t>102200050XXX</t>
  </si>
  <si>
    <t>102200070XXX</t>
  </si>
  <si>
    <t>106000000XXX</t>
  </si>
  <si>
    <t>106160100XXX</t>
  </si>
  <si>
    <t>107000200XXX</t>
  </si>
  <si>
    <t>110100000XXX</t>
  </si>
  <si>
    <t>110200000XXX</t>
  </si>
  <si>
    <t>Créances sur des compagnies de réassurance: acceptée</t>
  </si>
  <si>
    <t>Receivables from reinsurance companies: assumed</t>
  </si>
  <si>
    <t>1.10 Receivables from insurance business</t>
  </si>
  <si>
    <t xml:space="preserve">Receivables from policyholders and agents </t>
  </si>
  <si>
    <t>110200100XXX</t>
  </si>
  <si>
    <t>110200200XXX</t>
  </si>
  <si>
    <t>110200300XXX</t>
  </si>
  <si>
    <t>114000100XXX</t>
  </si>
  <si>
    <t>114000200XXX</t>
  </si>
  <si>
    <t>114000300XXX</t>
  </si>
  <si>
    <t>114000400XXX</t>
  </si>
  <si>
    <t>147)</t>
  </si>
  <si>
    <t>Andere Alternative Kapitalanlagen</t>
  </si>
  <si>
    <t>Autres placements alternatifs de capitaux</t>
  </si>
  <si>
    <t>Forderungen gegenüber Versicherungsgesellschaften: abgegebene</t>
  </si>
  <si>
    <t>Forderungen gegenüber Versicherungsgesellschaften: übernommene</t>
  </si>
  <si>
    <t>201'110'100XXX &amp; 201'120'100XXX &amp; 201'130'100XXX</t>
  </si>
  <si>
    <t>201140100XXX</t>
  </si>
  <si>
    <t>201150100XXX</t>
  </si>
  <si>
    <t>201160100XXX</t>
  </si>
  <si>
    <t>201170100XXX</t>
  </si>
  <si>
    <t>201202000BE</t>
  </si>
  <si>
    <t>201230200XXX</t>
  </si>
  <si>
    <t>202000000XXX</t>
  </si>
  <si>
    <t>203000200XXX</t>
  </si>
  <si>
    <t>203100000XXX</t>
  </si>
  <si>
    <t>207300200XXX</t>
  </si>
  <si>
    <t>209000400XXX</t>
  </si>
  <si>
    <t>210000000MCV</t>
  </si>
  <si>
    <t>210000100XXX</t>
  </si>
  <si>
    <t>210000200XXX</t>
  </si>
  <si>
    <t>210000300XXX</t>
  </si>
  <si>
    <t>210000400XXX</t>
  </si>
  <si>
    <t>210000500XXX</t>
  </si>
  <si>
    <t>Emprunts publics et de banques centrales</t>
  </si>
  <si>
    <t>Autre emprunts (emprunts à option, emprunts supranationaux)</t>
  </si>
  <si>
    <t xml:space="preserve">Senior Secured Loans </t>
  </si>
  <si>
    <t>Matières premières</t>
  </si>
  <si>
    <r>
      <rPr>
        <i/>
        <sz val="10"/>
        <color theme="1"/>
        <rFont val="Arial"/>
        <family val="2"/>
      </rPr>
      <t>Asset backed securities</t>
    </r>
    <r>
      <rPr>
        <sz val="10"/>
        <color theme="1"/>
        <rFont val="Arial"/>
        <family val="2"/>
      </rPr>
      <t xml:space="preserve"> (ABS)</t>
    </r>
  </si>
  <si>
    <r>
      <rPr>
        <i/>
        <sz val="10"/>
        <color theme="1"/>
        <rFont val="Arial"/>
        <family val="2"/>
      </rPr>
      <t>Mortgage backed securities</t>
    </r>
    <r>
      <rPr>
        <sz val="10"/>
        <color theme="1"/>
        <rFont val="Arial"/>
        <family val="2"/>
      </rPr>
      <t xml:space="preserve"> (MBS)</t>
    </r>
  </si>
  <si>
    <t>1.9 Immobilisations incorporelles</t>
  </si>
  <si>
    <t>Autres dettes à caractère de fonds propres, à durée indéterminée</t>
  </si>
  <si>
    <t>2.5 Dettes sur instruments financiers dérivés</t>
  </si>
  <si>
    <t>2.9 Comptes de régularisation</t>
  </si>
  <si>
    <t>1.8 Frais d'acquisition différés, activés, non encore amortis</t>
  </si>
  <si>
    <t>1.1.7 Autres placements</t>
  </si>
  <si>
    <t>1.1.1 Biens immobiliers</t>
  </si>
  <si>
    <t>1.1 Placements</t>
  </si>
  <si>
    <t>1.15 Total des actifs</t>
  </si>
  <si>
    <t>Placements collectifs de capitaux</t>
  </si>
  <si>
    <t>Total des autres actifs</t>
  </si>
  <si>
    <t>Assurance directe: autres affaires</t>
  </si>
  <si>
    <r>
      <t>C</t>
    </r>
    <r>
      <rPr>
        <i/>
        <sz val="10"/>
        <color theme="1"/>
        <rFont val="Arial"/>
        <family val="2"/>
      </rPr>
      <t>ollateralized debt obligations</t>
    </r>
    <r>
      <rPr>
        <sz val="10"/>
        <color theme="1"/>
        <rFont val="Arial"/>
        <family val="2"/>
      </rPr>
      <t xml:space="preserve"> (CDO) et C</t>
    </r>
    <r>
      <rPr>
        <i/>
        <sz val="10"/>
        <color theme="1"/>
        <rFont val="Arial"/>
        <family val="2"/>
      </rPr>
      <t>ollateralized loan obligations</t>
    </r>
    <r>
      <rPr>
        <sz val="10"/>
        <color theme="1"/>
        <rFont val="Arial"/>
        <family val="2"/>
      </rPr>
      <t xml:space="preserve"> (CLO)</t>
    </r>
  </si>
  <si>
    <t>1.1.3 Fixed-income securities</t>
  </si>
  <si>
    <t>1.1.6 Equities</t>
  </si>
  <si>
    <t>Collective investment schemes</t>
  </si>
  <si>
    <t>1.2 Financial investments from unit-linked life insurance</t>
  </si>
  <si>
    <t>1.7 Fixed assets</t>
  </si>
  <si>
    <t>1.14 Accrued assets</t>
  </si>
  <si>
    <t>2.9 Accrued liabilities</t>
  </si>
  <si>
    <t>2.10 Subordinated debts</t>
  </si>
  <si>
    <t>2.6 Deposits retained on ceded reinsurance</t>
  </si>
  <si>
    <t>Investment funds: equity securities</t>
  </si>
  <si>
    <t>Private debt</t>
  </si>
  <si>
    <t>Senior secured loans</t>
  </si>
  <si>
    <t>Commodities</t>
  </si>
  <si>
    <t>Asset backed securities (ABS)</t>
  </si>
  <si>
    <t>Mortgage backed securities (MBS)</t>
  </si>
  <si>
    <t>Collateralized debt obligations (CDO) and Collateralized loan obligations (CLO)</t>
  </si>
  <si>
    <t>Equity securities and similar securities</t>
  </si>
  <si>
    <t>Other fixed assets</t>
  </si>
  <si>
    <t>Créances sur des compagnies de réassurance: cédée</t>
  </si>
  <si>
    <t xml:space="preserve">Receivables from reinsurance companies: ceded </t>
  </si>
  <si>
    <t>Equalization reserves and other statutory reserves (life): gross</t>
  </si>
  <si>
    <t>Equalization reserves and other statutory reserves (non-life): gross</t>
  </si>
  <si>
    <t>Equalization reserves and other statutory reserves (health): gross</t>
  </si>
  <si>
    <t>Unlimited bonds and loans with characteristics of equity</t>
  </si>
  <si>
    <t>Other unlimited liabilities with characteristics of equity</t>
  </si>
  <si>
    <t>2.2 Insurance reserves for unit-linked life insurance: gross</t>
  </si>
  <si>
    <t>101800100XXX</t>
  </si>
  <si>
    <t>Schwankungsreserven Kapitalanlagen (ohne anteilgebundene Lebensversicherung)</t>
  </si>
  <si>
    <t>Réserves de fluctuation placements de capitaux (sans assurance vie liée à des participations)</t>
  </si>
  <si>
    <t>Equalization reserves investments (without unit-linked life insurance)</t>
  </si>
  <si>
    <t>Schwankungsreserven Kapitalanlagen aus anteilgebundener Lebensversicherung</t>
  </si>
  <si>
    <t>102300100XXX</t>
  </si>
  <si>
    <t>Réserves de fluctuation placements provenant de l'assurance sur la vie liée à des participations</t>
  </si>
  <si>
    <t>Equalization reserves for investments from unit-linked life insurance</t>
  </si>
  <si>
    <t>197)</t>
  </si>
  <si>
    <t>198)</t>
  </si>
  <si>
    <t>Schwankungsrückstellungen für anteilgebundene Lebensversicherungen direktes Geschäft: Brutto</t>
  </si>
  <si>
    <t>Provisions de fluctuation de l'assurance sur la vie liée à des participations; affaires directes: brutes</t>
  </si>
  <si>
    <t>Equalization reserves for unit-linked life insurancee; direct business: gross</t>
  </si>
  <si>
    <t>202400100XXX</t>
  </si>
  <si>
    <t>1013004X0</t>
  </si>
  <si>
    <t>1012001X0</t>
  </si>
  <si>
    <t>1012002X0</t>
  </si>
  <si>
    <t>1013001X0</t>
  </si>
  <si>
    <t>1013002X0</t>
  </si>
  <si>
    <t>1013003X0</t>
  </si>
  <si>
    <t>1016001X0</t>
  </si>
  <si>
    <t>1016002X0</t>
  </si>
  <si>
    <t>1016003X0</t>
  </si>
  <si>
    <t>1017101X0</t>
  </si>
  <si>
    <t>1017102X0</t>
  </si>
  <si>
    <t>1017103X0</t>
  </si>
  <si>
    <t>1017104X0</t>
  </si>
  <si>
    <t>1017105X0</t>
  </si>
  <si>
    <t>1017106X0</t>
  </si>
  <si>
    <t>1017223X0</t>
  </si>
  <si>
    <t>1017231X0</t>
  </si>
  <si>
    <t>1017232X0</t>
  </si>
  <si>
    <t>1017233X0</t>
  </si>
  <si>
    <t>1017302X0</t>
  </si>
  <si>
    <t>1017411X0</t>
  </si>
  <si>
    <t>1017412X0</t>
  </si>
  <si>
    <t>1017413X0</t>
  </si>
  <si>
    <t>1017414X0</t>
  </si>
  <si>
    <t>1017421X0</t>
  </si>
  <si>
    <t>10220001X</t>
  </si>
  <si>
    <t>10220002X &amp; 10220003X</t>
  </si>
  <si>
    <t>10220004X</t>
  </si>
  <si>
    <t>10220005X</t>
  </si>
  <si>
    <t>10220007X</t>
  </si>
  <si>
    <t>1030001X0</t>
  </si>
  <si>
    <t>1030002X0</t>
  </si>
  <si>
    <t>1030003X0</t>
  </si>
  <si>
    <t>1030004X0</t>
  </si>
  <si>
    <t>1030005X0</t>
  </si>
  <si>
    <t>1030006X0</t>
  </si>
  <si>
    <t>201110100 &amp; 201120100 &amp; 201130100</t>
  </si>
  <si>
    <t>Versicherungsrisiko Einzelkranken: CY-Risiko (Expected Shortfall)</t>
  </si>
  <si>
    <t>Kollektivtaggeld: Erwartete Prämien (vor Rückversicherung)</t>
  </si>
  <si>
    <t>Kollektivtaggeld: Erwartete Leistungen (vor Rückversicherung)</t>
  </si>
  <si>
    <t>Scenario AS</t>
  </si>
  <si>
    <t>Scenario KTG</t>
  </si>
  <si>
    <t>Schweiz</t>
  </si>
  <si>
    <t>Deutschland</t>
  </si>
  <si>
    <t>Frankreich</t>
  </si>
  <si>
    <t>Italien</t>
  </si>
  <si>
    <t>T.22.23</t>
  </si>
  <si>
    <t>T.22.24</t>
  </si>
  <si>
    <t>T.22.25</t>
  </si>
  <si>
    <t>T.22.26</t>
  </si>
  <si>
    <t>T.22.27</t>
  </si>
  <si>
    <t>Total 1-jahres versicherungstechnisches Risiko Krankengeschäft (zentriert, ohne Szenarien)</t>
  </si>
  <si>
    <t>Staatsanleihen AA- und höher</t>
  </si>
  <si>
    <t>Staatsanleihen A- bis und mit A+</t>
  </si>
  <si>
    <t>Staatsanleihen BBB- bis und mit BBB+</t>
  </si>
  <si>
    <t>Staatsanleihen tiefer als BBB- und kein Rating</t>
  </si>
  <si>
    <t>Unternehmensanleihen AA- und höher</t>
  </si>
  <si>
    <t>Unternehmensanleihen A- bis und mit A+</t>
  </si>
  <si>
    <t>Unternehmensanleihen BBB- bis und mit BBB+</t>
  </si>
  <si>
    <t>Unternehmensanleihen tiefer als BBB- und kein Rating</t>
  </si>
  <si>
    <t>Sonstige Anleihen AA- und höher</t>
  </si>
  <si>
    <t>Sonstige Anleihen A- bis und mit A+</t>
  </si>
  <si>
    <t>Sonstige Anleihen BBB- bis und mit BBB+</t>
  </si>
  <si>
    <t>Sonstige Anleihen tiefer als BBB- und kein Rating</t>
  </si>
  <si>
    <t>Group daily benefits: expected benefits (before reinsurance)</t>
  </si>
  <si>
    <t>Group daily benefits: expected premiums (before reinsurance)</t>
  </si>
  <si>
    <t>Insurance risk, individual patients: CY-risk (expected shortfall)</t>
  </si>
  <si>
    <t>Erklärungen / Kommentare</t>
  </si>
  <si>
    <t>Explications / Commentaires</t>
  </si>
  <si>
    <t>Versicherungsrisiko Einzelkranken: CY-Risiko</t>
  </si>
  <si>
    <t>Einzelkranken: Anzahl Versicherte (Kopfzählung)</t>
  </si>
  <si>
    <t>Suisse</t>
  </si>
  <si>
    <t>France</t>
  </si>
  <si>
    <t>Italie</t>
  </si>
  <si>
    <t>Switzerland</t>
  </si>
  <si>
    <t>Germany</t>
  </si>
  <si>
    <t>Italy</t>
  </si>
  <si>
    <t>Other european countries</t>
  </si>
  <si>
    <t>Other countries</t>
  </si>
  <si>
    <t>Allemagne</t>
  </si>
  <si>
    <t>Autres pays européens</t>
  </si>
  <si>
    <t>Autres pays</t>
  </si>
  <si>
    <t>Versicherungsrisiko Einzelkranken: LZV-Risiko</t>
  </si>
  <si>
    <t>Versicherungsrisiko Einzelkranken: LZV-Risiko (Expected Shortfall)</t>
  </si>
  <si>
    <t>Insurance risk, individual patients: LZV-risk (Expected Shortfall)</t>
  </si>
  <si>
    <t>davon Sterblichkeit (Expected Shortfall)</t>
  </si>
  <si>
    <t>davon Storno (Expected Shortfall)</t>
  </si>
  <si>
    <t>davon Verwaltungskosten (Expected Shortfall)</t>
  </si>
  <si>
    <t>davon Leistungen (Expected Shortfall)</t>
  </si>
  <si>
    <t>dont mortalité (expected shortfall)</t>
  </si>
  <si>
    <t>dont frais d’administration (expected shortfall)</t>
  </si>
  <si>
    <t>dont prestations (expected shortfall)</t>
  </si>
  <si>
    <t>of which mortality (expected shortfall)</t>
  </si>
  <si>
    <t>of which lapse (expected shortfall)</t>
  </si>
  <si>
    <t>of which administrative expenses (expected shortfall)</t>
  </si>
  <si>
    <t>of which benefits (expected shortfall)</t>
  </si>
  <si>
    <t>110300100XXX &amp; 110400100XXX</t>
  </si>
  <si>
    <t>110300100 &amp; 110400100</t>
  </si>
  <si>
    <t>S3.6</t>
  </si>
  <si>
    <t>davon Sterblichkeit</t>
  </si>
  <si>
    <t>davon Storno</t>
  </si>
  <si>
    <t>davon Verwaltungskosten</t>
  </si>
  <si>
    <t>davon Leistungen</t>
  </si>
  <si>
    <t>S3.6 Betriebsausflug</t>
  </si>
  <si>
    <t>S3.7 Unterreservierung</t>
  </si>
  <si>
    <t>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t>
  </si>
  <si>
    <t>All additional effects on the target capital, except the difference between the RTK under runoff and going concern conditions. This difference is calculated directly in the R-Tool and taken into account in the solvency calculation. It therefore does not have to be taken into account here.</t>
  </si>
  <si>
    <t>T.07.22</t>
  </si>
  <si>
    <t>Aufriss nach Währungen</t>
  </si>
  <si>
    <t>Répartition selon la monnaie</t>
  </si>
  <si>
    <t>Currency breakdown</t>
  </si>
  <si>
    <t>Wechselkurs (SST-Währung bzw. Währungskorb gegenüber CHF)</t>
  </si>
  <si>
    <t>Scope Ratings</t>
  </si>
  <si>
    <t>S-1+</t>
  </si>
  <si>
    <t>S-1</t>
  </si>
  <si>
    <t>S-2</t>
  </si>
  <si>
    <t>S-3, S-4</t>
  </si>
  <si>
    <t>CCC – D</t>
  </si>
  <si>
    <t>Fixed-income securities</t>
  </si>
  <si>
    <t>of which policyholders' loan</t>
  </si>
  <si>
    <t>Financial investments from unit-linked life insurance</t>
  </si>
  <si>
    <t>Receivables from insurance business incl. deposits</t>
  </si>
  <si>
    <t>Dettes sur instruments financiers dérivés</t>
  </si>
  <si>
    <t>Deposits retained on ceded reinsurance</t>
  </si>
  <si>
    <t>Placements</t>
  </si>
  <si>
    <t>Active reinsurance (Retrocessions) - indirect business</t>
  </si>
  <si>
    <t>Total des actifs</t>
  </si>
  <si>
    <t>Best estimate of other insurance liabilities</t>
  </si>
  <si>
    <r>
      <rPr>
        <i/>
        <sz val="10"/>
        <color theme="1"/>
        <rFont val="Arial"/>
        <family val="2"/>
      </rPr>
      <t>Best estimate</t>
    </r>
    <r>
      <rPr>
        <sz val="10"/>
        <color theme="1"/>
        <rFont val="Arial"/>
        <family val="2"/>
      </rPr>
      <t xml:space="preserve"> des engagements actuariels (dommage): bruts</t>
    </r>
  </si>
  <si>
    <r>
      <rPr>
        <i/>
        <sz val="10"/>
        <color theme="1"/>
        <rFont val="Arial"/>
        <family val="2"/>
      </rPr>
      <t>Best estimate</t>
    </r>
    <r>
      <rPr>
        <sz val="10"/>
        <color theme="1"/>
        <rFont val="Arial"/>
        <family val="2"/>
      </rPr>
      <t xml:space="preserve"> des engagements actuariels (maladie): bruts</t>
    </r>
  </si>
  <si>
    <r>
      <rPr>
        <i/>
        <sz val="10"/>
        <color theme="1"/>
        <rFont val="Arial"/>
        <family val="2"/>
      </rPr>
      <t>Best estimate</t>
    </r>
    <r>
      <rPr>
        <sz val="10"/>
        <color theme="1"/>
        <rFont val="Arial"/>
        <family val="2"/>
      </rPr>
      <t xml:space="preserve"> des engagements de long terme (maladie)</t>
    </r>
  </si>
  <si>
    <r>
      <rPr>
        <i/>
        <sz val="10"/>
        <color theme="1"/>
        <rFont val="Arial"/>
        <family val="2"/>
      </rPr>
      <t>Best estimate</t>
    </r>
    <r>
      <rPr>
        <sz val="10"/>
        <color theme="1"/>
        <rFont val="Arial"/>
        <family val="2"/>
      </rPr>
      <t xml:space="preserve"> des autres engagements actuariels</t>
    </r>
  </si>
  <si>
    <t>Autres dépôts et autres créances nées d'opérations d'assurance</t>
  </si>
  <si>
    <t>Sonstige Depotforderungen und sonstige Forderungen aus dem Versicherungsgeschäft</t>
  </si>
  <si>
    <t>Other deposit receivables and other receivables from insurance business</t>
  </si>
  <si>
    <r>
      <t xml:space="preserve">Selon le document </t>
    </r>
    <r>
      <rPr>
        <i/>
        <sz val="10"/>
        <color theme="1"/>
        <rFont val="Arial"/>
        <family val="2"/>
      </rPr>
      <t>Description technique du modèle standard SST assurance-maladie</t>
    </r>
    <r>
      <rPr>
        <sz val="10"/>
        <color theme="1"/>
        <rFont val="Arial"/>
        <family val="2"/>
      </rPr>
      <t>, section 11.6.</t>
    </r>
  </si>
  <si>
    <r>
      <t xml:space="preserve">According to </t>
    </r>
    <r>
      <rPr>
        <i/>
        <sz val="10"/>
        <color theme="1"/>
        <rFont val="Arial"/>
        <family val="2"/>
      </rPr>
      <t>Technische Beschreibung für das SST-Standardmodell Krankenversicherung</t>
    </r>
    <r>
      <rPr>
        <sz val="10"/>
        <color theme="1"/>
        <rFont val="Arial"/>
        <family val="2"/>
      </rPr>
      <t>, chapter 11.6.</t>
    </r>
  </si>
  <si>
    <r>
      <t>Gemäss Doku</t>
    </r>
    <r>
      <rPr>
        <sz val="10"/>
        <color theme="1"/>
        <rFont val="Arial"/>
        <family val="2"/>
      </rPr>
      <t xml:space="preserve">ment </t>
    </r>
    <r>
      <rPr>
        <i/>
        <sz val="10"/>
        <color theme="1"/>
        <rFont val="Arial"/>
        <family val="2"/>
      </rPr>
      <t>Technische Beschreibung für das SST-Standardmodell Krankenversicherung</t>
    </r>
    <r>
      <rPr>
        <sz val="10"/>
        <color theme="1"/>
        <rFont val="Arial"/>
        <family val="2"/>
      </rPr>
      <t>, Abschnitt 11.3.</t>
    </r>
  </si>
  <si>
    <r>
      <t xml:space="preserve">Selon le document </t>
    </r>
    <r>
      <rPr>
        <i/>
        <sz val="10"/>
        <color theme="1"/>
        <rFont val="Arial"/>
        <family val="2"/>
      </rPr>
      <t>Description technique du modèle standard SST assurance-maladie</t>
    </r>
    <r>
      <rPr>
        <sz val="10"/>
        <color theme="1"/>
        <rFont val="Arial"/>
        <family val="2"/>
      </rPr>
      <t>, section 11.3.</t>
    </r>
  </si>
  <si>
    <r>
      <t>Accor</t>
    </r>
    <r>
      <rPr>
        <sz val="10"/>
        <color theme="1"/>
        <rFont val="Arial"/>
        <family val="2"/>
      </rPr>
      <t xml:space="preserve">ding to </t>
    </r>
    <r>
      <rPr>
        <i/>
        <sz val="10"/>
        <color theme="1"/>
        <rFont val="Arial"/>
        <family val="2"/>
      </rPr>
      <t>Technische Beschreibung für das SST-Standardmodell Krankenversicherung</t>
    </r>
    <r>
      <rPr>
        <sz val="10"/>
        <color theme="1"/>
        <rFont val="Arial"/>
        <family val="2"/>
      </rPr>
      <t>, chapter 11.3.</t>
    </r>
  </si>
  <si>
    <t>L’écart type (valeur positive) selon la Description technique pour le modèle standard SST assurance-maladie, chapitre 5 doit être calculé.</t>
  </si>
  <si>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6.</t>
    </r>
  </si>
  <si>
    <r>
      <t xml:space="preserve">Zu berechnen ist die Standardabweichung (positiver Wert) gemäss dem Dokument </t>
    </r>
    <r>
      <rPr>
        <i/>
        <sz val="10"/>
        <rFont val="Arial"/>
        <family val="2"/>
      </rPr>
      <t>Technische Beschreibung für das SST-Standardmodell Krankenversicherung</t>
    </r>
    <r>
      <rPr>
        <sz val="10"/>
        <rFont val="Arial"/>
        <family val="2"/>
      </rPr>
      <t>, Kapitel 5.</t>
    </r>
  </si>
  <si>
    <r>
      <t xml:space="preserve">L’écart type (valeur positive) selon la </t>
    </r>
    <r>
      <rPr>
        <i/>
        <sz val="10"/>
        <color theme="1"/>
        <rFont val="Arial"/>
        <family val="2"/>
      </rPr>
      <t>Description technique pour le modèle standard SST assurance-maladie</t>
    </r>
    <r>
      <rPr>
        <sz val="10"/>
        <color theme="1"/>
        <rFont val="Arial"/>
        <family val="2"/>
      </rPr>
      <t>, chapitre 6 doit être calculé.</t>
    </r>
  </si>
  <si>
    <r>
      <t xml:space="preserve">Calculate the standard deviation (positive value) in accordance with Chapter 5 of the </t>
    </r>
    <r>
      <rPr>
        <i/>
        <sz val="10"/>
        <rFont val="Arial"/>
        <family val="2"/>
      </rPr>
      <t>Technische Beschreibung für das SST-Standardmodell Krankenversicherung</t>
    </r>
    <r>
      <rPr>
        <sz val="10"/>
        <rFont val="Arial"/>
        <family val="2"/>
      </rPr>
      <t>.</t>
    </r>
  </si>
  <si>
    <t>Calculate the standard deviation (positive value) in accordance with Chapter 6 of the Technische Beschreibung für das SST-Standardmodell Krankenversicherung.</t>
  </si>
  <si>
    <t>Risikotragendes Kapital unter Runoff Bedingungen (nur für die Sparte Leben relevant)</t>
  </si>
  <si>
    <t>Risk bearing capital under run-off assumptions (only relevant for the branch life)</t>
  </si>
  <si>
    <t>Moody's Investors Service</t>
  </si>
  <si>
    <t>Standard and Poor's</t>
  </si>
  <si>
    <t>fedafin AG</t>
  </si>
  <si>
    <t>Andere europäische Länder</t>
  </si>
  <si>
    <t>Andere Länder</t>
  </si>
  <si>
    <t>Capital porteur de risques en situation de run-off (pertinent seulement pour la branche vie)</t>
  </si>
  <si>
    <t>Risque d’assurance maladie individuelle: risque EV (expected shortfall)</t>
  </si>
  <si>
    <t>dont résiliations (expected shortfall)</t>
  </si>
  <si>
    <t>Risque d’assurance maladie individuelle: risque CY (expected shortfall)</t>
  </si>
  <si>
    <t>Collective indemnités journalières: primes attendues (avant réassurance)</t>
  </si>
  <si>
    <t>Collective Indemnités journalières: prestations attendues (avant réassurance)</t>
  </si>
  <si>
    <t>Risque d’assurance maladie individuelle: risque EV</t>
  </si>
  <si>
    <t>Insurance risk, individual patients: LZV-risk</t>
  </si>
  <si>
    <t>dont mortalité</t>
  </si>
  <si>
    <t>of which mortality</t>
  </si>
  <si>
    <t>of which lapse</t>
  </si>
  <si>
    <t>dont résiliations</t>
  </si>
  <si>
    <t>dont frais d’administration</t>
  </si>
  <si>
    <t>dont prestations</t>
  </si>
  <si>
    <t>Risque d’assurance maladie individuelle: risque CY</t>
  </si>
  <si>
    <t>of which administrative expenses</t>
  </si>
  <si>
    <t>of which benefits</t>
  </si>
  <si>
    <t>Insurance risk, individual patients: CY-risk</t>
  </si>
  <si>
    <t>Total risque d'assurance maladie sur un an (centré)</t>
  </si>
  <si>
    <t>Total 1-year insurance risk health (centered)</t>
  </si>
  <si>
    <t>Total 1-year insurance risk health (centered, without scenarios)</t>
  </si>
  <si>
    <t>Total risque d'assurance maladie sur un an (centré, sans scénarios )</t>
  </si>
  <si>
    <t>Risque d’assurance maladie individuelle: totale</t>
  </si>
  <si>
    <t>Insurance risk, individual patients: total</t>
  </si>
  <si>
    <t>Taux de change (Monnaie du SST resp. panier de devises)</t>
  </si>
  <si>
    <t>Exchange rate (SST currency or currency basket)</t>
  </si>
  <si>
    <t xml:space="preserve">Angaben in Mio. </t>
  </si>
  <si>
    <t xml:space="preserve">Entrées en million </t>
  </si>
  <si>
    <t>Input in million</t>
  </si>
  <si>
    <t>Commentaires</t>
  </si>
  <si>
    <t>Government bonds AA- and higher</t>
  </si>
  <si>
    <t>Government bonds A- up to an including A+</t>
  </si>
  <si>
    <t>Government bonds BBB- up to and including BBB+</t>
  </si>
  <si>
    <t>Government bonds lower than BBB- and no rating</t>
  </si>
  <si>
    <r>
      <t xml:space="preserve">La valeur suivante doit seulement être calculée pour la branche "vie" selon le document </t>
    </r>
    <r>
      <rPr>
        <i/>
        <sz val="10"/>
        <rFont val="Arial"/>
        <family val="2"/>
      </rPr>
      <t xml:space="preserve">Description technique du modèle standard SST assurance-vie.
</t>
    </r>
    <r>
      <rPr>
        <sz val="10"/>
        <rFont val="Arial"/>
        <family val="2"/>
      </rPr>
      <t>La cellule doit être vide pour les autres branches.</t>
    </r>
  </si>
  <si>
    <t>Der folgende Wert ist lediglich für die Sparte Leben zu bestimmen und zwar gemäss Dokument Technische Beschreibung Standardmodell für die Lebensversicherung.
Für alle anderen Sparten ist diese Zelle leer zu lassen.</t>
  </si>
  <si>
    <r>
      <t xml:space="preserve">According to </t>
    </r>
    <r>
      <rPr>
        <i/>
        <sz val="10"/>
        <color theme="1"/>
        <rFont val="Arial"/>
        <family val="2"/>
      </rPr>
      <t>Technische Beschreibung für das SST-Standardmodell Lebensversicherung</t>
    </r>
    <r>
      <rPr>
        <sz val="10"/>
        <color theme="1"/>
        <rFont val="Arial"/>
        <family val="2"/>
      </rPr>
      <t>, chapter 6.2.2</t>
    </r>
  </si>
  <si>
    <r>
      <t xml:space="preserve">The following value has only to be calculated for the life branch namely according to the document </t>
    </r>
    <r>
      <rPr>
        <i/>
        <sz val="10"/>
        <rFont val="Arial"/>
        <family val="2"/>
      </rPr>
      <t xml:space="preserve">Technische Beschreibung für das SST-Standardmodell Lebensversicherung.
</t>
    </r>
    <r>
      <rPr>
        <sz val="10"/>
        <rFont val="Arial"/>
        <family val="2"/>
      </rPr>
      <t>For all other branches the cell is empty.</t>
    </r>
  </si>
  <si>
    <t>For the drop-down menu in Excel</t>
  </si>
  <si>
    <t>additional1</t>
  </si>
  <si>
    <t>additional2</t>
  </si>
  <si>
    <t>Parameter (FINMA)</t>
  </si>
  <si>
    <t>MVM nhmr Faktor</t>
  </si>
  <si>
    <t>Erwartetes finanzielles Ergebnis Faktor</t>
  </si>
  <si>
    <t>Kreditrisikofaktor Basel III</t>
  </si>
  <si>
    <t>Permanente relative Erhöhung der Stornoraten des übrigen Geschäfts um 15 % für Schweizer Geschäft, um 25 % für ausländisches Geschäft. 
Dieser Risikotreiber gilt nur für das übrige Geschäft.</t>
  </si>
  <si>
    <t xml:space="preserve">Augmentation relative permanente des taux de résiliation des autres activités de 15 % pour l'activité suisse, de 25 % pour l'activité à l'étranger. 
Ces facteurs de risque ne valent que pour les autres activités.
</t>
  </si>
  <si>
    <t>Permanent relative increase of the remaining transactions’ cancellation rates by 15% for Swiss business, by 25% for foreign business. 
This risk driver applies only to the remaining transactions.</t>
  </si>
  <si>
    <t>Zentriertes Neuschadenrisiko (netto)</t>
  </si>
  <si>
    <t>Risque centré de nouveau sinistre (net)</t>
  </si>
  <si>
    <t>Centered new claims risk (net)</t>
  </si>
  <si>
    <t>Expected financial result factor</t>
  </si>
  <si>
    <t>Facteur pour le résultat financier attendu</t>
  </si>
  <si>
    <t>Facteur pour le risque de crédit Basel III</t>
  </si>
  <si>
    <t>Facteur pour la MVM (coût du capital)</t>
  </si>
  <si>
    <t>Facteur par la MVM (nhmr)</t>
  </si>
  <si>
    <t>MVM Kapitalkostensatz</t>
  </si>
  <si>
    <t>Volatilität (immaterielle) Beteiligungen</t>
  </si>
  <si>
    <t>Volatilité des participations immatérielles</t>
  </si>
  <si>
    <t>Immaterial participations volatility</t>
  </si>
  <si>
    <t>Weitere versicherungstechnische Risiken aus dem Schadengeschäft (zentriert) (netto)</t>
  </si>
  <si>
    <t>Autres risques d’assurance au titre de l’activité sinistres (centrés) (nets)</t>
  </si>
  <si>
    <t>Other non-life insurance risk (centered) (net)</t>
  </si>
  <si>
    <t>General Parameters</t>
  </si>
  <si>
    <t>Please do not change these values. Any change could alter the consistency of the results</t>
  </si>
  <si>
    <t>Non-life insurance risk</t>
  </si>
  <si>
    <t>Discounted expected claims from normal losses (net; “netgross” for StandRe users)</t>
  </si>
  <si>
    <t>Discounted expected claims from major losses excl. natural catastrophes (net; “netgross” for StandRe users)</t>
  </si>
  <si>
    <t>Discounted expected claims from natural catastrophes (net; “netgross” for StandRe users)</t>
  </si>
  <si>
    <t>Input to the SST Tool</t>
  </si>
  <si>
    <t>Tous les effets supplémentaires sur le capital cible, sauf la différence entre le CPR en situation de run-off et en situation de going concern. Cette différence est calculée directement dans le R-Tool et est prise en compte dans le calcul de la solvabilité. Par conséquent, elle ne doit pas être prise en compte ici.</t>
  </si>
  <si>
    <t>Weitere Informationen aus den spartenspezifischen Templates (Schaden-, Kranken- und Rückversicherungen, Captives)</t>
  </si>
  <si>
    <t>Informations supplémentaires provenant des templates spécifiques aux branches (Assurance dommage, maladie et réassurance, ainsi que captives)</t>
  </si>
  <si>
    <t>Additional information from the branch specific templates (Non life, health and reinsurance, as weel as captives)</t>
  </si>
  <si>
    <t>name</t>
  </si>
  <si>
    <t>col</t>
  </si>
  <si>
    <t>type</t>
  </si>
  <si>
    <t>isValueRequired</t>
  </si>
  <si>
    <t>isReplacementZero</t>
  </si>
  <si>
    <t>characteristic</t>
  </si>
  <si>
    <t>dataSelection</t>
  </si>
  <si>
    <t>filterValue</t>
  </si>
  <si>
    <t>Warning</t>
  </si>
  <si>
    <t>Error</t>
  </si>
  <si>
    <t>isValue</t>
  </si>
  <si>
    <t>isEmptyAllowed</t>
  </si>
  <si>
    <t>isDropEmptyRows</t>
  </si>
  <si>
    <t>isCorrelation</t>
  </si>
  <si>
    <t>Text</t>
  </si>
  <si>
    <t>Primary key</t>
  </si>
  <si>
    <t>correlationMarket</t>
  </si>
  <si>
    <t>correlation matrix</t>
  </si>
  <si>
    <t>Numeric</t>
  </si>
  <si>
    <t>RF73</t>
  </si>
  <si>
    <t>RF74</t>
  </si>
  <si>
    <t>RF75</t>
  </si>
  <si>
    <t>RF76</t>
  </si>
  <si>
    <t>RF77</t>
  </si>
  <si>
    <t>RF78</t>
  </si>
  <si>
    <t>RF79</t>
  </si>
  <si>
    <t>RF80</t>
  </si>
  <si>
    <t>RF81</t>
  </si>
  <si>
    <t>RF82</t>
  </si>
  <si>
    <t>RF83</t>
  </si>
  <si>
    <t>RF84</t>
  </si>
  <si>
    <t>RF85</t>
  </si>
  <si>
    <t>RF86</t>
  </si>
  <si>
    <t>RF87</t>
  </si>
  <si>
    <t>RF88</t>
  </si>
  <si>
    <t>RF89</t>
  </si>
  <si>
    <t>RF90</t>
  </si>
  <si>
    <t>RF91</t>
  </si>
  <si>
    <t>RF92</t>
  </si>
  <si>
    <t>RF93</t>
  </si>
  <si>
    <t>RF94</t>
  </si>
  <si>
    <t>RF95</t>
  </si>
  <si>
    <t>RF96</t>
  </si>
  <si>
    <t>RF97</t>
  </si>
  <si>
    <t>RF98</t>
  </si>
  <si>
    <t>RF99</t>
  </si>
  <si>
    <t>RF100</t>
  </si>
  <si>
    <t>configurationFDS</t>
  </si>
  <si>
    <t>FDS configuration</t>
  </si>
  <si>
    <t>Configuration</t>
  </si>
  <si>
    <t>row1</t>
  </si>
  <si>
    <t>Integer</t>
  </si>
  <si>
    <t>row2</t>
  </si>
  <si>
    <t>col1</t>
  </si>
  <si>
    <t>col2</t>
  </si>
  <si>
    <t>numericValue</t>
  </si>
  <si>
    <t>textValue</t>
  </si>
  <si>
    <t>correlationHealth</t>
  </si>
  <si>
    <t>correlation matrix health risk</t>
  </si>
  <si>
    <t>correlationLife</t>
  </si>
  <si>
    <t>correlation matrix life risk</t>
  </si>
  <si>
    <t>correlationRiskAggregation</t>
  </si>
  <si>
    <t>correlation matrix aggregation risks</t>
  </si>
  <si>
    <t>expectedFinancialResultTable</t>
  </si>
  <si>
    <t>expected financial result table</t>
  </si>
  <si>
    <t>return</t>
  </si>
  <si>
    <t>exposure</t>
  </si>
  <si>
    <t>Negative</t>
  </si>
  <si>
    <t>time</t>
  </si>
  <si>
    <t>maturitiesInterestRate</t>
  </si>
  <si>
    <t>projection times</t>
  </si>
  <si>
    <t>projection</t>
  </si>
  <si>
    <t>from</t>
  </si>
  <si>
    <t>initialFX</t>
  </si>
  <si>
    <t>exchange rates table</t>
  </si>
  <si>
    <t>to</t>
  </si>
  <si>
    <t>fx</t>
  </si>
  <si>
    <t>Negative,Zero</t>
  </si>
  <si>
    <t>notCurrency</t>
  </si>
  <si>
    <t>initialInterestRate</t>
  </si>
  <si>
    <t>zero coupon rates table</t>
  </si>
  <si>
    <t>Transpose</t>
  </si>
  <si>
    <t>label</t>
  </si>
  <si>
    <t>instrumentAsset</t>
  </si>
  <si>
    <t>asset prices table</t>
  </si>
  <si>
    <t>value</t>
  </si>
  <si>
    <t>contract</t>
  </si>
  <si>
    <t>Skip</t>
  </si>
  <si>
    <t>instrumentAssetForward</t>
  </si>
  <si>
    <t>asset prices forward contracts table</t>
  </si>
  <si>
    <t>Negative,Zero,Larger50</t>
  </si>
  <si>
    <t>Zero</t>
  </si>
  <si>
    <t>price</t>
  </si>
  <si>
    <t>position</t>
  </si>
  <si>
    <t>notLongShort</t>
  </si>
  <si>
    <t>instrumentDelta</t>
  </si>
  <si>
    <t>delta sensitivities table</t>
  </si>
  <si>
    <t>unit</t>
  </si>
  <si>
    <t>notUnit</t>
  </si>
  <si>
    <t>instrumentFixedIncome</t>
  </si>
  <si>
    <t>fixed income table</t>
  </si>
  <si>
    <t>rating</t>
  </si>
  <si>
    <t>marketValue</t>
  </si>
  <si>
    <t>instrumentFX_Forward</t>
  </si>
  <si>
    <t>fx forward contracts table</t>
  </si>
  <si>
    <t>nominal</t>
  </si>
  <si>
    <t>foreign</t>
  </si>
  <si>
    <t>instrumentLiability</t>
  </si>
  <si>
    <t>insurance liability cashflows</t>
  </si>
  <si>
    <t>factorId</t>
  </si>
  <si>
    <t>marketRiskFactorsAdditionalCheck</t>
  </si>
  <si>
    <t>risk factors mapping table</t>
  </si>
  <si>
    <t>scale</t>
  </si>
  <si>
    <t>scaling</t>
  </si>
  <si>
    <t>standalones</t>
  </si>
  <si>
    <t>Split</t>
  </si>
  <si>
    <t>notStandalone</t>
  </si>
  <si>
    <t>marketRiskFactorsAsset</t>
  </si>
  <si>
    <t>'asset price' risk factors</t>
  </si>
  <si>
    <t>targetCurrency</t>
  </si>
  <si>
    <t>notEmpty</t>
  </si>
  <si>
    <t>horizon</t>
  </si>
  <si>
    <t>marketRiskFactorsCurrency</t>
  </si>
  <si>
    <t>'currency' risk factors</t>
  </si>
  <si>
    <t>marketRiskFactorsRate</t>
  </si>
  <si>
    <t>'rate' risk factors</t>
  </si>
  <si>
    <t>notHorizon</t>
  </si>
  <si>
    <t>marketRiskFactorsSpread</t>
  </si>
  <si>
    <t>'spread' risk factors</t>
  </si>
  <si>
    <t>marketRiskFactorsDelta</t>
  </si>
  <si>
    <t>original risk factors (i.e. the risk factors that are included in the correlation matrix)</t>
  </si>
  <si>
    <t>marketRiskFactorsStandalones</t>
  </si>
  <si>
    <t>standalone definition</t>
  </si>
  <si>
    <t>marketVolatility</t>
  </si>
  <si>
    <t>volatilty table</t>
  </si>
  <si>
    <t>volatility</t>
  </si>
  <si>
    <t>Named vector</t>
  </si>
  <si>
    <t>Zero,Negative</t>
  </si>
  <si>
    <t>MVM_CashFlowsLife</t>
  </si>
  <si>
    <t>MVM life cashflows</t>
  </si>
  <si>
    <t>notStrictlyIncreasing</t>
  </si>
  <si>
    <t>nonlifeCDF</t>
  </si>
  <si>
    <t>cdf for nonlife risk</t>
  </si>
  <si>
    <t>cdf</t>
  </si>
  <si>
    <t>notContainOne,notIncreasing,Negative</t>
  </si>
  <si>
    <t>simulation</t>
  </si>
  <si>
    <t>nonlifeSimulation</t>
  </si>
  <si>
    <t>simulation vector for nonlife risk</t>
  </si>
  <si>
    <t>notRiskFactor</t>
  </si>
  <si>
    <t>scenarioMacroEconomic</t>
  </si>
  <si>
    <t>macroeconomic scenario table</t>
  </si>
  <si>
    <t>scenarioSST</t>
  </si>
  <si>
    <t>scenario table</t>
  </si>
  <si>
    <t>effect</t>
  </si>
  <si>
    <t>probability</t>
  </si>
  <si>
    <t>scenarioHealth</t>
  </si>
  <si>
    <t>health scenarios</t>
  </si>
  <si>
    <t>creditRiskExposure</t>
  </si>
  <si>
    <t>credit risk table</t>
  </si>
  <si>
    <t>weight</t>
  </si>
  <si>
    <t>weightedExposure</t>
  </si>
  <si>
    <t>class</t>
  </si>
  <si>
    <t>AutoComplete</t>
  </si>
  <si>
    <t>sensitivityHealth</t>
  </si>
  <si>
    <t>health insurance sensitivities table</t>
  </si>
  <si>
    <t>sensitivity</t>
  </si>
  <si>
    <t>exposureLife</t>
  </si>
  <si>
    <t>life insurance sensitivities table</t>
  </si>
  <si>
    <t>none</t>
  </si>
  <si>
    <t>participationValue</t>
  </si>
  <si>
    <t>value for participation</t>
  </si>
  <si>
    <t>MVM_Health</t>
  </si>
  <si>
    <t>MVM (before the nhmr factor)</t>
  </si>
  <si>
    <t>MVM_NonLife</t>
  </si>
  <si>
    <t>selectedBranch</t>
  </si>
  <si>
    <t>branch</t>
  </si>
  <si>
    <t>fileNameSuffix</t>
  </si>
  <si>
    <t>suffix for the output files</t>
  </si>
  <si>
    <t>nonlifeMu</t>
  </si>
  <si>
    <t>lognormal parameter (mu) for nonlife</t>
  </si>
  <si>
    <t>nonlifeSigma</t>
  </si>
  <si>
    <t>lognormal parameter (sigma) for nonlife</t>
  </si>
  <si>
    <t>notNonLifeType</t>
  </si>
  <si>
    <t>nonlifeType</t>
  </si>
  <si>
    <t>type of nonlife input</t>
  </si>
  <si>
    <t>companyName</t>
  </si>
  <si>
    <t>name of the insurance company</t>
  </si>
  <si>
    <t>referenceCurrency</t>
  </si>
  <si>
    <t>expectedInsuranceResult</t>
  </si>
  <si>
    <t>expected insurance result</t>
  </si>
  <si>
    <t>daughterValue</t>
  </si>
  <si>
    <t>value of the dauther company seen as participation by the mother</t>
  </si>
  <si>
    <t>daughterScaling</t>
  </si>
  <si>
    <t>participation scaling factor (for the look-through approach)</t>
  </si>
  <si>
    <t>daughterApplyLLPO</t>
  </si>
  <si>
    <t>indicator for the application of the LLPO (for the look-through approach)</t>
  </si>
  <si>
    <t>indicator for aggregating daughter market risk under the 'participation' risk factor</t>
  </si>
  <si>
    <t>RTK_goingConcern</t>
  </si>
  <si>
    <t>RTK_runOff</t>
  </si>
  <si>
    <t>additionalEffectsOnTC</t>
  </si>
  <si>
    <t>additional effects on the target capital</t>
  </si>
  <si>
    <t>expectedFinancialResultFactor</t>
  </si>
  <si>
    <t>param_creditRiskFactor</t>
  </si>
  <si>
    <t>credit risk</t>
  </si>
  <si>
    <t>param_costOfCapital</t>
  </si>
  <si>
    <t>cost of capital</t>
  </si>
  <si>
    <t>param_participationVolatility</t>
  </si>
  <si>
    <t>volatility of immaterial participations</t>
  </si>
  <si>
    <t>param_nhmrFactor</t>
  </si>
  <si>
    <t>style</t>
  </si>
  <si>
    <t>Arial</t>
  </si>
  <si>
    <t>commentStyle</t>
  </si>
  <si>
    <t>headerStyle</t>
  </si>
  <si>
    <t>headerStyleCentering</t>
  </si>
  <si>
    <t>topHeaderStyle</t>
  </si>
  <si>
    <t>boldStyle</t>
  </si>
  <si>
    <t>lightGridStyle</t>
  </si>
  <si>
    <t>whiteGridStyle</t>
  </si>
  <si>
    <t>Beteiligungswert</t>
  </si>
  <si>
    <t>Skalierungsfaktor</t>
  </si>
  <si>
    <t>LLPO anwenden</t>
  </si>
  <si>
    <t>Simulationen der Tochter unter Marktrisiko der Beteiligungen ausweisen</t>
  </si>
  <si>
    <t>show simulations of the daughter at market risk of participations</t>
  </si>
  <si>
    <t>SST-pflichtige Beteiligungen</t>
  </si>
  <si>
    <t>SST participations</t>
  </si>
  <si>
    <t>The expected dividend of SST participations is to be entered.</t>
  </si>
  <si>
    <t>Nachsilbe zur Bezeichnung des ausgegebenen FDS</t>
  </si>
  <si>
    <t>Suffix for the description of the output FDS</t>
  </si>
  <si>
    <t>Hier ist die erwartete Dividende der SST-pflichtigen Beteiligungen einzutragen, gemäss Technische Beschreibung Standardmodell Beteiligungen.</t>
  </si>
  <si>
    <t>The expected dividend of SST participations is to be entered, according to Technische Beschreibung Standardmodell Beteiligungen.</t>
  </si>
  <si>
    <t>credit</t>
  </si>
  <si>
    <t>Parameter für das Kreditrisiko</t>
  </si>
  <si>
    <t>Loss Given Default</t>
  </si>
  <si>
    <t>Rating Migration Matrix</t>
  </si>
  <si>
    <t>Migration Spread</t>
  </si>
  <si>
    <t>Asset Correlation</t>
  </si>
  <si>
    <t>LGD</t>
  </si>
  <si>
    <t>Explanation / Comments</t>
  </si>
  <si>
    <t>rho</t>
  </si>
  <si>
    <t>zentraler Parameter für die Assetkorrelation</t>
  </si>
  <si>
    <t>corr</t>
  </si>
  <si>
    <t>Korrelation zwischen stochastischem Modell und Basel 3 Restterm</t>
  </si>
  <si>
    <t>Inputdaten für das stochastische Kreditrisikomodell</t>
  </si>
  <si>
    <t>Positions-Id</t>
  </si>
  <si>
    <t>Position Name</t>
  </si>
  <si>
    <t>Gegenpartei-Id</t>
  </si>
  <si>
    <t>Name Gegenpartei</t>
  </si>
  <si>
    <t>Quelle Rating</t>
  </si>
  <si>
    <t>Währung CFs</t>
  </si>
  <si>
    <t>Marktwert CFs</t>
  </si>
  <si>
    <t>Verständliche Bezeichnung der Position (zur Information)</t>
  </si>
  <si>
    <t>Eindeutige Kennzeichnung einer Gegenpartei für Modellierungszwecke</t>
  </si>
  <si>
    <t>Bezeichnung der Gegenpartei (zur Information)</t>
  </si>
  <si>
    <t>CH9999999999</t>
  </si>
  <si>
    <t>Pfefferminzia 2.875%  - 04/02/2031</t>
  </si>
  <si>
    <t>Pfefferminzia SE</t>
  </si>
  <si>
    <t>Pfefferminzia Schweiz AG</t>
  </si>
  <si>
    <t>S&amp;P</t>
  </si>
  <si>
    <t>Credit Risk Parameters</t>
  </si>
  <si>
    <t>action</t>
  </si>
  <si>
    <t>withFX</t>
  </si>
  <si>
    <t>sheetSource</t>
  </si>
  <si>
    <t>initialInterestRate1</t>
  </si>
  <si>
    <t>Y1</t>
  </si>
  <si>
    <t>Y2</t>
  </si>
  <si>
    <t>Y3</t>
  </si>
  <si>
    <t>Y4</t>
  </si>
  <si>
    <t>Y5</t>
  </si>
  <si>
    <t>Y6</t>
  </si>
  <si>
    <t>Y7</t>
  </si>
  <si>
    <t>Y8</t>
  </si>
  <si>
    <t>Y9</t>
  </si>
  <si>
    <t>Y10</t>
  </si>
  <si>
    <t>Y11</t>
  </si>
  <si>
    <t>Y12</t>
  </si>
  <si>
    <t>Y13</t>
  </si>
  <si>
    <t>Y14</t>
  </si>
  <si>
    <t>Y15</t>
  </si>
  <si>
    <t>Y16</t>
  </si>
  <si>
    <t>Y17</t>
  </si>
  <si>
    <t>Y18</t>
  </si>
  <si>
    <t>Y19</t>
  </si>
  <si>
    <t>Y20</t>
  </si>
  <si>
    <t>Y21</t>
  </si>
  <si>
    <t>Y22</t>
  </si>
  <si>
    <t>Y23</t>
  </si>
  <si>
    <t>Y24</t>
  </si>
  <si>
    <t>Y25</t>
  </si>
  <si>
    <t>Y26</t>
  </si>
  <si>
    <t>Y27</t>
  </si>
  <si>
    <t>Y28</t>
  </si>
  <si>
    <t>Y29</t>
  </si>
  <si>
    <t>Y30</t>
  </si>
  <si>
    <t>Y31</t>
  </si>
  <si>
    <t>Y32</t>
  </si>
  <si>
    <t>Y33</t>
  </si>
  <si>
    <t>Y34</t>
  </si>
  <si>
    <t>Y35</t>
  </si>
  <si>
    <t>Y36</t>
  </si>
  <si>
    <t>Y37</t>
  </si>
  <si>
    <t>Y38</t>
  </si>
  <si>
    <t>Y39</t>
  </si>
  <si>
    <t>Y40</t>
  </si>
  <si>
    <t>Y41</t>
  </si>
  <si>
    <t>Y42</t>
  </si>
  <si>
    <t>Y43</t>
  </si>
  <si>
    <t>Y44</t>
  </si>
  <si>
    <t>Y45</t>
  </si>
  <si>
    <t>Y46</t>
  </si>
  <si>
    <t>Y47</t>
  </si>
  <si>
    <t>Y48</t>
  </si>
  <si>
    <t>Y49</t>
  </si>
  <si>
    <t>Y50</t>
  </si>
  <si>
    <t>^asset price$</t>
  </si>
  <si>
    <t>^currency$</t>
  </si>
  <si>
    <t>^rate$</t>
  </si>
  <si>
    <t>^spread$</t>
  </si>
  <si>
    <t>^Yes$</t>
  </si>
  <si>
    <t>^A.7a$</t>
  </si>
  <si>
    <t>creditRiskExposureReinsurance</t>
  </si>
  <si>
    <t>creditRiskExposureHypo</t>
  </si>
  <si>
    <t>dummy1</t>
  </si>
  <si>
    <t>(cell from the balance sheet)</t>
  </si>
  <si>
    <t>dummy2</t>
  </si>
  <si>
    <t>(cell from other data)</t>
  </si>
  <si>
    <t>configurationVersionId</t>
  </si>
  <si>
    <t>Logical</t>
  </si>
  <si>
    <t>riskAsParticipation</t>
  </si>
  <si>
    <t>category</t>
  </si>
  <si>
    <t>migrationMatrix</t>
  </si>
  <si>
    <t>migration matrix</t>
  </si>
  <si>
    <t>spreadCurve</t>
  </si>
  <si>
    <t>cumulating spread curve</t>
  </si>
  <si>
    <t>curve</t>
  </si>
  <si>
    <t>notIncreasing</t>
  </si>
  <si>
    <t>mappingLGD</t>
  </si>
  <si>
    <t>mapping LGD</t>
  </si>
  <si>
    <t>positionId</t>
  </si>
  <si>
    <t>portfolioCreditRisk</t>
  </si>
  <si>
    <t>portfolio without coupons</t>
  </si>
  <si>
    <t>positionName</t>
  </si>
  <si>
    <t>includeInCreditRisk</t>
  </si>
  <si>
    <t>counterpartyId</t>
  </si>
  <si>
    <t>counterpartyName</t>
  </si>
  <si>
    <t>notRating</t>
  </si>
  <si>
    <t>basel</t>
  </si>
  <si>
    <t>notLGDClass</t>
  </si>
  <si>
    <t>migration</t>
  </si>
  <si>
    <t>portfolioCreditRiskCheck</t>
  </si>
  <si>
    <t>captiveCY_deterministic</t>
  </si>
  <si>
    <t>captive current year parameters</t>
  </si>
  <si>
    <t>branchType</t>
  </si>
  <si>
    <t>^Maximum possible loss$</t>
  </si>
  <si>
    <t>maximumPossibleLoss</t>
  </si>
  <si>
    <t>expectedLoss</t>
  </si>
  <si>
    <t>normalLossNumber</t>
  </si>
  <si>
    <t>normalLossSize</t>
  </si>
  <si>
    <t>normalLossSigma</t>
  </si>
  <si>
    <t>largeLossNumber</t>
  </si>
  <si>
    <t>largeLossThreshold</t>
  </si>
  <si>
    <t>largeLossShape</t>
  </si>
  <si>
    <t>AAL</t>
  </si>
  <si>
    <t>EEL</t>
  </si>
  <si>
    <t>AAD</t>
  </si>
  <si>
    <t>EED</t>
  </si>
  <si>
    <t>QS</t>
  </si>
  <si>
    <t>captiveCY_stochastic</t>
  </si>
  <si>
    <t>^Ground-up loss$</t>
  </si>
  <si>
    <t>captiveCY</t>
  </si>
  <si>
    <t>notCaptiveBranchType</t>
  </si>
  <si>
    <t>captivePY</t>
  </si>
  <si>
    <t>captive previous year parameters</t>
  </si>
  <si>
    <t>reserve</t>
  </si>
  <si>
    <t>cov</t>
  </si>
  <si>
    <t>correlation between idiosyncratic and systematic risks</t>
  </si>
  <si>
    <t>correlation between Basel3 Term and Stochastic Bond model</t>
  </si>
  <si>
    <t>content</t>
  </si>
  <si>
    <t>addCurrentVersion</t>
  </si>
  <si>
    <t>addWorksheet</t>
  </si>
  <si>
    <t>addText</t>
  </si>
  <si>
    <t>in Mio. CHF</t>
  </si>
  <si>
    <t>Kreditrisiko des Resttermes</t>
  </si>
  <si>
    <t>Kreditrisiko aus dem stochastischen Modell</t>
  </si>
  <si>
    <t>davon Defaultrisiko</t>
  </si>
  <si>
    <t>davon Migrationsrisiko</t>
  </si>
  <si>
    <t>addNumericFromKeyword</t>
  </si>
  <si>
    <t>FX_to_CHF</t>
  </si>
  <si>
    <t>market.all</t>
  </si>
  <si>
    <t>insurance.all</t>
  </si>
  <si>
    <t>SSTRatio</t>
  </si>
  <si>
    <t>market.diversification</t>
  </si>
  <si>
    <t>market.interest rate</t>
  </si>
  <si>
    <t>market.CHF rate</t>
  </si>
  <si>
    <t>market.EUR rate</t>
  </si>
  <si>
    <t>market.USD rate</t>
  </si>
  <si>
    <t>market.GBP rate</t>
  </si>
  <si>
    <t>market.spread</t>
  </si>
  <si>
    <t>market.currency</t>
  </si>
  <si>
    <t>market.equity</t>
  </si>
  <si>
    <t>market.real estate</t>
  </si>
  <si>
    <t>market.hedge fund</t>
  </si>
  <si>
    <t>market.private equity</t>
  </si>
  <si>
    <t>market.participation</t>
  </si>
  <si>
    <t>market.other</t>
  </si>
  <si>
    <t>market.additional1</t>
  </si>
  <si>
    <t>market.additional2</t>
  </si>
  <si>
    <t>nonlife.all</t>
  </si>
  <si>
    <t>life.all</t>
  </si>
  <si>
    <t>life.Mortality</t>
  </si>
  <si>
    <t>life.Longevity</t>
  </si>
  <si>
    <t>life.Disability</t>
  </si>
  <si>
    <t>life.Reactivation</t>
  </si>
  <si>
    <t>life.Costs</t>
  </si>
  <si>
    <t>life.Lapses</t>
  </si>
  <si>
    <t>life.Capital option</t>
  </si>
  <si>
    <t>life.Cost BVG</t>
  </si>
  <si>
    <t>life.Lapses BVG</t>
  </si>
  <si>
    <t>health.all</t>
  </si>
  <si>
    <t>health.all_beforeScenario</t>
  </si>
  <si>
    <t>health.Individual health</t>
  </si>
  <si>
    <t>health.Collective compensation</t>
  </si>
  <si>
    <t>expectedFinancialResult</t>
  </si>
  <si>
    <t>credit.all</t>
  </si>
  <si>
    <t>diversificationMarketInsuranceCredit</t>
  </si>
  <si>
    <t>scenarioImpact</t>
  </si>
  <si>
    <t>LLPOImpact</t>
  </si>
  <si>
    <t>MVM</t>
  </si>
  <si>
    <t>additionalEffectOnTC</t>
  </si>
  <si>
    <t>targetCapital</t>
  </si>
  <si>
    <t>credit.Basel.Hypothek</t>
  </si>
  <si>
    <t>credit.Basel.Rest</t>
  </si>
  <si>
    <t>credit.Merton.all</t>
  </si>
  <si>
    <t>credit.Merton.default</t>
  </si>
  <si>
    <t>credit.Merton.migration</t>
  </si>
  <si>
    <t>scenario.S1.1</t>
  </si>
  <si>
    <t>scenario.S1.2</t>
  </si>
  <si>
    <t>scenario.S1.3</t>
  </si>
  <si>
    <t>scenario.S2.1</t>
  </si>
  <si>
    <t>scenario.S3.1</t>
  </si>
  <si>
    <t>scenario.S3.2</t>
  </si>
  <si>
    <t>scenario.S3.3</t>
  </si>
  <si>
    <t>scenario.S3.4</t>
  </si>
  <si>
    <t>scenario.S3.5</t>
  </si>
  <si>
    <t>scenario.S3.6</t>
  </si>
  <si>
    <t>scenario.S3.7</t>
  </si>
  <si>
    <t>scenario.S4.1</t>
  </si>
  <si>
    <t>scenario.S4.2</t>
  </si>
  <si>
    <t>scenario.U1.1</t>
  </si>
  <si>
    <t>scenario.U1.2</t>
  </si>
  <si>
    <t>scenario.U1.3</t>
  </si>
  <si>
    <t>addNumericFromExcel</t>
  </si>
  <si>
    <t>addTextFromExcel</t>
  </si>
  <si>
    <t>writeValues</t>
  </si>
  <si>
    <t>textContent</t>
  </si>
  <si>
    <t>numContent</t>
  </si>
  <si>
    <t>addBaseFont</t>
  </si>
  <si>
    <t>addStyle</t>
  </si>
  <si>
    <t>addColWidth</t>
  </si>
  <si>
    <t>addFormat</t>
  </si>
  <si>
    <t>Effekt der LLPO auf das Zielkapital (nur für Beteiligungsmodell)</t>
  </si>
  <si>
    <t>Delta Terms</t>
  </si>
  <si>
    <t>Credit Risk Basel</t>
  </si>
  <si>
    <t>Credit Risk Merton</t>
  </si>
  <si>
    <t>scalingCF</t>
  </si>
  <si>
    <t>scalingLGD</t>
  </si>
  <si>
    <t>Forwards</t>
  </si>
  <si>
    <t>ScalingCF</t>
  </si>
  <si>
    <t>ScalingLGD</t>
  </si>
  <si>
    <t>Termingeschäfte für preisabhängige Assets und für Währungen</t>
  </si>
  <si>
    <t>Positions dans des contrats forward equity et de devises</t>
  </si>
  <si>
    <t>Equity and foreign-exchange forward positions</t>
  </si>
  <si>
    <t>Cashflows und Marktwert eines mit CDS/CDI abgesicherten Instrumentes können skaliert werden. Wert entweder leer oder strikt zwischen 0 und 1</t>
  </si>
  <si>
    <t>Ist für ein Instrument ein Collateral vorhanden, kann der LGD skaliert werden. Wert entweder leer oder strikt zwischen 0 und 1</t>
  </si>
  <si>
    <t>captive</t>
  </si>
  <si>
    <t>Market (Dynamic)</t>
  </si>
  <si>
    <t>Market (Static)</t>
  </si>
  <si>
    <t>Life (MVM)</t>
  </si>
  <si>
    <t>Other Data</t>
  </si>
  <si>
    <t>Negative,LargerOne</t>
  </si>
  <si>
    <t>Negative,Zero,LargerOne</t>
  </si>
  <si>
    <t>AAH – AAL</t>
  </si>
  <si>
    <t>CCCH – CCCL</t>
  </si>
  <si>
    <t>CCH – CL</t>
  </si>
  <si>
    <t>AA+ – AA-</t>
  </si>
  <si>
    <t>CCC+ – CCC-</t>
  </si>
  <si>
    <t>CC+ – C</t>
  </si>
  <si>
    <t>Aaa</t>
  </si>
  <si>
    <t>Aa1 – Aa3</t>
  </si>
  <si>
    <t>Caa1 – Caa3</t>
  </si>
  <si>
    <t>Ca1 – C</t>
  </si>
  <si>
    <t>Aa+ – Aa-</t>
  </si>
  <si>
    <t>CCC</t>
  </si>
  <si>
    <t>CC - C</t>
  </si>
  <si>
    <t>Ratingstufe</t>
  </si>
  <si>
    <t>T.13.07</t>
  </si>
  <si>
    <t>T.12.10</t>
  </si>
  <si>
    <r>
      <t xml:space="preserve">Die Zuordnung der Art und der Währung erfolgt gemäss dem Dokument </t>
    </r>
    <r>
      <rPr>
        <i/>
        <sz val="10"/>
        <rFont val="Arial"/>
        <family val="2"/>
      </rPr>
      <t>Technische Beschreibung für das SST-Standardmodell Marktrisiko.</t>
    </r>
  </si>
  <si>
    <r>
      <t xml:space="preserve">Attribution de la monnaie et rating selon le document </t>
    </r>
    <r>
      <rPr>
        <i/>
        <sz val="10"/>
        <rFont val="Arial"/>
        <family val="2"/>
      </rPr>
      <t>Description technique du modèle standard SST pour le risque de marché.</t>
    </r>
  </si>
  <si>
    <r>
      <t xml:space="preserve">Currency and rating mapping according to the document </t>
    </r>
    <r>
      <rPr>
        <i/>
        <sz val="10"/>
        <rFont val="Arial"/>
        <family val="2"/>
      </rPr>
      <t>Technische Beschreibung für das SST-Standardmodell Marktrisiko.</t>
    </r>
  </si>
  <si>
    <r>
      <t xml:space="preserve">Die Zuordnung der Währung und des Rating erfolgt gemäss dem Dokument </t>
    </r>
    <r>
      <rPr>
        <i/>
        <sz val="10"/>
        <rFont val="Arial"/>
        <family val="2"/>
      </rPr>
      <t>Technische Beschreibung für das SST-Standardmodell Marktrisiko.</t>
    </r>
  </si>
  <si>
    <r>
      <t xml:space="preserve">Attribution de la genre et monnaie selon le document </t>
    </r>
    <r>
      <rPr>
        <i/>
        <sz val="10"/>
        <rFont val="Arial"/>
        <family val="2"/>
      </rPr>
      <t>Description technique du modèle standard SST pour le risque de marché.</t>
    </r>
  </si>
  <si>
    <r>
      <t xml:space="preserve">Type and currency mapping according to the document </t>
    </r>
    <r>
      <rPr>
        <i/>
        <sz val="10"/>
        <rFont val="Arial"/>
        <family val="2"/>
      </rPr>
      <t>Technische Beschreibung für das SST-Standardmodell Marktrisiko.</t>
    </r>
  </si>
  <si>
    <t>199)</t>
  </si>
  <si>
    <t>Die Auswirkung wird durch die Änderung des RTK aufgrund des Szenarios definiert. Auswirkung = min(0;LZV - LZV_AS)
Gemäss Dokument Technische Beschreibung für das SST-Standardmodell Krankenversicherung, Abschnitt 5.3.</t>
  </si>
  <si>
    <t>L'impact est défini par le changement de CPR en raison du scénario. Impact = min(0;LZV - LZV_AS)
Selon le document Description technique du modèle standard SST assurance-maladie, section 5.3.</t>
  </si>
  <si>
    <t>Impact is defined by change in RBC due to scenario. Impact=min(0;LZV - LZV_AS)
According to Technische Beschreibung für das SST-Standardmodell Krankenversicherung, chapter 5.3.</t>
  </si>
  <si>
    <t>Best Estimate Wert der versicherungstechnischen Verpflichtungen</t>
  </si>
  <si>
    <t>Valeur best estimate des engagements actuariels</t>
  </si>
  <si>
    <t>Best estimate value of insurance liabilities</t>
  </si>
  <si>
    <t>version of the configuration file</t>
  </si>
  <si>
    <t>S1.1 Weltweite Rezession</t>
  </si>
  <si>
    <t>S1.2 Weltweite Depression</t>
  </si>
  <si>
    <t>S1.3 Immobilienkrise in der Schweiz</t>
  </si>
  <si>
    <t>italicStyle</t>
  </si>
  <si>
    <t>whiteStyle</t>
  </si>
  <si>
    <t>Lorsqu’un scénario doit être agrégé, la probabilité de survenance doit être indiquée dans la colonne prévue (le scénario n’est pas agrégé lorsque des informations font défaut). Tous les scénarios propres à l'entreprise doivent être brièvement commentés/décrits dans le champ ci-dessous.</t>
  </si>
  <si>
    <t>Ist ein Szenario zu aggregieren, ist in der vorgesehenen Spalte die Eintrittswahrscheinlichkeit anzugeben (bei fehlenden Angaben wird das Szenario nicht aggregiert). In dieser Spalte müssen alle unternehmenseigenen Szenarien kurz kommentiert/beschrieben werden.</t>
  </si>
  <si>
    <t>If a scenario is to be aggregated, the probability of occurrence must be entered in the column provided (in the absence of data, the scenario will not be aggregated). All user defined scenarios must be briefly commented/described in the fields below</t>
  </si>
  <si>
    <t>nonlife.PY</t>
  </si>
  <si>
    <t>nonlife.CY</t>
  </si>
  <si>
    <t>PYrisk</t>
  </si>
  <si>
    <t>PY for non-captive NL companies</t>
  </si>
  <si>
    <t>CYrisk</t>
  </si>
  <si>
    <t>CY for non-captive NL companies</t>
  </si>
  <si>
    <t>Positionsklasse SA-BIZ gemäss SST-Template: A.1.1-B.6.3</t>
  </si>
  <si>
    <t>Input data for the stochastic credit risk model</t>
  </si>
  <si>
    <t>Paramètres pour le risque de crédit</t>
  </si>
  <si>
    <t>Données d'entrée pour le modèle stochastique du risque de crédit</t>
  </si>
  <si>
    <t>Position-Id</t>
  </si>
  <si>
    <t>Position name</t>
  </si>
  <si>
    <t>Valeur de marché CFs</t>
  </si>
  <si>
    <t>Counterparty-Id</t>
  </si>
  <si>
    <t>Counterparty name</t>
  </si>
  <si>
    <t>Rating source</t>
  </si>
  <si>
    <t>Currency CFs</t>
  </si>
  <si>
    <t>Market value CFs</t>
  </si>
  <si>
    <t>Identification claire de la position (pour information)</t>
  </si>
  <si>
    <t>Gibt an, ob die Position im Kreditrisiko enthalten ist. Bei 'No' müssen keine Cashflows angegeben werden</t>
  </si>
  <si>
    <t>in Kreditrisikomodell enthalten? (Yes/No)</t>
  </si>
  <si>
    <t>Contained in credit risk model? (Yes/No)</t>
  </si>
  <si>
    <t>Nom de la contrepartie (pour information)</t>
  </si>
  <si>
    <t>Classes de positions (SA-BRI) selon SST-Template: A.1.1-B.6.3</t>
  </si>
  <si>
    <t>Gibt an, ob die Position einem Migrationsrisiko unterliegt. Bei 'No' müssen keine Cashflows angegeben werden</t>
  </si>
  <si>
    <t>Migration (Yes/No):</t>
  </si>
  <si>
    <t>Migration (Yes/No)</t>
  </si>
  <si>
    <t>Si une garantie est disponible pour un instrument, la LGD peut être ajustée. Valeur vide ou strictement comprise entre 0 et 1</t>
  </si>
  <si>
    <t>Clear description of the position (for information)</t>
  </si>
  <si>
    <t>Identification claire d'une contrepartie à des fins de modélisation</t>
  </si>
  <si>
    <t>Indicates whether the position is included in credit risk. 'No' does not require the disclosure of cash flows</t>
  </si>
  <si>
    <t>Clear identification of a counterparty for modelling purposes</t>
  </si>
  <si>
    <t>Name of the counterparty (for information)</t>
  </si>
  <si>
    <t>Position category (SA-BIS) according to SST-Template: A.1.1-B.6.3</t>
  </si>
  <si>
    <t>Indicates whether the position is subject to a migration risk. 'No' does not require the disclosure of cash flows</t>
  </si>
  <si>
    <t>Cash flows and market value of an instrument hedged with CDS/CDI can be scaled. Value either empty or strictly between 0 and 1</t>
  </si>
  <si>
    <t>If collateral is available for an instrument, the LGD can be scaled. Value either empty or strictly between 0 and 1</t>
  </si>
  <si>
    <t>Rating level</t>
  </si>
  <si>
    <t>Wert / Value</t>
  </si>
  <si>
    <t>Rating Table</t>
  </si>
  <si>
    <t>Variation cumulée du spread</t>
  </si>
  <si>
    <t>Nom de la contrepartie</t>
  </si>
  <si>
    <t>Inclus dans le modèle de risque de crédit ? (Yes/No)</t>
  </si>
  <si>
    <t>Contrepartie-Id</t>
  </si>
  <si>
    <t>Source de notation</t>
  </si>
  <si>
    <t>Monnaie CFs</t>
  </si>
  <si>
    <t>Nom de la position</t>
  </si>
  <si>
    <t>Ratingstufe des Emittenten (numerisch 1-8)</t>
  </si>
  <si>
    <t>Niveau de notation de l'émetteur (numérique 1-8)</t>
  </si>
  <si>
    <t>Rating level of the issuer (numeric 1-8)</t>
  </si>
  <si>
    <t>If the rating level has been determined by a recognised rating agency, it can be indicated here (for information)</t>
  </si>
  <si>
    <t>Niveau de notation</t>
  </si>
  <si>
    <t>Si le niveau de notation a été déterminé par une agence de notation reconnue, il peut être indiqué ici (pour information)</t>
  </si>
  <si>
    <t>Falls die Ratingstufe durch eine anerkannte Ratingagentur ermittelt wurde, kann diese hier angegeben werden (zur Information)</t>
  </si>
  <si>
    <t>Zulässig sind nur Währungen, für die FINMA risikolose Zinskurven veröffentlicht. Bonds in anderen Währungen sind zu mappen und die Cashflows umzurechnen</t>
  </si>
  <si>
    <t>Only currencies for which FINMA publishes risk-free yield curves are allowed. Bonds in other currencies must be mapped and the cash flows converted</t>
  </si>
  <si>
    <t>Kumulierte Spreadänderung</t>
  </si>
  <si>
    <t>Cumulative spread change</t>
  </si>
  <si>
    <t>Position category (SA-BIS)</t>
  </si>
  <si>
    <t>Les cash flows et la valeur de marché d'un instrument couvert par des CDS/CDI peuvent être échelonnés. Valeur vide ou strictement comprise entre 0 et 1</t>
  </si>
  <si>
    <t>Seules les monnaies pour lesquelles la FINMA publie des courbes de rendement sans risque sont autorisées. Les obligations dans d'autres devises doivent être cartographiées et les cash flows convertis</t>
  </si>
  <si>
    <t>Indique si la position est soumis à un risque de migration. Si "Non", il n'est pas nécessaire de préciser les cash flows</t>
  </si>
  <si>
    <t>Indique si la position est incluse dans le risque de crédit. Si "No", il n'est pas nécessaire d'entrer les cash flows</t>
  </si>
  <si>
    <t>Eindeutige Kennzeichnung der Position (z.B. für börsengehandelte Positionen ISIN). Die vollständige Spezifikation des Blattes Credit Risk Merton befindet sich in der Technischen Beschreibung</t>
  </si>
  <si>
    <t>Identification claire de la position (par exemple, ISIN pour les positions négociées en bourse). La spécification complète de la fiche de Credit Risk Merton se trouve dans la description technique</t>
  </si>
  <si>
    <t>Clear identification of the position (e.g. for exchange-traded positions ISIN). The full specification of the Credit Risk Merton sheet can be found in the Technical Description</t>
  </si>
  <si>
    <t>Anleitung für das Tabellenblatt 8</t>
  </si>
  <si>
    <t>Indications pour l'onglet 8</t>
  </si>
  <si>
    <t>Instructions for the worksheet 8</t>
  </si>
  <si>
    <t>scenarioNL</t>
  </si>
  <si>
    <t>non-life scenarios</t>
  </si>
  <si>
    <t>T.24.07</t>
  </si>
  <si>
    <t>T.24.08</t>
  </si>
  <si>
    <t>T.24.09</t>
  </si>
  <si>
    <t>T.24.10</t>
  </si>
  <si>
    <t>T.24.11</t>
  </si>
  <si>
    <t>T.24.12</t>
  </si>
  <si>
    <t>T.24.13</t>
  </si>
  <si>
    <t>T.24.14</t>
  </si>
  <si>
    <t>T.24.15</t>
  </si>
  <si>
    <t>T.24.16</t>
  </si>
  <si>
    <t>T.24.17</t>
  </si>
  <si>
    <t>T.24.18</t>
  </si>
  <si>
    <t>T.24.19</t>
  </si>
  <si>
    <t>T.24.20</t>
  </si>
  <si>
    <t>T.24.21</t>
  </si>
  <si>
    <t>T.24.22</t>
  </si>
  <si>
    <t>T.24.23</t>
  </si>
  <si>
    <t>T.24.24</t>
  </si>
  <si>
    <t>T.24.25</t>
  </si>
  <si>
    <t>T.24.26</t>
  </si>
  <si>
    <t>T.24.27</t>
  </si>
  <si>
    <t>T.24.28</t>
  </si>
  <si>
    <t>T.24.29</t>
  </si>
  <si>
    <t>T.24.30</t>
  </si>
  <si>
    <t>T.24.31</t>
  </si>
  <si>
    <t>Attritional claims</t>
  </si>
  <si>
    <t>Large claims</t>
  </si>
  <si>
    <t>CY parameter segment</t>
  </si>
  <si>
    <t>Segment de paramètre CY</t>
  </si>
  <si>
    <t>CY-Parametersegment</t>
  </si>
  <si>
    <t>Type of model</t>
  </si>
  <si>
    <t>Type de modèle</t>
  </si>
  <si>
    <t>Modeltyp</t>
  </si>
  <si>
    <t>Sévérité attendue</t>
  </si>
  <si>
    <t>Expected severity</t>
  </si>
  <si>
    <t xml:space="preserve">Erwartete Schadenhöhe </t>
  </si>
  <si>
    <t>PY-Parametersegment</t>
  </si>
  <si>
    <t>Segment de paramètre PY</t>
  </si>
  <si>
    <t>PY parameter segment</t>
  </si>
  <si>
    <t>Provisions nettes actualisées</t>
  </si>
  <si>
    <t>IE3 scenarios (combination)</t>
  </si>
  <si>
    <t>Name of the scenario (combination)</t>
  </si>
  <si>
    <t>Impact (loss) due to the scenario (combination)</t>
  </si>
  <si>
    <t xml:space="preserve">Probability of the scenario (combination) </t>
  </si>
  <si>
    <t>T.24.32</t>
  </si>
  <si>
    <t>T.24.33</t>
  </si>
  <si>
    <t>T.24.34</t>
  </si>
  <si>
    <t>T.24.35</t>
  </si>
  <si>
    <t>T.24.36</t>
  </si>
  <si>
    <t>(Combinaison de) scenarios IE3</t>
  </si>
  <si>
    <t>Probabilité du (de la combinaison de) scénario(s)</t>
  </si>
  <si>
    <t>Nom du (de la combinaison de) scenario(s)</t>
  </si>
  <si>
    <t>Grösster möglicher Schaden - Parameter</t>
  </si>
  <si>
    <t xml:space="preserve">Set the probability of the IE3 scenario (combination) to a value &gt;0.0% for aggregation of the scenario (combination) within insurance risk. For not aggregating, set the probabiliy to 0.0% or leave blank. Losses have negative value in this table. </t>
  </si>
  <si>
    <t>IE3 Szenarien (Kombination)</t>
  </si>
  <si>
    <t>Name des Szenarios (Kombination)</t>
  </si>
  <si>
    <t>Auswirkung (Schaden) durch das Szenario (Kombination)</t>
  </si>
  <si>
    <t>Effet (perte) due au (à la combinaison de) scénario(s)</t>
  </si>
  <si>
    <t>Wahrscheinlichkeit des Szenarios (Kombination)</t>
  </si>
  <si>
    <t>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t>
  </si>
  <si>
    <t>Il faut une valeur de la probabilité du (de la combinaison de) scénario(s) IE3 strictement positive pour que l'agrégation des scénarios au sein du risque d'assurance puisse avoir lieu. A contrario, une valeur nulle ou la cellule vide évite l'agrégation. Les pertes sont exprimées par une valeur négative dans cette table.</t>
  </si>
  <si>
    <t>T.24.37</t>
  </si>
  <si>
    <t>Individual Events 3 (IE3), Anforderung des Standardmodels Captive</t>
  </si>
  <si>
    <t>Individual Events 3 (IE3), exigence du modèle standard captive</t>
  </si>
  <si>
    <t>Individual Events 3 (IE3), request of the standard model captive</t>
  </si>
  <si>
    <t>Weitere Allokationen Müssen sich gegenseitig kompensieren. Zu benützen, wenn Spalten G und H nicht genügen. Bitte im SST-Bericht begründen.</t>
  </si>
  <si>
    <t>Autres allocations. Doivent se compenser mutuellement. A utiliser dans le cas où les colonnes G et H ne suffisent pas. Svp expliquer dans le rapport SST</t>
  </si>
  <si>
    <t>Other allocations. Have to compensate each-other. To use in the case columns G and H are not sufficient. Please explain in the SST report.</t>
  </si>
  <si>
    <t>Allokation WERT (Umzulegender Wert)</t>
  </si>
  <si>
    <t>Allocation VALEUR (Valeur à repartir)</t>
  </si>
  <si>
    <t>Allocation VALUE (Value to be allocated)</t>
  </si>
  <si>
    <t>Zwischenergebnis</t>
  </si>
  <si>
    <t>Résultat intermédiare</t>
  </si>
  <si>
    <t>Intermediate result</t>
  </si>
  <si>
    <t>Einzelgeschäft</t>
  </si>
  <si>
    <t>Kollektivgeschäft</t>
  </si>
  <si>
    <t>Affaires individuelles</t>
  </si>
  <si>
    <t>Affaires collectives</t>
  </si>
  <si>
    <t>Individual business</t>
  </si>
  <si>
    <t>Group business</t>
  </si>
  <si>
    <t>Total Übrige Aktiven</t>
  </si>
  <si>
    <t>Total (Übriges Geschäft und Kollektivgeschäft)</t>
  </si>
  <si>
    <t>nonlife.all_beforeScenario</t>
  </si>
  <si>
    <t>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t>
  </si>
  <si>
    <t>A.7.1a.best</t>
  </si>
  <si>
    <t>A.7.1a.neu</t>
  </si>
  <si>
    <t>A.7.1b.best</t>
  </si>
  <si>
    <t>A.7.1b.neu</t>
  </si>
  <si>
    <t>A.7.1c.best</t>
  </si>
  <si>
    <t>A.7.1c.neu</t>
  </si>
  <si>
    <t>A.7.1d.best</t>
  </si>
  <si>
    <t>A.7.1d.neu</t>
  </si>
  <si>
    <t>If the cumulative distribution function is selected, please copy it here. As in the example (light blue cells), make sure that the x values are strictly increasing and the F(x) values are increasing; start with F(x)&gt;0 and end with F(x)=1. Negative values denote losses. The distribution must be given as centred.</t>
  </si>
  <si>
    <t>Si la fonction de distribution cumulative est choisie, elle doit être copiée ici. Comme dans l’exemple (cellules bleu clair), il faut s'assurer que les valeurs x sont strictement croissantes et les valeurs F(x) sont croissantes; il faut commencer avec F(x)&gt;0 et terminer avec F(x)=1. Les valeurs négatives représentent des pertes. La distribution doit être donnée comme centrée.</t>
  </si>
  <si>
    <t>Total 1-jahres versicherungstechnisches Risiko Schadengeschäft (zentriert, ohne IE3 Szenarien)</t>
  </si>
  <si>
    <t>T.07.23</t>
  </si>
  <si>
    <t>Aktualisierung des Datums</t>
  </si>
  <si>
    <t>Stagflation</t>
  </si>
  <si>
    <t>FDS</t>
  </si>
  <si>
    <t>BE Tilde Leben</t>
  </si>
  <si>
    <t>BE Tilde Vie</t>
  </si>
  <si>
    <t>BE Tilde Life</t>
  </si>
  <si>
    <t>BE Tilde Kranken</t>
  </si>
  <si>
    <t>BE Tilde Maladie</t>
  </si>
  <si>
    <t>BE Tilde Health</t>
  </si>
  <si>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</si>
  <si>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</si>
  <si>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</si>
  <si>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</si>
  <si>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</si>
  <si>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</si>
  <si>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</si>
  <si>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</si>
  <si>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</si>
  <si>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</si>
  <si>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</si>
  <si>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</si>
  <si>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</si>
  <si>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</si>
  <si>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</si>
  <si>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</si>
  <si>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</si>
  <si>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</si>
  <si>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</si>
  <si>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</si>
  <si>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</si>
  <si>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</si>
  <si>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</si>
  <si>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</si>
  <si>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</si>
  <si>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</si>
  <si>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</si>
  <si>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</si>
  <si>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</si>
  <si>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</si>
  <si>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</si>
  <si>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</si>
  <si>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</si>
  <si>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</si>
  <si>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</si>
  <si>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</si>
  <si>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</si>
  <si>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</si>
  <si>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</si>
  <si>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</si>
  <si>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</si>
  <si>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</si>
  <si>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</si>
  <si>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</si>
  <si>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</si>
  <si>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</si>
  <si>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</si>
  <si>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</si>
  <si>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</si>
  <si>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</si>
  <si>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</si>
  <si>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0</t>
  </si>
  <si>
    <t>51</t>
  </si>
  <si>
    <t>56</t>
  </si>
  <si>
    <t>57</t>
  </si>
  <si>
    <t>58</t>
  </si>
  <si>
    <t>59</t>
  </si>
  <si>
    <t>60</t>
  </si>
  <si>
    <t>61</t>
  </si>
  <si>
    <t>62</t>
  </si>
  <si>
    <t>63</t>
  </si>
  <si>
    <t>65</t>
  </si>
  <si>
    <t>66</t>
  </si>
  <si>
    <t>67</t>
  </si>
  <si>
    <t>73</t>
  </si>
  <si>
    <t>75</t>
  </si>
  <si>
    <t>79</t>
  </si>
  <si>
    <t>80</t>
  </si>
  <si>
    <t>89</t>
  </si>
  <si>
    <t>93</t>
  </si>
  <si>
    <t>94</t>
  </si>
  <si>
    <t>96</t>
  </si>
  <si>
    <t>106</t>
  </si>
  <si>
    <t>116</t>
  </si>
  <si>
    <t>121</t>
  </si>
  <si>
    <t>122</t>
  </si>
  <si>
    <t>125</t>
  </si>
  <si>
    <t>127</t>
  </si>
  <si>
    <t>131</t>
  </si>
  <si>
    <t>133</t>
  </si>
  <si>
    <t>123</t>
  </si>
  <si>
    <t>126</t>
  </si>
  <si>
    <t>128</t>
  </si>
  <si>
    <t>124</t>
  </si>
  <si>
    <t>129</t>
  </si>
  <si>
    <t>130</t>
  </si>
  <si>
    <t>132</t>
  </si>
  <si>
    <t>134</t>
  </si>
  <si>
    <t>114</t>
  </si>
  <si>
    <t>144</t>
  </si>
  <si>
    <t>153</t>
  </si>
  <si>
    <t>136</t>
  </si>
  <si>
    <t>140</t>
  </si>
  <si>
    <t>142</t>
  </si>
  <si>
    <t>155</t>
  </si>
  <si>
    <t>159</t>
  </si>
  <si>
    <t>161</t>
  </si>
  <si>
    <t>167</t>
  </si>
  <si>
    <t>169</t>
  </si>
  <si>
    <t>209</t>
  </si>
  <si>
    <t>211</t>
  </si>
  <si>
    <t>213</t>
  </si>
  <si>
    <t>176</t>
  </si>
  <si>
    <t>177</t>
  </si>
  <si>
    <t>181</t>
  </si>
  <si>
    <t>186</t>
  </si>
  <si>
    <t>190</t>
  </si>
  <si>
    <t>195</t>
  </si>
  <si>
    <t>198</t>
  </si>
  <si>
    <t>201</t>
  </si>
  <si>
    <t>179</t>
  </si>
  <si>
    <t>189</t>
  </si>
  <si>
    <t>200</t>
  </si>
  <si>
    <t>182</t>
  </si>
  <si>
    <t>191</t>
  </si>
  <si>
    <t>202</t>
  </si>
  <si>
    <t>205</t>
  </si>
  <si>
    <t>183</t>
  </si>
  <si>
    <t>192</t>
  </si>
  <si>
    <t>203</t>
  </si>
  <si>
    <t>206</t>
  </si>
  <si>
    <t>214</t>
  </si>
  <si>
    <t>223</t>
  </si>
  <si>
    <t>233</t>
  </si>
  <si>
    <t>^B.3$</t>
  </si>
  <si>
    <t>64</t>
  </si>
  <si>
    <t>184</t>
  </si>
  <si>
    <t>68</t>
  </si>
  <si>
    <t>101</t>
  </si>
  <si>
    <t>52</t>
  </si>
  <si>
    <t>53</t>
  </si>
  <si>
    <t>84</t>
  </si>
  <si>
    <t>85</t>
  </si>
  <si>
    <t>86</t>
  </si>
  <si>
    <t>87</t>
  </si>
  <si>
    <t>88</t>
  </si>
  <si>
    <t>225</t>
  </si>
  <si>
    <t>70</t>
  </si>
  <si>
    <t>71</t>
  </si>
  <si>
    <t>72</t>
  </si>
  <si>
    <t>0.0</t>
  </si>
  <si>
    <t>0%</t>
  </si>
  <si>
    <t>Kreditrisiko der Hypotheken</t>
  </si>
  <si>
    <t>FINMA prescribed scenario</t>
  </si>
  <si>
    <t>Scenario prescrit par la FINMA</t>
  </si>
  <si>
    <t>U1.7</t>
  </si>
  <si>
    <t>U2.1</t>
  </si>
  <si>
    <t>Von der FINMA vorgegebenes Szenario</t>
  </si>
  <si>
    <t>Anpassung SST Jahr</t>
  </si>
  <si>
    <t>SST 2024</t>
  </si>
  <si>
    <r>
      <t xml:space="preserve">Selon le document </t>
    </r>
    <r>
      <rPr>
        <i/>
        <sz val="10"/>
        <color theme="1"/>
        <rFont val="Arial"/>
        <family val="2"/>
      </rPr>
      <t>Description technique Bilan SST, courbes de taux sans risque et Fundamental Data Sheet</t>
    </r>
    <r>
      <rPr>
        <sz val="10"/>
        <color theme="1"/>
        <rFont val="Arial"/>
        <family val="2"/>
      </rPr>
      <t>, section 4.2.7</t>
    </r>
  </si>
  <si>
    <r>
      <t xml:space="preserve">Gemäss Dokument </t>
    </r>
    <r>
      <rPr>
        <i/>
        <sz val="10"/>
        <color theme="1"/>
        <rFont val="Arial"/>
        <family val="2"/>
      </rPr>
      <t>Technische Beschreibung SST-Bilanz, risikolose Zinskurven und Fundamental Data Sheet</t>
    </r>
    <r>
      <rPr>
        <sz val="10"/>
        <color theme="1"/>
        <rFont val="Arial"/>
        <family val="2"/>
      </rPr>
      <t>, Abschnitt 4.2.7.</t>
    </r>
  </si>
  <si>
    <r>
      <t xml:space="preserve">Aufdatierung der Referenz zur Technische Beschreibung SST-Bilanz, </t>
    </r>
    <r>
      <rPr>
        <i/>
        <sz val="10"/>
        <color theme="1"/>
        <rFont val="Arial"/>
        <family val="2"/>
      </rPr>
      <t>risikolose Zinskurven</t>
    </r>
    <r>
      <rPr>
        <sz val="10"/>
        <color theme="1"/>
        <rFont val="Arial"/>
        <family val="2"/>
      </rPr>
      <t xml:space="preserve"> und Fundamental Data Sheet, Abschnitt </t>
    </r>
    <r>
      <rPr>
        <i/>
        <sz val="10"/>
        <color theme="1"/>
        <rFont val="Arial"/>
        <family val="2"/>
      </rPr>
      <t>4</t>
    </r>
    <r>
      <rPr>
        <sz val="10"/>
        <color theme="1"/>
        <rFont val="Arial"/>
        <family val="2"/>
      </rPr>
      <t>.2.7.</t>
    </r>
  </si>
  <si>
    <t>Marktkonformer Wert der Aktiven minus marktkonformer Wert der Verbindlichkeiten</t>
  </si>
  <si>
    <t xml:space="preserve">Bilanzwert eigener Aktien auf eigenes Risiko (-) </t>
  </si>
  <si>
    <t>latente Grundstück- und Handänderungssteuern, im Umfang, in dem keine Verrechnung möglich ist (-)</t>
  </si>
  <si>
    <t>SST-Nettoaktiven</t>
  </si>
  <si>
    <t>Tier 1- risikoabsorbierende Kapitalinstrumente (RAK) an das Kernkapital angerechnet</t>
  </si>
  <si>
    <t>Tier 1 -RAK ohne Rückzahlungsoption in den 12 Monaten ab Stichtag</t>
  </si>
  <si>
    <t>Tier 1 -RAK mit Rückzahlungsoption in den 12 Monaten ab Stichtag</t>
  </si>
  <si>
    <t>Tier 1 -risikoabsorbierende Kapitalinstrumente (RAK) an das ergänzende Kapital angerechnet</t>
  </si>
  <si>
    <t>Tier 2 -risikoabsorbierende Kapitalinstrumente (RAK) an das ergänzende Kapital angerechnet</t>
  </si>
  <si>
    <t>Tier 2 -RAK ohne Rückzahlungsoption in den 12 Monaten ab Stichtag</t>
  </si>
  <si>
    <t>Tier 2 -RAK mit Rückzahlungsoption in den 12 Monaten ab Stichtag</t>
  </si>
  <si>
    <t>S1.4</t>
  </si>
  <si>
    <t>Valeur des actifs conforme au marché moins valeur des engagements conforme au marché</t>
  </si>
  <si>
    <t>Valeur au bilan des actions propres détenues à propre risque (-)</t>
  </si>
  <si>
    <t>Carrying value of equity securities held at own risk (-)</t>
  </si>
  <si>
    <t>impôts fonciers et droits de mutation différés, pour un montant ne permettant aucune compensation (-)</t>
  </si>
  <si>
    <t>Deferred real estate and property transfer taxes, to the extent that no offset is possible</t>
  </si>
  <si>
    <t>Actifs nets SST</t>
  </si>
  <si>
    <t>SST net assets</t>
  </si>
  <si>
    <t>Instruments de capital amortisseurs de rique (CAR) du tier 1 imputés au capital de base</t>
  </si>
  <si>
    <t>CAR du tier 1 sans option de remboursement dans les 12 mois à compter de la date de référence</t>
  </si>
  <si>
    <t>CAR du tier 1 avec option de remboursement dans les 12 mois à compter de la date de référence</t>
  </si>
  <si>
    <t>Tier 1 risk-absorbing capital instruments (RAC) counted towards core capital</t>
  </si>
  <si>
    <t>Tier 1 -RAC without repayment option in the 12 months from the reference date</t>
  </si>
  <si>
    <t>Tier 1 -RAC with repayment option in the 12 months from the reference date</t>
  </si>
  <si>
    <t>Instruments de capital amortisseurs de rique (CAR) du tier 1 imputés au capital complémentaire</t>
  </si>
  <si>
    <t>Instruments de capital amortisseurs de rique (CAR) du tier 2 imputés au capital complémentaire</t>
  </si>
  <si>
    <t>Tier 1 risk-absorbing capital instruments (RAC) counted towards supplementary capital</t>
  </si>
  <si>
    <t>Tier 2 risk-absorbing capital instruments (RAC) counted towards supplementary capital</t>
  </si>
  <si>
    <t>Tier 2 -RAC without repayment option in the 12 months from the reference date</t>
  </si>
  <si>
    <t>Tier 2 -RAC with repayment option in the 12 months from the reference date</t>
  </si>
  <si>
    <t>CAR du tier 2 sans option de remboursement dans les 12 mois à compter de la date de référence</t>
  </si>
  <si>
    <t>CAR du tier 2 avec option de remboursement dans les 12 mois à compter de la date de référence</t>
  </si>
  <si>
    <t>Risikoabsorbierende Kapitalinstrumente (RAK) nach Art 216c AVO an den SST angerechnet</t>
  </si>
  <si>
    <t>Instruments de capital amortisseurs de rique imputable dans le SST selon l'article 216c OS</t>
  </si>
  <si>
    <t>Risk-absorbing capital instruments eligible under SST in accordance with Art. 216c ISA</t>
  </si>
  <si>
    <t>T.07.24</t>
  </si>
  <si>
    <t>T.07.25</t>
  </si>
  <si>
    <t>T.07.26</t>
  </si>
  <si>
    <t>T.07.27</t>
  </si>
  <si>
    <r>
      <t>Gemäss Dok</t>
    </r>
    <r>
      <rPr>
        <sz val="10"/>
        <color theme="1"/>
        <rFont val="Arial"/>
        <family val="2"/>
      </rPr>
      <t xml:space="preserve">ument </t>
    </r>
    <r>
      <rPr>
        <i/>
        <sz val="10"/>
        <color theme="1"/>
        <rFont val="Arial"/>
        <family val="2"/>
      </rPr>
      <t>Technische Beschreibung für das SST-Standardmodell Krankenversicherung</t>
    </r>
    <r>
      <rPr>
        <sz val="10"/>
        <color theme="1"/>
        <rFont val="Arial"/>
        <family val="2"/>
      </rPr>
      <t>, Abschnitt 11.6</t>
    </r>
    <r>
      <rPr>
        <sz val="10"/>
        <color theme="1"/>
        <rFont val="Arial"/>
        <family val="2"/>
      </rPr>
      <t>.</t>
    </r>
  </si>
  <si>
    <t>T.07.28</t>
  </si>
  <si>
    <t>T.07.29</t>
  </si>
  <si>
    <t>Facteur d'échelle</t>
  </si>
  <si>
    <t>Valeur de participation</t>
  </si>
  <si>
    <t>Applier la LLPO</t>
  </si>
  <si>
    <r>
      <t xml:space="preserve">Gemäss Dokument </t>
    </r>
    <r>
      <rPr>
        <i/>
        <sz val="10"/>
        <color theme="1"/>
        <rFont val="Arial"/>
        <family val="2"/>
      </rPr>
      <t>Technische Beschreibung für das Standardmodell Beteiligungen</t>
    </r>
  </si>
  <si>
    <r>
      <t xml:space="preserve">Selon le document </t>
    </r>
    <r>
      <rPr>
        <i/>
        <sz val="10"/>
        <color theme="1"/>
        <rFont val="Arial"/>
        <family val="2"/>
      </rPr>
      <t>Technische Beschreibung Standardmodell Beteiligungen</t>
    </r>
  </si>
  <si>
    <r>
      <t xml:space="preserve">According to </t>
    </r>
    <r>
      <rPr>
        <i/>
        <sz val="10"/>
        <color theme="1"/>
        <rFont val="Arial"/>
        <family val="2"/>
      </rPr>
      <t xml:space="preserve">Technische Beschreibung für das SST-Standardmodell Schadenversicherung </t>
    </r>
    <r>
      <rPr>
        <sz val="10"/>
        <color theme="1"/>
        <rFont val="Arial"/>
        <family val="2"/>
      </rPr>
      <t xml:space="preserve">/ </t>
    </r>
    <r>
      <rPr>
        <i/>
        <sz val="10"/>
        <color theme="1"/>
        <rFont val="Arial"/>
        <family val="2"/>
      </rPr>
      <t>Technical description StandRe</t>
    </r>
    <r>
      <rPr>
        <sz val="10"/>
        <color theme="1"/>
        <rFont val="Arial"/>
        <family val="2"/>
      </rPr>
      <t xml:space="preserve"> chapter 8.3/ SST-Captives-Template sheet CA_input_SST-Template</t>
    </r>
  </si>
  <si>
    <r>
      <t xml:space="preserve">According to </t>
    </r>
    <r>
      <rPr>
        <i/>
        <sz val="10"/>
        <color theme="1"/>
        <rFont val="Arial"/>
        <family val="2"/>
      </rPr>
      <t>Technische Beschreibung SST-Bilanz, risikolose Zinskurven und Fundamental Data Sheet</t>
    </r>
    <r>
      <rPr>
        <sz val="10"/>
        <color theme="1"/>
        <rFont val="Arial"/>
        <family val="2"/>
      </rPr>
      <t>, chapter 4.2.7</t>
    </r>
  </si>
  <si>
    <r>
      <t>According to</t>
    </r>
    <r>
      <rPr>
        <i/>
        <sz val="10"/>
        <color theme="1"/>
        <rFont val="Arial"/>
        <family val="2"/>
      </rPr>
      <t xml:space="preserve"> Technische Beschreibung Standardmodell Beteiligungen</t>
    </r>
  </si>
  <si>
    <r>
      <t xml:space="preserve">Gemäss Dokument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StandRe</t>
    </r>
    <r>
      <rPr>
        <sz val="10"/>
        <color theme="1"/>
        <rFont val="Arial"/>
        <family val="2"/>
      </rPr>
      <t xml:space="preserve"> Abschnitt 8.3 / SST-Captives-Template Blatt CA_input_SST-Template</t>
    </r>
  </si>
  <si>
    <r>
      <t xml:space="preserve">Selon le document </t>
    </r>
    <r>
      <rPr>
        <i/>
        <sz val="10"/>
        <color theme="1"/>
        <rFont val="Arial"/>
        <family val="2"/>
      </rPr>
      <t xml:space="preserve">Description technique du modèle standard SST assurance dommages </t>
    </r>
    <r>
      <rPr>
        <sz val="10"/>
        <color theme="1"/>
        <rFont val="Arial"/>
        <family val="2"/>
      </rPr>
      <t xml:space="preserve">/ </t>
    </r>
    <r>
      <rPr>
        <i/>
        <sz val="10"/>
        <color theme="1"/>
        <rFont val="Arial"/>
        <family val="2"/>
      </rPr>
      <t>Technical description StandR</t>
    </r>
    <r>
      <rPr>
        <sz val="10"/>
        <color theme="1"/>
        <rFont val="Arial"/>
        <family val="2"/>
      </rPr>
      <t>e section 8.3 / SST-Captives-Template feuille CA_input_SST-Template</t>
    </r>
  </si>
  <si>
    <t>Participation value</t>
  </si>
  <si>
    <t>Scaling factor</t>
  </si>
  <si>
    <t>Apply the LLPO</t>
  </si>
  <si>
    <t>Verbindlichkeiten</t>
  </si>
  <si>
    <t>Engagements</t>
  </si>
  <si>
    <t>Total Verbindlichkeiten</t>
  </si>
  <si>
    <t>Total des engagements</t>
  </si>
  <si>
    <t>Total Liabilities</t>
  </si>
  <si>
    <t>Tier 1- risikoabsorbierende Kapitalinstrumente (RAK), an das Kernkapital angerechnet</t>
  </si>
  <si>
    <t>Differenz marktkonformer Wert der Aktiven und Verbindlichkeiten</t>
  </si>
  <si>
    <t>Différence entre valeur des actifs conforme au marché et valeur des engagements</t>
  </si>
  <si>
    <t>S1.4 Stagflation</t>
  </si>
  <si>
    <t>S1.1 Récession mondiale</t>
  </si>
  <si>
    <t>S1.2 Dépression mondiale</t>
  </si>
  <si>
    <t>S1.3 Crise immobilière en Suisse</t>
  </si>
  <si>
    <t>S1.1 Global recession</t>
  </si>
  <si>
    <t>S1.2 Global depression</t>
  </si>
  <si>
    <t>S1.3 Real estate crisis CH</t>
  </si>
  <si>
    <t>Restatement</t>
  </si>
  <si>
    <t>Blatt für das Restatement des SST 2023 eingefügt.</t>
  </si>
  <si>
    <t>Effet de l'LLPO sur le capital cible (uniquement pour le modèle de participation)</t>
  </si>
  <si>
    <t>Effect of the LLPO (only for the participation model)</t>
  </si>
  <si>
    <t>Risque de crédit des hypothèques</t>
  </si>
  <si>
    <t>Credit risk of mortgages</t>
  </si>
  <si>
    <t>Risque de crédit delta</t>
  </si>
  <si>
    <t>Credit risk remainder</t>
  </si>
  <si>
    <t>Risque de crédit du modèle stochastique</t>
  </si>
  <si>
    <t>Credit risk from the stochastic model</t>
  </si>
  <si>
    <t>dont risque de défault</t>
  </si>
  <si>
    <t>dont risque de migration</t>
  </si>
  <si>
    <t>of which default risk</t>
  </si>
  <si>
    <t>of which migration risk</t>
  </si>
  <si>
    <t>According to the SST 2023 report</t>
  </si>
  <si>
    <t>SST ratio (%)</t>
  </si>
  <si>
    <t>1a</t>
  </si>
  <si>
    <t>T.02.10</t>
  </si>
  <si>
    <t>T.28.01</t>
  </si>
  <si>
    <t>T.30.01</t>
  </si>
  <si>
    <t>T.32.01</t>
  </si>
  <si>
    <t>T.03.01</t>
  </si>
  <si>
    <t>T.03.02</t>
  </si>
  <si>
    <t>T.03.03</t>
  </si>
  <si>
    <t>T.03.04</t>
  </si>
  <si>
    <t>T.03.05</t>
  </si>
  <si>
    <t>T.03.06</t>
  </si>
  <si>
    <t>T.03.07</t>
  </si>
  <si>
    <t>T.03.08</t>
  </si>
  <si>
    <t>T.03.09</t>
  </si>
  <si>
    <t>T.03.10</t>
  </si>
  <si>
    <t>T.03.11</t>
  </si>
  <si>
    <t>T.03.12</t>
  </si>
  <si>
    <t>T.03.13</t>
  </si>
  <si>
    <t>T.03.14</t>
  </si>
  <si>
    <t>T.03.15</t>
  </si>
  <si>
    <t>T.03.16</t>
  </si>
  <si>
    <t>T.04.01</t>
  </si>
  <si>
    <t>T.04.02</t>
  </si>
  <si>
    <t>T.04.03</t>
  </si>
  <si>
    <t>T.04.04</t>
  </si>
  <si>
    <t>T.04.05</t>
  </si>
  <si>
    <t>T.04.06</t>
  </si>
  <si>
    <t>T.04.07</t>
  </si>
  <si>
    <t>T.04.08</t>
  </si>
  <si>
    <t>T.04.09</t>
  </si>
  <si>
    <t>T.04.10</t>
  </si>
  <si>
    <t>T.04.11</t>
  </si>
  <si>
    <t>T.04.12</t>
  </si>
  <si>
    <t>T.04.13</t>
  </si>
  <si>
    <t>T.04.14</t>
  </si>
  <si>
    <t>T.04.15</t>
  </si>
  <si>
    <t>T.04.16</t>
  </si>
  <si>
    <t>T.04.17</t>
  </si>
  <si>
    <t>T.04.18</t>
  </si>
  <si>
    <t>T.04.19</t>
  </si>
  <si>
    <t>T.04.20</t>
  </si>
  <si>
    <t>T.04.21</t>
  </si>
  <si>
    <t>T.04.22</t>
  </si>
  <si>
    <t>T.04.23</t>
  </si>
  <si>
    <t>T.04.24</t>
  </si>
  <si>
    <t>T.04.25</t>
  </si>
  <si>
    <t>T.04.26</t>
  </si>
  <si>
    <t>T.04.27</t>
  </si>
  <si>
    <t>T.04.28</t>
  </si>
  <si>
    <t>T.04.29</t>
  </si>
  <si>
    <t>T.05.17</t>
  </si>
  <si>
    <t>T.05.18</t>
  </si>
  <si>
    <t>T.05.19</t>
  </si>
  <si>
    <t>T.05.20</t>
  </si>
  <si>
    <t>T.05.21</t>
  </si>
  <si>
    <t>T.05.22</t>
  </si>
  <si>
    <t>T.05.23</t>
  </si>
  <si>
    <t>T.05.24</t>
  </si>
  <si>
    <t>T.05.25</t>
  </si>
  <si>
    <t>T.05.26</t>
  </si>
  <si>
    <t>T.05.27</t>
  </si>
  <si>
    <t>T.05.28</t>
  </si>
  <si>
    <t>T.05.29</t>
  </si>
  <si>
    <t>T.05.30</t>
  </si>
  <si>
    <t>T.05.31</t>
  </si>
  <si>
    <t>T.06.30</t>
  </si>
  <si>
    <t>T.06.31</t>
  </si>
  <si>
    <t>T.06.32</t>
  </si>
  <si>
    <t>T.06.33</t>
  </si>
  <si>
    <t>T.06.34</t>
  </si>
  <si>
    <t>T.06.35</t>
  </si>
  <si>
    <t>T.06.36</t>
  </si>
  <si>
    <t>T.06.37</t>
  </si>
  <si>
    <t>T.06.38</t>
  </si>
  <si>
    <t>T.06.39</t>
  </si>
  <si>
    <t>T.06.40</t>
  </si>
  <si>
    <t>T.06.41</t>
  </si>
  <si>
    <t>T.06.42</t>
  </si>
  <si>
    <t>T.06.43</t>
  </si>
  <si>
    <t>T.06.44</t>
  </si>
  <si>
    <t>T.06.45</t>
  </si>
  <si>
    <t>T.06.46</t>
  </si>
  <si>
    <t>T.06.47</t>
  </si>
  <si>
    <t>T.06.48</t>
  </si>
  <si>
    <t>T.06.49</t>
  </si>
  <si>
    <t>T.06.50</t>
  </si>
  <si>
    <t>T.06.51</t>
  </si>
  <si>
    <t>T.06.52</t>
  </si>
  <si>
    <t>T.06.53</t>
  </si>
  <si>
    <t>T.06.54</t>
  </si>
  <si>
    <t>T.06.55</t>
  </si>
  <si>
    <t>T.06.56</t>
  </si>
  <si>
    <t>T.06.57</t>
  </si>
  <si>
    <t>T.06.58</t>
  </si>
  <si>
    <t>T.06.59</t>
  </si>
  <si>
    <t>T.06.60</t>
  </si>
  <si>
    <t>T.06.61</t>
  </si>
  <si>
    <t>T.06.62</t>
  </si>
  <si>
    <t>T.06.63</t>
  </si>
  <si>
    <t>T.06.64</t>
  </si>
  <si>
    <t>T.06.65</t>
  </si>
  <si>
    <t>T.06.66</t>
  </si>
  <si>
    <t>T.06.67</t>
  </si>
  <si>
    <t>T.06.68</t>
  </si>
  <si>
    <t>T.06.69</t>
  </si>
  <si>
    <t>T.06.70</t>
  </si>
  <si>
    <t>T.06.71</t>
  </si>
  <si>
    <t>T.06.72</t>
  </si>
  <si>
    <t>T.06.73</t>
  </si>
  <si>
    <t>T.06.74</t>
  </si>
  <si>
    <t>T.06.75</t>
  </si>
  <si>
    <t>T.06.76</t>
  </si>
  <si>
    <t>T.06.77</t>
  </si>
  <si>
    <t>T.06.78</t>
  </si>
  <si>
    <t>T.06.79</t>
  </si>
  <si>
    <t>T.06.80</t>
  </si>
  <si>
    <t>T.06.81</t>
  </si>
  <si>
    <t>T.06.82</t>
  </si>
  <si>
    <t>T.06.83</t>
  </si>
  <si>
    <t>T.06.84</t>
  </si>
  <si>
    <t>T.06.85</t>
  </si>
  <si>
    <t>T.06.86</t>
  </si>
  <si>
    <t>T.06.87</t>
  </si>
  <si>
    <t>T.06.88</t>
  </si>
  <si>
    <t>T.06.89</t>
  </si>
  <si>
    <t>T.06.90</t>
  </si>
  <si>
    <t>T.06.91</t>
  </si>
  <si>
    <t>T.06.92</t>
  </si>
  <si>
    <t>T.06.93</t>
  </si>
  <si>
    <t>T.06.94</t>
  </si>
  <si>
    <t>T.06.95</t>
  </si>
  <si>
    <t>T.06.96</t>
  </si>
  <si>
    <t>T.06.97</t>
  </si>
  <si>
    <t>T.06.98</t>
  </si>
  <si>
    <t>T.06.99</t>
  </si>
  <si>
    <t>T.06.100</t>
  </si>
  <si>
    <t>T.06.101</t>
  </si>
  <si>
    <t>T.06.102</t>
  </si>
  <si>
    <t>T.06.103</t>
  </si>
  <si>
    <t>T.06.104</t>
  </si>
  <si>
    <t>T.06.105</t>
  </si>
  <si>
    <t>T.06.106</t>
  </si>
  <si>
    <t>T.06.107</t>
  </si>
  <si>
    <t>T.06.108</t>
  </si>
  <si>
    <t>T.06.109</t>
  </si>
  <si>
    <t>T.06.110</t>
  </si>
  <si>
    <t>T.06.111</t>
  </si>
  <si>
    <t>T.06.112</t>
  </si>
  <si>
    <t>T.06.113</t>
  </si>
  <si>
    <t>T.06.114</t>
  </si>
  <si>
    <t>T.06.115</t>
  </si>
  <si>
    <t>T.06.116</t>
  </si>
  <si>
    <t>T.06.117</t>
  </si>
  <si>
    <t>T.06.118</t>
  </si>
  <si>
    <t>T.06.119</t>
  </si>
  <si>
    <t>T.06.120</t>
  </si>
  <si>
    <t>T.06.121</t>
  </si>
  <si>
    <t>T.06.122</t>
  </si>
  <si>
    <t>T.06.123</t>
  </si>
  <si>
    <t>T.06.124</t>
  </si>
  <si>
    <t>T.06.125</t>
  </si>
  <si>
    <t>T.06.126</t>
  </si>
  <si>
    <t>T.06.127</t>
  </si>
  <si>
    <t>T.06.128</t>
  </si>
  <si>
    <t>T.06.129</t>
  </si>
  <si>
    <t>T.06.130</t>
  </si>
  <si>
    <t>T.06.131</t>
  </si>
  <si>
    <t>T.06.132</t>
  </si>
  <si>
    <t>T.06.133</t>
  </si>
  <si>
    <t>T.06.134</t>
  </si>
  <si>
    <t>T.06.135</t>
  </si>
  <si>
    <t>T.06.136</t>
  </si>
  <si>
    <t>T.06.137</t>
  </si>
  <si>
    <t>T.06.138</t>
  </si>
  <si>
    <t>T.06.139</t>
  </si>
  <si>
    <t>T.06.140</t>
  </si>
  <si>
    <t>T.06.141</t>
  </si>
  <si>
    <t>T.06.142</t>
  </si>
  <si>
    <t>T.06.143</t>
  </si>
  <si>
    <t>T.06.144</t>
  </si>
  <si>
    <t>T.06.145</t>
  </si>
  <si>
    <t>T.06.146</t>
  </si>
  <si>
    <t>T.06.147</t>
  </si>
  <si>
    <t>T.06.148</t>
  </si>
  <si>
    <t>T.06.149</t>
  </si>
  <si>
    <t>T.06.150</t>
  </si>
  <si>
    <t>T.06.151</t>
  </si>
  <si>
    <t>T.06.152</t>
  </si>
  <si>
    <t>T.06.153</t>
  </si>
  <si>
    <t>T.06.154</t>
  </si>
  <si>
    <t>T.06.155</t>
  </si>
  <si>
    <t>T.06.156</t>
  </si>
  <si>
    <t>T.06.157</t>
  </si>
  <si>
    <t>T.06.158</t>
  </si>
  <si>
    <t>T.06.159</t>
  </si>
  <si>
    <t>T.06.160</t>
  </si>
  <si>
    <t>T.06.161</t>
  </si>
  <si>
    <t>T.06.162</t>
  </si>
  <si>
    <t>T.06.163</t>
  </si>
  <si>
    <t>T.06.164</t>
  </si>
  <si>
    <t>T.06.165</t>
  </si>
  <si>
    <t>T.06.166</t>
  </si>
  <si>
    <t>T.06.167</t>
  </si>
  <si>
    <t>T.06.168</t>
  </si>
  <si>
    <t>T.06.169</t>
  </si>
  <si>
    <t>T.06.170</t>
  </si>
  <si>
    <t>T.06.171</t>
  </si>
  <si>
    <t>T.06.172</t>
  </si>
  <si>
    <t>T.06.173</t>
  </si>
  <si>
    <t>T.06.174</t>
  </si>
  <si>
    <t>T.06.175</t>
  </si>
  <si>
    <t>T.06.176</t>
  </si>
  <si>
    <t>T.06.177</t>
  </si>
  <si>
    <t>T.06.178</t>
  </si>
  <si>
    <t>T.06.179</t>
  </si>
  <si>
    <t>T.06.180</t>
  </si>
  <si>
    <t>T.06.181</t>
  </si>
  <si>
    <t>T.06.182</t>
  </si>
  <si>
    <t>T.06.183</t>
  </si>
  <si>
    <t>T.06.184</t>
  </si>
  <si>
    <t>T.06.185</t>
  </si>
  <si>
    <t>T.06.186</t>
  </si>
  <si>
    <t>T.06.187</t>
  </si>
  <si>
    <t>T.06.188</t>
  </si>
  <si>
    <t>T.06.189</t>
  </si>
  <si>
    <t>T.06.190</t>
  </si>
  <si>
    <t>T.06.191</t>
  </si>
  <si>
    <t>T.06.192</t>
  </si>
  <si>
    <t>T.06.193</t>
  </si>
  <si>
    <t>T.06.194</t>
  </si>
  <si>
    <t>T.06.195</t>
  </si>
  <si>
    <t>T.06.196</t>
  </si>
  <si>
    <t>T.06.197</t>
  </si>
  <si>
    <t>T.06.198</t>
  </si>
  <si>
    <t>T.06.199</t>
  </si>
  <si>
    <t>T.06.200</t>
  </si>
  <si>
    <t>T.06.201</t>
  </si>
  <si>
    <t>T.06.202</t>
  </si>
  <si>
    <t>T.06.203</t>
  </si>
  <si>
    <t>T.06.204</t>
  </si>
  <si>
    <t>T.06.205</t>
  </si>
  <si>
    <t>T.06.206</t>
  </si>
  <si>
    <t>T.06.207</t>
  </si>
  <si>
    <t>T.06.208</t>
  </si>
  <si>
    <t>T.06.209</t>
  </si>
  <si>
    <t>T.06.210</t>
  </si>
  <si>
    <t>T.06.211</t>
  </si>
  <si>
    <t>T.10.01</t>
  </si>
  <si>
    <t>T.10.02</t>
  </si>
  <si>
    <t>T.10.03</t>
  </si>
  <si>
    <t>T.10.04</t>
  </si>
  <si>
    <t>T.10.05</t>
  </si>
  <si>
    <t>T.10.06</t>
  </si>
  <si>
    <t>T.10.07</t>
  </si>
  <si>
    <t>T.11.10</t>
  </si>
  <si>
    <t>T.12.11</t>
  </si>
  <si>
    <t>T.12.12</t>
  </si>
  <si>
    <t>T.12.13</t>
  </si>
  <si>
    <t>T.12.14</t>
  </si>
  <si>
    <t>T.12.15</t>
  </si>
  <si>
    <t>In dieser Tabelle sind alle FX-Forward-Verträge einzutragen. Es sind so viele Zeilen zu kopieren, wie es FX-Forward-Verträge gibt. Forwards können aggregiert werden. Die aggregierte Forward Rate ist dann der exposuregewichtete Durchschnitt.</t>
  </si>
  <si>
    <t>Tous les contrats de change à terme doivent être inscrits dans ce tableau. Il faut copier autant de lignes qu’il y a de contrats de change à terme. Les forwards peuvent être agrégés. Le taux à terme agrégé constitue alors la moyenne pondérée en fonction de l’exposition.</t>
  </si>
  <si>
    <t>All FX forward contracts must be entered in this table. The number of lines to copy equals the number of FX forward contracts. Forwards can be aggregated. The aggregated forward rate is then the exposure-weighted average.</t>
  </si>
  <si>
    <t>In dieser Tabelle sind alle Preis-Forward-Verträge einzutragen. Es sind so viele Zeile zu kopieren, wie es Preis-Forward-Verträge gibt. Forwards können aggregiert werden. Der aggregierte Forward-Preis ist dann die Summe der Exposures.</t>
  </si>
  <si>
    <t>Tous les contrats avec un prix à terme doivent être inscrits dans ce tableau. Il faut copier autant de lignes qu’il y a de contrats avec un prix à terme. Les forwards peuvent être agrégés. Le prix à terme agrégé constitue alors la somme de l’exposition.</t>
  </si>
  <si>
    <t>All price forward contracts must be entered in this table. There are as many lines to copy as there are price forward contracts. Forwards can be aggregated. The aggregated forward price is then the sum of the exposures.</t>
  </si>
  <si>
    <t>T.12.16</t>
  </si>
  <si>
    <t>T.12.17</t>
  </si>
  <si>
    <t>T.12.18</t>
  </si>
  <si>
    <t>T.12.19</t>
  </si>
  <si>
    <t>T.12.20</t>
  </si>
  <si>
    <t>T.12.21</t>
  </si>
  <si>
    <t>T.12.22</t>
  </si>
  <si>
    <t>T.12.23</t>
  </si>
  <si>
    <t>T.12.24</t>
  </si>
  <si>
    <t>T.12.25</t>
  </si>
  <si>
    <t>T.13.08</t>
  </si>
  <si>
    <t>T.13.09</t>
  </si>
  <si>
    <t>T.13.10</t>
  </si>
  <si>
    <t>T.13.11</t>
  </si>
  <si>
    <t>T.13.12</t>
  </si>
  <si>
    <t>T.13.13</t>
  </si>
  <si>
    <t>T.13.14</t>
  </si>
  <si>
    <t>T.13.15</t>
  </si>
  <si>
    <t>T.13.16</t>
  </si>
  <si>
    <t>T.13.17</t>
  </si>
  <si>
    <t>T.13.18</t>
  </si>
  <si>
    <t>T.13.19</t>
  </si>
  <si>
    <t>T.13.20</t>
  </si>
  <si>
    <t>T.13.21</t>
  </si>
  <si>
    <t>T.13.22</t>
  </si>
  <si>
    <t>T.13.23</t>
  </si>
  <si>
    <t>T.13.24</t>
  </si>
  <si>
    <t>T.13.25</t>
  </si>
  <si>
    <t>T.13.26</t>
  </si>
  <si>
    <t>T.13.27</t>
  </si>
  <si>
    <t>T.13.28</t>
  </si>
  <si>
    <t>T.13.29</t>
  </si>
  <si>
    <t>T.13.30</t>
  </si>
  <si>
    <t>T.13.31</t>
  </si>
  <si>
    <t>T.13.32</t>
  </si>
  <si>
    <t>T.13.33</t>
  </si>
  <si>
    <t>T.13.34</t>
  </si>
  <si>
    <t>T.13.35</t>
  </si>
  <si>
    <t>T.13.36</t>
  </si>
  <si>
    <t>T.13.37</t>
  </si>
  <si>
    <t>T.13.38</t>
  </si>
  <si>
    <t>T.13.39</t>
  </si>
  <si>
    <t>T.13.40</t>
  </si>
  <si>
    <t>T.13.41</t>
  </si>
  <si>
    <t>T.13.42</t>
  </si>
  <si>
    <t>T.13.43</t>
  </si>
  <si>
    <t>T.13.44</t>
  </si>
  <si>
    <t>T.13.45</t>
  </si>
  <si>
    <t>T.13.46</t>
  </si>
  <si>
    <t>T.13.47</t>
  </si>
  <si>
    <t>T.13.48</t>
  </si>
  <si>
    <t>T.13.49</t>
  </si>
  <si>
    <t>T.13.50</t>
  </si>
  <si>
    <t>T.14.11</t>
  </si>
  <si>
    <t>T.14.12</t>
  </si>
  <si>
    <t>T.15.16</t>
  </si>
  <si>
    <t>T.15.17</t>
  </si>
  <si>
    <t>T.15.18</t>
  </si>
  <si>
    <t>T.15.19</t>
  </si>
  <si>
    <t>T.15.20</t>
  </si>
  <si>
    <t>T.15.21</t>
  </si>
  <si>
    <t>T.15.22</t>
  </si>
  <si>
    <t>T.15.23</t>
  </si>
  <si>
    <t>T.15.24</t>
  </si>
  <si>
    <t>T.15.25</t>
  </si>
  <si>
    <t>T.15.26</t>
  </si>
  <si>
    <t>T.15.27</t>
  </si>
  <si>
    <t>T.16.14</t>
  </si>
  <si>
    <t>T.16.15</t>
  </si>
  <si>
    <t>T.16.16</t>
  </si>
  <si>
    <t>T.16.17</t>
  </si>
  <si>
    <t>T.16.18</t>
  </si>
  <si>
    <t>T.16.19</t>
  </si>
  <si>
    <t>T.16.20</t>
  </si>
  <si>
    <t>T.16.21</t>
  </si>
  <si>
    <t>T.16.22</t>
  </si>
  <si>
    <t>T.16.23</t>
  </si>
  <si>
    <t>T.16.24</t>
  </si>
  <si>
    <t>T.16.25</t>
  </si>
  <si>
    <t>T.16.26</t>
  </si>
  <si>
    <t>T.16.27</t>
  </si>
  <si>
    <t>T.16.28</t>
  </si>
  <si>
    <t>T.16.29</t>
  </si>
  <si>
    <t>T.16.30</t>
  </si>
  <si>
    <t>T.16.31</t>
  </si>
  <si>
    <t>T.16.32</t>
  </si>
  <si>
    <t>T.16.33</t>
  </si>
  <si>
    <t>T.16.34</t>
  </si>
  <si>
    <t>T.16.35</t>
  </si>
  <si>
    <t>T.16.36</t>
  </si>
  <si>
    <t>T.16.37</t>
  </si>
  <si>
    <t>T.16.38</t>
  </si>
  <si>
    <t>T.16.39</t>
  </si>
  <si>
    <t>T.16.40</t>
  </si>
  <si>
    <t>T.16.41</t>
  </si>
  <si>
    <t>T.16.42</t>
  </si>
  <si>
    <t>T.16.43</t>
  </si>
  <si>
    <t>T.16.44</t>
  </si>
  <si>
    <t>T.16.45</t>
  </si>
  <si>
    <t>T.16.46</t>
  </si>
  <si>
    <t>T.16.47</t>
  </si>
  <si>
    <t>T.16.48</t>
  </si>
  <si>
    <t>T.16.49</t>
  </si>
  <si>
    <t>T.16.50</t>
  </si>
  <si>
    <t>T.16.51</t>
  </si>
  <si>
    <t>T.16.52</t>
  </si>
  <si>
    <t>T.16.53</t>
  </si>
  <si>
    <t>T.16.54</t>
  </si>
  <si>
    <t>T.16.55</t>
  </si>
  <si>
    <t>T.18.13</t>
  </si>
  <si>
    <t>T.18.14</t>
  </si>
  <si>
    <t>T.18.15</t>
  </si>
  <si>
    <t>T.18.16</t>
  </si>
  <si>
    <t>T.18.17</t>
  </si>
  <si>
    <t>T.18.18</t>
  </si>
  <si>
    <t>T.18.19</t>
  </si>
  <si>
    <t>T.18.20</t>
  </si>
  <si>
    <t>T.18.21</t>
  </si>
  <si>
    <t>T.18.22</t>
  </si>
  <si>
    <t>T.18.23</t>
  </si>
  <si>
    <t>T.18.24</t>
  </si>
  <si>
    <t>T.18.25</t>
  </si>
  <si>
    <t>T.18.26</t>
  </si>
  <si>
    <t>T.18.27</t>
  </si>
  <si>
    <t>T.18.28</t>
  </si>
  <si>
    <t>T.20.06</t>
  </si>
  <si>
    <t>T.20.07</t>
  </si>
  <si>
    <t>T.20.08</t>
  </si>
  <si>
    <t>T.20.09</t>
  </si>
  <si>
    <t>T.20.10</t>
  </si>
  <si>
    <t>T.20.11</t>
  </si>
  <si>
    <t>T.20.12</t>
  </si>
  <si>
    <t>T.20.13</t>
  </si>
  <si>
    <t>T.20.14</t>
  </si>
  <si>
    <t>T.20.15</t>
  </si>
  <si>
    <t>T.20.16</t>
  </si>
  <si>
    <t>T.20.17</t>
  </si>
  <si>
    <t>T.20.18</t>
  </si>
  <si>
    <t>T.20.19</t>
  </si>
  <si>
    <t>T.20.20</t>
  </si>
  <si>
    <t>T.20.21</t>
  </si>
  <si>
    <t>T.20.22</t>
  </si>
  <si>
    <t>T.20.23</t>
  </si>
  <si>
    <t>T.20.24</t>
  </si>
  <si>
    <t>T.20.25</t>
  </si>
  <si>
    <t>T.20.26</t>
  </si>
  <si>
    <t>T.20.27</t>
  </si>
  <si>
    <t>T.20.28</t>
  </si>
  <si>
    <t>T.20.29</t>
  </si>
  <si>
    <t>T.20.30</t>
  </si>
  <si>
    <t>T.20.31</t>
  </si>
  <si>
    <t>T.20.32</t>
  </si>
  <si>
    <t>T.20.33</t>
  </si>
  <si>
    <t>T.20.34</t>
  </si>
  <si>
    <t>T.20.35</t>
  </si>
  <si>
    <t>T.20.36</t>
  </si>
  <si>
    <t>T.20.37</t>
  </si>
  <si>
    <t>T.22.29</t>
  </si>
  <si>
    <t>T.22.30</t>
  </si>
  <si>
    <t>T.22.31</t>
  </si>
  <si>
    <t>T.22.32</t>
  </si>
  <si>
    <t>T.22.33</t>
  </si>
  <si>
    <t>T.22.34</t>
  </si>
  <si>
    <t>T.22.35</t>
  </si>
  <si>
    <t>T.22.36</t>
  </si>
  <si>
    <t>T.22.37</t>
  </si>
  <si>
    <t>T.24.38</t>
  </si>
  <si>
    <t>T.24.39</t>
  </si>
  <si>
    <t>T.24.40</t>
  </si>
  <si>
    <t>T.24.41</t>
  </si>
  <si>
    <t>T.27.01</t>
  </si>
  <si>
    <t>T.32.02</t>
  </si>
  <si>
    <t>T.32.03</t>
  </si>
  <si>
    <t>T.32.04</t>
  </si>
  <si>
    <t>T.32.05</t>
  </si>
  <si>
    <t>T.32.06</t>
  </si>
  <si>
    <t>T.14.13</t>
  </si>
  <si>
    <t>T.14.14</t>
  </si>
  <si>
    <t>Glossar - Glossaire - Glossary - Deutsch - Französisch - Englisch</t>
  </si>
  <si>
    <t>T.xx.01</t>
  </si>
  <si>
    <t>T.xx.02</t>
  </si>
  <si>
    <t>T.xx.03</t>
  </si>
  <si>
    <t>T.xx.04</t>
  </si>
  <si>
    <t>T.xx.05</t>
  </si>
  <si>
    <t>T.xx.06</t>
  </si>
  <si>
    <t>T.xx.07</t>
  </si>
  <si>
    <t>T.xx.08</t>
  </si>
  <si>
    <t>T.xx.09</t>
  </si>
  <si>
    <t>T.xx.10</t>
  </si>
  <si>
    <t>T.xx.11</t>
  </si>
  <si>
    <t>T.xx.12</t>
  </si>
  <si>
    <t>T.xx.13</t>
  </si>
  <si>
    <t>T.xx.14</t>
  </si>
  <si>
    <t>T.xx.15</t>
  </si>
  <si>
    <t>T.xx.16</t>
  </si>
  <si>
    <t>T.xx.17</t>
  </si>
  <si>
    <t>T.xx.18</t>
  </si>
  <si>
    <t>T.xx.19</t>
  </si>
  <si>
    <t>T.xx.20</t>
  </si>
  <si>
    <t>T.xx.21</t>
  </si>
  <si>
    <t>T.xx.22</t>
  </si>
  <si>
    <t>T.xx.23</t>
  </si>
  <si>
    <t>T.xx.24</t>
  </si>
  <si>
    <t>T.xx.25</t>
  </si>
  <si>
    <t>T.xx.26</t>
  </si>
  <si>
    <t>T.xx.27</t>
  </si>
  <si>
    <t>T.xx.28</t>
  </si>
  <si>
    <t>T.xx.29</t>
  </si>
  <si>
    <t>T.xx.30</t>
  </si>
  <si>
    <t>T.xx.31</t>
  </si>
  <si>
    <t>T.xx.32</t>
  </si>
  <si>
    <t>T.xx.33</t>
  </si>
  <si>
    <t>T.xx.34</t>
  </si>
  <si>
    <t>T.xx.35</t>
  </si>
  <si>
    <t>T.xx.36</t>
  </si>
  <si>
    <t>T.xx.37</t>
  </si>
  <si>
    <t>T.xx.38</t>
  </si>
  <si>
    <t>T.xx.39</t>
  </si>
  <si>
    <t>T.xx.40</t>
  </si>
  <si>
    <t>T.xx.41</t>
  </si>
  <si>
    <t>T.xx.42</t>
  </si>
  <si>
    <t>T.xx.43</t>
  </si>
  <si>
    <t>T.xx.44</t>
  </si>
  <si>
    <t>T.xx.45</t>
  </si>
  <si>
    <t>T.xx.46</t>
  </si>
  <si>
    <t>T.xx.47</t>
  </si>
  <si>
    <t>T.xx.48</t>
  </si>
  <si>
    <t>T.xx.49</t>
  </si>
  <si>
    <t>T.xx.50</t>
  </si>
  <si>
    <t>T.xx.51</t>
  </si>
  <si>
    <t>T.xx.52</t>
  </si>
  <si>
    <t>T.xx.53</t>
  </si>
  <si>
    <t>T.xx.54</t>
  </si>
  <si>
    <t>T.xx.55</t>
  </si>
  <si>
    <t>T.xx.56</t>
  </si>
  <si>
    <t>T.xx.57</t>
  </si>
  <si>
    <t>T.xx.58</t>
  </si>
  <si>
    <t>T.xx.59</t>
  </si>
  <si>
    <t>T.xx.60</t>
  </si>
  <si>
    <t>T.xx.61</t>
  </si>
  <si>
    <t>T.xx.62</t>
  </si>
  <si>
    <t>T.xx.63</t>
  </si>
  <si>
    <t>T.xx.64</t>
  </si>
  <si>
    <t>T.xx.65</t>
  </si>
  <si>
    <t>T.xx.66</t>
  </si>
  <si>
    <t>T.xx.67</t>
  </si>
  <si>
    <t>T.xx.68</t>
  </si>
  <si>
    <t>T.xx.69</t>
  </si>
  <si>
    <t>T.xx.70</t>
  </si>
  <si>
    <t>T.xx.71</t>
  </si>
  <si>
    <t>T.xx.72</t>
  </si>
  <si>
    <t>T.xx.73</t>
  </si>
  <si>
    <t>T.xx.74</t>
  </si>
  <si>
    <t>T.xx.75</t>
  </si>
  <si>
    <t>T.xx.76</t>
  </si>
  <si>
    <t>T.xx.77</t>
  </si>
  <si>
    <t>T.xx.78</t>
  </si>
  <si>
    <t>T.xx.79</t>
  </si>
  <si>
    <t>T.xx.80</t>
  </si>
  <si>
    <t>T.xx.81</t>
  </si>
  <si>
    <t>T.xx.82</t>
  </si>
  <si>
    <t>T.xx.83</t>
  </si>
  <si>
    <t>T.xx.84</t>
  </si>
  <si>
    <t>T.xx.85</t>
  </si>
  <si>
    <t>T.xx.86</t>
  </si>
  <si>
    <t>T.xx.87</t>
  </si>
  <si>
    <t>T.xx.88</t>
  </si>
  <si>
    <t>T.xx.89</t>
  </si>
  <si>
    <t>T.xx.90</t>
  </si>
  <si>
    <t>T.xx.91</t>
  </si>
  <si>
    <t>T.xx.92</t>
  </si>
  <si>
    <t>T.xx.93</t>
  </si>
  <si>
    <t>T.xx.94</t>
  </si>
  <si>
    <t>T.xx.95</t>
  </si>
  <si>
    <t>T.xx.96</t>
  </si>
  <si>
    <t>T.xx.97</t>
  </si>
  <si>
    <t>T.xx.98</t>
  </si>
  <si>
    <t>T.xx.99</t>
  </si>
  <si>
    <t>T.xx.100</t>
  </si>
  <si>
    <t>T.xx.101</t>
  </si>
  <si>
    <t>T.xx.102</t>
  </si>
  <si>
    <t>T.xx.103</t>
  </si>
  <si>
    <t>T.xx.104</t>
  </si>
  <si>
    <t>T.xx.105</t>
  </si>
  <si>
    <t>T.xx.106</t>
  </si>
  <si>
    <t>T.xx.107</t>
  </si>
  <si>
    <t>T.xx.108</t>
  </si>
  <si>
    <t>T.xx.109</t>
  </si>
  <si>
    <t>T.xx.110</t>
  </si>
  <si>
    <t>T.xx.111</t>
  </si>
  <si>
    <t>T.xx.112</t>
  </si>
  <si>
    <t>T.xx.113</t>
  </si>
  <si>
    <t>T.xx.114</t>
  </si>
  <si>
    <t>T.xx.115</t>
  </si>
  <si>
    <t>T.xx.116</t>
  </si>
  <si>
    <t>T.xx.117</t>
  </si>
  <si>
    <t>T.xx.118</t>
  </si>
  <si>
    <t>T.xx.119</t>
  </si>
  <si>
    <t>T.xx.120</t>
  </si>
  <si>
    <t>T.xx.121</t>
  </si>
  <si>
    <t>T.xx.122</t>
  </si>
  <si>
    <t>T.xx.123</t>
  </si>
  <si>
    <t>T.xx.124</t>
  </si>
  <si>
    <t>T.xx.125</t>
  </si>
  <si>
    <t>T.xx.126</t>
  </si>
  <si>
    <t>T.xx.127</t>
  </si>
  <si>
    <t>T.xx.128</t>
  </si>
  <si>
    <t>T.xx.129</t>
  </si>
  <si>
    <t>T.xx.130</t>
  </si>
  <si>
    <t>T.xx.131</t>
  </si>
  <si>
    <t>T.xx.132</t>
  </si>
  <si>
    <t>T.xx.133</t>
  </si>
  <si>
    <t>T.xx.134</t>
  </si>
  <si>
    <t>T.xx.135</t>
  </si>
  <si>
    <t>T.xx.136</t>
  </si>
  <si>
    <t>T.xx.137</t>
  </si>
  <si>
    <t>T.xx.138</t>
  </si>
  <si>
    <t>T.xx.139</t>
  </si>
  <si>
    <t>T.xx.140</t>
  </si>
  <si>
    <t>T.xx.141</t>
  </si>
  <si>
    <t>T.xx.142</t>
  </si>
  <si>
    <t>T.xx.143</t>
  </si>
  <si>
    <t>T.xx.144</t>
  </si>
  <si>
    <t>T.xx.145</t>
  </si>
  <si>
    <t>T.xx.146</t>
  </si>
  <si>
    <t>T.xx.147</t>
  </si>
  <si>
    <t>T.xx.148</t>
  </si>
  <si>
    <t>T.xx.149</t>
  </si>
  <si>
    <t>T.xx.150</t>
  </si>
  <si>
    <t>T.xx.151</t>
  </si>
  <si>
    <t>T.xx.152</t>
  </si>
  <si>
    <t>T.xx.153</t>
  </si>
  <si>
    <t>T.xx.154</t>
  </si>
  <si>
    <t>T.xx.155</t>
  </si>
  <si>
    <t>T.xx.156</t>
  </si>
  <si>
    <t>T.xx.157</t>
  </si>
  <si>
    <t>T.xx.158</t>
  </si>
  <si>
    <t>T.xx.159</t>
  </si>
  <si>
    <t>T.xx.160</t>
  </si>
  <si>
    <t>T.xx.161</t>
  </si>
  <si>
    <t>T.xx.162</t>
  </si>
  <si>
    <t>T.xx.163</t>
  </si>
  <si>
    <t>T.xx.164</t>
  </si>
  <si>
    <t>T.xx.165</t>
  </si>
  <si>
    <t>T.xx.166</t>
  </si>
  <si>
    <t>T.xx.167</t>
  </si>
  <si>
    <t>T.xx.168</t>
  </si>
  <si>
    <t>T.xx.169</t>
  </si>
  <si>
    <t>T.xx.170</t>
  </si>
  <si>
    <t>T.xx.171</t>
  </si>
  <si>
    <t>T.xx.172</t>
  </si>
  <si>
    <t>T.xx.173</t>
  </si>
  <si>
    <t>T.xx.174</t>
  </si>
  <si>
    <t>T.xx.175</t>
  </si>
  <si>
    <t>T.xx.176</t>
  </si>
  <si>
    <t>T.xx.177</t>
  </si>
  <si>
    <t>T.xx.178</t>
  </si>
  <si>
    <t>T.xx.179</t>
  </si>
  <si>
    <t>T.xx.180</t>
  </si>
  <si>
    <t>T.xx.181</t>
  </si>
  <si>
    <t>T.xx.182</t>
  </si>
  <si>
    <t>T.xx.183</t>
  </si>
  <si>
    <t>T.xx.184</t>
  </si>
  <si>
    <t>T.xx.185</t>
  </si>
  <si>
    <t>T.xx.186</t>
  </si>
  <si>
    <t>T.xx.187</t>
  </si>
  <si>
    <t>T.xx.188</t>
  </si>
  <si>
    <t>T.xx.189</t>
  </si>
  <si>
    <t>T.xx.190</t>
  </si>
  <si>
    <t>T.xx.191</t>
  </si>
  <si>
    <t>T.xx.192</t>
  </si>
  <si>
    <t>T.xx.193</t>
  </si>
  <si>
    <t>T.xx.194</t>
  </si>
  <si>
    <t>T.xx.195</t>
  </si>
  <si>
    <t>T.xx.196</t>
  </si>
  <si>
    <t>T.xx.197</t>
  </si>
  <si>
    <t>T.xx.198</t>
  </si>
  <si>
    <t>T.xx.199</t>
  </si>
  <si>
    <t>T.xx.200</t>
  </si>
  <si>
    <t>T.xx.201</t>
  </si>
  <si>
    <t>T.xx.202</t>
  </si>
  <si>
    <t>T.xx.203</t>
  </si>
  <si>
    <t>T.xx.204</t>
  </si>
  <si>
    <t>T.xx.205</t>
  </si>
  <si>
    <t>T.xx.206</t>
  </si>
  <si>
    <t>Anpassung des Glossars gemäss der Struktur des SST-Templates.</t>
  </si>
  <si>
    <t>T.16.56</t>
  </si>
  <si>
    <t>Diskontierter Nominalwert der an das risikotragende Kapital (RTK) angerechneten risikoabsorbierenden Kapitalinstrumente (RAK) - mit verbleibender Laufzeit =&lt; 12 Monate</t>
  </si>
  <si>
    <t>Der abdiskontierte Nominalwert dieser Instrumente ist im Zielkapital als Rückzahlung zu berücksichtigen. In SST-Währung. Alternativ kann auf die Anrechnung dieser RAK im RTK verzichtet werden. In diesem Fall ist Zelle D8 leer zu lassen.</t>
  </si>
  <si>
    <t>La valeur nominale actuelle des ces instruments doit être incluse dans le capital cible en tant que remboursement. Dans la monnaie du SST. Il est également possible de renoncer à la prise en compte de ces CAR dans le CPR. Dans ce cas, la cellule D8 doit être laissée vide.</t>
  </si>
  <si>
    <t>The discounted nominal value of these instruments is to be included in the target capital as repayment. In SST currency. Alternatively, the inclusion of these RAC in the RBC can be waived. In this case, cell D8 is to be left blank.</t>
  </si>
  <si>
    <t>Barwert (diskontiert auf t = 0) der Kapitalkosten im aktuellen Jahr</t>
  </si>
  <si>
    <t>Valeur actuelle (escomptée à t = 0) du coût du capital pour l'année en cours</t>
  </si>
  <si>
    <t>Present value (discounted at t = 0) of the cost of capital in the current year.</t>
  </si>
  <si>
    <t>Mindestbetrag (MVM)</t>
  </si>
  <si>
    <t>value_CoC</t>
  </si>
  <si>
    <t>scenario.S1.4</t>
  </si>
  <si>
    <t>218</t>
  </si>
  <si>
    <t>235</t>
  </si>
  <si>
    <t>247</t>
  </si>
  <si>
    <t>239</t>
  </si>
  <si>
    <t>243</t>
  </si>
  <si>
    <t>value_RAK</t>
  </si>
  <si>
    <t>value of risk-absorbing capital instruments</t>
  </si>
  <si>
    <t>Value of cost of capital</t>
  </si>
  <si>
    <t>90</t>
  </si>
  <si>
    <t>92</t>
  </si>
  <si>
    <t>187</t>
  </si>
  <si>
    <t>210</t>
  </si>
  <si>
    <t>103</t>
  </si>
  <si>
    <t>196</t>
  </si>
  <si>
    <t>197</t>
  </si>
  <si>
    <t>Anpassung der Configuration gemäss Struktur des SST-Templates.</t>
  </si>
  <si>
    <t>Zeile 216: Mindestbetrag eingeführt</t>
  </si>
  <si>
    <t>Zeile 18 bis 37: Anpassung Informationen zur Berechnung des RTK gemäss AVO-Revision</t>
  </si>
  <si>
    <t>Zeile 8 für die an das RTK angerechneten RAK - mit verbleibender Laufzeit =&lt; 12 Monate eingeführt</t>
  </si>
  <si>
    <t>Zeile 9 für Barwert der Kapitalkosten im aktuellen Jahr eingeführt</t>
  </si>
  <si>
    <t>Spalte G für Stagflation Szenario eingefügt.</t>
  </si>
  <si>
    <r>
      <t xml:space="preserve">Zur Berücksichtigung der Kapitalkosten im aktuellen Jahr im Mindestbetrag (MVM) gemäss Dokument </t>
    </r>
    <r>
      <rPr>
        <i/>
        <sz val="10"/>
        <color theme="1"/>
        <rFont val="Arial"/>
        <family val="2"/>
      </rPr>
      <t>Technische Beschreibung für das SST-Standardmodell Aggregation und Mindestbetrag</t>
    </r>
    <r>
      <rPr>
        <sz val="10"/>
        <color theme="1"/>
        <rFont val="Arial"/>
        <family val="2"/>
      </rPr>
      <t>, Abschnitt 3.1</t>
    </r>
  </si>
  <si>
    <r>
      <t xml:space="preserve">Pour tenir compte dans l'année en cours du coût du capital dans le montant minimum selon le document </t>
    </r>
    <r>
      <rPr>
        <i/>
        <sz val="10"/>
        <color theme="1"/>
        <rFont val="Arial"/>
        <family val="2"/>
      </rPr>
      <t>Description technique du modèle standard SST pour l'agrégation et le montant minimum</t>
    </r>
    <r>
      <rPr>
        <sz val="10"/>
        <color theme="1"/>
        <rFont val="Arial"/>
        <family val="2"/>
      </rPr>
      <t>, section 3.1.</t>
    </r>
  </si>
  <si>
    <r>
      <t xml:space="preserve">To account in the current year for the cost of capital in the market value margin (MVM) according to </t>
    </r>
    <r>
      <rPr>
        <i/>
        <sz val="10"/>
        <color theme="1"/>
        <rFont val="Arial"/>
        <family val="2"/>
      </rPr>
      <t>Technische Beschreibung für das SST-Standardmodell Aggregation und Mindestbetrag</t>
    </r>
    <r>
      <rPr>
        <sz val="10"/>
        <color theme="1"/>
        <rFont val="Arial"/>
        <family val="2"/>
      </rPr>
      <t>, chapter 3.1.</t>
    </r>
  </si>
  <si>
    <r>
      <t xml:space="preserve">Gemäss Dokument </t>
    </r>
    <r>
      <rPr>
        <i/>
        <sz val="10"/>
        <color theme="1"/>
        <rFont val="Arial"/>
        <family val="2"/>
      </rPr>
      <t>Technische Beschreibung für das SST-Standardmodell Aggregation und Mindestbetrag, Abschnitt 6.3</t>
    </r>
  </si>
  <si>
    <r>
      <t xml:space="preserve">Selon le document </t>
    </r>
    <r>
      <rPr>
        <i/>
        <sz val="10"/>
        <color theme="1"/>
        <rFont val="Arial"/>
        <family val="2"/>
      </rPr>
      <t>Description technique du modèle standard SST pour l'agrégation et le montant minimum, section 6.3</t>
    </r>
  </si>
  <si>
    <r>
      <t xml:space="preserve">According to </t>
    </r>
    <r>
      <rPr>
        <i/>
        <sz val="10"/>
        <color theme="1"/>
        <rFont val="Arial"/>
        <family val="2"/>
      </rPr>
      <t>Technische Beschreibung für das SST-Standardmodell Aggregation und Mindestbetrag, chapter 6.3</t>
    </r>
  </si>
  <si>
    <t>To account in the current year for the cost of capital in the market value margin (MVM) according to Technische Beschreibung für das SST-Standardmodell Aggregation und Mindestbetrag, chapter 3.1.</t>
  </si>
  <si>
    <t>Restatement of the SST 2023 under the AVO of 1 Jan 2024</t>
  </si>
  <si>
    <t>Risk Bearing Capital</t>
  </si>
  <si>
    <t>Target Capital</t>
  </si>
  <si>
    <t>Present value (discounted at t = 0) of the cost of capital in the current year</t>
  </si>
  <si>
    <t>SST 2023 
under the AVO
 of 1 Jan 2024</t>
  </si>
  <si>
    <t>calculated under the different AVOs</t>
  </si>
  <si>
    <t>SST 2023
in Mio. CHF</t>
  </si>
  <si>
    <t>Inputs</t>
  </si>
  <si>
    <t>Differenz marktkonformer Wert Aktiven und Verbindlichkeiten</t>
  </si>
  <si>
    <t>liability_total</t>
  </si>
  <si>
    <t>RTK_market_consistent</t>
  </si>
  <si>
    <t>RTK_deductions</t>
  </si>
  <si>
    <t>RTK_net_assets</t>
  </si>
  <si>
    <t>RTK_RAC_core</t>
  </si>
  <si>
    <t>RTK_core</t>
  </si>
  <si>
    <t>RTK_RAC_sup</t>
  </si>
  <si>
    <t>effectCoC</t>
  </si>
  <si>
    <t>effectRAK</t>
  </si>
  <si>
    <t>RBC_total_deductions</t>
  </si>
  <si>
    <t>RBC_tier1_rac_core</t>
  </si>
  <si>
    <t>Tier 1 risk-absorbing capital instruments counted towards core capital</t>
  </si>
  <si>
    <t>RBC_tier1_rac_supplementary</t>
  </si>
  <si>
    <t>Tier 1 risk-absorbing capital instruments counted towards supplementary capital</t>
  </si>
  <si>
    <t>RBC_total_supplementary_capital</t>
  </si>
  <si>
    <t>231</t>
  </si>
  <si>
    <t>173</t>
  </si>
  <si>
    <t>188</t>
  </si>
  <si>
    <t>118</t>
  </si>
  <si>
    <t>163</t>
  </si>
  <si>
    <t>175</t>
  </si>
  <si>
    <t>227</t>
  </si>
  <si>
    <t>229</t>
  </si>
  <si>
    <t>assets_total</t>
  </si>
  <si>
    <t>Total assets</t>
  </si>
  <si>
    <t>liability_provisions</t>
  </si>
  <si>
    <t>Liability Provisions</t>
  </si>
  <si>
    <t>liability_unit_linked</t>
  </si>
  <si>
    <t>Insurance reserves form unit-linked life insurance: gross</t>
  </si>
  <si>
    <t>liability_non_technical_provisions</t>
  </si>
  <si>
    <t>liability_bonds</t>
  </si>
  <si>
    <t>liability_derivatives</t>
  </si>
  <si>
    <t>liability_deposits_ceded_reinsurance</t>
  </si>
  <si>
    <t>liability_insurance_business</t>
  </si>
  <si>
    <t>liability_other</t>
  </si>
  <si>
    <t>liability_accrued</t>
  </si>
  <si>
    <t>Accrued Liabilities</t>
  </si>
  <si>
    <t>liability_subordinated</t>
  </si>
  <si>
    <t>Subordinated debts</t>
  </si>
  <si>
    <t>RTK going concern (without MVM)</t>
  </si>
  <si>
    <t>RTK run off (without MVM)</t>
  </si>
  <si>
    <t>185</t>
  </si>
  <si>
    <r>
      <rPr>
        <i/>
        <sz val="10"/>
        <color theme="1"/>
        <rFont val="Arial"/>
        <family val="2"/>
      </rPr>
      <t>Best estimate</t>
    </r>
    <r>
      <rPr>
        <sz val="10"/>
        <color theme="1"/>
        <rFont val="Arial"/>
        <family val="2"/>
      </rPr>
      <t xml:space="preserve"> des engagements viagers (maladie)</t>
    </r>
  </si>
  <si>
    <t>Collective indemnités journalières</t>
  </si>
  <si>
    <t>Valeur nominale actuelle des instruments de capital amortisseurs de rique (CAR) du tier 1 imputés au capital porteur de risques (CPR) - avec échéance résiduelle =&lt; 12 mois</t>
  </si>
  <si>
    <t>Discounted nominal value of risk-absorbing capital instruments (RAC) counted towards risk bearing capital (RBC) - with remaining maturity =&lt; 12 months</t>
  </si>
  <si>
    <t xml:space="preserve">Marktkonformer Wert bzw. Best Estimate  </t>
  </si>
  <si>
    <t xml:space="preserve">Valeur conforme au marché resp. Best Estimate  </t>
  </si>
  <si>
    <t>Differenzen zwischen statutarischer und marktkonformer Bewertung (SST-Bilanz)</t>
  </si>
  <si>
    <t>Differences entre l'évaluation statutaire et conforme au marché</t>
  </si>
  <si>
    <t>Bewertungsdifferenzen zw. statutarischem und marktkonformem Wert</t>
  </si>
  <si>
    <t>Différences d'évaluation entre la valeur statutaire et conforme au marché</t>
  </si>
  <si>
    <t>marktnah -&gt; marktkonform</t>
  </si>
  <si>
    <t>Tabellenblätter, die für die Steuerung des Tools notwendig sind. Diese Tabellenblätter sind in der Regel nicht zu ändern.</t>
  </si>
  <si>
    <t>Onglets pour le controle du SST-Tool. En principe ces onglets ne doivent pas être modifiés.</t>
  </si>
  <si>
    <t>Worksheets for steering the SST-Tool. As a rule these worksheets are not to be modified.</t>
  </si>
  <si>
    <t>Effekt der Kapitalkostenrückstellung auf das Zielkapital</t>
  </si>
  <si>
    <t>Diskontierter Nominalwert der an das RTK angerechneten RAK</t>
  </si>
  <si>
    <t>notSmallValue</t>
  </si>
  <si>
    <t>Szenarien aktualisiert.</t>
  </si>
  <si>
    <t xml:space="preserve">Market conform value resp. best estimate  </t>
  </si>
  <si>
    <t>Differences between the statutory and the market conform valuation</t>
  </si>
  <si>
    <t>Differences between the statutory and the market conform value</t>
  </si>
  <si>
    <t>Difference between market conform value of assets and liabilities</t>
  </si>
  <si>
    <t>Market conform value of assets minus market conform value of liabilities</t>
  </si>
  <si>
    <t>In der Spalte M dürfen nur noch effektive Bewertungsdifferenzen aufgeführt sein. Diese werden mittels der im Blatt 8 „SST Balance“ eingegebenen marktkonformen Werte automatisch berechnet.</t>
  </si>
  <si>
    <r>
      <rPr>
        <sz val="11"/>
        <color theme="1"/>
        <rFont val="Arial"/>
        <family val="2"/>
      </rPr>
      <t xml:space="preserve">Column M now may include only effective valuation differences, which are calculated automatically based on the market conform values entered in Sheet 8 of </t>
    </r>
    <r>
      <rPr>
        <i/>
        <sz val="11"/>
        <color rgb="FF000000"/>
        <rFont val="Arial"/>
        <family val="2"/>
      </rPr>
      <t>SST Balance</t>
    </r>
    <r>
      <rPr>
        <sz val="11"/>
        <color rgb="FF000000"/>
        <rFont val="Arial"/>
        <family val="2"/>
      </rPr>
      <t>.</t>
    </r>
  </si>
  <si>
    <r>
      <rPr>
        <sz val="11"/>
        <color theme="1"/>
        <rFont val="Arial"/>
        <family val="2"/>
      </rPr>
      <t xml:space="preserve">Seules les différences d’évaluation effectives peuvent encore être citées dans la colonne M. Elles sont automatiquement calculées à l’aide des valeurs conforme au marché inscrites dans l’onglet 8 </t>
    </r>
    <r>
      <rPr>
        <i/>
        <sz val="11"/>
        <color rgb="FF000000"/>
        <rFont val="Arial"/>
        <family val="2"/>
      </rPr>
      <t>SST Balance</t>
    </r>
    <r>
      <rPr>
        <sz val="11"/>
        <color theme="1"/>
        <rFont val="Arial"/>
        <family val="2"/>
      </rPr>
      <t>.</t>
    </r>
  </si>
  <si>
    <t>Stat_SSTBalance Info</t>
  </si>
  <si>
    <t>Gemäss Dokument Technische Beschreibung für das SST-Standardmodell Schadenversicherung / Technical description StandRe Abschnitt 8.3/ SST-Captives-Template Blatt CA_input_SST-Template</t>
  </si>
  <si>
    <r>
      <t xml:space="preserve">Selon le document </t>
    </r>
    <r>
      <rPr>
        <i/>
        <sz val="10"/>
        <color theme="1"/>
        <rFont val="Arial"/>
        <family val="2"/>
      </rPr>
      <t>Description technique du modèle standard SST assurance dommages</t>
    </r>
    <r>
      <rPr>
        <sz val="10"/>
        <color theme="1"/>
        <rFont val="Arial"/>
        <family val="2"/>
      </rPr>
      <t xml:space="preserve">/ </t>
    </r>
    <r>
      <rPr>
        <i/>
        <sz val="10"/>
        <color theme="1"/>
        <rFont val="Arial"/>
        <family val="2"/>
      </rPr>
      <t>Technical description StandRe</t>
    </r>
    <r>
      <rPr>
        <sz val="10"/>
        <color theme="1"/>
        <rFont val="Arial"/>
        <family val="2"/>
      </rPr>
      <t xml:space="preserve"> section 8.3/ SST-Captives-Template feuille CA_input_SST-Template</t>
    </r>
  </si>
  <si>
    <r>
      <t xml:space="preserve">According to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StandRe</t>
    </r>
    <r>
      <rPr>
        <sz val="10"/>
        <color theme="1"/>
        <rFont val="Arial"/>
        <family val="2"/>
      </rPr>
      <t xml:space="preserve"> chapter 8.3 / SST-Captives-Template sheet CA_input_SST-Template</t>
    </r>
  </si>
  <si>
    <r>
      <t xml:space="preserve">Gemäss Dokument </t>
    </r>
    <r>
      <rPr>
        <i/>
        <sz val="10"/>
        <color theme="1"/>
        <rFont val="Arial"/>
        <family val="2"/>
      </rPr>
      <t>Technische Beschreibung für das SST-Standardmodell Schadenversicherung</t>
    </r>
    <r>
      <rPr>
        <sz val="10"/>
        <color theme="1"/>
        <rFont val="Arial"/>
        <family val="2"/>
      </rPr>
      <t xml:space="preserve"> bzw. </t>
    </r>
    <r>
      <rPr>
        <i/>
        <sz val="10"/>
        <color theme="1"/>
        <rFont val="Arial"/>
        <family val="2"/>
      </rPr>
      <t>Technical description of the SST standard model reinsurance (StandRe) bzw. Technical description of the SST standard model captives</t>
    </r>
  </si>
  <si>
    <r>
      <t xml:space="preserve">Selon le document </t>
    </r>
    <r>
      <rPr>
        <i/>
        <sz val="10"/>
        <color theme="1"/>
        <rFont val="Arial"/>
        <family val="2"/>
      </rPr>
      <t xml:space="preserve">Description technique du modèle standard SST assurance dommages </t>
    </r>
    <r>
      <rPr>
        <sz val="10"/>
        <color theme="1"/>
        <rFont val="Arial"/>
        <family val="2"/>
      </rPr>
      <t xml:space="preserve">/ </t>
    </r>
    <r>
      <rPr>
        <i/>
        <sz val="10"/>
        <color theme="1"/>
        <rFont val="Arial"/>
        <family val="2"/>
      </rPr>
      <t>Technical description of the SST standard model reinsurance (StandRe) / Technical description of the SST standard model captives</t>
    </r>
  </si>
  <si>
    <r>
      <t xml:space="preserve">According to the document </t>
    </r>
    <r>
      <rPr>
        <i/>
        <sz val="10"/>
        <color theme="1"/>
        <rFont val="Arial"/>
        <family val="2"/>
      </rPr>
      <t>Technische Beschreibung für das SST-Standardmodell Schadenversicherung</t>
    </r>
    <r>
      <rPr>
        <sz val="10"/>
        <color theme="1"/>
        <rFont val="Arial"/>
        <family val="2"/>
      </rPr>
      <t xml:space="preserve"> / </t>
    </r>
    <r>
      <rPr>
        <i/>
        <sz val="10"/>
        <color theme="1"/>
        <rFont val="Arial"/>
        <family val="2"/>
      </rPr>
      <t>Technical description for the SST standard model reinsurance (StandRe) / Technical description of the SST standard model captives</t>
    </r>
  </si>
  <si>
    <r>
      <t xml:space="preserve">Gemäss Dokument </t>
    </r>
    <r>
      <rPr>
        <i/>
        <sz val="10"/>
        <color theme="1"/>
        <rFont val="Arial"/>
        <family val="2"/>
      </rPr>
      <t>Technische Beschreibung SST-Standardmodell Schadenversicherung / Technical description of the SST standard model reinsurance (StandRe) / Technical description of the SST standard model captives</t>
    </r>
  </si>
  <si>
    <r>
      <t xml:space="preserve">Selon le document </t>
    </r>
    <r>
      <rPr>
        <i/>
        <sz val="10"/>
        <color theme="1"/>
        <rFont val="Arial"/>
        <family val="2"/>
      </rPr>
      <t>Description technique pour le modèle standard SST assurance dommages / Technical description of the SST standard model reinsurance (StandRe) / Technical description of the SST standard model captives</t>
    </r>
  </si>
  <si>
    <r>
      <t xml:space="preserve">According to the document </t>
    </r>
    <r>
      <rPr>
        <i/>
        <sz val="10"/>
        <color theme="1"/>
        <rFont val="Arial"/>
        <family val="2"/>
      </rPr>
      <t>Technische Beschreibung SST-Standardmodell Schadenversicherung / Technical description of the SST standard model reinsurance (StandRe) / Technical description of the SST standard model captives</t>
    </r>
  </si>
  <si>
    <t>Aufdatierung der Referenzen zu den Technischen Beschreibungen</t>
  </si>
  <si>
    <t>Effet des provisions pour coûts sur le capital cible</t>
  </si>
  <si>
    <t>Effect of the capital cost reserve on the target capital</t>
  </si>
  <si>
    <t>Discounted nominal value of RAC counted towards RBC</t>
  </si>
  <si>
    <t>Valeur nominale actuelle des instruments CAR imputés au CPR</t>
  </si>
  <si>
    <r>
      <t xml:space="preserve">Das </t>
    </r>
    <r>
      <rPr>
        <b/>
        <sz val="11"/>
        <rFont val="Arial"/>
        <family val="2"/>
      </rPr>
      <t xml:space="preserve">Tabellenblatt </t>
    </r>
    <r>
      <rPr>
        <b/>
        <i/>
        <sz val="11"/>
        <rFont val="Arial"/>
        <family val="2"/>
      </rPr>
      <t>Differences_Stat_SSTBalance</t>
    </r>
    <r>
      <rPr>
        <sz val="11"/>
        <rFont val="Arial"/>
        <family val="2"/>
      </rPr>
      <t xml:space="preserve"> dient dazu, Bewertungsdifferenzen zwischen statutarischer und SST-Bilanz aufzuzeigen. </t>
    </r>
  </si>
  <si>
    <t>Es dient der Plausibilisierung der Konsistenz zwischen statutarischer und SST-Bilanz und gibt Auskunft über stille Reserven.</t>
  </si>
  <si>
    <r>
      <rPr>
        <sz val="11"/>
        <color theme="1"/>
        <rFont val="Arial"/>
        <family val="2"/>
      </rPr>
      <t>L’</t>
    </r>
    <r>
      <rPr>
        <b/>
        <sz val="11"/>
        <color rgb="FF000000"/>
        <rFont val="Arial"/>
        <family val="2"/>
      </rPr>
      <t xml:space="preserve">onglet </t>
    </r>
    <r>
      <rPr>
        <b/>
        <i/>
        <sz val="11"/>
        <color rgb="FF000000"/>
        <rFont val="Arial"/>
        <family val="2"/>
      </rPr>
      <t>Differences_Stat_SSTBalance</t>
    </r>
    <r>
      <rPr>
        <sz val="11"/>
        <color rgb="FF000000"/>
        <rFont val="Arial"/>
        <family val="2"/>
      </rPr>
      <t xml:space="preserve"> a pour objectif de présenter les différences d’évaluation entre le bilan statutaire et le bilan SST. </t>
    </r>
  </si>
  <si>
    <t>Il vise à confirmer la cohérence entre le bilan statutaire et le bilan SST et renseigne sur les réserves latentes.</t>
  </si>
  <si>
    <r>
      <rPr>
        <sz val="11"/>
        <color theme="1"/>
        <rFont val="Arial"/>
        <family val="2"/>
      </rPr>
      <t xml:space="preserve">The </t>
    </r>
    <r>
      <rPr>
        <b/>
        <i/>
        <sz val="11"/>
        <color rgb="FF000000"/>
        <rFont val="Arial"/>
        <family val="2"/>
      </rPr>
      <t>Differences_Stat_SSTBalance</t>
    </r>
    <r>
      <rPr>
        <b/>
        <sz val="11"/>
        <color rgb="FF000000"/>
        <rFont val="Arial"/>
        <family val="2"/>
      </rPr>
      <t xml:space="preserve"> worksheet</t>
    </r>
    <r>
      <rPr>
        <sz val="11"/>
        <color rgb="FF000000"/>
        <rFont val="Arial"/>
        <family val="2"/>
      </rPr>
      <t xml:space="preserve"> is used for showing valuation differences between statutory and SST balance sheets. </t>
    </r>
  </si>
  <si>
    <t>It establishes the plausibility of the consistency between the statutory and the SST balance sheets and informs about hidden reserves.</t>
  </si>
  <si>
    <t>Marktnahe Bilanz in SST-Bilanz umbenannt. Marktnahe Werte in marktkonforme Werte umbenannt.</t>
  </si>
  <si>
    <t>dynamische Sparte für "BE Tilde", "Chi" und "MVM"</t>
  </si>
  <si>
    <t>Zelle G105: dynamische Sparte für "BE Tilde", "Chi" und "MVM" wieder eingeführt.</t>
  </si>
  <si>
    <t>31.01.2024</t>
  </si>
  <si>
    <t>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</si>
</sst>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43" formatCode="_ * #,##0.00_ ;_ * \-#,##0.00_ ;_ * &quot;-&quot;??_ ;_ @_ "/>
    <numFmt numFmtId="164" formatCode="_-* #,##0.00\ _€_-;\-* #,##0.00\ _€_-;_-* &quot;-&quot;??\ _€_-;_-@_-"/>
    <numFmt numFmtId="165" formatCode="0.0"/>
    <numFmt numFmtId="166" formatCode="d/mm/yy;@"/>
    <numFmt numFmtId="167" formatCode="#,##0.0"/>
    <numFmt numFmtId="168" formatCode="0.0000"/>
    <numFmt numFmtId="169" formatCode="_ * #,##0.000_ ;_ * \-#,##0.000_ ;_ * &quot;-&quot;??_ ;_ @_ "/>
    <numFmt numFmtId="170" formatCode="0.0%"/>
    <numFmt numFmtId="171" formatCode="dd/mmm/yyyy"/>
    <numFmt numFmtId="172" formatCode="#,##0.000"/>
    <numFmt numFmtId="173" formatCode="dd/mm/yyyy;@"/>
    <numFmt numFmtId="174" formatCode="&quot;+&quot;;&quot;-&quot;;"/>
    <numFmt numFmtId="175" formatCode="0&quot; bp&quot;"/>
    <numFmt numFmtId="176" formatCode="0.000"/>
  </numFmts>
  <fonts count="199"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6"/>
      <color rgb="FF002060"/>
      <name val="Arial"/>
      <family val="2"/>
    </font>
    <font>
      <sz val="10"/>
      <color theme="1"/>
      <name val="Arial"/>
      <family val="2"/>
    </font>
    <font>
      <b/>
      <sz val="10"/>
      <color theme="1"/>
      <name val="Arial"/>
      <family val="2"/>
    </font>
    <font>
      <sz val="11"/>
      <name val="Calibri"/>
      <family val="2"/>
      <scheme val="minor"/>
    </font>
    <font>
      <sz val="10"/>
      <color theme="0"/>
      <name val="Arial"/>
      <family val="2"/>
    </font>
    <font>
      <b/>
      <sz val="10"/>
      <color rgb="FF212121"/>
      <name val="Arial"/>
      <family val="2"/>
    </font>
    <font>
      <sz val="11"/>
      <color theme="1"/>
      <name val="Calibri"/>
      <family val="2"/>
      <scheme val="minor"/>
    </font>
    <font>
      <sz val="10"/>
      <name val="Arial"/>
      <family val="2"/>
    </font>
    <font>
      <sz val="10"/>
      <color rgb="FF3F3F76"/>
      <name val="Arial"/>
      <family val="2"/>
    </font>
    <font>
      <b/>
      <sz val="10"/>
      <color rgb="FF3F3F3F"/>
      <name val="Arial"/>
      <family val="2"/>
    </font>
    <font>
      <sz val="10"/>
      <color indexed="10"/>
      <name val="Arial"/>
      <family val="2"/>
    </font>
    <font>
      <sz val="10"/>
      <color rgb="FFFF0000"/>
      <name val="Arial"/>
      <family val="2"/>
    </font>
    <font>
      <sz val="11"/>
      <color theme="1"/>
      <name val="Arial"/>
      <family val="2"/>
    </font>
    <font>
      <u/>
      <sz val="11"/>
      <color theme="10"/>
      <name val="Calibri"/>
      <family val="2"/>
      <scheme val="minor"/>
    </font>
    <font>
      <i/>
      <sz val="10"/>
      <name val="Arial"/>
      <family val="2"/>
    </font>
    <font>
      <b/>
      <sz val="10"/>
      <color rgb="FFFF0000"/>
      <name val="Arial"/>
      <family val="2"/>
    </font>
    <font>
      <b/>
      <sz val="16"/>
      <color indexed="9"/>
      <name val="Arial"/>
      <family val="2"/>
    </font>
    <font>
      <sz val="10"/>
      <color indexed="9"/>
      <name val="Arial"/>
      <family val="2"/>
    </font>
    <font>
      <b/>
      <sz val="16"/>
      <color rgb="FF002D64"/>
      <name val="Arial"/>
      <family val="2"/>
    </font>
    <font>
      <b/>
      <sz val="10"/>
      <color rgb="FF002D64"/>
      <name val="Arial"/>
      <family val="2"/>
    </font>
    <font>
      <i/>
      <sz val="10"/>
      <color theme="1"/>
      <name val="Arial"/>
      <family val="2"/>
    </font>
    <font>
      <b/>
      <sz val="10"/>
      <color rgb="FF002060"/>
      <name val="Arial"/>
      <family val="2"/>
    </font>
    <font>
      <b/>
      <sz val="10"/>
      <color indexed="9"/>
      <name val="Arial"/>
      <family val="2"/>
    </font>
    <font>
      <b/>
      <sz val="10"/>
      <name val="Arial"/>
      <family val="2"/>
    </font>
    <font>
      <b/>
      <sz val="14"/>
      <name val="Arial"/>
      <family val="2"/>
    </font>
    <font>
      <b/>
      <sz val="12"/>
      <color rgb="FF002D64"/>
      <name val="Arial"/>
      <family val="2"/>
    </font>
    <font>
      <b/>
      <sz val="16"/>
      <name val="Arial"/>
      <family val="2"/>
    </font>
    <font>
      <b/>
      <sz val="12"/>
      <name val="Arial"/>
      <family val="2"/>
    </font>
    <font>
      <sz val="16"/>
      <color indexed="9"/>
      <name val="Arial"/>
      <family val="2"/>
    </font>
    <font>
      <sz val="11"/>
      <name val="Arial"/>
      <family val="2"/>
    </font>
    <font>
      <b/>
      <sz val="11"/>
      <name val="Arial"/>
      <family val="2"/>
    </font>
    <font>
      <u/>
      <sz val="11"/>
      <name val="Arial"/>
      <family val="2"/>
    </font>
    <font>
      <b/>
      <sz val="11"/>
      <color indexed="10"/>
      <name val="Arial"/>
      <family val="2"/>
    </font>
    <font>
      <sz val="11"/>
      <color indexed="12"/>
      <name val="Arial"/>
      <family val="2"/>
    </font>
    <font>
      <b/>
      <i/>
      <sz val="11"/>
      <name val="Arial"/>
      <family val="2"/>
    </font>
    <font>
      <b/>
      <i/>
      <sz val="11"/>
      <color rgb="FF000000"/>
      <name val="Arial"/>
      <family val="2"/>
    </font>
    <font>
      <b/>
      <sz val="11"/>
      <color rgb="FF000000"/>
      <name val="Arial"/>
      <family val="2"/>
    </font>
    <font>
      <sz val="11"/>
      <color rgb="FF000000"/>
      <name val="Arial"/>
      <family val="2"/>
    </font>
    <font>
      <i/>
      <sz val="11"/>
      <color rgb="FF000000"/>
      <name val="Arial"/>
      <family val="2"/>
    </font>
    <font>
      <u/>
      <sz val="11"/>
      <color rgb="FF000000"/>
      <name val="Arial"/>
      <family val="2"/>
    </font>
    <font>
      <u/>
      <sz val="11"/>
      <color theme="1"/>
      <name val="Arial"/>
      <family val="2"/>
    </font>
    <font>
      <b/>
      <sz val="11"/>
      <color theme="1"/>
      <name val="Arial"/>
      <family val="2"/>
    </font>
    <font>
      <b/>
      <i/>
      <u/>
      <sz val="11"/>
      <name val="Arial"/>
      <family val="2"/>
    </font>
    <font>
      <sz val="10"/>
      <color rgb="FF000000"/>
      <name val="Arial"/>
      <family val="2"/>
    </font>
    <font>
      <sz val="10"/>
      <color theme="1"/>
      <name val="Calibri"/>
      <family val="2"/>
      <scheme val="minor"/>
    </font>
    <font>
      <b/>
      <sz val="14"/>
      <color rgb="FFC00000"/>
      <name val="Arial"/>
      <family val="2"/>
    </font>
    <font>
      <sz val="8"/>
      <name val="Calibri"/>
      <family val="2"/>
      <scheme val="minor"/>
    </font>
    <font>
      <b/>
      <sz val="10"/>
      <color rgb="FF000000"/>
      <name val="Arial"/>
      <family val="2"/>
    </font>
  </fonts>
  <fills count="20">
    <fill>
      <patternFill patternType="none"/>
    </fill>
    <fill>
      <patternFill patternType="gray125"/>
    </fill>
    <fill>
      <patternFill patternType="solid">
        <fgColor rgb="FFD4ECF9"/>
        <bgColor indexed="64"/>
      </patternFill>
    </fill>
    <fill>
      <patternFill patternType="solid">
        <fgColor theme="0"/>
        <bgColor indexed="64"/>
      </patternFill>
    </fill>
    <fill>
      <patternFill patternType="solid">
        <fgColor rgb="FFFFCC99"/>
      </patternFill>
    </fill>
    <fill>
      <patternFill patternType="solid">
        <fgColor rgb="FFF2F2F2"/>
      </patternFill>
    </fill>
    <fill>
      <patternFill patternType="solid">
        <fgColor indexed="9"/>
        <bgColor indexed="64"/>
      </patternFill>
    </fill>
    <fill>
      <patternFill patternType="solid">
        <fgColor rgb="FF00539E"/>
        <bgColor indexed="64"/>
      </patternFill>
    </fill>
    <fill>
      <patternFill patternType="solid">
        <fgColor rgb="FFEBF6FC"/>
        <bgColor indexed="64"/>
      </patternFill>
    </fill>
    <fill>
      <patternFill patternType="solid">
        <fgColor rgb="FFFDE2CE"/>
        <bgColor indexed="64"/>
      </patternFill>
    </fill>
    <fill>
      <patternFill patternType="solid">
        <fgColor rgb="FFFEE2CE"/>
        <bgColor indexed="64"/>
      </patternFill>
    </fill>
    <fill>
      <patternFill patternType="solid">
        <fgColor rgb="FFFAD6BF"/>
        <bgColor indexed="64"/>
      </patternFill>
    </fill>
    <fill>
      <patternFill patternType="solid">
        <fgColor indexed="47"/>
        <bgColor indexed="64"/>
      </patternFill>
    </fill>
    <fill>
      <patternFill patternType="solid">
        <fgColor theme="7"/>
        <bgColor indexed="64"/>
      </patternFill>
    </fill>
    <fill>
      <patternFill patternType="solid">
        <fgColor rgb="FF002D64"/>
        <bgColor indexed="64"/>
      </patternFill>
    </fill>
    <fill>
      <patternFill patternType="solid">
        <fgColor indexed="65"/>
        <bgColor indexed="64"/>
      </patternFill>
    </fill>
    <fill>
      <patternFill patternType="lightGray">
        <bgColor rgb="FFFDE2CE"/>
      </patternFill>
    </fill>
    <fill>
      <patternFill patternType="lightGray"/>
    </fill>
    <fill>
      <patternFill patternType="solid">
        <fgColor rgb="FFD4ECF7"/>
        <bgColor indexed="64"/>
      </patternFill>
    </fill>
    <fill>
      <patternFill patternType="solid">
        <fgColor rgb="FFD4ECF9"/>
      </patternFill>
    </fill>
  </fills>
  <borders count="86">
    <border>
      <left/>
      <right/>
      <top/>
      <bottom/>
      <diagonal/>
    </border>
    <border>
      <left style="thin">
        <color theme="0"/>
      </left>
      <right style="thin">
        <color theme="0"/>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style="thin">
        <color theme="0"/>
      </left>
      <right/>
      <top style="thin">
        <color theme="0"/>
      </top>
      <bottom style="thin">
        <color theme="0"/>
      </bottom>
      <diagonal/>
    </border>
    <border>
      <left/>
      <right style="thin">
        <color theme="0"/>
      </right>
      <top/>
      <bottom/>
      <diagonal/>
    </border>
    <border>
      <left/>
      <right/>
      <top style="thin">
        <color theme="2" tint="-0.249977111117893"/>
      </top>
      <bottom style="thin">
        <color theme="2" tint="-0.249977111117893"/>
      </bottom>
      <diagonal/>
    </border>
    <border>
      <left/>
      <right style="thin">
        <color theme="0"/>
      </right>
      <top style="thin">
        <color theme="2" tint="-0.249977111117893"/>
      </top>
      <bottom style="thin">
        <color theme="2" tint="-0.249977111117893"/>
      </bottom>
      <diagonal/>
    </border>
    <border>
      <left style="thin">
        <color theme="0"/>
      </left>
      <right/>
      <top/>
      <bottom/>
      <diagonal/>
    </border>
    <border>
      <left style="thin">
        <color theme="0"/>
      </left>
      <right style="thin">
        <color theme="0"/>
      </right>
      <top style="thin">
        <color theme="0"/>
      </top>
      <bottom/>
      <diagonal/>
    </border>
    <border>
      <left/>
      <right style="thin">
        <color theme="0"/>
      </right>
      <top style="thin">
        <color theme="0"/>
      </top>
      <bottom style="thin">
        <color theme="0"/>
      </bottom>
      <diagonal/>
    </border>
    <border>
      <left/>
      <right/>
      <top/>
      <bottom style="thin">
        <color theme="0"/>
      </bottom>
      <diagonal/>
    </border>
    <border>
      <left/>
      <right style="thin">
        <color theme="0"/>
      </right>
      <top/>
      <bottom style="thin">
        <color theme="0"/>
      </bottom>
      <diagonal/>
    </border>
    <border>
      <left/>
      <right/>
      <top style="thin">
        <color theme="0"/>
      </top>
      <bottom style="thin">
        <color theme="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style="thin">
        <color theme="0"/>
      </right>
      <top style="thin">
        <color theme="0"/>
      </top>
      <bottom/>
      <diagonal/>
    </border>
    <border>
      <left/>
      <right/>
      <top style="thin">
        <color theme="0"/>
      </top>
      <bottom/>
      <diagonal/>
    </border>
    <border>
      <left style="thin">
        <color theme="0"/>
      </left>
      <right/>
      <top style="thin">
        <color theme="0"/>
      </top>
      <bottom/>
      <diagonal/>
    </border>
    <border>
      <left style="thin">
        <color theme="0"/>
      </left>
      <right style="thin">
        <color theme="0"/>
      </right>
      <top style="thin">
        <color theme="0"/>
      </top>
      <bottom style="thin">
        <color theme="0" tint="-0.24994659260841701"/>
      </bottom>
      <diagonal/>
    </border>
    <border>
      <left style="thin">
        <color theme="0"/>
      </left>
      <right/>
      <top style="thin">
        <color theme="0"/>
      </top>
      <bottom style="thin">
        <color theme="0" tint="-0.24994659260841701"/>
      </bottom>
      <diagonal/>
    </border>
    <border>
      <left/>
      <right style="thin">
        <color theme="0"/>
      </right>
      <top/>
      <bottom style="thin">
        <color theme="0" tint="-0.24994659260841701"/>
      </bottom>
      <diagonal/>
    </border>
    <border>
      <left/>
      <right/>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top style="thin">
        <color theme="0" tint="-0.24994659260841701"/>
      </top>
      <bottom style="thin">
        <color theme="0" tint="-0.24994659260841701"/>
      </bottom>
      <diagonal/>
    </border>
    <border>
      <left/>
      <right style="thin">
        <color theme="0"/>
      </right>
      <top style="thin">
        <color theme="0" tint="-0.24994659260841701"/>
      </top>
      <bottom style="thin">
        <color theme="0" tint="-0.24994659260841701"/>
      </bottom>
      <diagonal/>
    </border>
    <border>
      <left/>
      <right/>
      <top/>
      <bottom style="thin">
        <color auto="1"/>
      </bottom>
      <diagonal/>
    </border>
    <border>
      <left/>
      <right/>
      <top style="thin">
        <color theme="0" tint="-0.24994659260841701"/>
      </top>
      <bottom style="thin">
        <color theme="0" tint="-0.24994659260841701"/>
      </bottom>
      <diagonal/>
    </border>
    <border>
      <left/>
      <right/>
      <top style="thin">
        <color theme="0" tint="-0.24994659260841701"/>
      </top>
      <bottom style="thin">
        <color auto="1"/>
      </bottom>
      <diagonal/>
    </border>
    <border>
      <left/>
      <right/>
      <top style="thin">
        <color theme="0" tint="-0.24994659260841701"/>
      </top>
      <bottom/>
      <diagonal/>
    </border>
    <border>
      <left/>
      <right style="thin">
        <color theme="0"/>
      </right>
      <top/>
      <bottom style="thin">
        <color auto="1"/>
      </bottom>
      <diagonal/>
    </border>
    <border>
      <left/>
      <right style="thin">
        <color theme="0"/>
      </right>
      <top style="thin">
        <color theme="2" tint="-0.249977111117893"/>
      </top>
      <bottom style="thin">
        <color auto="1"/>
      </bottom>
      <diagonal/>
    </border>
    <border>
      <left style="thin">
        <color theme="0"/>
      </left>
      <right style="thin">
        <color theme="0"/>
      </right>
      <top style="thin">
        <color theme="0"/>
      </top>
      <bottom style="thin">
        <color auto="1"/>
      </bottom>
      <diagonal/>
    </border>
    <border>
      <left/>
      <right style="thin">
        <color theme="2" tint="-0.249977111117893"/>
      </right>
      <top style="thin">
        <color theme="0" tint="-0.24994659260841701"/>
      </top>
      <bottom style="thin">
        <color theme="0" tint="-0.24994659260841701"/>
      </bottom>
      <diagonal/>
    </border>
    <border>
      <left/>
      <right style="thin">
        <color theme="0"/>
      </right>
      <top style="thin">
        <color theme="0"/>
      </top>
      <bottom style="thin">
        <color theme="0" tint="-0.24994659260841701"/>
      </bottom>
      <diagonal/>
    </border>
    <border>
      <left/>
      <right/>
      <top style="thin">
        <color theme="2" tint="-0.249977111117893"/>
      </top>
      <bottom style="thin">
        <color theme="0" tint="-0.24994659260841701"/>
      </bottom>
      <diagonal/>
    </border>
    <border>
      <left style="thin">
        <color theme="0"/>
      </left>
      <right/>
      <top style="thin">
        <color theme="0" tint="-0.24994659260841701"/>
      </top>
      <bottom style="thin">
        <color auto="1"/>
      </bottom>
      <diagonal/>
    </border>
    <border>
      <left/>
      <right style="thin">
        <color theme="0"/>
      </right>
      <top style="thin">
        <color theme="0" tint="-0.24994659260841701"/>
      </top>
      <bottom style="thin">
        <color auto="1"/>
      </bottom>
      <diagonal/>
    </border>
    <border>
      <left/>
      <right style="thin">
        <color theme="0"/>
      </right>
      <top style="thin">
        <color theme="0"/>
      </top>
      <bottom style="thin">
        <color auto="1"/>
      </bottom>
      <diagonal/>
    </border>
    <border>
      <left/>
      <right/>
      <top style="thin">
        <color theme="0"/>
      </top>
      <bottom style="thin">
        <color theme="0" tint="-0.24994659260841701"/>
      </bottom>
      <diagonal/>
    </border>
    <border>
      <left style="thin">
        <color theme="0"/>
      </left>
      <right style="thin">
        <color theme="0"/>
      </right>
      <top/>
      <bottom style="thin">
        <color auto="1"/>
      </bottom>
      <diagonal/>
    </border>
    <border>
      <left style="thin">
        <color theme="0"/>
      </left>
      <right/>
      <top/>
      <bottom style="thin">
        <color theme="0" tint="-0.24994659260841701"/>
      </bottom>
      <diagonal/>
    </border>
    <border>
      <left/>
      <right/>
      <top style="thin">
        <color theme="0"/>
      </top>
      <bottom style="thin">
        <color auto="1"/>
      </bottom>
      <diagonal/>
    </border>
    <border>
      <left style="thin">
        <color theme="0"/>
      </left>
      <right style="thin">
        <color theme="0"/>
      </right>
      <top style="thin">
        <color theme="0" tint="-0.24994659260841701"/>
      </top>
      <bottom style="thin">
        <color auto="1"/>
      </bottom>
      <diagonal/>
    </border>
    <border>
      <left style="thin">
        <color theme="0"/>
      </left>
      <right style="thin">
        <color theme="0"/>
      </right>
      <top/>
      <bottom style="thin">
        <color theme="0" tint="-0.24994659260841701"/>
      </bottom>
      <diagonal/>
    </border>
    <border>
      <left/>
      <right/>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bottom style="hair">
        <color theme="0"/>
      </bottom>
      <diagonal/>
    </border>
    <border>
      <left/>
      <right style="thin">
        <color theme="0"/>
      </right>
      <top style="thin">
        <color theme="0" tint="-0.24994659260841701"/>
      </top>
      <bottom/>
      <diagonal/>
    </border>
    <border>
      <left/>
      <right/>
      <top style="thin">
        <color theme="2" tint="-0.249977111117893"/>
      </top>
      <bottom style="hair">
        <color indexed="64"/>
      </bottom>
      <diagonal/>
    </border>
    <border>
      <left/>
      <right style="hair">
        <color theme="0"/>
      </right>
      <top style="hair">
        <color indexed="64"/>
      </top>
      <bottom/>
      <diagonal/>
    </border>
    <border>
      <left/>
      <right style="hair">
        <color theme="0"/>
      </right>
      <top/>
      <bottom/>
      <diagonal/>
    </border>
    <border>
      <left/>
      <right style="hair">
        <color theme="0"/>
      </right>
      <top/>
      <bottom style="thin">
        <color auto="1"/>
      </bottom>
      <diagonal/>
    </border>
    <border>
      <left/>
      <right/>
      <top style="thin">
        <color theme="0" tint="-0.24994659260841701"/>
      </top>
      <bottom style="thin">
        <color theme="0"/>
      </bottom>
      <diagonal/>
    </border>
    <border>
      <left/>
      <right/>
      <top style="thin">
        <color theme="2" tint="-0.249977111117893"/>
      </top>
      <bottom/>
      <diagonal/>
    </border>
    <border>
      <left style="thin">
        <color theme="2" tint="-0.249977111117893"/>
      </left>
      <right/>
      <top style="thin">
        <color theme="0"/>
      </top>
      <bottom style="thin">
        <color theme="0" tint="-0.24994659260841701"/>
      </bottom>
      <diagonal/>
    </border>
    <border>
      <left style="thin">
        <color theme="2" tint="-0.249977111117893"/>
      </left>
      <right/>
      <top style="thin">
        <color theme="0" tint="-0.24994659260841701"/>
      </top>
      <bottom style="thin">
        <color theme="0" tint="-0.24994659260841701"/>
      </bottom>
      <diagonal/>
    </border>
    <border>
      <left style="thin">
        <color theme="2" tint="-0.249977111117893"/>
      </left>
      <right/>
      <top style="thin">
        <color theme="0" tint="-0.24994659260841701"/>
      </top>
      <bottom style="thin">
        <color auto="1"/>
      </bottom>
      <diagonal/>
    </border>
    <border>
      <left/>
      <right style="thin">
        <color theme="2" tint="-0.249977111117893"/>
      </right>
      <top style="thin">
        <color theme="0"/>
      </top>
      <bottom style="thin">
        <color theme="0" tint="-0.24994659260841701"/>
      </bottom>
      <diagonal/>
    </border>
    <border>
      <left style="thin">
        <color theme="0"/>
      </left>
      <right/>
      <top style="thin">
        <color theme="0" tint="-0.24994659260841701"/>
      </top>
      <bottom style="thin">
        <color theme="0"/>
      </bottom>
      <diagonal/>
    </border>
    <border>
      <left/>
      <right style="medium">
        <color theme="0"/>
      </right>
      <top/>
      <bottom/>
      <diagonal/>
    </border>
    <border>
      <left style="medium">
        <color theme="0"/>
      </left>
      <right/>
      <top/>
      <bottom/>
      <diagonal/>
    </border>
    <border>
      <left style="hair">
        <color theme="0"/>
      </left>
      <right style="hair">
        <color theme="0"/>
      </right>
      <top/>
      <bottom style="hair">
        <color theme="0"/>
      </bottom>
      <diagonal/>
    </border>
    <border>
      <left/>
      <right/>
      <top style="thin">
        <color auto="1"/>
      </top>
      <bottom/>
      <diagonal/>
    </border>
    <border>
      <left style="hair">
        <color theme="0"/>
      </left>
      <right style="hair">
        <color theme="0"/>
      </right>
      <top/>
      <bottom/>
      <diagonal/>
    </border>
    <border>
      <left style="thin">
        <color theme="0"/>
      </left>
      <right style="thin">
        <color theme="0"/>
      </right>
      <top style="thin">
        <color theme="0" tint="-0.24994659260841701"/>
      </top>
      <bottom/>
      <diagonal/>
    </border>
    <border>
      <left style="thin">
        <color theme="0"/>
      </left>
      <right style="medium">
        <color theme="0"/>
      </right>
      <top/>
      <bottom/>
      <diagonal/>
    </border>
    <border>
      <left style="medium">
        <color theme="0"/>
      </left>
      <right style="medium">
        <color theme="0"/>
      </right>
      <top/>
      <bottom/>
      <diagonal/>
    </border>
    <border>
      <left/>
      <right/>
      <top style="thin">
        <color theme="2" tint="-0.249977111117893"/>
      </top>
      <bottom style="thin">
        <color indexed="64"/>
      </bottom>
      <diagonal/>
    </border>
    <border>
      <left style="thin">
        <color theme="0"/>
      </left>
      <right/>
      <top/>
      <bottom style="thin">
        <color auto="1"/>
      </bottom>
      <diagonal/>
    </border>
    <border>
      <left/>
      <right/>
      <top style="thin">
        <color auto="1"/>
      </top>
      <bottom style="thin">
        <color theme="0" tint="-0.24994659260841701"/>
      </bottom>
      <diagonal/>
    </border>
    <border>
      <left style="thin">
        <color theme="0"/>
      </left>
      <right style="thin">
        <color theme="2" tint="-0.249977111117893"/>
      </right>
      <top style="thin">
        <color theme="0" tint="-0.24994659260841701"/>
      </top>
      <bottom style="thin">
        <color indexed="64"/>
      </bottom>
      <diagonal/>
    </border>
    <border>
      <left style="thin">
        <color theme="0"/>
      </left>
      <right/>
      <top style="thin">
        <color theme="0"/>
      </top>
      <bottom style="thin">
        <color auto="1"/>
      </bottom>
      <diagonal/>
    </border>
    <border>
      <left/>
      <right/>
      <top/>
      <bottom style="thin">
        <color theme="2" tint="-0.249977111117893"/>
      </bottom>
      <diagonal/>
    </border>
    <border>
      <left style="thin">
        <color theme="0"/>
      </left>
      <right/>
      <top style="thin">
        <color theme="0" tint="-0.24994659260841701"/>
      </top>
      <bottom/>
      <diagonal/>
    </border>
    <border>
      <left/>
      <right/>
      <top style="thin">
        <color rgb="FFBFBFBF"/>
      </top>
      <bottom style="thin">
        <color rgb="FFBFBFBF"/>
      </bottom>
      <diagonal/>
    </border>
    <border>
      <left/>
      <right/>
      <top style="thin">
        <color indexed="64"/>
      </top>
      <bottom style="thin">
        <color indexed="64"/>
      </bottom>
      <diagonal/>
    </border>
    <border>
      <left/>
      <right style="thin">
        <color theme="0"/>
      </right>
      <top/>
      <bottom style="thin">
        <color theme="2" tint="-0.249977111117893"/>
      </bottom>
      <diagonal/>
    </border>
    <border>
      <left/>
      <right style="thin">
        <color theme="2" tint="-0.249977111117893"/>
      </right>
      <top/>
      <bottom style="thin">
        <color theme="0" tint="-0.24994659260841701"/>
      </bottom>
      <diagonal/>
    </border>
    <border>
      <left style="thin">
        <color theme="2" tint="-0.249977111117893"/>
      </left>
      <right/>
      <top/>
      <bottom style="thin">
        <color theme="0" tint="-0.24994659260841701"/>
      </bottom>
      <diagonal/>
    </border>
    <border>
      <left style="thin">
        <color theme="0"/>
      </left>
      <right style="thin">
        <color theme="0"/>
      </right>
      <top style="thin">
        <color auto="1"/>
      </top>
      <bottom style="thin">
        <color indexed="64"/>
      </bottom>
      <diagonal/>
    </border>
    <border>
      <left style="hair">
        <color theme="0"/>
      </left>
      <right style="hair">
        <color theme="0"/>
      </right>
      <top style="hair">
        <color theme="0"/>
      </top>
      <bottom style="thin">
        <color indexed="64"/>
      </bottom>
      <diagonal/>
    </border>
    <border>
      <left style="thin">
        <color theme="0"/>
      </left>
      <right style="thin">
        <color theme="0"/>
      </right>
      <top style="thin">
        <color indexed="64"/>
      </top>
      <bottom style="thin">
        <color theme="0" tint="-0.24994659260841701"/>
      </bottom>
      <diagonal/>
    </border>
    <border>
      <left/>
      <right/>
      <top style="thin">
        <color auto="1"/>
      </top>
      <bottom style="medium">
        <color auto="1"/>
      </bottom>
      <diagonal/>
    </border>
  </borders>
  <cellStyleXfs count="71">
    <xf numFmtId="0" fontId="0" fillId="0" borderId="0"/>
    <xf numFmtId="9"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43" fontId="157" fillId="0" borderId="0" applyFont="0" applyFill="0" applyBorder="0" applyAlignment="0" applyProtection="0"/>
    <xf numFmtId="0" fontId="164" fillId="0" borderId="0" applyNumberForma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97" fillId="0" borderId="0"/>
    <xf numFmtId="9" fontId="97" fillId="0" borderId="0" applyFont="0" applyFill="0" applyBorder="0" applyAlignment="0" applyProtection="0"/>
    <xf numFmtId="164" fontId="96" fillId="0" borderId="0" applyFont="0" applyFill="0" applyBorder="0" applyAlignment="0" applyProtection="0"/>
    <xf numFmtId="0" fontId="86" fillId="0" borderId="0"/>
    <xf numFmtId="0" fontId="159" fillId="4" borderId="15" applyNumberFormat="0" applyAlignment="0" applyProtection="0"/>
    <xf numFmtId="0" fontId="160" fillId="5" borderId="16" applyNumberFormat="0" applyAlignment="0" applyProtection="0"/>
    <xf numFmtId="43"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72" fillId="0" borderId="0"/>
    <xf numFmtId="9" fontId="72" fillId="0" borderId="0" applyFont="0" applyFill="0" applyBorder="0" applyAlignment="0" applyProtection="0"/>
    <xf numFmtId="164" fontId="72" fillId="0" borderId="0" applyFont="0" applyFill="0" applyBorder="0" applyAlignment="0" applyProtection="0"/>
    <xf numFmtId="0" fontId="70" fillId="0" borderId="0"/>
    <xf numFmtId="9" fontId="70" fillId="0" borderId="0" applyFont="0" applyFill="0" applyBorder="0" applyAlignment="0" applyProtection="0"/>
    <xf numFmtId="164" fontId="70" fillId="0" borderId="0" applyFont="0" applyFill="0" applyBorder="0" applyAlignment="0" applyProtection="0"/>
    <xf numFmtId="43" fontId="157" fillId="0" borderId="0" applyFont="0" applyFill="0" applyBorder="0" applyAlignment="0" applyProtection="0"/>
    <xf numFmtId="0" fontId="44" fillId="0" borderId="0"/>
    <xf numFmtId="0" fontId="159" fillId="4" borderId="15" applyNumberFormat="0" applyAlignment="0" applyProtection="0"/>
    <xf numFmtId="0" fontId="160" fillId="5" borderId="16" applyNumberFormat="0" applyAlignment="0" applyProtection="0"/>
    <xf numFmtId="43"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43" fillId="0" borderId="0"/>
    <xf numFmtId="9" fontId="43" fillId="0" borderId="0" applyFont="0" applyFill="0" applyBorder="0" applyAlignment="0" applyProtection="0"/>
    <xf numFmtId="164" fontId="43" fillId="0" borderId="0" applyFont="0" applyFill="0" applyBorder="0" applyAlignment="0" applyProtection="0"/>
    <xf numFmtId="0" fontId="43" fillId="0" borderId="0"/>
    <xf numFmtId="0" fontId="159" fillId="4" borderId="15" applyNumberFormat="0" applyAlignment="0" applyProtection="0"/>
    <xf numFmtId="0" fontId="160" fillId="5" borderId="16" applyNumberFormat="0" applyAlignment="0" applyProtection="0"/>
    <xf numFmtId="43" fontId="157" fillId="0" borderId="0" applyFont="0" applyFill="0" applyBorder="0" applyAlignment="0" applyProtection="0"/>
    <xf numFmtId="0" fontId="159" fillId="4" borderId="15" applyNumberFormat="0" applyAlignment="0" applyProtection="0"/>
    <xf numFmtId="0" fontId="160" fillId="5" borderId="16" applyNumberFormat="0" applyAlignment="0" applyProtection="0"/>
    <xf numFmtId="0" fontId="160" fillId="5" borderId="16" applyNumberFormat="0" applyAlignment="0" applyProtection="0"/>
    <xf numFmtId="0" fontId="159" fillId="4" borderId="15" applyNumberFormat="0" applyAlignment="0" applyProtection="0"/>
    <xf numFmtId="0" fontId="160" fillId="5" borderId="16" applyNumberFormat="0" applyAlignment="0" applyProtection="0"/>
    <xf numFmtId="0" fontId="159" fillId="4" borderId="15" applyNumberFormat="0" applyAlignment="0" applyProtection="0"/>
    <xf numFmtId="0" fontId="43" fillId="0" borderId="0"/>
    <xf numFmtId="9" fontId="43" fillId="0" borderId="0" applyFont="0" applyFill="0" applyBorder="0" applyAlignment="0" applyProtection="0"/>
    <xf numFmtId="164" fontId="43" fillId="0" borderId="0" applyFont="0" applyFill="0" applyBorder="0" applyAlignment="0" applyProtection="0"/>
    <xf numFmtId="0" fontId="43" fillId="0" borderId="0"/>
    <xf numFmtId="9" fontId="43" fillId="0" borderId="0" applyFont="0" applyFill="0" applyBorder="0" applyAlignment="0" applyProtection="0"/>
    <xf numFmtId="164" fontId="43" fillId="0" borderId="0" applyFont="0" applyFill="0" applyBorder="0" applyAlignment="0" applyProtection="0"/>
    <xf numFmtId="43" fontId="157" fillId="0" borderId="0" applyFont="0" applyFill="0" applyBorder="0" applyAlignment="0" applyProtection="0"/>
    <xf numFmtId="0" fontId="43" fillId="0" borderId="0"/>
    <xf numFmtId="0" fontId="157" fillId="0" borderId="0"/>
    <xf numFmtId="9" fontId="43" fillId="0" borderId="0" applyFont="0" applyFill="0" applyBorder="0" applyAlignment="0" applyProtection="0"/>
    <xf numFmtId="0" fontId="43" fillId="0" borderId="0"/>
    <xf numFmtId="0" fontId="26" fillId="0" borderId="0"/>
    <xf numFmtId="9" fontId="157" fillId="0" borderId="0" applyFont="0" applyFill="0" applyBorder="0" applyAlignment="0" applyProtection="0"/>
    <xf numFmtId="0" fontId="17" fillId="0" borderId="0"/>
    <xf numFmtId="0" fontId="17" fillId="0" borderId="0"/>
    <xf numFmtId="9" fontId="17" fillId="0" borderId="0" applyFont="0" applyFill="0" applyBorder="0" applyAlignment="0" applyProtection="0"/>
  </cellStyleXfs>
  <cellXfs count="1368">
    <xf numFmtId="0" fontId="0" fillId="0" borderId="0" xfId="0"/>
    <xf numFmtId="0" fontId="151" fillId="0" borderId="0" xfId="0" applyFont="1" applyAlignment="1">
      <alignment horizontal="left" vertical="center"/>
    </xf>
    <xf numFmtId="0" fontId="152" fillId="0" borderId="0" xfId="0" applyFont="1"/>
    <xf numFmtId="0" fontId="0" fillId="0" borderId="0" xfId="0" applyFill="1"/>
    <xf numFmtId="0" fontId="154" fillId="0" borderId="0" xfId="0" applyFont="1"/>
    <xf numFmtId="0" fontId="152" fillId="0" borderId="0" xfId="0" applyFont="1" applyBorder="1"/>
    <xf numFmtId="0" fontId="153" fillId="0" borderId="0" xfId="0" applyFont="1"/>
    <xf numFmtId="0" fontId="152" fillId="0" borderId="0" xfId="0" applyFont="1" applyFill="1" applyBorder="1" applyAlignment="1">
      <alignment vertical="center" wrapText="1"/>
    </xf>
    <xf numFmtId="0" fontId="152" fillId="0" borderId="0" xfId="0" applyFont="1" applyFill="1" applyBorder="1"/>
    <xf numFmtId="11" fontId="0" fillId="0" borderId="0" xfId="0" applyNumberFormat="1"/>
    <xf numFmtId="0" fontId="153" fillId="0" borderId="0" xfId="0" applyFont="1" applyFill="1" applyBorder="1"/>
    <xf numFmtId="0" fontId="0" fillId="0" borderId="0" xfId="0" applyAlignment="1">
      <alignment vertical="center"/>
    </xf>
    <xf numFmtId="0" fontId="168" fillId="0" borderId="0" xfId="0" applyFont="1" applyFill="1" applyBorder="1" applyAlignment="1">
      <alignment horizontal="right"/>
    </xf>
    <xf numFmtId="0" fontId="158" fillId="0" borderId="0" xfId="0" applyFont="1"/>
    <xf numFmtId="0" fontId="168" fillId="0" borderId="0" xfId="0" applyFont="1" applyFill="1" applyBorder="1"/>
    <xf numFmtId="170" fontId="168" fillId="0" borderId="0" xfId="0" applyNumberFormat="1" applyFont="1" applyFill="1" applyBorder="1" applyAlignment="1">
      <alignment horizontal="center"/>
    </xf>
    <xf numFmtId="0" fontId="168" fillId="0" borderId="0" xfId="0" applyFont="1" applyFill="1" applyBorder="1" applyAlignment="1">
      <alignment horizontal="center"/>
    </xf>
    <xf numFmtId="0" fontId="167" fillId="0" borderId="0" xfId="0" applyFont="1" applyFill="1" applyBorder="1"/>
    <xf numFmtId="0" fontId="163" fillId="0" borderId="0" xfId="0" applyFont="1"/>
    <xf numFmtId="0" fontId="158" fillId="0" borderId="0" xfId="0" applyFont="1" applyAlignment="1">
      <alignment vertical="center"/>
    </xf>
    <xf numFmtId="0" fontId="158" fillId="2" borderId="1" xfId="0" applyFont="1" applyFill="1" applyBorder="1" applyAlignment="1">
      <alignment vertical="center"/>
    </xf>
    <xf numFmtId="0" fontId="169" fillId="0" borderId="0" xfId="0" applyFont="1" applyAlignment="1">
      <alignment horizontal="center" vertical="center"/>
    </xf>
    <xf numFmtId="0" fontId="169" fillId="0" borderId="0" xfId="0" applyFont="1" applyAlignment="1">
      <alignment horizontal="left" vertical="center"/>
    </xf>
    <xf numFmtId="0" fontId="170" fillId="0" borderId="0" xfId="0" applyFont="1" applyAlignment="1">
      <alignment horizontal="left" vertical="center"/>
    </xf>
    <xf numFmtId="1" fontId="169" fillId="0" borderId="0" xfId="0" applyNumberFormat="1" applyFont="1" applyAlignment="1">
      <alignment horizontal="center" vertical="center"/>
    </xf>
    <xf numFmtId="169" fontId="165" fillId="8" borderId="47" xfId="4" applyNumberFormat="1" applyFont="1" applyFill="1" applyBorder="1"/>
    <xf numFmtId="169" fontId="165" fillId="8" borderId="48" xfId="4" applyNumberFormat="1" applyFont="1" applyFill="1" applyBorder="1" applyAlignment="1">
      <alignment horizontal="right"/>
    </xf>
    <xf numFmtId="169" fontId="165" fillId="8" borderId="0" xfId="4" applyNumberFormat="1" applyFont="1" applyFill="1" applyBorder="1" applyAlignment="1">
      <alignment horizontal="right"/>
    </xf>
    <xf numFmtId="169" fontId="165" fillId="8" borderId="0" xfId="4" applyNumberFormat="1" applyFont="1" applyFill="1" applyBorder="1"/>
    <xf numFmtId="169" fontId="165" fillId="8" borderId="27" xfId="4" applyNumberFormat="1" applyFont="1" applyFill="1" applyBorder="1"/>
    <xf numFmtId="169" fontId="165" fillId="8" borderId="28" xfId="4" applyNumberFormat="1" applyFont="1" applyFill="1" applyBorder="1" applyAlignment="1"/>
    <xf numFmtId="168" fontId="165" fillId="8" borderId="0" xfId="0" applyNumberFormat="1" applyFont="1" applyFill="1" applyBorder="1"/>
    <xf numFmtId="168" fontId="165" fillId="8" borderId="0" xfId="0" applyNumberFormat="1" applyFont="1" applyFill="1" applyBorder="1" applyAlignment="1">
      <alignment horizontal="right"/>
    </xf>
    <xf numFmtId="0" fontId="165" fillId="8" borderId="0" xfId="0" applyNumberFormat="1" applyFont="1" applyFill="1" applyBorder="1" applyAlignment="1">
      <alignment horizontal="right"/>
    </xf>
    <xf numFmtId="168" fontId="165" fillId="8" borderId="27" xfId="0" applyNumberFormat="1" applyFont="1" applyFill="1" applyBorder="1"/>
    <xf numFmtId="167" fontId="165" fillId="8" borderId="50" xfId="0" applyNumberFormat="1" applyFont="1" applyFill="1" applyBorder="1"/>
    <xf numFmtId="167" fontId="165" fillId="8" borderId="6" xfId="0" applyNumberFormat="1" applyFont="1" applyFill="1" applyBorder="1" applyAlignment="1">
      <alignment horizontal="right"/>
    </xf>
    <xf numFmtId="0" fontId="165" fillId="8" borderId="6" xfId="0" applyNumberFormat="1" applyFont="1" applyFill="1" applyBorder="1" applyAlignment="1">
      <alignment horizontal="right"/>
    </xf>
    <xf numFmtId="167" fontId="165" fillId="8" borderId="6" xfId="0" applyNumberFormat="1" applyFont="1" applyFill="1" applyBorder="1"/>
    <xf numFmtId="167" fontId="165" fillId="8" borderId="31" xfId="0" applyNumberFormat="1" applyFont="1" applyFill="1" applyBorder="1"/>
    <xf numFmtId="169" fontId="165" fillId="8" borderId="52" xfId="4" applyNumberFormat="1" applyFont="1" applyFill="1" applyBorder="1"/>
    <xf numFmtId="169" fontId="165" fillId="8" borderId="53" xfId="4" applyNumberFormat="1" applyFont="1" applyFill="1" applyBorder="1"/>
    <xf numFmtId="169" fontId="165" fillId="8" borderId="54" xfId="4" applyNumberFormat="1" applyFont="1" applyFill="1" applyBorder="1"/>
    <xf numFmtId="0" fontId="158" fillId="0" borderId="7" xfId="0" applyFont="1" applyBorder="1" applyAlignment="1">
      <alignment wrapText="1"/>
    </xf>
    <xf numFmtId="0" fontId="162" fillId="0" borderId="7" xfId="0" applyFont="1" applyBorder="1" applyAlignment="1">
      <alignment wrapText="1"/>
    </xf>
    <xf numFmtId="0" fontId="158" fillId="0" borderId="7" xfId="0" applyFont="1" applyBorder="1"/>
    <xf numFmtId="0" fontId="158" fillId="0" borderId="7" xfId="0" applyFont="1" applyFill="1" applyBorder="1"/>
    <xf numFmtId="0" fontId="158" fillId="0" borderId="36" xfId="0" applyFont="1" applyFill="1" applyBorder="1"/>
    <xf numFmtId="0" fontId="158" fillId="0" borderId="23" xfId="0" applyFont="1" applyBorder="1"/>
    <xf numFmtId="0" fontId="158" fillId="0" borderId="23" xfId="0" applyFont="1" applyBorder="1" applyAlignment="1">
      <alignment wrapText="1"/>
    </xf>
    <xf numFmtId="0" fontId="158" fillId="0" borderId="28" xfId="0" applyFont="1" applyBorder="1" applyAlignment="1">
      <alignment wrapText="1"/>
    </xf>
    <xf numFmtId="0" fontId="158" fillId="0" borderId="28" xfId="0" applyFont="1" applyBorder="1"/>
    <xf numFmtId="0" fontId="169" fillId="0" borderId="0" xfId="0" applyFont="1" applyFill="1" applyAlignment="1">
      <alignment horizontal="center" vertical="center"/>
    </xf>
    <xf numFmtId="0" fontId="169" fillId="0" borderId="0" xfId="0" applyFont="1" applyFill="1" applyAlignment="1">
      <alignment horizontal="left" vertical="center"/>
    </xf>
    <xf numFmtId="0" fontId="172" fillId="0" borderId="0" xfId="0" applyFont="1" applyAlignment="1">
      <alignment horizontal="center" vertical="center"/>
    </xf>
    <xf numFmtId="0" fontId="149" fillId="0" borderId="0" xfId="0" applyFont="1"/>
    <xf numFmtId="0" fontId="155" fillId="0" borderId="0" xfId="0" applyFont="1" applyFill="1"/>
    <xf numFmtId="0" fontId="149" fillId="0" borderId="0" xfId="0" applyFont="1" applyFill="1"/>
    <xf numFmtId="0" fontId="149" fillId="0" borderId="0" xfId="0" applyFont="1" applyBorder="1"/>
    <xf numFmtId="0" fontId="149" fillId="0" borderId="0" xfId="0" applyFont="1" applyBorder="1" applyAlignment="1">
      <alignment horizontal="left" vertical="center" wrapText="1"/>
    </xf>
    <xf numFmtId="0" fontId="149" fillId="0" borderId="0" xfId="0" applyFont="1" applyAlignment="1">
      <alignment vertical="center"/>
    </xf>
    <xf numFmtId="0" fontId="149" fillId="0" borderId="0" xfId="0" applyFont="1" applyBorder="1" applyAlignment="1">
      <alignment vertical="center"/>
    </xf>
    <xf numFmtId="0" fontId="149" fillId="0" borderId="0" xfId="0" applyFont="1" applyBorder="1" applyAlignment="1">
      <alignment vertical="center" wrapText="1"/>
    </xf>
    <xf numFmtId="0" fontId="155" fillId="7" borderId="14" xfId="0" applyFont="1" applyFill="1" applyBorder="1" applyAlignment="1">
      <alignment horizontal="center" vertical="center"/>
    </xf>
    <xf numFmtId="0" fontId="158" fillId="0" borderId="0" xfId="0" applyFont="1" applyFill="1" applyBorder="1" applyAlignment="1">
      <alignment horizontal="left"/>
    </xf>
    <xf numFmtId="0" fontId="148" fillId="0" borderId="20" xfId="0" applyFont="1" applyBorder="1"/>
    <xf numFmtId="0" fontId="148" fillId="0" borderId="24" xfId="0" applyFont="1" applyBorder="1"/>
    <xf numFmtId="0" fontId="148" fillId="0" borderId="0" xfId="0" applyFont="1"/>
    <xf numFmtId="0" fontId="148" fillId="2" borderId="3" xfId="0" applyFont="1" applyFill="1" applyBorder="1" applyAlignment="1">
      <alignment horizontal="right"/>
    </xf>
    <xf numFmtId="0" fontId="148" fillId="0" borderId="23" xfId="0" applyFont="1" applyBorder="1"/>
    <xf numFmtId="0" fontId="148" fillId="0" borderId="28" xfId="0" applyFont="1" applyBorder="1"/>
    <xf numFmtId="0" fontId="148" fillId="0" borderId="29" xfId="0" applyFont="1" applyBorder="1"/>
    <xf numFmtId="0" fontId="148" fillId="0" borderId="41" xfId="0" applyFont="1" applyBorder="1"/>
    <xf numFmtId="0" fontId="148" fillId="2" borderId="1" xfId="0" applyFont="1" applyFill="1" applyBorder="1" applyAlignment="1">
      <alignment horizontal="center" vertical="top" wrapText="1"/>
    </xf>
    <xf numFmtId="0" fontId="148" fillId="2" borderId="1" xfId="0" applyFont="1" applyFill="1" applyBorder="1" applyAlignment="1">
      <alignment vertical="top"/>
    </xf>
    <xf numFmtId="0" fontId="148" fillId="2" borderId="10" xfId="0" applyFont="1" applyFill="1" applyBorder="1"/>
    <xf numFmtId="0" fontId="148" fillId="0" borderId="35" xfId="0" applyFont="1" applyBorder="1"/>
    <xf numFmtId="0" fontId="148" fillId="0" borderId="26" xfId="0" applyFont="1" applyBorder="1"/>
    <xf numFmtId="0" fontId="148" fillId="0" borderId="38" xfId="0" applyFont="1" applyBorder="1"/>
    <xf numFmtId="0" fontId="148" fillId="0" borderId="0" xfId="0" applyFont="1" applyFill="1" applyBorder="1"/>
    <xf numFmtId="0" fontId="148" fillId="9" borderId="3" xfId="0" applyFont="1" applyFill="1" applyBorder="1"/>
    <xf numFmtId="0" fontId="148" fillId="0" borderId="3" xfId="0" applyFont="1" applyFill="1" applyBorder="1"/>
    <xf numFmtId="0" fontId="148" fillId="2" borderId="1" xfId="0" applyFont="1" applyFill="1" applyBorder="1" applyAlignment="1">
      <alignment horizontal="left" vertical="top" wrapText="1"/>
    </xf>
    <xf numFmtId="0" fontId="148" fillId="2" borderId="3" xfId="0" applyFont="1" applyFill="1" applyBorder="1"/>
    <xf numFmtId="0" fontId="148" fillId="2" borderId="2" xfId="0" applyFont="1" applyFill="1" applyBorder="1" applyAlignment="1">
      <alignment vertical="top" wrapText="1"/>
    </xf>
    <xf numFmtId="0" fontId="148" fillId="2" borderId="1" xfId="0" applyFont="1" applyFill="1" applyBorder="1" applyAlignment="1">
      <alignment vertical="top" wrapText="1"/>
    </xf>
    <xf numFmtId="0" fontId="148" fillId="2" borderId="9" xfId="0" applyFont="1" applyFill="1" applyBorder="1" applyAlignment="1">
      <alignment vertical="top"/>
    </xf>
    <xf numFmtId="0" fontId="148" fillId="0" borderId="0" xfId="0" applyFont="1" applyFill="1"/>
    <xf numFmtId="0" fontId="148" fillId="2" borderId="10" xfId="0" applyFont="1" applyFill="1" applyBorder="1" applyAlignment="1">
      <alignment vertical="top" wrapText="1"/>
    </xf>
    <xf numFmtId="0" fontId="148" fillId="2" borderId="10" xfId="0" applyFont="1" applyFill="1" applyBorder="1" applyAlignment="1">
      <alignment vertical="top"/>
    </xf>
    <xf numFmtId="0" fontId="148" fillId="2" borderId="2" xfId="0" applyFont="1" applyFill="1" applyBorder="1" applyAlignment="1">
      <alignment vertical="top"/>
    </xf>
    <xf numFmtId="0" fontId="148" fillId="2" borderId="10" xfId="0" applyFont="1" applyFill="1" applyBorder="1" applyAlignment="1">
      <alignment horizontal="right" wrapText="1"/>
    </xf>
    <xf numFmtId="0" fontId="148" fillId="0" borderId="45" xfId="0" applyFont="1" applyFill="1" applyBorder="1" applyAlignment="1">
      <alignment vertical="center"/>
    </xf>
    <xf numFmtId="0" fontId="148" fillId="0" borderId="45" xfId="0" applyFont="1" applyBorder="1" applyAlignment="1">
      <alignment wrapText="1"/>
    </xf>
    <xf numFmtId="0" fontId="148" fillId="0" borderId="44" xfId="0" applyFont="1" applyFill="1" applyBorder="1" applyAlignment="1">
      <alignment vertical="center"/>
    </xf>
    <xf numFmtId="0" fontId="148" fillId="0" borderId="44" xfId="0" applyFont="1" applyBorder="1" applyAlignment="1">
      <alignment wrapText="1"/>
    </xf>
    <xf numFmtId="0" fontId="148" fillId="0" borderId="0" xfId="0" applyFont="1" applyFill="1" applyBorder="1" applyAlignment="1">
      <alignment horizontal="right"/>
    </xf>
    <xf numFmtId="0" fontId="148" fillId="3" borderId="0" xfId="0" applyFont="1" applyFill="1" applyBorder="1"/>
    <xf numFmtId="0" fontId="148" fillId="0" borderId="0" xfId="0" applyFont="1" applyBorder="1"/>
    <xf numFmtId="0" fontId="148" fillId="2" borderId="14" xfId="0" applyFont="1" applyFill="1" applyBorder="1" applyAlignment="1">
      <alignment vertical="center"/>
    </xf>
    <xf numFmtId="0" fontId="148" fillId="2" borderId="11" xfId="0" applyFont="1" applyFill="1" applyBorder="1" applyAlignment="1">
      <alignment vertical="top"/>
    </xf>
    <xf numFmtId="0" fontId="148" fillId="2" borderId="0" xfId="0" applyFont="1" applyFill="1"/>
    <xf numFmtId="0" fontId="148" fillId="2" borderId="9" xfId="0" applyFont="1" applyFill="1" applyBorder="1"/>
    <xf numFmtId="169" fontId="148" fillId="9" borderId="3" xfId="4" applyNumberFormat="1" applyFont="1" applyFill="1" applyBorder="1"/>
    <xf numFmtId="11" fontId="148" fillId="9" borderId="3" xfId="0" applyNumberFormat="1" applyFont="1" applyFill="1" applyBorder="1"/>
    <xf numFmtId="2" fontId="148" fillId="9" borderId="3" xfId="0" applyNumberFormat="1" applyFont="1" applyFill="1" applyBorder="1"/>
    <xf numFmtId="14" fontId="148" fillId="2" borderId="1" xfId="0" applyNumberFormat="1" applyFont="1" applyFill="1" applyBorder="1" applyAlignment="1">
      <alignment horizontal="left" vertical="top" wrapText="1"/>
    </xf>
    <xf numFmtId="0" fontId="148" fillId="0" borderId="23" xfId="0" applyFont="1" applyBorder="1" applyAlignment="1">
      <alignment horizontal="left" vertical="center"/>
    </xf>
    <xf numFmtId="0" fontId="148" fillId="0" borderId="23" xfId="0" applyFont="1" applyBorder="1" applyAlignment="1">
      <alignment horizontal="left" vertical="center" wrapText="1"/>
    </xf>
    <xf numFmtId="0" fontId="148" fillId="0" borderId="23" xfId="0" applyFont="1" applyBorder="1" applyAlignment="1">
      <alignment vertical="center" wrapText="1"/>
    </xf>
    <xf numFmtId="169" fontId="148" fillId="9" borderId="11" xfId="4" applyNumberFormat="1" applyFont="1" applyFill="1" applyBorder="1"/>
    <xf numFmtId="0" fontId="148" fillId="0" borderId="28" xfId="0" applyFont="1" applyBorder="1" applyAlignment="1">
      <alignment horizontal="left" vertical="center"/>
    </xf>
    <xf numFmtId="0" fontId="148" fillId="0" borderId="28" xfId="0" applyFont="1" applyBorder="1" applyAlignment="1">
      <alignment horizontal="left" vertical="center" wrapText="1"/>
    </xf>
    <xf numFmtId="0" fontId="148" fillId="0" borderId="28" xfId="0" applyFont="1" applyBorder="1" applyAlignment="1">
      <alignment vertical="center" wrapText="1"/>
    </xf>
    <xf numFmtId="0" fontId="148" fillId="0" borderId="29" xfId="0" applyFont="1" applyBorder="1" applyAlignment="1">
      <alignment horizontal="left" vertical="center"/>
    </xf>
    <xf numFmtId="0" fontId="148" fillId="0" borderId="29" xfId="0" applyFont="1" applyBorder="1" applyAlignment="1">
      <alignment horizontal="left" vertical="center" wrapText="1"/>
    </xf>
    <xf numFmtId="0" fontId="148" fillId="0" borderId="29" xfId="0" applyFont="1" applyBorder="1" applyAlignment="1">
      <alignment vertical="center" wrapText="1"/>
    </xf>
    <xf numFmtId="169" fontId="148" fillId="9" borderId="39" xfId="4" applyNumberFormat="1" applyFont="1" applyFill="1" applyBorder="1"/>
    <xf numFmtId="0" fontId="148" fillId="0" borderId="0" xfId="0" applyFont="1" applyBorder="1" applyAlignment="1">
      <alignment horizontal="left" vertical="center"/>
    </xf>
    <xf numFmtId="0" fontId="148" fillId="0" borderId="0" xfId="0" applyFont="1" applyBorder="1" applyAlignment="1">
      <alignment horizontal="left" vertical="center" wrapText="1"/>
    </xf>
    <xf numFmtId="0" fontId="148" fillId="0" borderId="0" xfId="0" applyFont="1" applyBorder="1" applyAlignment="1">
      <alignment vertical="center" wrapText="1"/>
    </xf>
    <xf numFmtId="169" fontId="148" fillId="0" borderId="0" xfId="4" applyNumberFormat="1" applyFont="1" applyFill="1" applyBorder="1"/>
    <xf numFmtId="0" fontId="148" fillId="2" borderId="1" xfId="0" applyFont="1" applyFill="1" applyBorder="1" applyAlignment="1">
      <alignment horizontal="right" vertical="top"/>
    </xf>
    <xf numFmtId="0" fontId="148" fillId="0" borderId="23" xfId="0" applyFont="1" applyBorder="1" applyAlignment="1">
      <alignment vertical="center"/>
    </xf>
    <xf numFmtId="169" fontId="148" fillId="9" borderId="11" xfId="4" applyNumberFormat="1" applyFont="1" applyFill="1" applyBorder="1" applyAlignment="1">
      <alignment vertical="center"/>
    </xf>
    <xf numFmtId="0" fontId="148" fillId="0" borderId="28" xfId="0" applyFont="1" applyBorder="1" applyAlignment="1">
      <alignment vertical="center"/>
    </xf>
    <xf numFmtId="0" fontId="148" fillId="0" borderId="29" xfId="0" applyFont="1" applyBorder="1" applyAlignment="1">
      <alignment vertical="center"/>
    </xf>
    <xf numFmtId="169" fontId="148" fillId="9" borderId="39" xfId="4" applyNumberFormat="1" applyFont="1" applyFill="1" applyBorder="1" applyAlignment="1">
      <alignment vertical="center"/>
    </xf>
    <xf numFmtId="0" fontId="148" fillId="0" borderId="0" xfId="0" applyFont="1" applyAlignment="1">
      <alignment vertical="center"/>
    </xf>
    <xf numFmtId="0" fontId="148" fillId="0" borderId="24" xfId="0" applyFont="1" applyBorder="1" applyAlignment="1">
      <alignment wrapText="1"/>
    </xf>
    <xf numFmtId="0" fontId="148" fillId="2" borderId="1" xfId="0" applyFont="1" applyFill="1" applyBorder="1" applyAlignment="1">
      <alignment horizontal="center" vertical="center"/>
    </xf>
    <xf numFmtId="0" fontId="148" fillId="2" borderId="10" xfId="0" applyFont="1" applyFill="1" applyBorder="1" applyAlignment="1">
      <alignment horizontal="center" vertical="center"/>
    </xf>
    <xf numFmtId="0" fontId="148" fillId="0" borderId="20" xfId="0" applyFont="1" applyBorder="1" applyAlignment="1">
      <alignment horizontal="center" vertical="center"/>
    </xf>
    <xf numFmtId="0" fontId="148" fillId="0" borderId="20" xfId="0" applyFont="1" applyBorder="1" applyAlignment="1">
      <alignment horizontal="center"/>
    </xf>
    <xf numFmtId="0" fontId="148" fillId="0" borderId="24" xfId="0" applyFont="1" applyBorder="1" applyAlignment="1">
      <alignment horizontal="center" vertical="center"/>
    </xf>
    <xf numFmtId="0" fontId="148" fillId="0" borderId="24" xfId="0" applyFont="1" applyBorder="1" applyAlignment="1">
      <alignment horizontal="center"/>
    </xf>
    <xf numFmtId="0" fontId="148" fillId="0" borderId="44" xfId="0" applyFont="1" applyBorder="1" applyAlignment="1">
      <alignment horizontal="center" vertical="center"/>
    </xf>
    <xf numFmtId="0" fontId="148" fillId="0" borderId="44" xfId="0" applyFont="1" applyBorder="1" applyAlignment="1">
      <alignment horizontal="center"/>
    </xf>
    <xf numFmtId="0" fontId="172" fillId="0" borderId="0" xfId="0" applyFont="1" applyAlignment="1">
      <alignment horizontal="left" vertical="center"/>
    </xf>
    <xf numFmtId="0" fontId="173" fillId="0" borderId="0" xfId="0" applyFont="1" applyFill="1" applyBorder="1"/>
    <xf numFmtId="0" fontId="170" fillId="0" borderId="0" xfId="0" applyFont="1" applyAlignment="1">
      <alignment horizontal="center" vertical="center"/>
    </xf>
    <xf numFmtId="0" fontId="148" fillId="2" borderId="1" xfId="0" applyFont="1" applyFill="1" applyBorder="1" applyAlignment="1">
      <alignment horizontal="center" vertical="top"/>
    </xf>
    <xf numFmtId="0" fontId="148" fillId="2" borderId="10" xfId="0" applyFont="1" applyFill="1" applyBorder="1" applyAlignment="1">
      <alignment horizontal="left" vertical="center" wrapText="1"/>
    </xf>
    <xf numFmtId="0" fontId="148" fillId="9" borderId="3" xfId="0" applyFont="1" applyFill="1" applyBorder="1" applyAlignment="1">
      <alignment vertical="center"/>
    </xf>
    <xf numFmtId="0" fontId="148" fillId="2" borderId="10" xfId="0" applyFont="1" applyFill="1" applyBorder="1" applyAlignment="1">
      <alignment horizontal="left" vertical="center"/>
    </xf>
    <xf numFmtId="169" fontId="148" fillId="9" borderId="3" xfId="4" applyNumberFormat="1" applyFont="1" applyFill="1" applyBorder="1" applyAlignment="1">
      <alignment vertical="center"/>
    </xf>
    <xf numFmtId="0" fontId="148" fillId="9" borderId="3" xfId="0" applyFont="1" applyFill="1" applyBorder="1" applyAlignment="1">
      <alignment horizontal="right" vertical="center"/>
    </xf>
    <xf numFmtId="0" fontId="148" fillId="9" borderId="3" xfId="0" applyFont="1" applyFill="1" applyBorder="1" applyAlignment="1">
      <alignment horizontal="left" vertical="center"/>
    </xf>
    <xf numFmtId="0" fontId="148" fillId="9" borderId="3" xfId="0" applyFont="1" applyFill="1" applyBorder="1" applyAlignment="1">
      <alignment horizontal="right"/>
    </xf>
    <xf numFmtId="169" fontId="148" fillId="9" borderId="33" xfId="4" applyNumberFormat="1" applyFont="1" applyFill="1" applyBorder="1" applyAlignment="1">
      <alignment vertical="center"/>
    </xf>
    <xf numFmtId="0" fontId="148" fillId="0" borderId="22" xfId="0" applyFont="1" applyBorder="1"/>
    <xf numFmtId="169" fontId="148" fillId="9" borderId="33" xfId="4" applyNumberFormat="1" applyFont="1" applyFill="1" applyBorder="1"/>
    <xf numFmtId="0" fontId="148" fillId="0" borderId="60" xfId="0" applyFont="1" applyBorder="1"/>
    <xf numFmtId="0" fontId="148" fillId="0" borderId="57" xfId="0" applyFont="1" applyBorder="1"/>
    <xf numFmtId="0" fontId="148" fillId="0" borderId="34" xfId="0" applyFont="1" applyBorder="1"/>
    <xf numFmtId="0" fontId="148" fillId="0" borderId="58" xfId="0" applyFont="1" applyBorder="1"/>
    <xf numFmtId="0" fontId="148" fillId="0" borderId="0" xfId="0" applyFont="1" applyFill="1" applyBorder="1" applyAlignment="1">
      <alignment vertical="center"/>
    </xf>
    <xf numFmtId="171" fontId="148" fillId="0" borderId="0" xfId="0" applyNumberFormat="1" applyFont="1" applyAlignment="1">
      <alignment horizontal="left"/>
    </xf>
    <xf numFmtId="0" fontId="148" fillId="0" borderId="0" xfId="0" applyFont="1" applyAlignment="1">
      <alignment horizontal="left"/>
    </xf>
    <xf numFmtId="0" fontId="148" fillId="0" borderId="0" xfId="0" applyFont="1" applyFill="1" applyAlignment="1">
      <alignment horizontal="center" vertical="center"/>
    </xf>
    <xf numFmtId="0" fontId="148" fillId="0" borderId="0" xfId="0" applyFont="1" applyFill="1" applyAlignment="1">
      <alignment vertical="center"/>
    </xf>
    <xf numFmtId="0" fontId="148" fillId="0" borderId="0" xfId="0" applyFont="1" applyFill="1" applyAlignment="1">
      <alignment horizontal="left"/>
    </xf>
    <xf numFmtId="3" fontId="148" fillId="9" borderId="3" xfId="0" applyNumberFormat="1" applyFont="1" applyFill="1" applyBorder="1" applyAlignment="1">
      <alignment horizontal="left" vertical="center"/>
    </xf>
    <xf numFmtId="0" fontId="148" fillId="0" borderId="0" xfId="0" applyFont="1" applyBorder="1" applyAlignment="1">
      <alignment vertical="center"/>
    </xf>
    <xf numFmtId="0" fontId="148" fillId="0" borderId="0" xfId="0" applyFont="1" applyAlignment="1">
      <alignment horizontal="left" indent="1"/>
    </xf>
    <xf numFmtId="0" fontId="148" fillId="0" borderId="0" xfId="0" applyFont="1" applyBorder="1" applyAlignment="1">
      <alignment horizontal="left" indent="1"/>
    </xf>
    <xf numFmtId="0" fontId="148" fillId="9" borderId="0" xfId="0" applyFont="1" applyFill="1" applyBorder="1" applyAlignment="1">
      <alignment horizontal="center" vertical="center"/>
    </xf>
    <xf numFmtId="0" fontId="148" fillId="0" borderId="0" xfId="0" applyFont="1" applyBorder="1" applyAlignment="1">
      <alignment horizontal="left" vertical="center" indent="1"/>
    </xf>
    <xf numFmtId="0" fontId="147" fillId="2" borderId="1" xfId="0" applyFont="1" applyFill="1" applyBorder="1" applyAlignment="1">
      <alignment vertical="top" wrapText="1"/>
    </xf>
    <xf numFmtId="0" fontId="148" fillId="2" borderId="10" xfId="0" applyFont="1" applyFill="1" applyBorder="1" applyAlignment="1">
      <alignment horizontal="left" vertical="top" wrapText="1"/>
    </xf>
    <xf numFmtId="0" fontId="148" fillId="0" borderId="0" xfId="0" applyFont="1" applyAlignment="1">
      <alignment wrapText="1"/>
    </xf>
    <xf numFmtId="0" fontId="148" fillId="2" borderId="3" xfId="0" applyFont="1" applyFill="1" applyBorder="1" applyAlignment="1">
      <alignment vertical="top" wrapText="1"/>
    </xf>
    <xf numFmtId="0" fontId="0" fillId="0" borderId="0" xfId="0" applyAlignment="1">
      <alignment wrapText="1"/>
    </xf>
    <xf numFmtId="0" fontId="145" fillId="2" borderId="10" xfId="0" applyFont="1" applyFill="1" applyBorder="1" applyAlignment="1">
      <alignment vertical="top"/>
    </xf>
    <xf numFmtId="0" fontId="142" fillId="2" borderId="1" xfId="0" applyFont="1" applyFill="1" applyBorder="1" applyAlignment="1">
      <alignment vertical="top" wrapText="1"/>
    </xf>
    <xf numFmtId="0" fontId="141" fillId="2" borderId="1" xfId="0" applyFont="1" applyFill="1" applyBorder="1" applyAlignment="1">
      <alignment vertical="top"/>
    </xf>
    <xf numFmtId="0" fontId="140" fillId="0" borderId="0" xfId="0" applyFont="1"/>
    <xf numFmtId="0" fontId="140" fillId="9" borderId="2" xfId="0" applyFont="1" applyFill="1" applyBorder="1"/>
    <xf numFmtId="0" fontId="140" fillId="9" borderId="3" xfId="0" applyFont="1" applyFill="1" applyBorder="1"/>
    <xf numFmtId="0" fontId="140" fillId="0" borderId="0" xfId="0" applyFont="1" applyAlignment="1">
      <alignment vertical="center" wrapText="1"/>
    </xf>
    <xf numFmtId="0" fontId="148" fillId="0" borderId="0" xfId="0" applyFont="1" applyFill="1" applyBorder="1" applyAlignment="1">
      <alignment vertical="center"/>
    </xf>
    <xf numFmtId="0" fontId="168" fillId="0" borderId="0" xfId="0" applyFont="1" applyFill="1" applyBorder="1" applyAlignment="1">
      <alignment vertical="center"/>
    </xf>
    <xf numFmtId="0" fontId="175" fillId="0" borderId="0" xfId="0" applyFont="1" applyFill="1" applyAlignment="1"/>
    <xf numFmtId="0" fontId="175" fillId="0" borderId="0" xfId="0" applyFont="1" applyAlignment="1"/>
    <xf numFmtId="0" fontId="0" fillId="0" borderId="0" xfId="0" applyFill="1"/>
    <xf numFmtId="0" fontId="0" fillId="0" borderId="0" xfId="0"/>
    <xf numFmtId="0" fontId="0" fillId="0" borderId="0" xfId="0"/>
    <xf numFmtId="0" fontId="158" fillId="0" borderId="0" xfId="0" applyFont="1" applyFill="1"/>
    <xf numFmtId="0" fontId="0" fillId="0" borderId="0" xfId="0" applyFill="1" applyAlignment="1">
      <alignment vertical="center"/>
    </xf>
    <xf numFmtId="0" fontId="0" fillId="0" borderId="0" xfId="0" applyAlignment="1">
      <alignment vertical="center"/>
    </xf>
    <xf numFmtId="0" fontId="0" fillId="0" borderId="0" xfId="0" applyFill="1" applyAlignment="1">
      <alignment horizontal="left" vertical="center"/>
    </xf>
    <xf numFmtId="0" fontId="174" fillId="0" borderId="23" xfId="0" applyFont="1" applyFill="1" applyBorder="1" applyAlignment="1">
      <alignment horizontal="left" vertical="center"/>
    </xf>
    <xf numFmtId="0" fontId="0" fillId="0" borderId="0" xfId="0" applyFill="1" applyBorder="1" applyAlignment="1">
      <alignment horizontal="left" vertical="center"/>
    </xf>
    <xf numFmtId="0" fontId="0" fillId="0" borderId="0" xfId="0" applyAlignment="1">
      <alignment horizontal="left" vertical="center"/>
    </xf>
    <xf numFmtId="3" fontId="158" fillId="9" borderId="3" xfId="0" applyNumberFormat="1" applyFont="1" applyFill="1" applyBorder="1" applyAlignment="1" applyProtection="1">
      <alignment horizontal="right" vertical="center" wrapText="1"/>
      <protection locked="0"/>
    </xf>
    <xf numFmtId="0" fontId="158" fillId="0" borderId="28" xfId="0" applyFont="1" applyFill="1" applyBorder="1" applyAlignment="1">
      <alignment vertical="center" wrapText="1"/>
    </xf>
    <xf numFmtId="172" fontId="0" fillId="0" borderId="3" xfId="0" applyNumberFormat="1" applyFill="1" applyBorder="1" applyAlignment="1" applyProtection="1">
      <alignment vertical="center"/>
      <protection locked="0"/>
    </xf>
    <xf numFmtId="0" fontId="139" fillId="0" borderId="0" xfId="0" applyFont="1" applyFill="1" applyAlignment="1">
      <alignment vertical="center"/>
    </xf>
    <xf numFmtId="0" fontId="0" fillId="0" borderId="3" xfId="0" applyFill="1" applyBorder="1" applyAlignment="1">
      <alignment vertical="center"/>
    </xf>
    <xf numFmtId="0" fontId="139" fillId="0" borderId="0" xfId="0" applyFont="1" applyAlignment="1">
      <alignment vertical="center"/>
    </xf>
    <xf numFmtId="0" fontId="158" fillId="0" borderId="29" xfId="0" applyFont="1" applyFill="1" applyBorder="1" applyAlignment="1">
      <alignment horizontal="left" vertical="center"/>
    </xf>
    <xf numFmtId="3" fontId="158" fillId="9" borderId="27" xfId="0" applyNumberFormat="1" applyFont="1" applyFill="1" applyBorder="1" applyAlignment="1" applyProtection="1">
      <alignment horizontal="right" vertical="center" wrapText="1"/>
      <protection locked="0"/>
    </xf>
    <xf numFmtId="0" fontId="0" fillId="0" borderId="0" xfId="0" applyFill="1" applyBorder="1" applyAlignment="1">
      <alignment vertical="center"/>
    </xf>
    <xf numFmtId="3" fontId="158" fillId="0" borderId="0" xfId="0" applyNumberFormat="1" applyFont="1" applyFill="1" applyBorder="1" applyAlignment="1" applyProtection="1">
      <alignment horizontal="right" vertical="center" wrapText="1"/>
      <protection locked="0"/>
    </xf>
    <xf numFmtId="0" fontId="168" fillId="0" borderId="0" xfId="0" applyFont="1" applyFill="1" applyBorder="1" applyAlignment="1">
      <alignment vertical="center"/>
    </xf>
    <xf numFmtId="0" fontId="167" fillId="0" borderId="0" xfId="0" applyFont="1" applyFill="1" applyBorder="1" applyAlignment="1">
      <alignment vertical="center"/>
    </xf>
    <xf numFmtId="0" fontId="0" fillId="0" borderId="0" xfId="0"/>
    <xf numFmtId="0" fontId="176" fillId="0" borderId="0" xfId="0" applyFont="1" applyAlignment="1">
      <alignment vertical="center"/>
    </xf>
    <xf numFmtId="0" fontId="0" fillId="0" borderId="0" xfId="0" applyBorder="1" applyAlignment="1">
      <alignment vertical="top" wrapText="1"/>
    </xf>
    <xf numFmtId="0" fontId="0" fillId="0" borderId="0" xfId="0" applyBorder="1"/>
    <xf numFmtId="0" fontId="153" fillId="2" borderId="64" xfId="0" applyFont="1" applyFill="1" applyBorder="1" applyAlignment="1">
      <alignment vertical="top" wrapText="1"/>
    </xf>
    <xf numFmtId="0" fontId="0" fillId="0" borderId="0" xfId="0" applyAlignment="1">
      <alignment vertical="top" wrapText="1"/>
    </xf>
    <xf numFmtId="0" fontId="171" fillId="0" borderId="0" xfId="0" applyFont="1"/>
    <xf numFmtId="0" fontId="171" fillId="0" borderId="0" xfId="0" applyFont="1" applyAlignment="1">
      <alignment vertical="top" wrapText="1"/>
    </xf>
    <xf numFmtId="3" fontId="158" fillId="0" borderId="28" xfId="0" applyNumberFormat="1" applyFont="1" applyFill="1" applyBorder="1" applyAlignment="1">
      <alignment horizontal="left" vertical="center"/>
    </xf>
    <xf numFmtId="3" fontId="158" fillId="9" borderId="24" xfId="0" applyNumberFormat="1" applyFont="1" applyFill="1" applyBorder="1" applyAlignment="1" applyProtection="1">
      <alignment horizontal="right" vertical="center" wrapText="1"/>
      <protection locked="0"/>
    </xf>
    <xf numFmtId="3" fontId="158" fillId="9" borderId="26" xfId="0" applyNumberFormat="1" applyFont="1" applyFill="1" applyBorder="1" applyAlignment="1" applyProtection="1">
      <alignment horizontal="right" vertical="center" wrapText="1"/>
      <protection locked="0"/>
    </xf>
    <xf numFmtId="3" fontId="158" fillId="0" borderId="26" xfId="0" applyNumberFormat="1" applyFont="1" applyFill="1" applyBorder="1" applyAlignment="1" applyProtection="1">
      <alignment horizontal="right" vertical="center" wrapText="1"/>
      <protection locked="0"/>
    </xf>
    <xf numFmtId="3" fontId="158" fillId="9" borderId="38" xfId="0" applyNumberFormat="1" applyFont="1" applyFill="1" applyBorder="1" applyAlignment="1" applyProtection="1">
      <alignment horizontal="right" vertical="center" wrapText="1"/>
      <protection locked="0"/>
    </xf>
    <xf numFmtId="0" fontId="158" fillId="0" borderId="0" xfId="0" applyFont="1" applyFill="1" applyBorder="1" applyAlignment="1">
      <alignment horizontal="left" vertical="center"/>
    </xf>
    <xf numFmtId="3" fontId="158" fillId="0" borderId="0" xfId="0" applyNumberFormat="1" applyFont="1" applyFill="1" applyBorder="1" applyAlignment="1">
      <alignment horizontal="left" vertical="top" wrapText="1"/>
    </xf>
    <xf numFmtId="1" fontId="158" fillId="0" borderId="0" xfId="0" applyNumberFormat="1" applyFont="1" applyFill="1" applyBorder="1" applyAlignment="1">
      <alignment horizontal="left" vertical="top" wrapText="1"/>
    </xf>
    <xf numFmtId="0" fontId="158" fillId="0" borderId="0" xfId="0" applyFont="1" applyFill="1" applyBorder="1" applyAlignment="1">
      <alignment vertical="center"/>
    </xf>
    <xf numFmtId="0" fontId="158" fillId="0" borderId="0" xfId="0" applyFont="1" applyFill="1" applyAlignment="1">
      <alignment vertical="center"/>
    </xf>
    <xf numFmtId="0" fontId="158" fillId="0" borderId="0" xfId="0" applyFont="1" applyFill="1" applyAlignment="1">
      <alignment vertical="center" wrapText="1"/>
    </xf>
    <xf numFmtId="1" fontId="158" fillId="0" borderId="0" xfId="0" applyNumberFormat="1" applyFont="1" applyFill="1" applyBorder="1" applyAlignment="1">
      <alignment horizontal="right" vertical="center"/>
    </xf>
    <xf numFmtId="1" fontId="158" fillId="0" borderId="0" xfId="0" applyNumberFormat="1" applyFont="1" applyFill="1" applyAlignment="1">
      <alignment vertical="center" wrapText="1"/>
    </xf>
    <xf numFmtId="0" fontId="158" fillId="0" borderId="66" xfId="0" applyFont="1" applyFill="1" applyBorder="1" applyAlignment="1">
      <alignment horizontal="left" vertical="center"/>
    </xf>
    <xf numFmtId="1" fontId="158" fillId="0" borderId="66" xfId="0" applyNumberFormat="1" applyFont="1" applyFill="1" applyBorder="1" applyAlignment="1">
      <alignment horizontal="right" vertical="center"/>
    </xf>
    <xf numFmtId="1" fontId="177" fillId="0" borderId="66" xfId="0" applyNumberFormat="1" applyFont="1" applyFill="1" applyBorder="1" applyAlignment="1">
      <alignment horizontal="center" vertical="center" wrapText="1"/>
    </xf>
    <xf numFmtId="0" fontId="178" fillId="2" borderId="64" xfId="0" applyFont="1" applyFill="1" applyBorder="1" applyAlignment="1">
      <alignment horizontal="left" vertical="center"/>
    </xf>
    <xf numFmtId="0" fontId="158" fillId="2" borderId="64" xfId="0" applyFont="1" applyFill="1" applyBorder="1" applyAlignment="1">
      <alignment horizontal="left" vertical="center"/>
    </xf>
    <xf numFmtId="0" fontId="177" fillId="2" borderId="64" xfId="0" applyFont="1" applyFill="1" applyBorder="1" applyAlignment="1">
      <alignment horizontal="center" vertical="center" wrapText="1"/>
    </xf>
    <xf numFmtId="1" fontId="158" fillId="2" borderId="66" xfId="0" applyNumberFormat="1" applyFont="1" applyFill="1" applyBorder="1" applyAlignment="1">
      <alignment vertical="center" wrapText="1"/>
    </xf>
    <xf numFmtId="3" fontId="158" fillId="2" borderId="66" xfId="0" applyNumberFormat="1" applyFont="1" applyFill="1" applyBorder="1" applyAlignment="1">
      <alignment horizontal="center" vertical="center" wrapText="1"/>
    </xf>
    <xf numFmtId="3" fontId="158" fillId="2" borderId="66" xfId="0" applyNumberFormat="1" applyFont="1" applyFill="1" applyBorder="1" applyAlignment="1">
      <alignment horizontal="left" vertical="center" wrapText="1"/>
    </xf>
    <xf numFmtId="0" fontId="158" fillId="2" borderId="66" xfId="0" applyFont="1" applyFill="1" applyBorder="1" applyAlignment="1">
      <alignment vertical="center" wrapText="1"/>
    </xf>
    <xf numFmtId="14" fontId="158" fillId="2" borderId="66" xfId="0" applyNumberFormat="1" applyFont="1" applyFill="1" applyBorder="1" applyAlignment="1">
      <alignment horizontal="center" vertical="center" wrapText="1"/>
    </xf>
    <xf numFmtId="1" fontId="158" fillId="2" borderId="66" xfId="0" applyNumberFormat="1" applyFont="1" applyFill="1" applyBorder="1" applyAlignment="1">
      <alignment horizontal="center" vertical="center" wrapText="1"/>
    </xf>
    <xf numFmtId="3" fontId="158" fillId="0" borderId="23" xfId="0" applyNumberFormat="1" applyFont="1" applyFill="1" applyBorder="1" applyAlignment="1">
      <alignment horizontal="left" vertical="center"/>
    </xf>
    <xf numFmtId="0" fontId="178" fillId="0" borderId="23" xfId="0" applyFont="1" applyFill="1" applyBorder="1" applyAlignment="1">
      <alignment vertical="center"/>
    </xf>
    <xf numFmtId="3" fontId="158" fillId="0" borderId="23" xfId="0" applyNumberFormat="1" applyFont="1" applyFill="1" applyBorder="1" applyAlignment="1">
      <alignment horizontal="right" vertical="center"/>
    </xf>
    <xf numFmtId="3" fontId="178" fillId="0" borderId="23" xfId="0" applyNumberFormat="1" applyFont="1" applyFill="1" applyBorder="1" applyAlignment="1">
      <alignment vertical="center"/>
    </xf>
    <xf numFmtId="0" fontId="158" fillId="0" borderId="23" xfId="0" applyFont="1" applyFill="1" applyBorder="1" applyAlignment="1">
      <alignment vertical="center"/>
    </xf>
    <xf numFmtId="3" fontId="158" fillId="0" borderId="28" xfId="0" applyNumberFormat="1" applyFont="1" applyFill="1" applyBorder="1" applyAlignment="1">
      <alignment vertical="center"/>
    </xf>
    <xf numFmtId="0" fontId="174" fillId="0" borderId="28" xfId="0" applyFont="1" applyFill="1" applyBorder="1" applyAlignment="1">
      <alignment horizontal="left" vertical="center"/>
    </xf>
    <xf numFmtId="3" fontId="174" fillId="0" borderId="30" xfId="0" applyNumberFormat="1" applyFont="1" applyFill="1" applyBorder="1" applyAlignment="1">
      <alignment horizontal="right" vertical="center"/>
    </xf>
    <xf numFmtId="3" fontId="174" fillId="0" borderId="26" xfId="0" applyNumberFormat="1" applyFont="1" applyFill="1" applyBorder="1" applyAlignment="1">
      <alignment horizontal="right" vertical="center"/>
    </xf>
    <xf numFmtId="0" fontId="158" fillId="0" borderId="0" xfId="0" applyFont="1" applyFill="1" applyBorder="1" applyAlignment="1">
      <alignment vertical="center"/>
    </xf>
    <xf numFmtId="3" fontId="158" fillId="9" borderId="11" xfId="0" applyNumberFormat="1" applyFont="1" applyFill="1" applyBorder="1" applyAlignment="1" applyProtection="1">
      <alignment horizontal="right" vertical="center" wrapText="1"/>
      <protection locked="0"/>
    </xf>
    <xf numFmtId="3" fontId="158" fillId="9" borderId="14" xfId="0" applyNumberFormat="1" applyFont="1" applyFill="1" applyBorder="1" applyAlignment="1" applyProtection="1">
      <alignment horizontal="right" vertical="center" wrapText="1"/>
      <protection locked="0"/>
    </xf>
    <xf numFmtId="3" fontId="158" fillId="0" borderId="26" xfId="0" applyNumberFormat="1" applyFont="1" applyFill="1" applyBorder="1" applyAlignment="1">
      <alignment horizontal="right" vertical="center"/>
    </xf>
    <xf numFmtId="0" fontId="158" fillId="0" borderId="28" xfId="0" applyFont="1" applyFill="1" applyBorder="1" applyAlignment="1">
      <alignment vertical="center"/>
    </xf>
    <xf numFmtId="0" fontId="158" fillId="0" borderId="0" xfId="0" applyFont="1" applyFill="1" applyBorder="1" applyAlignment="1">
      <alignment vertical="top" wrapText="1"/>
    </xf>
    <xf numFmtId="0" fontId="158" fillId="0" borderId="0" xfId="0" applyFont="1" applyFill="1" applyBorder="1" applyAlignment="1">
      <alignment horizontal="left" vertical="top" wrapText="1"/>
    </xf>
    <xf numFmtId="3" fontId="158" fillId="0" borderId="28" xfId="0" quotePrefix="1" applyNumberFormat="1" applyFont="1" applyFill="1" applyBorder="1" applyAlignment="1">
      <alignment horizontal="left" vertical="center"/>
    </xf>
    <xf numFmtId="3" fontId="158" fillId="9" borderId="35"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vertical="center"/>
    </xf>
    <xf numFmtId="3" fontId="158" fillId="2" borderId="28" xfId="0" applyNumberFormat="1" applyFont="1" applyFill="1" applyBorder="1" applyAlignment="1">
      <alignment horizontal="left" vertical="center"/>
    </xf>
    <xf numFmtId="0" fontId="158" fillId="2" borderId="28" xfId="0" applyFont="1" applyFill="1" applyBorder="1" applyAlignment="1">
      <alignment vertical="center"/>
    </xf>
    <xf numFmtId="3" fontId="158" fillId="2" borderId="28" xfId="0" applyNumberFormat="1" applyFont="1" applyFill="1" applyBorder="1" applyAlignment="1">
      <alignment horizontal="right" vertical="center"/>
    </xf>
    <xf numFmtId="3" fontId="174" fillId="0" borderId="28" xfId="0" applyNumberFormat="1" applyFont="1" applyFill="1" applyBorder="1" applyAlignment="1">
      <alignment horizontal="right" vertical="center"/>
    </xf>
    <xf numFmtId="3" fontId="174" fillId="0" borderId="28" xfId="0" applyNumberFormat="1" applyFont="1" applyFill="1" applyBorder="1" applyAlignment="1">
      <alignment horizontal="left" vertical="center"/>
    </xf>
    <xf numFmtId="3" fontId="158" fillId="0" borderId="30" xfId="0" applyNumberFormat="1" applyFont="1" applyFill="1" applyBorder="1" applyAlignment="1">
      <alignment horizontal="right" vertical="center"/>
    </xf>
    <xf numFmtId="3" fontId="158" fillId="0" borderId="28" xfId="0" applyNumberFormat="1" applyFont="1" applyFill="1" applyBorder="1" applyAlignment="1">
      <alignment horizontal="right" vertical="center"/>
    </xf>
    <xf numFmtId="3" fontId="158" fillId="2" borderId="28" xfId="0" quotePrefix="1" applyNumberFormat="1" applyFont="1" applyFill="1" applyBorder="1" applyAlignment="1">
      <alignment horizontal="left" vertical="center"/>
    </xf>
    <xf numFmtId="0" fontId="158" fillId="2" borderId="28" xfId="0" applyFont="1" applyFill="1" applyBorder="1" applyAlignment="1">
      <alignment horizontal="left" vertical="center"/>
    </xf>
    <xf numFmtId="0" fontId="158" fillId="2" borderId="0" xfId="0" applyFont="1" applyFill="1" applyBorder="1" applyAlignment="1">
      <alignment vertical="center"/>
    </xf>
    <xf numFmtId="3" fontId="158" fillId="9" borderId="5" xfId="0" applyNumberFormat="1" applyFont="1" applyFill="1" applyBorder="1" applyAlignment="1" applyProtection="1">
      <alignment horizontal="right" vertical="center" wrapText="1"/>
      <protection locked="0"/>
    </xf>
    <xf numFmtId="0" fontId="158" fillId="2" borderId="23" xfId="0" applyFont="1" applyFill="1" applyBorder="1" applyAlignment="1">
      <alignment vertical="center"/>
    </xf>
    <xf numFmtId="3" fontId="158" fillId="9" borderId="22" xfId="0" applyNumberFormat="1" applyFont="1" applyFill="1" applyBorder="1" applyAlignment="1" applyProtection="1">
      <alignment horizontal="right" vertical="center" wrapText="1"/>
      <protection locked="0"/>
    </xf>
    <xf numFmtId="3" fontId="158" fillId="9" borderId="45" xfId="0" applyNumberFormat="1" applyFont="1" applyFill="1" applyBorder="1" applyAlignment="1" applyProtection="1">
      <alignment horizontal="right" vertical="center" wrapText="1"/>
      <protection locked="0"/>
    </xf>
    <xf numFmtId="3" fontId="165" fillId="0" borderId="28" xfId="0" applyNumberFormat="1" applyFont="1" applyFill="1" applyBorder="1" applyAlignment="1">
      <alignment vertical="center"/>
    </xf>
    <xf numFmtId="3" fontId="165" fillId="9" borderId="11" xfId="0" applyNumberFormat="1" applyFont="1" applyFill="1" applyBorder="1" applyAlignment="1" applyProtection="1">
      <alignment horizontal="right" vertical="center" wrapText="1"/>
      <protection locked="0"/>
    </xf>
    <xf numFmtId="3" fontId="165" fillId="9" borderId="5" xfId="0" applyNumberFormat="1" applyFont="1" applyFill="1" applyBorder="1" applyAlignment="1" applyProtection="1">
      <alignment horizontal="right" vertical="center" wrapText="1"/>
      <protection locked="0"/>
    </xf>
    <xf numFmtId="3" fontId="165" fillId="0" borderId="28" xfId="0" applyNumberFormat="1" applyFont="1" applyFill="1" applyBorder="1" applyAlignment="1">
      <alignment horizontal="right" vertical="center"/>
    </xf>
    <xf numFmtId="0" fontId="158" fillId="0" borderId="30" xfId="0" applyFont="1" applyFill="1" applyBorder="1" applyAlignment="1">
      <alignment vertical="center"/>
    </xf>
    <xf numFmtId="3" fontId="158" fillId="0" borderId="50" xfId="0" applyNumberFormat="1" applyFont="1" applyFill="1" applyBorder="1" applyAlignment="1" applyProtection="1">
      <alignment horizontal="right" vertical="center" wrapText="1"/>
      <protection locked="0"/>
    </xf>
    <xf numFmtId="3" fontId="158" fillId="0" borderId="67" xfId="0" applyNumberFormat="1" applyFont="1" applyFill="1" applyBorder="1" applyAlignment="1" applyProtection="1">
      <alignment horizontal="right" vertical="center" wrapText="1"/>
      <protection locked="0"/>
    </xf>
    <xf numFmtId="3" fontId="158" fillId="0" borderId="22" xfId="0" applyNumberFormat="1" applyFont="1" applyFill="1" applyBorder="1" applyAlignment="1" applyProtection="1">
      <alignment horizontal="right" vertical="center" wrapText="1"/>
      <protection locked="0"/>
    </xf>
    <xf numFmtId="3" fontId="158" fillId="0" borderId="45" xfId="0" applyNumberFormat="1" applyFont="1" applyFill="1" applyBorder="1" applyAlignment="1" applyProtection="1">
      <alignment horizontal="right" vertical="center" wrapText="1"/>
      <protection locked="0"/>
    </xf>
    <xf numFmtId="3" fontId="158" fillId="0" borderId="24" xfId="0" applyNumberFormat="1" applyFont="1" applyFill="1" applyBorder="1" applyAlignment="1" applyProtection="1">
      <alignment horizontal="right" vertical="center" wrapText="1"/>
      <protection locked="0"/>
    </xf>
    <xf numFmtId="3" fontId="158" fillId="9" borderId="50" xfId="0" applyNumberFormat="1" applyFont="1" applyFill="1" applyBorder="1" applyAlignment="1" applyProtection="1">
      <alignment horizontal="right" vertical="center" wrapText="1"/>
      <protection locked="0"/>
    </xf>
    <xf numFmtId="3" fontId="158" fillId="9" borderId="67" xfId="0" applyNumberFormat="1" applyFont="1" applyFill="1" applyBorder="1" applyAlignment="1" applyProtection="1">
      <alignment horizontal="right" vertical="center" wrapText="1"/>
      <protection locked="0"/>
    </xf>
    <xf numFmtId="0" fontId="158" fillId="0" borderId="27" xfId="0" applyFont="1" applyFill="1" applyBorder="1" applyAlignment="1">
      <alignment vertical="center"/>
    </xf>
    <xf numFmtId="3" fontId="158" fillId="9" borderId="21" xfId="0" applyNumberFormat="1" applyFont="1" applyFill="1" applyBorder="1" applyAlignment="1" applyProtection="1">
      <alignment horizontal="right" vertical="center" wrapText="1"/>
      <protection locked="0"/>
    </xf>
    <xf numFmtId="3" fontId="174" fillId="0" borderId="28" xfId="0" applyNumberFormat="1" applyFont="1" applyFill="1" applyBorder="1" applyAlignment="1">
      <alignment vertical="center"/>
    </xf>
    <xf numFmtId="3" fontId="158" fillId="9" borderId="23" xfId="0" applyNumberFormat="1" applyFont="1" applyFill="1" applyBorder="1" applyAlignment="1" applyProtection="1">
      <alignment horizontal="right" vertical="center" wrapText="1"/>
      <protection locked="0"/>
    </xf>
    <xf numFmtId="3" fontId="165" fillId="2" borderId="28" xfId="0" applyNumberFormat="1" applyFont="1" applyFill="1" applyBorder="1" applyAlignment="1">
      <alignment vertical="center"/>
    </xf>
    <xf numFmtId="0" fontId="158" fillId="0" borderId="28" xfId="0" applyFont="1" applyFill="1" applyBorder="1" applyAlignment="1">
      <alignment horizontal="left" vertical="center"/>
    </xf>
    <xf numFmtId="0" fontId="165" fillId="0" borderId="28" xfId="0" applyFont="1" applyFill="1" applyBorder="1" applyAlignment="1">
      <alignment vertical="center"/>
    </xf>
    <xf numFmtId="3" fontId="158" fillId="0" borderId="0" xfId="0" applyNumberFormat="1" applyFont="1" applyFill="1" applyBorder="1" applyAlignment="1">
      <alignment horizontal="right" vertical="center"/>
    </xf>
    <xf numFmtId="0" fontId="165" fillId="2" borderId="28" xfId="0" applyFont="1" applyFill="1" applyBorder="1" applyAlignment="1">
      <alignment vertical="center"/>
    </xf>
    <xf numFmtId="3" fontId="158" fillId="2" borderId="28" xfId="0" applyNumberFormat="1" applyFont="1" applyFill="1" applyBorder="1" applyAlignment="1" applyProtection="1">
      <alignment horizontal="right" vertical="center" wrapText="1"/>
      <protection locked="0"/>
    </xf>
    <xf numFmtId="0" fontId="174" fillId="0" borderId="28" xfId="0" applyFont="1" applyFill="1" applyBorder="1" applyAlignment="1">
      <alignment vertical="center"/>
    </xf>
    <xf numFmtId="3" fontId="158" fillId="9" borderId="17" xfId="0" applyNumberFormat="1" applyFont="1" applyFill="1" applyBorder="1" applyAlignment="1" applyProtection="1">
      <alignment horizontal="right" vertical="center" wrapText="1"/>
      <protection locked="0"/>
    </xf>
    <xf numFmtId="14" fontId="174" fillId="0" borderId="28" xfId="0" applyNumberFormat="1" applyFont="1" applyFill="1" applyBorder="1" applyAlignment="1">
      <alignment vertical="center"/>
    </xf>
    <xf numFmtId="3" fontId="165" fillId="0" borderId="28" xfId="0" applyNumberFormat="1" applyFont="1" applyFill="1" applyBorder="1" applyAlignment="1">
      <alignment horizontal="left" vertical="center"/>
    </xf>
    <xf numFmtId="3" fontId="165" fillId="2" borderId="28" xfId="0" applyNumberFormat="1" applyFont="1" applyFill="1" applyBorder="1" applyAlignment="1">
      <alignment horizontal="left" vertical="center"/>
    </xf>
    <xf numFmtId="3" fontId="158" fillId="0" borderId="30" xfId="0" applyNumberFormat="1" applyFont="1" applyFill="1" applyBorder="1" applyAlignment="1" applyProtection="1">
      <alignment horizontal="right" vertical="center" wrapText="1"/>
      <protection locked="0"/>
    </xf>
    <xf numFmtId="3" fontId="158" fillId="9" borderId="2" xfId="0" applyNumberFormat="1" applyFont="1" applyFill="1" applyBorder="1" applyAlignment="1" applyProtection="1">
      <alignment horizontal="right" vertical="center" wrapText="1"/>
      <protection locked="0"/>
    </xf>
    <xf numFmtId="3" fontId="158" fillId="9" borderId="4" xfId="0" applyNumberFormat="1" applyFont="1" applyFill="1" applyBorder="1" applyAlignment="1" applyProtection="1">
      <alignment horizontal="right" vertical="center" wrapText="1"/>
      <protection locked="0"/>
    </xf>
    <xf numFmtId="3" fontId="165" fillId="9" borderId="3" xfId="0" applyNumberFormat="1" applyFont="1" applyFill="1" applyBorder="1" applyAlignment="1" applyProtection="1">
      <alignment horizontal="right" vertical="center" wrapText="1"/>
      <protection locked="0"/>
    </xf>
    <xf numFmtId="3" fontId="158" fillId="0" borderId="28" xfId="0" applyNumberFormat="1" applyFont="1" applyFill="1" applyBorder="1" applyAlignment="1">
      <alignment horizontal="left" vertical="top"/>
    </xf>
    <xf numFmtId="0" fontId="174" fillId="0" borderId="28" xfId="0" applyFont="1" applyFill="1" applyBorder="1" applyAlignment="1">
      <alignment vertical="center"/>
    </xf>
    <xf numFmtId="3" fontId="158" fillId="0" borderId="28" xfId="0" quotePrefix="1" applyNumberFormat="1" applyFont="1" applyFill="1" applyBorder="1" applyAlignment="1">
      <alignment vertical="center"/>
    </xf>
    <xf numFmtId="3" fontId="174" fillId="0" borderId="28" xfId="0" quotePrefix="1" applyNumberFormat="1" applyFont="1" applyFill="1" applyBorder="1" applyAlignment="1">
      <alignment vertical="center"/>
    </xf>
    <xf numFmtId="0" fontId="178" fillId="0" borderId="28" xfId="0" applyFont="1" applyFill="1" applyBorder="1" applyAlignment="1">
      <alignment vertical="center"/>
    </xf>
    <xf numFmtId="3" fontId="158" fillId="9" borderId="20" xfId="0" applyNumberFormat="1" applyFont="1" applyFill="1" applyBorder="1" applyAlignment="1" applyProtection="1">
      <alignment horizontal="right" vertical="center" wrapText="1"/>
      <protection locked="0"/>
    </xf>
    <xf numFmtId="3" fontId="158" fillId="9" borderId="25" xfId="0" applyNumberFormat="1" applyFont="1" applyFill="1" applyBorder="1" applyAlignment="1" applyProtection="1">
      <alignment horizontal="right" vertical="center" wrapText="1"/>
      <protection locked="0"/>
    </xf>
    <xf numFmtId="0" fontId="158" fillId="0" borderId="28" xfId="0" applyFont="1" applyFill="1" applyBorder="1" applyAlignment="1">
      <alignment vertical="center"/>
    </xf>
    <xf numFmtId="3" fontId="158" fillId="9" borderId="6" xfId="0" applyNumberFormat="1" applyFont="1" applyFill="1" applyBorder="1" applyAlignment="1" applyProtection="1">
      <alignment horizontal="right" vertical="center" wrapText="1"/>
      <protection locked="0"/>
    </xf>
    <xf numFmtId="3" fontId="158" fillId="9" borderId="9" xfId="0" applyNumberFormat="1" applyFont="1" applyFill="1" applyBorder="1" applyAlignment="1" applyProtection="1">
      <alignment horizontal="right" vertical="center" wrapText="1"/>
      <protection locked="0"/>
    </xf>
    <xf numFmtId="0" fontId="139" fillId="0" borderId="28" xfId="0" applyFont="1" applyFill="1" applyBorder="1" applyAlignment="1">
      <alignment horizontal="left" vertical="center" wrapText="1"/>
    </xf>
    <xf numFmtId="3" fontId="174" fillId="2" borderId="28" xfId="0" applyNumberFormat="1" applyFont="1" applyFill="1" applyBorder="1" applyAlignment="1">
      <alignment horizontal="left" vertical="center"/>
    </xf>
    <xf numFmtId="3" fontId="158" fillId="2" borderId="23" xfId="0" applyNumberFormat="1" applyFont="1" applyFill="1" applyBorder="1" applyAlignment="1">
      <alignment horizontal="center" vertical="center"/>
    </xf>
    <xf numFmtId="3" fontId="158" fillId="0" borderId="0" xfId="0" applyNumberFormat="1" applyFont="1" applyFill="1" applyBorder="1" applyAlignment="1">
      <alignment horizontal="right"/>
    </xf>
    <xf numFmtId="0" fontId="158" fillId="0" borderId="29" xfId="0" applyFont="1" applyFill="1" applyBorder="1" applyAlignment="1">
      <alignment vertical="center"/>
    </xf>
    <xf numFmtId="3" fontId="158" fillId="9" borderId="44" xfId="0" applyNumberFormat="1" applyFont="1" applyFill="1" applyBorder="1" applyAlignment="1" applyProtection="1">
      <alignment horizontal="right" vertical="center" wrapText="1"/>
      <protection locked="0"/>
    </xf>
    <xf numFmtId="0" fontId="178" fillId="2" borderId="28" xfId="0" applyFont="1" applyFill="1" applyBorder="1" applyAlignment="1">
      <alignment vertical="center"/>
    </xf>
    <xf numFmtId="0" fontId="158" fillId="0" borderId="28" xfId="0" applyFont="1" applyFill="1" applyBorder="1" applyAlignment="1">
      <alignment horizontal="left" vertical="center" wrapText="1"/>
    </xf>
    <xf numFmtId="3" fontId="174" fillId="0" borderId="28" xfId="0" quotePrefix="1" applyNumberFormat="1" applyFont="1" applyFill="1" applyBorder="1" applyAlignment="1">
      <alignment horizontal="left" vertical="center"/>
    </xf>
    <xf numFmtId="0" fontId="174" fillId="2" borderId="28" xfId="0" applyFont="1" applyFill="1" applyBorder="1" applyAlignment="1">
      <alignment vertical="center"/>
    </xf>
    <xf numFmtId="0" fontId="158" fillId="2" borderId="28" xfId="0" applyFont="1" applyFill="1" applyBorder="1" applyAlignment="1">
      <alignment vertical="center"/>
    </xf>
    <xf numFmtId="3" fontId="158" fillId="0" borderId="29" xfId="0" quotePrefix="1" applyNumberFormat="1" applyFont="1" applyFill="1" applyBorder="1" applyAlignment="1">
      <alignment horizontal="left" vertical="center"/>
    </xf>
    <xf numFmtId="0" fontId="178" fillId="0" borderId="29" xfId="0" applyFont="1" applyFill="1" applyBorder="1" applyAlignment="1">
      <alignment vertical="center"/>
    </xf>
    <xf numFmtId="3" fontId="174" fillId="0" borderId="29" xfId="0" applyNumberFormat="1" applyFont="1" applyFill="1" applyBorder="1" applyAlignment="1">
      <alignment horizontal="right" vertical="center"/>
    </xf>
    <xf numFmtId="0" fontId="158" fillId="0" borderId="0" xfId="0" applyFont="1" applyFill="1" applyBorder="1" applyAlignment="1">
      <alignment horizontal="left" vertical="center" wrapText="1"/>
    </xf>
    <xf numFmtId="3" fontId="158" fillId="0" borderId="0" xfId="0" applyNumberFormat="1" applyFont="1" applyFill="1" applyBorder="1"/>
    <xf numFmtId="3" fontId="158" fillId="0" borderId="0" xfId="0" applyNumberFormat="1" applyFont="1" applyFill="1" applyBorder="1" applyAlignment="1">
      <alignment horizontal="left" vertical="top" wrapText="1"/>
    </xf>
    <xf numFmtId="3" fontId="158" fillId="0" borderId="0" xfId="0" applyNumberFormat="1" applyFont="1" applyFill="1" applyBorder="1" applyAlignment="1">
      <alignment horizontal="left" vertical="top"/>
    </xf>
    <xf numFmtId="0" fontId="174" fillId="0" borderId="0" xfId="0" applyFont="1" applyFill="1" applyBorder="1" applyAlignment="1">
      <alignment vertical="center"/>
    </xf>
    <xf numFmtId="3" fontId="174" fillId="0" borderId="0" xfId="0" applyNumberFormat="1" applyFont="1" applyFill="1" applyBorder="1" applyAlignment="1">
      <alignment horizontal="left" vertical="top" wrapText="1"/>
    </xf>
    <xf numFmtId="3" fontId="158" fillId="0" borderId="0" xfId="0" applyNumberFormat="1" applyFont="1" applyFill="1" applyBorder="1" applyAlignment="1">
      <alignment horizontal="left"/>
    </xf>
    <xf numFmtId="0" fontId="179" fillId="0" borderId="0" xfId="0" applyFont="1" applyFill="1" applyBorder="1" applyAlignment="1">
      <alignment vertical="center"/>
    </xf>
    <xf numFmtId="0" fontId="174" fillId="0" borderId="0" xfId="0" applyFont="1" applyFill="1" applyBorder="1" applyAlignment="1">
      <alignment horizontal="right" vertical="center"/>
    </xf>
    <xf numFmtId="0" fontId="174" fillId="0" borderId="0" xfId="0" quotePrefix="1" applyFont="1" applyFill="1" applyBorder="1" applyAlignment="1">
      <alignment vertical="center"/>
    </xf>
    <xf numFmtId="0" fontId="0" fillId="0" borderId="0" xfId="0"/>
    <xf numFmtId="0" fontId="180" fillId="0" borderId="0" xfId="0" applyFont="1" applyAlignment="1">
      <alignment wrapText="1"/>
    </xf>
    <xf numFmtId="0" fontId="180" fillId="0" borderId="0" xfId="0" applyFont="1"/>
    <xf numFmtId="0" fontId="180" fillId="0" borderId="0" xfId="0" applyFont="1" applyAlignment="1">
      <alignment horizontal="left" wrapText="1"/>
    </xf>
    <xf numFmtId="0" fontId="180" fillId="0" borderId="0" xfId="0" applyFont="1" applyAlignment="1">
      <alignment vertical="top" wrapText="1"/>
    </xf>
    <xf numFmtId="0" fontId="180" fillId="0" borderId="0" xfId="0" applyFont="1" applyAlignment="1">
      <alignment horizontal="left" vertical="top" wrapText="1"/>
    </xf>
    <xf numFmtId="0" fontId="180" fillId="0" borderId="65" xfId="0" applyFont="1" applyBorder="1" applyAlignment="1">
      <alignment vertical="top" wrapText="1"/>
    </xf>
    <xf numFmtId="0" fontId="180" fillId="0" borderId="65" xfId="0" applyFont="1" applyBorder="1" applyAlignment="1">
      <alignment horizontal="left" vertical="top" wrapText="1"/>
    </xf>
    <xf numFmtId="0" fontId="180" fillId="0" borderId="0" xfId="0" applyFont="1" applyBorder="1"/>
    <xf numFmtId="0" fontId="181" fillId="0" borderId="0" xfId="0" applyFont="1" applyBorder="1" applyAlignment="1">
      <alignment horizontal="center"/>
    </xf>
    <xf numFmtId="0" fontId="181" fillId="0" borderId="0" xfId="0" applyFont="1" applyFill="1" applyBorder="1" applyAlignment="1">
      <alignment horizontal="center"/>
    </xf>
    <xf numFmtId="3" fontId="183" fillId="0" borderId="0" xfId="0" applyNumberFormat="1" applyFont="1" applyFill="1" applyBorder="1" applyAlignment="1">
      <alignment vertical="center"/>
    </xf>
    <xf numFmtId="3" fontId="181" fillId="0" borderId="0" xfId="0" applyNumberFormat="1" applyFont="1" applyFill="1" applyBorder="1" applyAlignment="1">
      <alignment horizontal="right" vertical="center" wrapText="1"/>
    </xf>
    <xf numFmtId="174" fontId="184" fillId="0" borderId="0" xfId="0" quotePrefix="1" applyNumberFormat="1" applyFont="1" applyFill="1" applyBorder="1" applyAlignment="1">
      <alignment horizontal="center" vertical="center"/>
    </xf>
    <xf numFmtId="3" fontId="180" fillId="0" borderId="0" xfId="0" quotePrefix="1" applyNumberFormat="1" applyFont="1" applyFill="1" applyBorder="1" applyAlignment="1">
      <alignment horizontal="right" vertical="center" wrapText="1"/>
    </xf>
    <xf numFmtId="3" fontId="180" fillId="0" borderId="0" xfId="0" applyNumberFormat="1" applyFont="1" applyFill="1" applyBorder="1" applyAlignment="1" applyProtection="1">
      <alignment horizontal="right" vertical="center" wrapText="1"/>
      <protection locked="0"/>
    </xf>
    <xf numFmtId="3" fontId="180" fillId="0" borderId="28" xfId="0" applyNumberFormat="1" applyFont="1" applyFill="1" applyBorder="1" applyAlignment="1">
      <alignment horizontal="left" vertical="top" wrapText="1"/>
    </xf>
    <xf numFmtId="3" fontId="180" fillId="9" borderId="28" xfId="0" applyNumberFormat="1" applyFont="1" applyFill="1" applyBorder="1" applyAlignment="1" applyProtection="1">
      <alignment horizontal="right" vertical="center" wrapText="1"/>
      <protection locked="0"/>
    </xf>
    <xf numFmtId="3" fontId="183" fillId="11" borderId="28" xfId="0" applyNumberFormat="1" applyFont="1" applyFill="1" applyBorder="1" applyAlignment="1" applyProtection="1">
      <alignment horizontal="right" vertical="center" wrapText="1"/>
      <protection locked="0"/>
    </xf>
    <xf numFmtId="3" fontId="180" fillId="0" borderId="28" xfId="0" quotePrefix="1" applyNumberFormat="1" applyFont="1" applyFill="1" applyBorder="1" applyAlignment="1">
      <alignment horizontal="right" vertical="center" wrapText="1"/>
    </xf>
    <xf numFmtId="3" fontId="183" fillId="9" borderId="28" xfId="0" applyNumberFormat="1" applyFont="1" applyFill="1" applyBorder="1" applyAlignment="1" applyProtection="1">
      <alignment horizontal="right" vertical="center" wrapText="1"/>
      <protection locked="0"/>
    </xf>
    <xf numFmtId="3" fontId="180" fillId="0" borderId="0" xfId="0" applyNumberFormat="1" applyFont="1" applyFill="1" applyBorder="1"/>
    <xf numFmtId="3" fontId="180" fillId="0" borderId="0" xfId="0" applyNumberFormat="1" applyFont="1" applyFill="1" applyBorder="1" applyAlignment="1">
      <alignment horizontal="left" vertical="top" wrapText="1"/>
    </xf>
    <xf numFmtId="3" fontId="180" fillId="0" borderId="0" xfId="0" applyNumberFormat="1" applyFont="1" applyFill="1" applyBorder="1" applyAlignment="1">
      <alignment horizontal="left" vertical="top" wrapText="1"/>
    </xf>
    <xf numFmtId="3" fontId="178" fillId="0" borderId="0" xfId="0" applyNumberFormat="1" applyFont="1" applyFill="1" applyBorder="1"/>
    <xf numFmtId="3" fontId="183" fillId="0" borderId="30" xfId="0" applyNumberFormat="1" applyFont="1" applyFill="1" applyBorder="1" applyAlignment="1">
      <alignment vertical="center"/>
    </xf>
    <xf numFmtId="3" fontId="181" fillId="0" borderId="28" xfId="0" applyNumberFormat="1" applyFont="1" applyFill="1" applyBorder="1" applyAlignment="1">
      <alignment horizontal="right" vertical="center" wrapText="1"/>
    </xf>
    <xf numFmtId="3" fontId="181" fillId="0" borderId="0" xfId="0" applyNumberFormat="1" applyFont="1" applyFill="1" applyBorder="1" applyAlignment="1">
      <alignment horizontal="right" vertical="center" wrapText="1"/>
    </xf>
    <xf numFmtId="3" fontId="180" fillId="0" borderId="28" xfId="0" applyNumberFormat="1" applyFont="1" applyFill="1" applyBorder="1" applyAlignment="1">
      <alignment horizontal="left" wrapText="1"/>
    </xf>
    <xf numFmtId="0" fontId="180" fillId="0" borderId="27" xfId="0" applyFont="1" applyBorder="1"/>
    <xf numFmtId="3" fontId="181" fillId="0" borderId="28" xfId="0" applyNumberFormat="1" applyFont="1" applyFill="1" applyBorder="1" applyAlignment="1">
      <alignment horizontal="right" vertical="center" wrapText="1"/>
    </xf>
    <xf numFmtId="3" fontId="180" fillId="12" borderId="28" xfId="0" applyNumberFormat="1" applyFont="1" applyFill="1" applyBorder="1" applyAlignment="1" applyProtection="1">
      <alignment horizontal="right" vertical="center" wrapText="1"/>
      <protection locked="0"/>
    </xf>
    <xf numFmtId="3" fontId="180" fillId="9" borderId="28" xfId="0" quotePrefix="1" applyNumberFormat="1" applyFont="1" applyFill="1" applyBorder="1" applyAlignment="1">
      <alignment horizontal="right" vertical="center" wrapText="1"/>
    </xf>
    <xf numFmtId="0" fontId="180" fillId="0" borderId="0" xfId="0" applyFont="1" applyAlignment="1">
      <alignment vertical="top"/>
    </xf>
    <xf numFmtId="0" fontId="181" fillId="0" borderId="0" xfId="0" applyFont="1" applyFill="1" applyAlignment="1">
      <alignment vertical="top"/>
    </xf>
    <xf numFmtId="0" fontId="180" fillId="0" borderId="0" xfId="0" applyFont="1" applyFill="1" applyAlignment="1">
      <alignment vertical="top" wrapText="1"/>
    </xf>
    <xf numFmtId="0" fontId="180" fillId="0" borderId="0" xfId="0" applyFont="1" applyFill="1" applyAlignment="1">
      <alignment horizontal="left" vertical="top" wrapText="1"/>
    </xf>
    <xf numFmtId="0" fontId="180" fillId="0" borderId="0" xfId="0" applyFont="1" applyFill="1" applyAlignment="1">
      <alignment vertical="top"/>
    </xf>
    <xf numFmtId="0" fontId="158" fillId="0" borderId="0" xfId="0" applyFont="1" applyFill="1" applyAlignment="1">
      <alignment horizontal="center" vertical="center"/>
    </xf>
    <xf numFmtId="0" fontId="158" fillId="0" borderId="0" xfId="0" applyFont="1" applyFill="1" applyBorder="1" applyAlignment="1">
      <alignment horizontal="right" vertical="center"/>
    </xf>
    <xf numFmtId="3" fontId="158" fillId="0" borderId="0" xfId="0" applyNumberFormat="1" applyFont="1" applyFill="1" applyBorder="1" applyAlignment="1">
      <alignment horizontal="center" vertical="top" wrapText="1"/>
    </xf>
    <xf numFmtId="3" fontId="173" fillId="0" borderId="0" xfId="0" applyNumberFormat="1" applyFont="1" applyFill="1" applyBorder="1" applyAlignment="1">
      <alignment vertical="top" wrapText="1"/>
    </xf>
    <xf numFmtId="0" fontId="173" fillId="0" borderId="0" xfId="0" applyFont="1" applyFill="1" applyBorder="1" applyAlignment="1">
      <alignment vertical="top" wrapText="1"/>
    </xf>
    <xf numFmtId="0" fontId="174" fillId="2" borderId="13" xfId="0" applyFont="1" applyFill="1" applyBorder="1" applyAlignment="1">
      <alignment horizontal="left" vertical="center"/>
    </xf>
    <xf numFmtId="0" fontId="174" fillId="2" borderId="2" xfId="0" applyFont="1" applyFill="1" applyBorder="1" applyAlignment="1">
      <alignment horizontal="center" vertical="center"/>
    </xf>
    <xf numFmtId="0" fontId="158" fillId="2" borderId="2" xfId="0" applyFont="1" applyFill="1" applyBorder="1" applyAlignment="1">
      <alignment horizontal="left" vertical="center"/>
    </xf>
    <xf numFmtId="0" fontId="178" fillId="2" borderId="2" xfId="0" applyFont="1" applyFill="1" applyBorder="1" applyAlignment="1">
      <alignment horizontal="center" vertical="center" wrapText="1"/>
    </xf>
    <xf numFmtId="3" fontId="158" fillId="0" borderId="28" xfId="0" applyNumberFormat="1" applyFont="1" applyFill="1" applyBorder="1" applyAlignment="1">
      <alignment horizontal="center" vertical="center"/>
    </xf>
    <xf numFmtId="3" fontId="158" fillId="0" borderId="28" xfId="0" applyNumberFormat="1" applyFont="1" applyFill="1" applyBorder="1" applyAlignment="1">
      <alignment vertical="center"/>
    </xf>
    <xf numFmtId="3" fontId="158" fillId="0" borderId="55" xfId="0" applyNumberFormat="1" applyFont="1" applyFill="1" applyBorder="1" applyAlignment="1">
      <alignment horizontal="right" vertical="center"/>
    </xf>
    <xf numFmtId="174" fontId="158" fillId="0" borderId="28" xfId="0" applyNumberFormat="1" applyFont="1" applyFill="1" applyBorder="1" applyAlignment="1">
      <alignment horizontal="center" vertical="center"/>
    </xf>
    <xf numFmtId="3" fontId="158" fillId="9" borderId="40"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horizontal="center" vertical="center"/>
    </xf>
    <xf numFmtId="3" fontId="158" fillId="2" borderId="28" xfId="0" applyNumberFormat="1" applyFont="1" applyFill="1" applyBorder="1" applyAlignment="1">
      <alignment vertical="center"/>
    </xf>
    <xf numFmtId="3" fontId="158" fillId="0" borderId="28" xfId="0" quotePrefix="1" applyNumberFormat="1" applyFont="1" applyFill="1" applyBorder="1" applyAlignment="1">
      <alignment horizontal="center" vertical="center"/>
    </xf>
    <xf numFmtId="3" fontId="158" fillId="2" borderId="28" xfId="0" quotePrefix="1" applyNumberFormat="1" applyFont="1" applyFill="1" applyBorder="1" applyAlignment="1">
      <alignment horizontal="center" vertical="center"/>
    </xf>
    <xf numFmtId="0" fontId="158" fillId="0" borderId="28" xfId="0" applyFont="1" applyFill="1" applyBorder="1" applyAlignment="1">
      <alignment horizontal="center" vertical="center"/>
    </xf>
    <xf numFmtId="3" fontId="158" fillId="0" borderId="23" xfId="0" applyNumberFormat="1" applyFont="1" applyFill="1" applyBorder="1" applyAlignment="1" applyProtection="1">
      <alignment horizontal="right" vertical="center" wrapText="1"/>
      <protection locked="0"/>
    </xf>
    <xf numFmtId="0" fontId="158" fillId="2" borderId="28" xfId="0" applyFont="1" applyFill="1" applyBorder="1" applyAlignment="1">
      <alignment horizontal="center" vertical="center"/>
    </xf>
    <xf numFmtId="3" fontId="158" fillId="0" borderId="28" xfId="0" applyNumberFormat="1" applyFont="1" applyFill="1" applyBorder="1" applyAlignment="1" applyProtection="1">
      <alignment horizontal="right" vertical="center" wrapText="1"/>
      <protection locked="0"/>
    </xf>
    <xf numFmtId="3" fontId="158" fillId="9" borderId="13" xfId="0" applyNumberFormat="1" applyFont="1" applyFill="1" applyBorder="1" applyAlignment="1" applyProtection="1">
      <alignment horizontal="right" vertical="center" wrapText="1"/>
      <protection locked="0"/>
    </xf>
    <xf numFmtId="3" fontId="158" fillId="9" borderId="28" xfId="0" applyNumberFormat="1" applyFont="1" applyFill="1" applyBorder="1" applyAlignment="1" applyProtection="1">
      <alignment horizontal="right" vertical="center" wrapText="1"/>
      <protection locked="0"/>
    </xf>
    <xf numFmtId="3" fontId="158" fillId="9" borderId="55" xfId="0" applyNumberFormat="1" applyFont="1" applyFill="1" applyBorder="1" applyAlignment="1" applyProtection="1">
      <alignment horizontal="right" vertical="center" wrapText="1"/>
      <protection locked="0"/>
    </xf>
    <xf numFmtId="3" fontId="158" fillId="9" borderId="0" xfId="0" applyNumberFormat="1" applyFont="1" applyFill="1" applyBorder="1" applyAlignment="1" applyProtection="1">
      <alignment horizontal="right" vertical="center" wrapText="1"/>
      <protection locked="0"/>
    </xf>
    <xf numFmtId="3" fontId="158" fillId="2" borderId="28" xfId="0" applyNumberFormat="1" applyFont="1" applyFill="1" applyBorder="1" applyAlignment="1">
      <alignment horizontal="right"/>
    </xf>
    <xf numFmtId="3" fontId="158" fillId="0" borderId="29" xfId="0" applyNumberFormat="1" applyFont="1" applyFill="1" applyBorder="1" applyAlignment="1">
      <alignment horizontal="left" vertical="center"/>
    </xf>
    <xf numFmtId="3" fontId="158" fillId="0" borderId="29" xfId="0" quotePrefix="1" applyNumberFormat="1" applyFont="1" applyFill="1" applyBorder="1" applyAlignment="1">
      <alignment horizontal="center" vertical="center"/>
    </xf>
    <xf numFmtId="3" fontId="158" fillId="0" borderId="29" xfId="0" applyNumberFormat="1" applyFont="1" applyFill="1" applyBorder="1" applyAlignment="1">
      <alignment horizontal="right" vertical="center"/>
    </xf>
    <xf numFmtId="3" fontId="158" fillId="0" borderId="29" xfId="0" applyNumberFormat="1" applyFont="1" applyFill="1" applyBorder="1" applyAlignment="1">
      <alignment vertical="center"/>
    </xf>
    <xf numFmtId="3" fontId="158" fillId="0" borderId="0" xfId="0" applyNumberFormat="1" applyFont="1" applyFill="1" applyBorder="1" applyAlignment="1">
      <alignment horizontal="center" vertical="center"/>
    </xf>
    <xf numFmtId="3" fontId="158" fillId="0" borderId="0" xfId="0" applyNumberFormat="1" applyFont="1" applyFill="1" applyBorder="1" applyAlignment="1">
      <alignment vertical="center"/>
    </xf>
    <xf numFmtId="3" fontId="158" fillId="0" borderId="0" xfId="0" applyNumberFormat="1" applyFont="1" applyFill="1" applyBorder="1" applyAlignment="1">
      <alignment horizontal="left" vertical="center" wrapText="1"/>
    </xf>
    <xf numFmtId="3" fontId="175" fillId="0" borderId="0" xfId="0" quotePrefix="1" applyNumberFormat="1" applyFont="1" applyFill="1" applyBorder="1" applyAlignment="1">
      <alignment horizontal="left" vertical="center"/>
    </xf>
    <xf numFmtId="3" fontId="158" fillId="0" borderId="0" xfId="0" applyNumberFormat="1" applyFont="1" applyFill="1" applyBorder="1" applyAlignment="1">
      <alignment horizontal="left" vertical="center"/>
    </xf>
    <xf numFmtId="3" fontId="175" fillId="0" borderId="0" xfId="0" applyNumberFormat="1" applyFont="1" applyFill="1" applyBorder="1"/>
    <xf numFmtId="3" fontId="175" fillId="0" borderId="0" xfId="0" applyNumberFormat="1" applyFont="1" applyFill="1" applyBorder="1" applyAlignment="1">
      <alignment vertical="center"/>
    </xf>
    <xf numFmtId="3" fontId="174" fillId="0" borderId="0" xfId="0" applyNumberFormat="1" applyFont="1" applyFill="1" applyBorder="1" applyAlignment="1">
      <alignment horizontal="left" vertical="center" wrapText="1"/>
    </xf>
    <xf numFmtId="3" fontId="175" fillId="0" borderId="0" xfId="0" applyNumberFormat="1" applyFont="1" applyFill="1" applyBorder="1" applyAlignment="1">
      <alignment horizontal="left" vertical="top" wrapText="1"/>
    </xf>
    <xf numFmtId="3" fontId="175" fillId="0" borderId="0" xfId="0" applyNumberFormat="1" applyFont="1" applyFill="1" applyBorder="1" applyAlignment="1" applyProtection="1">
      <alignment horizontal="right" vertical="center" wrapText="1"/>
      <protection locked="0"/>
    </xf>
    <xf numFmtId="3" fontId="175" fillId="0" borderId="0" xfId="0" applyNumberFormat="1" applyFont="1" applyFill="1" applyBorder="1" applyAlignment="1">
      <alignment horizontal="left" vertical="top"/>
    </xf>
    <xf numFmtId="0" fontId="158" fillId="2" borderId="2" xfId="0" applyFont="1" applyFill="1" applyBorder="1" applyAlignment="1">
      <alignment vertical="top" wrapText="1"/>
    </xf>
    <xf numFmtId="3" fontId="158" fillId="2" borderId="2" xfId="0" applyNumberFormat="1" applyFont="1" applyFill="1" applyBorder="1" applyAlignment="1">
      <alignment vertical="top" wrapText="1"/>
    </xf>
    <xf numFmtId="3" fontId="158" fillId="2" borderId="2" xfId="0" quotePrefix="1" applyNumberFormat="1" applyFont="1" applyFill="1" applyBorder="1" applyAlignment="1">
      <alignment vertical="top" wrapText="1"/>
    </xf>
    <xf numFmtId="0" fontId="136" fillId="0" borderId="28" xfId="0" applyFont="1" applyBorder="1" applyAlignment="1">
      <alignment horizontal="left" vertical="center" wrapText="1"/>
    </xf>
    <xf numFmtId="0" fontId="158" fillId="2" borderId="14" xfId="0" applyFont="1" applyFill="1" applyBorder="1" applyAlignment="1">
      <alignment horizontal="center" vertical="center"/>
    </xf>
    <xf numFmtId="169" fontId="148" fillId="9" borderId="41" xfId="4" applyNumberFormat="1" applyFont="1" applyFill="1" applyBorder="1" applyAlignment="1">
      <alignment horizontal="right"/>
    </xf>
    <xf numFmtId="169" fontId="148" fillId="9" borderId="2" xfId="4" applyNumberFormat="1" applyFont="1" applyFill="1" applyBorder="1" applyAlignment="1">
      <alignment horizontal="right"/>
    </xf>
    <xf numFmtId="0" fontId="148" fillId="0" borderId="0" xfId="0" applyFont="1" applyFill="1" applyBorder="1" applyAlignment="1">
      <alignment vertical="center"/>
    </xf>
    <xf numFmtId="0" fontId="148" fillId="2" borderId="1" xfId="0" applyFont="1" applyFill="1" applyBorder="1" applyAlignment="1">
      <alignment horizontal="left" vertical="top" wrapText="1"/>
    </xf>
    <xf numFmtId="0" fontId="148" fillId="0" borderId="0" xfId="0" applyFont="1" applyFill="1" applyBorder="1" applyAlignment="1">
      <alignment vertical="center"/>
    </xf>
    <xf numFmtId="0" fontId="132" fillId="0" borderId="0" xfId="0" applyFont="1"/>
    <xf numFmtId="0" fontId="148" fillId="0" borderId="40" xfId="0" applyFont="1" applyFill="1" applyBorder="1" applyAlignment="1">
      <alignment vertical="center"/>
    </xf>
    <xf numFmtId="0" fontId="148" fillId="0" borderId="28" xfId="0" applyFont="1" applyFill="1" applyBorder="1" applyAlignment="1">
      <alignment vertical="center"/>
    </xf>
    <xf numFmtId="0" fontId="147" fillId="2" borderId="3" xfId="0" applyFont="1" applyFill="1" applyBorder="1" applyAlignment="1">
      <alignment vertical="top" wrapText="1"/>
    </xf>
    <xf numFmtId="0" fontId="132" fillId="2" borderId="1" xfId="0" applyFont="1" applyFill="1" applyBorder="1" applyAlignment="1">
      <alignment horizontal="left" vertical="top" wrapText="1"/>
    </xf>
    <xf numFmtId="0" fontId="132" fillId="2" borderId="12" xfId="0" applyFont="1" applyFill="1" applyBorder="1" applyAlignment="1">
      <alignment vertical="center"/>
    </xf>
    <xf numFmtId="0" fontId="148" fillId="2" borderId="0" xfId="0" applyFont="1" applyFill="1" applyAlignment="1">
      <alignment vertical="center"/>
    </xf>
    <xf numFmtId="0" fontId="148" fillId="9" borderId="10" xfId="0" applyFont="1" applyFill="1" applyBorder="1" applyAlignment="1">
      <alignment horizontal="right" vertical="center"/>
    </xf>
    <xf numFmtId="0" fontId="148" fillId="2" borderId="3" xfId="0" applyFont="1" applyFill="1" applyBorder="1" applyAlignment="1">
      <alignment horizontal="left" vertical="top" wrapText="1"/>
    </xf>
    <xf numFmtId="0" fontId="132" fillId="2" borderId="3" xfId="0" applyFont="1" applyFill="1" applyBorder="1" applyAlignment="1">
      <alignment horizontal="left" vertical="top" wrapText="1"/>
    </xf>
    <xf numFmtId="10" fontId="132" fillId="0" borderId="28" xfId="1" applyNumberFormat="1" applyFont="1" applyBorder="1" applyAlignment="1">
      <alignment horizontal="center" vertical="center"/>
    </xf>
    <xf numFmtId="10" fontId="132" fillId="0" borderId="55" xfId="1" applyNumberFormat="1" applyFont="1" applyBorder="1" applyAlignment="1">
      <alignment horizontal="center" vertical="center"/>
    </xf>
    <xf numFmtId="9" fontId="0" fillId="0" borderId="0" xfId="1" applyFont="1"/>
    <xf numFmtId="9" fontId="153" fillId="2" borderId="4" xfId="1" applyFont="1" applyFill="1" applyBorder="1" applyAlignment="1">
      <alignment horizontal="left" vertical="top" wrapText="1"/>
    </xf>
    <xf numFmtId="9" fontId="158" fillId="0" borderId="23" xfId="1" applyFont="1" applyFill="1" applyBorder="1" applyAlignment="1">
      <alignment horizontal="right" wrapText="1"/>
    </xf>
    <xf numFmtId="9" fontId="158" fillId="0" borderId="28" xfId="1" applyFont="1" applyFill="1" applyBorder="1" applyAlignment="1">
      <alignment horizontal="right" wrapText="1"/>
    </xf>
    <xf numFmtId="9" fontId="158" fillId="0" borderId="28" xfId="1" applyFont="1" applyFill="1" applyBorder="1" applyAlignment="1"/>
    <xf numFmtId="9" fontId="158" fillId="0" borderId="30" xfId="1" applyFont="1" applyFill="1" applyBorder="1" applyAlignment="1"/>
    <xf numFmtId="9" fontId="158" fillId="0" borderId="23" xfId="1" applyFont="1" applyFill="1" applyBorder="1" applyAlignment="1"/>
    <xf numFmtId="9" fontId="148" fillId="0" borderId="0" xfId="1" applyFont="1"/>
    <xf numFmtId="0" fontId="148" fillId="0" borderId="0" xfId="0" applyFont="1" applyFill="1" applyBorder="1" applyAlignment="1">
      <alignment horizontal="center" vertical="top"/>
    </xf>
    <xf numFmtId="0" fontId="148" fillId="0" borderId="9" xfId="0" applyFont="1" applyFill="1" applyBorder="1" applyAlignment="1">
      <alignment horizontal="center" vertical="top" wrapText="1"/>
    </xf>
    <xf numFmtId="0" fontId="148" fillId="0" borderId="1" xfId="0" applyFont="1" applyFill="1" applyBorder="1" applyAlignment="1">
      <alignment horizontal="center" vertical="top" wrapText="1"/>
    </xf>
    <xf numFmtId="0" fontId="148" fillId="0" borderId="31" xfId="0" applyFont="1" applyBorder="1"/>
    <xf numFmtId="0" fontId="148" fillId="0" borderId="2" xfId="0" applyFont="1" applyFill="1" applyBorder="1"/>
    <xf numFmtId="0" fontId="135" fillId="0" borderId="3" xfId="0" applyFont="1" applyFill="1" applyBorder="1"/>
    <xf numFmtId="0" fontId="148" fillId="0" borderId="27" xfId="0" applyFont="1" applyBorder="1"/>
    <xf numFmtId="169" fontId="148" fillId="0" borderId="27" xfId="4" applyNumberFormat="1" applyFont="1" applyBorder="1"/>
    <xf numFmtId="0" fontId="148" fillId="0" borderId="11" xfId="0" applyFont="1" applyBorder="1"/>
    <xf numFmtId="0" fontId="148" fillId="0" borderId="3" xfId="0" applyFont="1" applyBorder="1"/>
    <xf numFmtId="169" fontId="148" fillId="0" borderId="5" xfId="4" applyNumberFormat="1" applyFont="1" applyBorder="1"/>
    <xf numFmtId="11" fontId="148" fillId="0" borderId="41" xfId="0" applyNumberFormat="1" applyFont="1" applyBorder="1"/>
    <xf numFmtId="0" fontId="148" fillId="0" borderId="5" xfId="0" applyFont="1" applyFill="1" applyBorder="1"/>
    <xf numFmtId="0" fontId="148" fillId="0" borderId="14" xfId="0" applyFont="1" applyFill="1" applyBorder="1"/>
    <xf numFmtId="0" fontId="148" fillId="0" borderId="11" xfId="0" applyFont="1" applyFill="1" applyBorder="1"/>
    <xf numFmtId="11" fontId="148" fillId="0" borderId="11" xfId="0" applyNumberFormat="1" applyFont="1" applyFill="1" applyBorder="1"/>
    <xf numFmtId="10" fontId="148" fillId="0" borderId="41" xfId="1" applyNumberFormat="1" applyFont="1" applyBorder="1"/>
    <xf numFmtId="0" fontId="148" fillId="2" borderId="1" xfId="0" applyFont="1" applyFill="1" applyBorder="1" applyAlignment="1">
      <alignment horizontal="left" vertical="center"/>
    </xf>
    <xf numFmtId="0" fontId="132" fillId="2" borderId="1" xfId="0" applyFont="1" applyFill="1" applyBorder="1" applyAlignment="1">
      <alignment horizontal="left" vertical="center" wrapText="1"/>
    </xf>
    <xf numFmtId="0" fontId="132" fillId="0" borderId="3" xfId="0" applyFont="1" applyFill="1" applyBorder="1"/>
    <xf numFmtId="10" fontId="132" fillId="0" borderId="3" xfId="1" applyNumberFormat="1" applyFont="1" applyFill="1" applyBorder="1"/>
    <xf numFmtId="0" fontId="132" fillId="0" borderId="0" xfId="0" applyFont="1" applyFill="1" applyBorder="1"/>
    <xf numFmtId="0" fontId="132" fillId="0" borderId="27" xfId="0" applyFont="1" applyFill="1" applyBorder="1"/>
    <xf numFmtId="0" fontId="0" fillId="0" borderId="0" xfId="0" applyFill="1" applyAlignment="1">
      <alignment vertical="center"/>
    </xf>
    <xf numFmtId="0" fontId="132" fillId="2" borderId="14" xfId="0" applyFont="1" applyFill="1" applyBorder="1" applyAlignment="1">
      <alignment horizontal="right" vertical="center" wrapText="1"/>
    </xf>
    <xf numFmtId="165" fontId="148" fillId="0" borderId="3" xfId="0" applyNumberFormat="1" applyFont="1" applyBorder="1"/>
    <xf numFmtId="0" fontId="148" fillId="0" borderId="39" xfId="0" applyFont="1" applyBorder="1"/>
    <xf numFmtId="165" fontId="148" fillId="0" borderId="33" xfId="0" applyNumberFormat="1" applyFont="1" applyBorder="1"/>
    <xf numFmtId="0" fontId="148" fillId="0" borderId="2" xfId="0" applyFont="1" applyBorder="1"/>
    <xf numFmtId="0" fontId="148" fillId="0" borderId="25" xfId="0" applyFont="1" applyBorder="1" applyAlignment="1">
      <alignment vertical="center"/>
    </xf>
    <xf numFmtId="0" fontId="148" fillId="0" borderId="26" xfId="0" applyFont="1" applyBorder="1" applyAlignment="1">
      <alignment vertical="center"/>
    </xf>
    <xf numFmtId="0" fontId="148" fillId="2" borderId="1" xfId="0" applyFont="1" applyFill="1" applyBorder="1" applyAlignment="1">
      <alignment vertical="center"/>
    </xf>
    <xf numFmtId="0" fontId="148" fillId="0" borderId="0" xfId="0" applyFont="1" applyAlignment="1">
      <alignment horizontal="left" vertical="center"/>
    </xf>
    <xf numFmtId="0" fontId="0" fillId="0" borderId="0" xfId="0" applyAlignment="1">
      <alignment horizontal="left" vertical="center"/>
    </xf>
    <xf numFmtId="0" fontId="148" fillId="0" borderId="41" xfId="0" applyFont="1" applyBorder="1" applyAlignment="1">
      <alignment wrapText="1"/>
    </xf>
    <xf numFmtId="0" fontId="148" fillId="0" borderId="0" xfId="0" applyFont="1" applyBorder="1" applyAlignment="1">
      <alignment wrapText="1"/>
    </xf>
    <xf numFmtId="169" fontId="148" fillId="0" borderId="0" xfId="4" applyNumberFormat="1" applyFont="1" applyFill="1" applyBorder="1" applyAlignment="1">
      <alignment horizontal="right"/>
    </xf>
    <xf numFmtId="0" fontId="131" fillId="2" borderId="1" xfId="0" applyFont="1" applyFill="1" applyBorder="1" applyAlignment="1">
      <alignment vertical="center" wrapText="1"/>
    </xf>
    <xf numFmtId="0" fontId="148" fillId="2" borderId="10" xfId="0" applyFont="1" applyFill="1" applyBorder="1" applyAlignment="1">
      <alignment horizontal="right" vertical="center" wrapText="1"/>
    </xf>
    <xf numFmtId="0" fontId="131" fillId="2" borderId="1" xfId="0" applyFont="1" applyFill="1" applyBorder="1" applyAlignment="1">
      <alignment vertical="center"/>
    </xf>
    <xf numFmtId="0" fontId="148" fillId="2" borderId="10" xfId="0" applyFont="1" applyFill="1" applyBorder="1" applyAlignment="1">
      <alignment horizontal="right" vertical="center"/>
    </xf>
    <xf numFmtId="0" fontId="171" fillId="0" borderId="45" xfId="0" applyFont="1" applyFill="1" applyBorder="1" applyAlignment="1">
      <alignment vertical="center"/>
    </xf>
    <xf numFmtId="0" fontId="131" fillId="0" borderId="0" xfId="0" applyFont="1" applyFill="1" applyBorder="1"/>
    <xf numFmtId="0" fontId="131" fillId="0" borderId="27" xfId="0" applyFont="1" applyFill="1" applyBorder="1"/>
    <xf numFmtId="0" fontId="130" fillId="0" borderId="26" xfId="0" applyFont="1" applyBorder="1"/>
    <xf numFmtId="0" fontId="130" fillId="0" borderId="38" xfId="0" applyFont="1" applyBorder="1"/>
    <xf numFmtId="0" fontId="130" fillId="0" borderId="59" xfId="0" applyFont="1" applyBorder="1"/>
    <xf numFmtId="0" fontId="148" fillId="2" borderId="1" xfId="0" applyFont="1" applyFill="1" applyBorder="1" applyAlignment="1">
      <alignment horizontal="left" vertical="top" wrapText="1"/>
    </xf>
    <xf numFmtId="0" fontId="129" fillId="0" borderId="28" xfId="0" applyFont="1" applyBorder="1" applyAlignment="1">
      <alignment vertical="top"/>
    </xf>
    <xf numFmtId="0" fontId="148" fillId="0" borderId="28" xfId="0" applyFont="1" applyBorder="1" applyAlignment="1">
      <alignment vertical="top"/>
    </xf>
    <xf numFmtId="0" fontId="135" fillId="0" borderId="28" xfId="0" applyFont="1" applyBorder="1" applyAlignment="1">
      <alignment vertical="top"/>
    </xf>
    <xf numFmtId="0" fontId="163" fillId="0" borderId="0" xfId="0" applyFont="1" applyAlignment="1">
      <alignment vertical="top"/>
    </xf>
    <xf numFmtId="0" fontId="0" fillId="0" borderId="0" xfId="0" applyAlignment="1">
      <alignment vertical="top"/>
    </xf>
    <xf numFmtId="0" fontId="148" fillId="0" borderId="0" xfId="0" applyFont="1" applyAlignment="1">
      <alignment vertical="top"/>
    </xf>
    <xf numFmtId="0" fontId="150" fillId="0" borderId="0" xfId="0" applyFont="1" applyAlignment="1">
      <alignment vertical="top"/>
    </xf>
    <xf numFmtId="0" fontId="153" fillId="0" borderId="0" xfId="0" applyFont="1" applyAlignment="1">
      <alignment vertical="top"/>
    </xf>
    <xf numFmtId="0" fontId="153" fillId="0" borderId="0" xfId="0" applyFont="1" applyAlignment="1">
      <alignment horizontal="left" vertical="top"/>
    </xf>
    <xf numFmtId="0" fontId="148" fillId="0" borderId="3" xfId="0" applyFont="1" applyFill="1" applyBorder="1" applyAlignment="1">
      <alignment vertical="top"/>
    </xf>
    <xf numFmtId="0" fontId="153" fillId="2" borderId="3" xfId="0" applyFont="1" applyFill="1" applyBorder="1" applyAlignment="1">
      <alignment vertical="top"/>
    </xf>
    <xf numFmtId="0" fontId="156" fillId="2" borderId="3" xfId="0" applyFont="1" applyFill="1" applyBorder="1" applyAlignment="1">
      <alignment vertical="top"/>
    </xf>
    <xf numFmtId="0" fontId="138" fillId="0" borderId="28" xfId="0" applyFont="1" applyBorder="1" applyAlignment="1">
      <alignment vertical="top"/>
    </xf>
    <xf numFmtId="0" fontId="158" fillId="0" borderId="28" xfId="0" applyFont="1" applyBorder="1" applyAlignment="1">
      <alignment vertical="top"/>
    </xf>
    <xf numFmtId="0" fontId="137" fillId="0" borderId="28" xfId="0" applyFont="1" applyBorder="1" applyAlignment="1">
      <alignment vertical="top"/>
    </xf>
    <xf numFmtId="0" fontId="132" fillId="0" borderId="28" xfId="0" applyFont="1" applyBorder="1" applyAlignment="1">
      <alignment vertical="top"/>
    </xf>
    <xf numFmtId="0" fontId="148" fillId="0" borderId="0" xfId="0" applyFont="1" applyBorder="1" applyAlignment="1">
      <alignment vertical="top"/>
    </xf>
    <xf numFmtId="0" fontId="135" fillId="0" borderId="0" xfId="0" applyFont="1" applyBorder="1" applyAlignment="1">
      <alignment vertical="top"/>
    </xf>
    <xf numFmtId="0" fontId="137" fillId="0" borderId="0" xfId="0" applyFont="1" applyBorder="1" applyAlignment="1">
      <alignment vertical="top"/>
    </xf>
    <xf numFmtId="0" fontId="131" fillId="0" borderId="28" xfId="0" applyFont="1" applyBorder="1" applyAlignment="1">
      <alignment vertical="top"/>
    </xf>
    <xf numFmtId="0" fontId="130" fillId="0" borderId="28" xfId="0" applyFont="1" applyBorder="1" applyAlignment="1">
      <alignment vertical="top"/>
    </xf>
    <xf numFmtId="0" fontId="174" fillId="2" borderId="3" xfId="0" applyFont="1" applyFill="1" applyBorder="1" applyAlignment="1">
      <alignment vertical="top"/>
    </xf>
    <xf numFmtId="0" fontId="158" fillId="0" borderId="0" xfId="0" applyFont="1" applyAlignment="1">
      <alignment vertical="top"/>
    </xf>
    <xf numFmtId="0" fontId="158" fillId="0" borderId="0" xfId="0" applyFont="1" applyBorder="1" applyAlignment="1">
      <alignment vertical="top"/>
    </xf>
    <xf numFmtId="0" fontId="137" fillId="0" borderId="0" xfId="0" applyFont="1" applyAlignment="1">
      <alignment vertical="top"/>
    </xf>
    <xf numFmtId="0" fontId="143" fillId="0" borderId="28" xfId="0" applyFont="1" applyBorder="1" applyAlignment="1">
      <alignment vertical="top"/>
    </xf>
    <xf numFmtId="0" fontId="133" fillId="0" borderId="28" xfId="0" applyFont="1" applyBorder="1" applyAlignment="1">
      <alignment vertical="top"/>
    </xf>
    <xf numFmtId="0" fontId="144" fillId="0" borderId="28" xfId="0" applyFont="1" applyBorder="1" applyAlignment="1">
      <alignment vertical="top"/>
    </xf>
    <xf numFmtId="0" fontId="140" fillId="0" borderId="28" xfId="0" applyFont="1" applyBorder="1" applyAlignment="1">
      <alignment vertical="top"/>
    </xf>
    <xf numFmtId="0" fontId="158" fillId="6" borderId="28" xfId="0" applyFont="1" applyFill="1" applyBorder="1" applyAlignment="1">
      <alignment vertical="top"/>
    </xf>
    <xf numFmtId="0" fontId="158" fillId="0" borderId="23" xfId="0" applyFont="1" applyFill="1" applyBorder="1" applyAlignment="1">
      <alignment horizontal="left" vertical="center"/>
    </xf>
    <xf numFmtId="0" fontId="148" fillId="0" borderId="30" xfId="0" applyFont="1" applyBorder="1" applyAlignment="1">
      <alignment vertical="top"/>
    </xf>
    <xf numFmtId="0" fontId="129" fillId="2" borderId="12" xfId="0" applyFont="1" applyFill="1" applyBorder="1" applyAlignment="1">
      <alignment vertical="center"/>
    </xf>
    <xf numFmtId="0" fontId="129" fillId="2" borderId="1" xfId="0" applyFont="1" applyFill="1" applyBorder="1" applyAlignment="1">
      <alignment horizontal="left" vertical="center" wrapText="1"/>
    </xf>
    <xf numFmtId="0" fontId="129" fillId="2" borderId="10" xfId="0" applyFont="1" applyFill="1" applyBorder="1" applyAlignment="1">
      <alignment horizontal="left" vertical="center" wrapText="1"/>
    </xf>
    <xf numFmtId="169" fontId="148" fillId="9" borderId="41" xfId="4" applyNumberFormat="1" applyFont="1" applyFill="1" applyBorder="1" applyAlignment="1">
      <alignment horizontal="right" vertical="center"/>
    </xf>
    <xf numFmtId="169" fontId="148" fillId="9" borderId="2" xfId="4" applyNumberFormat="1" applyFont="1" applyFill="1" applyBorder="1" applyAlignment="1">
      <alignment horizontal="right" vertical="center"/>
    </xf>
    <xf numFmtId="169" fontId="148" fillId="9" borderId="3" xfId="4" applyNumberFormat="1" applyFont="1" applyFill="1" applyBorder="1" applyAlignment="1">
      <alignment horizontal="right" vertical="center"/>
    </xf>
    <xf numFmtId="0" fontId="128" fillId="0" borderId="28" xfId="0" applyFont="1" applyBorder="1" applyAlignment="1">
      <alignment vertical="top"/>
    </xf>
    <xf numFmtId="0" fontId="131" fillId="0" borderId="0" xfId="0" applyFont="1" applyBorder="1" applyAlignment="1">
      <alignment vertical="top"/>
    </xf>
    <xf numFmtId="0" fontId="174" fillId="0" borderId="1" xfId="0" applyFont="1" applyFill="1" applyBorder="1" applyAlignment="1">
      <alignment vertical="center"/>
    </xf>
    <xf numFmtId="0" fontId="153" fillId="0" borderId="0" xfId="0" applyFont="1" applyAlignment="1">
      <alignment vertical="center"/>
    </xf>
    <xf numFmtId="0" fontId="153" fillId="0" borderId="0" xfId="0" applyFont="1" applyFill="1" applyAlignment="1">
      <alignment vertical="center"/>
    </xf>
    <xf numFmtId="0" fontId="127" fillId="0" borderId="28" xfId="0" applyFont="1" applyBorder="1" applyAlignment="1">
      <alignment vertical="top"/>
    </xf>
    <xf numFmtId="0" fontId="148" fillId="0" borderId="73" xfId="0" applyFont="1" applyBorder="1"/>
    <xf numFmtId="0" fontId="126" fillId="0" borderId="28" xfId="0" applyFont="1" applyBorder="1" applyAlignment="1">
      <alignment vertical="top"/>
    </xf>
    <xf numFmtId="3" fontId="158" fillId="0" borderId="2" xfId="0" applyNumberFormat="1" applyFont="1" applyFill="1" applyBorder="1" applyAlignment="1" applyProtection="1">
      <alignment horizontal="right" vertical="center" wrapText="1"/>
      <protection locked="0"/>
    </xf>
    <xf numFmtId="3" fontId="158" fillId="0" borderId="4" xfId="0" applyNumberFormat="1" applyFont="1" applyFill="1" applyBorder="1" applyAlignment="1" applyProtection="1">
      <alignment horizontal="right" vertical="center" wrapText="1"/>
      <protection locked="0"/>
    </xf>
    <xf numFmtId="0" fontId="171" fillId="0" borderId="7" xfId="0" applyFont="1" applyBorder="1"/>
    <xf numFmtId="0" fontId="126" fillId="0" borderId="45" xfId="0" applyFont="1" applyFill="1" applyBorder="1" applyAlignment="1">
      <alignment vertical="center"/>
    </xf>
    <xf numFmtId="0" fontId="126" fillId="0" borderId="41" xfId="0" applyFont="1" applyFill="1" applyBorder="1" applyAlignment="1">
      <alignment vertical="center"/>
    </xf>
    <xf numFmtId="0" fontId="126" fillId="2" borderId="1" xfId="0" applyFont="1" applyFill="1" applyBorder="1" applyAlignment="1">
      <alignment vertical="center" wrapText="1"/>
    </xf>
    <xf numFmtId="0" fontId="126" fillId="2" borderId="1" xfId="0" applyFont="1" applyFill="1" applyBorder="1" applyAlignment="1">
      <alignment vertical="center"/>
    </xf>
    <xf numFmtId="3" fontId="158" fillId="0" borderId="20" xfId="0" applyNumberFormat="1" applyFont="1" applyFill="1" applyBorder="1" applyAlignment="1" applyProtection="1">
      <alignment horizontal="right" vertical="center" wrapText="1"/>
      <protection locked="0"/>
    </xf>
    <xf numFmtId="3" fontId="158" fillId="0" borderId="21" xfId="0" applyNumberFormat="1" applyFont="1" applyFill="1" applyBorder="1" applyAlignment="1" applyProtection="1">
      <alignment horizontal="right" vertical="center" wrapText="1"/>
      <protection locked="0"/>
    </xf>
    <xf numFmtId="3" fontId="158" fillId="0" borderId="12" xfId="0" applyNumberFormat="1" applyFont="1" applyFill="1" applyBorder="1" applyAlignment="1" applyProtection="1">
      <alignment horizontal="right" vertical="center" wrapText="1"/>
      <protection locked="0"/>
    </xf>
    <xf numFmtId="3" fontId="158" fillId="0" borderId="40" xfId="0" applyNumberFormat="1" applyFont="1" applyFill="1" applyBorder="1" applyAlignment="1" applyProtection="1">
      <alignment horizontal="right" vertical="center" wrapText="1"/>
      <protection locked="0"/>
    </xf>
    <xf numFmtId="0" fontId="125" fillId="0" borderId="28" xfId="0" applyFont="1" applyBorder="1" applyAlignment="1">
      <alignment vertical="top"/>
    </xf>
    <xf numFmtId="0" fontId="125" fillId="0" borderId="41" xfId="0" applyFont="1" applyFill="1" applyBorder="1" applyAlignment="1">
      <alignment vertical="center"/>
    </xf>
    <xf numFmtId="0" fontId="125" fillId="0" borderId="45" xfId="0" applyFont="1" applyFill="1" applyBorder="1" applyAlignment="1">
      <alignment vertical="center"/>
    </xf>
    <xf numFmtId="169" fontId="148" fillId="9" borderId="33" xfId="4" applyNumberFormat="1" applyFont="1" applyFill="1" applyBorder="1" applyAlignment="1">
      <alignment horizontal="right"/>
    </xf>
    <xf numFmtId="0" fontId="124" fillId="0" borderId="28" xfId="0" applyFont="1" applyBorder="1" applyAlignment="1">
      <alignment vertical="top"/>
    </xf>
    <xf numFmtId="0" fontId="148" fillId="0" borderId="33" xfId="0" applyFont="1" applyFill="1" applyBorder="1"/>
    <xf numFmtId="0" fontId="124" fillId="13" borderId="3" xfId="0" applyFont="1" applyFill="1" applyBorder="1"/>
    <xf numFmtId="0" fontId="124" fillId="0" borderId="3" xfId="0" applyFont="1" applyFill="1" applyBorder="1"/>
    <xf numFmtId="0" fontId="123" fillId="0" borderId="0" xfId="0" applyFont="1" applyFill="1" applyBorder="1"/>
    <xf numFmtId="0" fontId="123" fillId="0" borderId="44" xfId="0" applyFont="1" applyFill="1" applyBorder="1" applyAlignment="1">
      <alignment vertical="center"/>
    </xf>
    <xf numFmtId="0" fontId="122" fillId="0" borderId="35" xfId="0" applyFont="1" applyBorder="1"/>
    <xf numFmtId="0" fontId="122" fillId="0" borderId="26" xfId="0" applyFont="1" applyBorder="1"/>
    <xf numFmtId="0" fontId="122" fillId="0" borderId="38" xfId="0" applyFont="1" applyBorder="1"/>
    <xf numFmtId="0" fontId="148" fillId="2" borderId="1" xfId="0" applyFont="1" applyFill="1" applyBorder="1" applyAlignment="1">
      <alignment horizontal="left" vertical="top" wrapText="1"/>
    </xf>
    <xf numFmtId="0" fontId="119" fillId="0" borderId="27" xfId="0" applyFont="1" applyBorder="1"/>
    <xf numFmtId="0" fontId="119" fillId="2" borderId="1" xfId="0" applyFont="1" applyFill="1" applyBorder="1" applyAlignment="1">
      <alignment vertical="top"/>
    </xf>
    <xf numFmtId="0" fontId="148" fillId="2" borderId="2" xfId="0" applyFont="1" applyFill="1" applyBorder="1" applyAlignment="1">
      <alignment horizontal="left" vertical="top" wrapText="1"/>
    </xf>
    <xf numFmtId="0" fontId="143" fillId="2" borderId="9" xfId="0" applyFont="1" applyFill="1" applyBorder="1" applyAlignment="1">
      <alignment horizontal="center" vertical="top" wrapText="1"/>
    </xf>
    <xf numFmtId="0" fontId="148" fillId="2" borderId="6" xfId="0" applyFont="1" applyFill="1" applyBorder="1" applyAlignment="1">
      <alignment horizontal="center" vertical="top"/>
    </xf>
    <xf numFmtId="0" fontId="0" fillId="0" borderId="0" xfId="0" applyFill="1" applyAlignment="1">
      <alignment wrapText="1"/>
    </xf>
    <xf numFmtId="0" fontId="148" fillId="0" borderId="0" xfId="0" applyFont="1" applyFill="1" applyAlignment="1">
      <alignment wrapText="1"/>
    </xf>
    <xf numFmtId="175" fontId="158" fillId="0" borderId="14" xfId="0" applyNumberFormat="1" applyFont="1" applyFill="1" applyBorder="1" applyAlignment="1">
      <alignment horizontal="right" wrapText="1"/>
    </xf>
    <xf numFmtId="9" fontId="132" fillId="0" borderId="14" xfId="1" applyFont="1" applyBorder="1" applyAlignment="1">
      <alignment wrapText="1"/>
    </xf>
    <xf numFmtId="0" fontId="118" fillId="2" borderId="14" xfId="0" applyFont="1" applyFill="1" applyBorder="1" applyAlignment="1">
      <alignment horizontal="left" vertical="center" wrapText="1"/>
    </xf>
    <xf numFmtId="0" fontId="118" fillId="2" borderId="14" xfId="0" applyFont="1" applyFill="1" applyBorder="1" applyAlignment="1">
      <alignment vertical="center" wrapText="1"/>
    </xf>
    <xf numFmtId="0" fontId="118" fillId="2" borderId="14" xfId="0" applyFont="1" applyFill="1" applyBorder="1" applyAlignment="1">
      <alignment horizontal="right" vertical="center" wrapText="1"/>
    </xf>
    <xf numFmtId="10" fontId="132" fillId="0" borderId="0" xfId="1" applyNumberFormat="1" applyFont="1" applyFill="1" applyBorder="1"/>
    <xf numFmtId="0" fontId="117" fillId="0" borderId="0" xfId="0" applyFont="1" applyFill="1" applyBorder="1"/>
    <xf numFmtId="0" fontId="117" fillId="2" borderId="3" xfId="0" applyFont="1" applyFill="1" applyBorder="1" applyAlignment="1">
      <alignment horizontal="right"/>
    </xf>
    <xf numFmtId="0" fontId="116" fillId="2" borderId="1" xfId="0" applyFont="1" applyFill="1" applyBorder="1" applyAlignment="1">
      <alignment vertical="top"/>
    </xf>
    <xf numFmtId="0" fontId="115" fillId="0" borderId="28" xfId="0" applyFont="1" applyBorder="1" applyAlignment="1">
      <alignment vertical="top"/>
    </xf>
    <xf numFmtId="0" fontId="132" fillId="2" borderId="14" xfId="0" applyFont="1" applyFill="1" applyBorder="1" applyAlignment="1">
      <alignment wrapText="1"/>
    </xf>
    <xf numFmtId="0" fontId="132" fillId="2" borderId="43" xfId="0" applyFont="1" applyFill="1" applyBorder="1" applyAlignment="1">
      <alignment horizontal="right" vertical="center" wrapText="1"/>
    </xf>
    <xf numFmtId="0" fontId="118" fillId="2" borderId="43" xfId="0" applyFont="1" applyFill="1" applyBorder="1" applyAlignment="1">
      <alignment horizontal="right" vertical="center" wrapText="1"/>
    </xf>
    <xf numFmtId="9" fontId="132" fillId="0" borderId="43" xfId="1" applyFont="1" applyBorder="1" applyAlignment="1">
      <alignment wrapText="1"/>
    </xf>
    <xf numFmtId="0" fontId="148" fillId="0" borderId="24" xfId="0" applyFont="1" applyBorder="1" applyAlignment="1">
      <alignment horizontal="left" vertical="center"/>
    </xf>
    <xf numFmtId="0" fontId="148" fillId="0" borderId="24" xfId="0" applyFont="1" applyBorder="1" applyAlignment="1">
      <alignment horizontal="left" vertical="center" wrapText="1"/>
    </xf>
    <xf numFmtId="169" fontId="148" fillId="10" borderId="3" xfId="4" applyNumberFormat="1" applyFont="1" applyFill="1" applyBorder="1" applyAlignment="1">
      <alignment horizontal="left" vertical="center"/>
    </xf>
    <xf numFmtId="170" fontId="148" fillId="0" borderId="0" xfId="1" applyNumberFormat="1" applyFont="1" applyAlignment="1">
      <alignment horizontal="left" vertical="center"/>
    </xf>
    <xf numFmtId="0" fontId="166" fillId="0" borderId="24" xfId="0" applyFont="1" applyBorder="1" applyAlignment="1">
      <alignment horizontal="left" vertical="center" wrapText="1"/>
    </xf>
    <xf numFmtId="170" fontId="148" fillId="0" borderId="0" xfId="1" applyNumberFormat="1" applyFont="1" applyBorder="1" applyAlignment="1">
      <alignment horizontal="left" vertical="center"/>
    </xf>
    <xf numFmtId="0" fontId="148" fillId="0" borderId="24" xfId="0" applyFont="1" applyFill="1" applyBorder="1" applyAlignment="1">
      <alignment horizontal="left" vertical="center"/>
    </xf>
    <xf numFmtId="0" fontId="132" fillId="0" borderId="24" xfId="0" applyFont="1" applyBorder="1" applyAlignment="1">
      <alignment horizontal="left" vertical="center" wrapText="1"/>
    </xf>
    <xf numFmtId="0" fontId="120" fillId="0" borderId="24" xfId="0" applyFont="1" applyBorder="1" applyAlignment="1">
      <alignment horizontal="left" vertical="center"/>
    </xf>
    <xf numFmtId="0" fontId="148" fillId="0" borderId="44" xfId="0" applyFont="1" applyFill="1" applyBorder="1" applyAlignment="1">
      <alignment horizontal="left" vertical="center"/>
    </xf>
    <xf numFmtId="169" fontId="148" fillId="10" borderId="41" xfId="4" applyNumberFormat="1" applyFont="1" applyFill="1" applyBorder="1" applyAlignment="1">
      <alignment horizontal="left" vertical="center"/>
    </xf>
    <xf numFmtId="0" fontId="114" fillId="0" borderId="0" xfId="0" applyFont="1" applyFill="1" applyBorder="1"/>
    <xf numFmtId="0" fontId="114" fillId="0" borderId="27" xfId="0" applyFont="1" applyFill="1" applyBorder="1"/>
    <xf numFmtId="10" fontId="148" fillId="0" borderId="3" xfId="1" applyNumberFormat="1" applyFont="1" applyBorder="1"/>
    <xf numFmtId="10" fontId="148" fillId="0" borderId="33" xfId="1" applyNumberFormat="1" applyFont="1" applyBorder="1"/>
    <xf numFmtId="0" fontId="113" fillId="2" borderId="1" xfId="0" applyFont="1" applyFill="1" applyBorder="1" applyAlignment="1">
      <alignment vertical="center" wrapText="1"/>
    </xf>
    <xf numFmtId="0" fontId="112" fillId="2" borderId="1" xfId="0" applyFont="1" applyFill="1" applyBorder="1" applyAlignment="1">
      <alignment horizontal="left" vertical="center" wrapText="1"/>
    </xf>
    <xf numFmtId="169" fontId="112" fillId="10" borderId="3" xfId="4" applyNumberFormat="1" applyFont="1" applyFill="1" applyBorder="1" applyAlignment="1">
      <alignment horizontal="left" vertical="center"/>
    </xf>
    <xf numFmtId="0" fontId="112" fillId="0" borderId="0" xfId="0" applyFont="1" applyFill="1"/>
    <xf numFmtId="0" fontId="112" fillId="0" borderId="0" xfId="0" applyFont="1"/>
    <xf numFmtId="0" fontId="112" fillId="2" borderId="6" xfId="0" applyFont="1" applyFill="1" applyBorder="1" applyAlignment="1">
      <alignment horizontal="left" vertical="center" wrapText="1"/>
    </xf>
    <xf numFmtId="0" fontId="132" fillId="2" borderId="13" xfId="0" applyFont="1" applyFill="1" applyBorder="1" applyAlignment="1">
      <alignment horizontal="left" vertical="center"/>
    </xf>
    <xf numFmtId="0" fontId="132" fillId="2" borderId="2" xfId="0" applyFont="1" applyFill="1" applyBorder="1" applyAlignment="1">
      <alignment horizontal="left" vertical="center" wrapText="1"/>
    </xf>
    <xf numFmtId="0" fontId="132" fillId="2" borderId="2" xfId="0" applyFont="1" applyFill="1" applyBorder="1" applyAlignment="1">
      <alignment horizontal="left" vertical="center"/>
    </xf>
    <xf numFmtId="0" fontId="117" fillId="2" borderId="2" xfId="0" applyFont="1" applyFill="1" applyBorder="1" applyAlignment="1">
      <alignment horizontal="left" vertical="center"/>
    </xf>
    <xf numFmtId="0" fontId="114" fillId="2" borderId="13" xfId="0" applyFont="1" applyFill="1" applyBorder="1" applyAlignment="1">
      <alignment horizontal="left" vertical="center"/>
    </xf>
    <xf numFmtId="0" fontId="112" fillId="2" borderId="2" xfId="0" applyFont="1" applyFill="1" applyBorder="1" applyAlignment="1">
      <alignment horizontal="left" vertical="center" wrapText="1"/>
    </xf>
    <xf numFmtId="0" fontId="112" fillId="2" borderId="2" xfId="0" applyFont="1" applyFill="1" applyBorder="1" applyAlignment="1">
      <alignment horizontal="left" vertical="center"/>
    </xf>
    <xf numFmtId="0" fontId="112" fillId="2" borderId="13" xfId="0" applyFont="1" applyFill="1" applyBorder="1" applyAlignment="1">
      <alignment horizontal="left" vertical="center"/>
    </xf>
    <xf numFmtId="0" fontId="158" fillId="0" borderId="1" xfId="0" applyFont="1" applyFill="1" applyBorder="1" applyAlignment="1">
      <alignment vertical="center"/>
    </xf>
    <xf numFmtId="10" fontId="148" fillId="0" borderId="2" xfId="1" applyNumberFormat="1" applyFont="1" applyBorder="1"/>
    <xf numFmtId="0" fontId="158" fillId="2" borderId="41" xfId="0" applyFont="1" applyFill="1" applyBorder="1" applyAlignment="1">
      <alignment vertical="center"/>
    </xf>
    <xf numFmtId="0" fontId="111" fillId="0" borderId="46" xfId="0" applyFont="1" applyFill="1" applyBorder="1" applyAlignment="1">
      <alignment vertical="top" wrapText="1"/>
    </xf>
    <xf numFmtId="0" fontId="158" fillId="0" borderId="12" xfId="0" applyFont="1" applyBorder="1"/>
    <xf numFmtId="0" fontId="148" fillId="2" borderId="9" xfId="0" applyFont="1" applyFill="1" applyBorder="1" applyAlignment="1">
      <alignment vertical="center" wrapText="1"/>
    </xf>
    <xf numFmtId="0" fontId="148" fillId="2" borderId="0" xfId="0" applyFont="1" applyFill="1" applyBorder="1" applyAlignment="1">
      <alignment vertical="center"/>
    </xf>
    <xf numFmtId="0" fontId="110" fillId="0" borderId="28" xfId="0" applyFont="1" applyBorder="1" applyAlignment="1">
      <alignment vertical="top"/>
    </xf>
    <xf numFmtId="0" fontId="129" fillId="0" borderId="0" xfId="0" applyFont="1" applyBorder="1" applyAlignment="1">
      <alignment vertical="top"/>
    </xf>
    <xf numFmtId="0" fontId="110" fillId="0" borderId="0" xfId="0" applyFont="1" applyBorder="1" applyAlignment="1">
      <alignment vertical="top"/>
    </xf>
    <xf numFmtId="0" fontId="110" fillId="0" borderId="24" xfId="0" applyFont="1" applyFill="1" applyBorder="1" applyAlignment="1">
      <alignment vertical="center" wrapText="1"/>
    </xf>
    <xf numFmtId="0" fontId="134" fillId="2" borderId="11" xfId="0" applyFont="1" applyFill="1" applyBorder="1" applyAlignment="1">
      <alignment horizontal="left" vertical="center" wrapText="1"/>
    </xf>
    <xf numFmtId="0" fontId="134" fillId="2" borderId="13" xfId="0" applyFont="1" applyFill="1" applyBorder="1" applyAlignment="1">
      <alignment horizontal="left" vertical="center" wrapText="1"/>
    </xf>
    <xf numFmtId="0" fontId="140" fillId="0" borderId="0" xfId="0" applyFont="1" applyAlignment="1">
      <alignment horizontal="left" vertical="center"/>
    </xf>
    <xf numFmtId="0" fontId="140" fillId="2" borderId="0" xfId="0" applyFont="1" applyFill="1" applyBorder="1" applyAlignment="1">
      <alignment horizontal="left"/>
    </xf>
    <xf numFmtId="0" fontId="140" fillId="2" borderId="19" xfId="0" applyFont="1" applyFill="1" applyBorder="1" applyAlignment="1">
      <alignment horizontal="left" vertical="center" wrapText="1"/>
    </xf>
    <xf numFmtId="0" fontId="140" fillId="2" borderId="18" xfId="0" applyFont="1" applyFill="1" applyBorder="1" applyAlignment="1">
      <alignment horizontal="left" vertical="center" wrapText="1"/>
    </xf>
    <xf numFmtId="0" fontId="140" fillId="2" borderId="9" xfId="0" applyFont="1" applyFill="1" applyBorder="1" applyAlignment="1">
      <alignment horizontal="left"/>
    </xf>
    <xf numFmtId="0" fontId="134" fillId="2" borderId="4" xfId="0" applyFont="1" applyFill="1" applyBorder="1" applyAlignment="1">
      <alignment horizontal="left" vertical="center"/>
    </xf>
    <xf numFmtId="3" fontId="158" fillId="9" borderId="19" xfId="0" applyNumberFormat="1" applyFont="1" applyFill="1" applyBorder="1" applyAlignment="1" applyProtection="1">
      <alignment horizontal="right" vertical="center" wrapText="1"/>
      <protection locked="0"/>
    </xf>
    <xf numFmtId="3" fontId="174" fillId="0" borderId="23" xfId="0" applyNumberFormat="1" applyFont="1" applyFill="1" applyBorder="1" applyAlignment="1">
      <alignment horizontal="right" vertical="center"/>
    </xf>
    <xf numFmtId="3" fontId="158" fillId="2" borderId="12" xfId="0" applyNumberFormat="1" applyFont="1" applyFill="1" applyBorder="1" applyAlignment="1">
      <alignment horizontal="right" vertical="center"/>
    </xf>
    <xf numFmtId="3" fontId="174" fillId="0" borderId="0" xfId="0" applyNumberFormat="1" applyFont="1" applyFill="1" applyBorder="1" applyAlignment="1">
      <alignment horizontal="right" vertical="center"/>
    </xf>
    <xf numFmtId="3" fontId="174" fillId="0" borderId="0" xfId="0" applyNumberFormat="1" applyFont="1" applyFill="1" applyBorder="1" applyAlignment="1" applyProtection="1">
      <alignment horizontal="right" vertical="center" wrapText="1"/>
      <protection locked="0"/>
    </xf>
    <xf numFmtId="3" fontId="165" fillId="9" borderId="17" xfId="0" applyNumberFormat="1" applyFont="1" applyFill="1" applyBorder="1" applyAlignment="1" applyProtection="1">
      <alignment horizontal="right" vertical="center" wrapText="1"/>
      <protection locked="0"/>
    </xf>
    <xf numFmtId="3" fontId="165" fillId="9" borderId="19" xfId="0" applyNumberFormat="1" applyFont="1" applyFill="1" applyBorder="1" applyAlignment="1" applyProtection="1">
      <alignment horizontal="right" vertical="center" wrapText="1"/>
      <protection locked="0"/>
    </xf>
    <xf numFmtId="3" fontId="174" fillId="9" borderId="6" xfId="0" applyNumberFormat="1" applyFont="1" applyFill="1" applyBorder="1" applyAlignment="1" applyProtection="1">
      <alignment horizontal="right" vertical="center" wrapText="1"/>
      <protection locked="0"/>
    </xf>
    <xf numFmtId="3" fontId="174" fillId="9" borderId="9" xfId="0" applyNumberFormat="1" applyFont="1" applyFill="1" applyBorder="1" applyAlignment="1" applyProtection="1">
      <alignment horizontal="right" vertical="center" wrapText="1"/>
      <protection locked="0"/>
    </xf>
    <xf numFmtId="3" fontId="174" fillId="9" borderId="50" xfId="0" applyNumberFormat="1" applyFont="1" applyFill="1" applyBorder="1" applyAlignment="1" applyProtection="1">
      <alignment horizontal="right" vertical="center" wrapText="1"/>
      <protection locked="0"/>
    </xf>
    <xf numFmtId="3" fontId="174" fillId="9" borderId="76" xfId="0" applyNumberFormat="1" applyFont="1" applyFill="1" applyBorder="1" applyAlignment="1" applyProtection="1">
      <alignment horizontal="right" vertical="center" wrapText="1"/>
      <protection locked="0"/>
    </xf>
    <xf numFmtId="3" fontId="174" fillId="0" borderId="27" xfId="0" applyNumberFormat="1" applyFont="1" applyFill="1" applyBorder="1" applyAlignment="1">
      <alignment horizontal="right" vertical="center"/>
    </xf>
    <xf numFmtId="0" fontId="158" fillId="0" borderId="45" xfId="0" applyFont="1" applyFill="1" applyBorder="1" applyAlignment="1">
      <alignment vertical="center"/>
    </xf>
    <xf numFmtId="0" fontId="109" fillId="0" borderId="28" xfId="0" applyFont="1" applyBorder="1" applyAlignment="1">
      <alignment vertical="top"/>
    </xf>
    <xf numFmtId="169" fontId="148" fillId="0" borderId="24" xfId="4" applyNumberFormat="1" applyFont="1" applyBorder="1" applyAlignment="1">
      <alignment horizontal="left" vertical="center"/>
    </xf>
    <xf numFmtId="169" fontId="148" fillId="0" borderId="44" xfId="4" applyNumberFormat="1" applyFont="1" applyBorder="1" applyAlignment="1">
      <alignment horizontal="left" vertical="center"/>
    </xf>
    <xf numFmtId="0" fontId="180" fillId="0" borderId="0" xfId="0" applyFont="1" applyAlignment="1">
      <alignment vertical="top" wrapText="1"/>
    </xf>
    <xf numFmtId="0" fontId="180" fillId="0" borderId="0" xfId="0" applyFont="1" applyAlignment="1">
      <alignment horizontal="left" vertical="top" wrapText="1"/>
    </xf>
    <xf numFmtId="0" fontId="180" fillId="0" borderId="0" xfId="0" applyFont="1" applyAlignment="1">
      <alignment wrapText="1"/>
    </xf>
    <xf numFmtId="0" fontId="108" fillId="0" borderId="28" xfId="0" applyFont="1" applyBorder="1" applyAlignment="1">
      <alignment vertical="top"/>
    </xf>
    <xf numFmtId="0" fontId="108" fillId="0" borderId="28" xfId="0" applyFont="1" applyBorder="1" applyAlignment="1">
      <alignment vertical="top" wrapText="1"/>
    </xf>
    <xf numFmtId="0" fontId="158" fillId="0" borderId="28" xfId="0" applyFont="1" applyBorder="1" applyAlignment="1">
      <alignment vertical="top" wrapText="1"/>
    </xf>
    <xf numFmtId="0" fontId="158" fillId="0" borderId="28" xfId="0" applyFont="1" applyBorder="1" applyAlignment="1">
      <alignment horizontal="left" vertical="top" wrapText="1"/>
    </xf>
    <xf numFmtId="0" fontId="152" fillId="0" borderId="0" xfId="0" applyFont="1" applyFill="1"/>
    <xf numFmtId="170" fontId="148" fillId="0" borderId="24" xfId="1" applyNumberFormat="1" applyFont="1" applyBorder="1" applyAlignment="1">
      <alignment horizontal="center" vertical="center"/>
    </xf>
    <xf numFmtId="170" fontId="148" fillId="0" borderId="44" xfId="1" applyNumberFormat="1" applyFont="1" applyBorder="1" applyAlignment="1">
      <alignment horizontal="center" vertical="center"/>
    </xf>
    <xf numFmtId="0" fontId="158" fillId="0" borderId="0" xfId="0" applyFont="1" applyFill="1" applyBorder="1"/>
    <xf numFmtId="172" fontId="165" fillId="9" borderId="3" xfId="0" applyNumberFormat="1" applyFont="1" applyFill="1" applyBorder="1" applyAlignment="1" applyProtection="1">
      <alignment horizontal="left" wrapText="1"/>
      <protection locked="0"/>
    </xf>
    <xf numFmtId="172" fontId="0" fillId="9" borderId="3" xfId="0" applyNumberFormat="1" applyFill="1" applyBorder="1" applyAlignment="1" applyProtection="1">
      <alignment horizontal="left" wrapText="1"/>
      <protection locked="0"/>
    </xf>
    <xf numFmtId="172" fontId="0" fillId="9" borderId="33" xfId="0" applyNumberFormat="1" applyFill="1" applyBorder="1" applyAlignment="1" applyProtection="1">
      <alignment horizontal="left" wrapText="1"/>
      <protection locked="0"/>
    </xf>
    <xf numFmtId="0" fontId="107" fillId="0" borderId="28" xfId="0" applyFont="1" applyBorder="1" applyAlignment="1">
      <alignment vertical="top"/>
    </xf>
    <xf numFmtId="3" fontId="158" fillId="2" borderId="4" xfId="0" quotePrefix="1" applyNumberFormat="1" applyFont="1" applyFill="1" applyBorder="1" applyAlignment="1">
      <alignment horizontal="left" vertical="top" wrapText="1"/>
    </xf>
    <xf numFmtId="3" fontId="158" fillId="2" borderId="2" xfId="0" applyNumberFormat="1" applyFont="1" applyFill="1" applyBorder="1" applyAlignment="1">
      <alignment horizontal="center" vertical="top" wrapText="1"/>
    </xf>
    <xf numFmtId="0" fontId="106" fillId="0" borderId="28" xfId="0" applyFont="1" applyBorder="1" applyAlignment="1">
      <alignment vertical="top"/>
    </xf>
    <xf numFmtId="0" fontId="180" fillId="0" borderId="0" xfId="0" applyFont="1" applyAlignment="1">
      <alignment vertical="top" wrapText="1"/>
    </xf>
    <xf numFmtId="0" fontId="180" fillId="0" borderId="0" xfId="0" applyFont="1" applyAlignment="1">
      <alignment horizontal="left" vertical="top" wrapText="1"/>
    </xf>
    <xf numFmtId="0" fontId="180" fillId="0" borderId="0" xfId="0" applyFont="1" applyAlignment="1">
      <alignment wrapText="1"/>
    </xf>
    <xf numFmtId="3" fontId="181" fillId="0" borderId="28" xfId="0" applyNumberFormat="1" applyFont="1" applyFill="1" applyBorder="1" applyAlignment="1">
      <alignment vertical="center" wrapText="1"/>
    </xf>
    <xf numFmtId="0" fontId="148" fillId="0" borderId="72" xfId="0" applyFont="1" applyFill="1" applyBorder="1" applyAlignment="1">
      <alignment vertical="center"/>
    </xf>
    <xf numFmtId="0" fontId="105" fillId="0" borderId="28" xfId="0" applyFont="1" applyBorder="1" applyAlignment="1">
      <alignment vertical="top"/>
    </xf>
    <xf numFmtId="3" fontId="178" fillId="0" borderId="23" xfId="0" applyNumberFormat="1" applyFont="1" applyFill="1" applyBorder="1"/>
    <xf numFmtId="3" fontId="183" fillId="0" borderId="23" xfId="0" applyNumberFormat="1" applyFont="1" applyFill="1" applyBorder="1" applyAlignment="1">
      <alignment vertical="center"/>
    </xf>
    <xf numFmtId="0" fontId="0" fillId="0" borderId="0" xfId="0"/>
    <xf numFmtId="0" fontId="163" fillId="0" borderId="0" xfId="0" applyFont="1"/>
    <xf numFmtId="0" fontId="169" fillId="0" borderId="0" xfId="0" applyFont="1" applyAlignment="1">
      <alignment horizontal="center" vertical="center"/>
    </xf>
    <xf numFmtId="0" fontId="169" fillId="0" borderId="0" xfId="0" applyFont="1" applyAlignment="1">
      <alignment horizontal="left" vertical="center"/>
    </xf>
    <xf numFmtId="0" fontId="148" fillId="2" borderId="9" xfId="0" applyFont="1" applyFill="1" applyBorder="1" applyAlignment="1">
      <alignment horizontal="left" vertical="top" wrapText="1"/>
    </xf>
    <xf numFmtId="0" fontId="100" fillId="0" borderId="28" xfId="0" applyFont="1" applyBorder="1" applyAlignment="1">
      <alignment vertical="top"/>
    </xf>
    <xf numFmtId="0" fontId="99" fillId="0" borderId="28" xfId="0" applyFont="1" applyBorder="1" applyAlignment="1">
      <alignment vertical="top"/>
    </xf>
    <xf numFmtId="0" fontId="98" fillId="0" borderId="28" xfId="0" applyFont="1" applyBorder="1" applyAlignment="1">
      <alignment vertical="top"/>
    </xf>
    <xf numFmtId="0" fontId="171" fillId="0" borderId="28" xfId="0" applyFont="1" applyBorder="1" applyAlignment="1">
      <alignment vertical="top"/>
    </xf>
    <xf numFmtId="3" fontId="158" fillId="0" borderId="0" xfId="0" quotePrefix="1" applyNumberFormat="1" applyFont="1" applyFill="1" applyBorder="1" applyAlignment="1">
      <alignment horizontal="center" wrapText="1"/>
    </xf>
    <xf numFmtId="3" fontId="158" fillId="0" borderId="0" xfId="0" quotePrefix="1" applyNumberFormat="1" applyFont="1" applyFill="1" applyBorder="1" applyAlignment="1">
      <alignment horizontal="center" vertical="center" wrapText="1"/>
    </xf>
    <xf numFmtId="3" fontId="158" fillId="0" borderId="0" xfId="0" quotePrefix="1" applyNumberFormat="1" applyFont="1" applyFill="1" applyBorder="1" applyAlignment="1">
      <alignment horizontal="center" vertical="top" wrapText="1"/>
    </xf>
    <xf numFmtId="3" fontId="174" fillId="0" borderId="0" xfId="0" applyNumberFormat="1" applyFont="1" applyFill="1" applyBorder="1" applyAlignment="1">
      <alignment horizontal="center" vertical="top" wrapText="1"/>
    </xf>
    <xf numFmtId="3" fontId="158" fillId="0" borderId="23" xfId="0" applyNumberFormat="1" applyFont="1" applyFill="1" applyBorder="1" applyAlignment="1">
      <alignment horizontal="right" vertical="top" wrapText="1"/>
    </xf>
    <xf numFmtId="3" fontId="174" fillId="0" borderId="30" xfId="0" applyNumberFormat="1" applyFont="1" applyFill="1" applyBorder="1" applyAlignment="1">
      <alignment vertical="center"/>
    </xf>
    <xf numFmtId="3" fontId="158" fillId="0" borderId="30" xfId="0" quotePrefix="1" applyNumberFormat="1" applyFont="1" applyFill="1" applyBorder="1" applyAlignment="1">
      <alignment horizontal="left" vertical="center" wrapText="1"/>
    </xf>
    <xf numFmtId="3" fontId="174" fillId="0" borderId="0" xfId="0" applyNumberFormat="1" applyFont="1" applyFill="1" applyBorder="1" applyAlignment="1">
      <alignment horizontal="left" vertical="center"/>
    </xf>
    <xf numFmtId="3" fontId="158" fillId="0" borderId="28" xfId="0" quotePrefix="1" applyNumberFormat="1" applyFont="1" applyFill="1" applyBorder="1" applyAlignment="1">
      <alignment horizontal="left" vertical="center"/>
    </xf>
    <xf numFmtId="3" fontId="158" fillId="0" borderId="28" xfId="0" applyNumberFormat="1" applyFont="1" applyFill="1" applyBorder="1" applyAlignment="1">
      <alignment horizontal="left" vertical="center" wrapText="1"/>
    </xf>
    <xf numFmtId="3" fontId="158" fillId="0" borderId="28" xfId="0" applyNumberFormat="1" applyFont="1" applyFill="1" applyBorder="1" applyAlignment="1">
      <alignment horizontal="right" vertical="center" wrapText="1"/>
    </xf>
    <xf numFmtId="3" fontId="158" fillId="0" borderId="23" xfId="0" applyNumberFormat="1" applyFont="1" applyFill="1" applyBorder="1"/>
    <xf numFmtId="3" fontId="158" fillId="0" borderId="23" xfId="0" applyNumberFormat="1" applyFont="1" applyFill="1" applyBorder="1" applyAlignment="1">
      <alignment horizontal="left" vertical="top" wrapText="1"/>
    </xf>
    <xf numFmtId="3" fontId="174" fillId="0" borderId="28" xfId="0" applyNumberFormat="1" applyFont="1" applyFill="1" applyBorder="1"/>
    <xf numFmtId="3" fontId="158" fillId="0" borderId="28" xfId="0" applyNumberFormat="1" applyFont="1" applyFill="1" applyBorder="1" applyAlignment="1">
      <alignment horizontal="left" vertical="top" wrapText="1"/>
    </xf>
    <xf numFmtId="3" fontId="158" fillId="0" borderId="28" xfId="0" quotePrefix="1" applyNumberFormat="1" applyFont="1" applyFill="1" applyBorder="1" applyAlignment="1">
      <alignment horizontal="left" vertical="top" wrapText="1"/>
    </xf>
    <xf numFmtId="3" fontId="158" fillId="11" borderId="14" xfId="0" applyNumberFormat="1" applyFont="1" applyFill="1" applyBorder="1" applyAlignment="1" applyProtection="1">
      <alignment horizontal="right" vertical="center" wrapText="1"/>
      <protection locked="0"/>
    </xf>
    <xf numFmtId="3" fontId="158" fillId="0" borderId="30" xfId="0" quotePrefix="1" applyNumberFormat="1" applyFont="1" applyFill="1" applyBorder="1" applyAlignment="1">
      <alignment horizontal="left" vertical="top" wrapText="1"/>
    </xf>
    <xf numFmtId="3" fontId="161" fillId="0" borderId="0" xfId="0" applyNumberFormat="1" applyFont="1" applyFill="1" applyBorder="1" applyAlignment="1">
      <alignment horizontal="left" vertical="top"/>
    </xf>
    <xf numFmtId="3" fontId="174" fillId="0" borderId="23" xfId="0" applyNumberFormat="1" applyFont="1" applyFill="1" applyBorder="1" applyAlignment="1">
      <alignment horizontal="right" vertical="top" wrapText="1"/>
    </xf>
    <xf numFmtId="3" fontId="158" fillId="6" borderId="30" xfId="0" applyNumberFormat="1" applyFont="1" applyFill="1" applyBorder="1" applyAlignment="1" applyProtection="1">
      <alignment horizontal="right" wrapText="1"/>
      <protection locked="0"/>
    </xf>
    <xf numFmtId="3" fontId="174" fillId="0" borderId="78" xfId="0" applyNumberFormat="1" applyFont="1" applyFill="1" applyBorder="1" applyAlignment="1">
      <alignment horizontal="left" vertical="center" wrapText="1"/>
    </xf>
    <xf numFmtId="3" fontId="174" fillId="0" borderId="78" xfId="0" applyNumberFormat="1" applyFont="1" applyFill="1" applyBorder="1" applyAlignment="1">
      <alignment horizontal="right" vertical="center" wrapText="1"/>
    </xf>
    <xf numFmtId="3" fontId="158" fillId="0" borderId="0" xfId="0" quotePrefix="1" applyNumberFormat="1" applyFont="1" applyFill="1" applyBorder="1" applyAlignment="1">
      <alignment horizontal="left" vertical="top" wrapText="1"/>
    </xf>
    <xf numFmtId="3" fontId="158" fillId="0" borderId="23" xfId="0" applyNumberFormat="1" applyFont="1" applyFill="1" applyBorder="1" applyAlignment="1">
      <alignment horizontal="right" vertical="top" wrapText="1"/>
    </xf>
    <xf numFmtId="3" fontId="158" fillId="0" borderId="28" xfId="0" applyNumberFormat="1" applyFont="1" applyFill="1" applyBorder="1" applyAlignment="1">
      <alignment vertical="top" wrapText="1"/>
    </xf>
    <xf numFmtId="3" fontId="158" fillId="0" borderId="28" xfId="0" applyNumberFormat="1" applyFont="1" applyFill="1" applyBorder="1" applyAlignment="1">
      <alignment horizontal="right" vertical="top" wrapText="1"/>
    </xf>
    <xf numFmtId="3" fontId="158" fillId="0" borderId="28" xfId="0" applyNumberFormat="1" applyFont="1" applyFill="1" applyBorder="1" applyAlignment="1">
      <alignment horizontal="right" vertical="top" wrapText="1"/>
    </xf>
    <xf numFmtId="3" fontId="158" fillId="0" borderId="28" xfId="0" applyNumberFormat="1" applyFont="1" applyFill="1" applyBorder="1" applyAlignment="1" applyProtection="1">
      <alignment horizontal="right" vertical="top" wrapText="1"/>
    </xf>
    <xf numFmtId="3" fontId="174" fillId="0" borderId="28" xfId="0" quotePrefix="1" applyNumberFormat="1" applyFont="1" applyFill="1" applyBorder="1" applyAlignment="1">
      <alignment horizontal="left"/>
    </xf>
    <xf numFmtId="3" fontId="158" fillId="0" borderId="30" xfId="0" applyNumberFormat="1" applyFont="1" applyFill="1" applyBorder="1" applyAlignment="1" applyProtection="1">
      <alignment horizontal="right" vertical="top" wrapText="1"/>
    </xf>
    <xf numFmtId="3" fontId="174" fillId="0" borderId="78" xfId="0" applyNumberFormat="1" applyFont="1" applyFill="1" applyBorder="1" applyAlignment="1">
      <alignment vertical="center"/>
    </xf>
    <xf numFmtId="3" fontId="158" fillId="0" borderId="78" xfId="0" applyNumberFormat="1" applyFont="1" applyFill="1" applyBorder="1" applyAlignment="1">
      <alignment horizontal="left" vertical="center" wrapText="1"/>
    </xf>
    <xf numFmtId="3" fontId="174" fillId="0" borderId="78" xfId="0" applyNumberFormat="1" applyFont="1" applyFill="1" applyBorder="1" applyAlignment="1">
      <alignment horizontal="right" vertical="center" wrapText="1"/>
    </xf>
    <xf numFmtId="3" fontId="174" fillId="0" borderId="0" xfId="0" applyNumberFormat="1" applyFont="1" applyFill="1" applyBorder="1" applyAlignment="1">
      <alignment horizontal="left" vertical="top"/>
    </xf>
    <xf numFmtId="3" fontId="174" fillId="0" borderId="0" xfId="0" applyNumberFormat="1" applyFont="1" applyFill="1" applyBorder="1" applyAlignment="1">
      <alignment horizontal="right" wrapText="1"/>
    </xf>
    <xf numFmtId="3" fontId="158" fillId="0" borderId="0" xfId="0" applyNumberFormat="1" applyFont="1" applyFill="1" applyBorder="1" applyAlignment="1" applyProtection="1">
      <alignment horizontal="right" wrapText="1"/>
    </xf>
    <xf numFmtId="3" fontId="158" fillId="0" borderId="78" xfId="0" quotePrefix="1" applyNumberFormat="1" applyFont="1" applyFill="1" applyBorder="1" applyAlignment="1">
      <alignment horizontal="left" vertical="center" wrapText="1"/>
    </xf>
    <xf numFmtId="0" fontId="158" fillId="0" borderId="0" xfId="0" applyFont="1"/>
    <xf numFmtId="0" fontId="158" fillId="0" borderId="28" xfId="0" applyFont="1" applyBorder="1" applyAlignment="1"/>
    <xf numFmtId="0" fontId="0" fillId="0" borderId="0" xfId="0"/>
    <xf numFmtId="0" fontId="180" fillId="0" borderId="0" xfId="0" applyFont="1" applyAlignment="1">
      <alignment horizontal="left" vertical="top" wrapText="1"/>
    </xf>
    <xf numFmtId="0" fontId="155" fillId="14" borderId="0" xfId="0" applyFont="1" applyFill="1" applyBorder="1" applyAlignment="1">
      <alignment horizontal="center" vertical="center"/>
    </xf>
    <xf numFmtId="0" fontId="95" fillId="0" borderId="28" xfId="0" applyFont="1" applyBorder="1" applyAlignment="1">
      <alignment vertical="top"/>
    </xf>
    <xf numFmtId="0" fontId="146" fillId="3" borderId="25" xfId="0" applyFont="1" applyFill="1" applyBorder="1" applyAlignment="1">
      <alignment vertical="center" wrapText="1"/>
    </xf>
    <xf numFmtId="0" fontId="140" fillId="9" borderId="33" xfId="0" applyFont="1" applyFill="1" applyBorder="1"/>
    <xf numFmtId="0" fontId="132" fillId="0" borderId="0" xfId="0" applyFont="1" applyFill="1" applyBorder="1" applyAlignment="1">
      <alignment horizontal="center"/>
    </xf>
    <xf numFmtId="0" fontId="95" fillId="0" borderId="28" xfId="0" applyFont="1" applyFill="1" applyBorder="1" applyAlignment="1">
      <alignment horizontal="left" vertical="center"/>
    </xf>
    <xf numFmtId="3" fontId="158" fillId="9" borderId="39" xfId="0" applyNumberFormat="1" applyFont="1" applyFill="1" applyBorder="1" applyAlignment="1" applyProtection="1">
      <alignment horizontal="right" vertical="center" wrapText="1"/>
      <protection locked="0"/>
    </xf>
    <xf numFmtId="0" fontId="135" fillId="0" borderId="25" xfId="0" applyFont="1" applyBorder="1" applyAlignment="1">
      <alignment vertical="center"/>
    </xf>
    <xf numFmtId="0" fontId="148" fillId="0" borderId="20" xfId="0" applyFont="1" applyBorder="1" applyAlignment="1">
      <alignment vertical="center"/>
    </xf>
    <xf numFmtId="0" fontId="117" fillId="0" borderId="20" xfId="0" applyFont="1" applyBorder="1" applyAlignment="1">
      <alignment vertical="center"/>
    </xf>
    <xf numFmtId="175" fontId="158" fillId="0" borderId="8" xfId="0" applyNumberFormat="1" applyFont="1" applyFill="1" applyBorder="1" applyAlignment="1">
      <alignment horizontal="right" vertical="center"/>
    </xf>
    <xf numFmtId="175" fontId="158" fillId="0" borderId="7" xfId="0" applyNumberFormat="1" applyFont="1" applyFill="1" applyBorder="1" applyAlignment="1">
      <alignment horizontal="right" vertical="center"/>
    </xf>
    <xf numFmtId="0" fontId="148" fillId="0" borderId="26" xfId="0" applyFont="1" applyBorder="1" applyAlignment="1">
      <alignment vertical="center" wrapText="1"/>
    </xf>
    <xf numFmtId="9" fontId="158" fillId="0" borderId="8" xfId="1" applyFont="1" applyFill="1" applyBorder="1" applyAlignment="1">
      <alignment horizontal="right" vertical="center"/>
    </xf>
    <xf numFmtId="9" fontId="158" fillId="0" borderId="7" xfId="1" applyFont="1" applyFill="1" applyBorder="1" applyAlignment="1">
      <alignment horizontal="right" vertical="center"/>
    </xf>
    <xf numFmtId="0" fontId="121" fillId="0" borderId="25" xfId="0" applyFont="1" applyBorder="1" applyAlignment="1">
      <alignment vertical="center"/>
    </xf>
    <xf numFmtId="9" fontId="132" fillId="0" borderId="8" xfId="1" applyFont="1" applyFill="1" applyBorder="1" applyAlignment="1">
      <alignment vertical="center"/>
    </xf>
    <xf numFmtId="9" fontId="132" fillId="0" borderId="7" xfId="1" applyFont="1" applyBorder="1" applyAlignment="1">
      <alignment vertical="center"/>
    </xf>
    <xf numFmtId="9" fontId="132" fillId="0" borderId="8" xfId="1" applyFont="1" applyBorder="1" applyAlignment="1">
      <alignment vertical="center"/>
    </xf>
    <xf numFmtId="0" fontId="143" fillId="0" borderId="26" xfId="0" applyFont="1" applyBorder="1" applyAlignment="1">
      <alignment vertical="center" wrapText="1"/>
    </xf>
    <xf numFmtId="0" fontId="135" fillId="0" borderId="37" xfId="0" applyFont="1" applyBorder="1" applyAlignment="1">
      <alignment vertical="center"/>
    </xf>
    <xf numFmtId="0" fontId="135" fillId="0" borderId="44" xfId="0" applyFont="1" applyBorder="1" applyAlignment="1">
      <alignment vertical="center"/>
    </xf>
    <xf numFmtId="9" fontId="132" fillId="0" borderId="32" xfId="1" applyFont="1" applyBorder="1" applyAlignment="1">
      <alignment vertical="center"/>
    </xf>
    <xf numFmtId="9" fontId="132" fillId="0" borderId="70" xfId="1" applyFont="1" applyBorder="1" applyAlignment="1">
      <alignment vertical="center"/>
    </xf>
    <xf numFmtId="0" fontId="148" fillId="0" borderId="38" xfId="0" applyFont="1" applyBorder="1" applyAlignment="1">
      <alignment vertical="center"/>
    </xf>
    <xf numFmtId="0" fontId="148" fillId="0" borderId="45" xfId="0" applyFont="1" applyBorder="1" applyAlignment="1">
      <alignment vertical="center" wrapText="1"/>
    </xf>
    <xf numFmtId="0" fontId="148" fillId="0" borderId="44" xfId="0" applyFont="1" applyBorder="1" applyAlignment="1">
      <alignment vertical="center" wrapText="1"/>
    </xf>
    <xf numFmtId="0" fontId="94" fillId="0" borderId="0" xfId="0" applyFont="1"/>
    <xf numFmtId="0" fontId="148" fillId="9" borderId="71" xfId="0" applyFont="1" applyFill="1" applyBorder="1" applyAlignment="1">
      <alignment vertical="center" wrapText="1"/>
    </xf>
    <xf numFmtId="0" fontId="93" fillId="0" borderId="28" xfId="0" applyFont="1" applyBorder="1" applyAlignment="1">
      <alignment vertical="top" wrapText="1"/>
    </xf>
    <xf numFmtId="0" fontId="93" fillId="0" borderId="28" xfId="0" applyFont="1" applyBorder="1" applyAlignment="1">
      <alignment vertical="top"/>
    </xf>
    <xf numFmtId="0" fontId="101" fillId="2" borderId="10" xfId="0" applyFont="1" applyFill="1" applyBorder="1" applyAlignment="1">
      <alignment horizontal="left" vertical="top"/>
    </xf>
    <xf numFmtId="3" fontId="158" fillId="0" borderId="0" xfId="0" applyNumberFormat="1" applyFont="1" applyFill="1" applyBorder="1" applyAlignment="1">
      <alignment horizontal="right" vertical="top" wrapText="1"/>
    </xf>
    <xf numFmtId="0" fontId="132" fillId="2" borderId="33" xfId="0" applyFont="1" applyFill="1" applyBorder="1" applyAlignment="1">
      <alignment horizontal="left" vertical="top" wrapText="1"/>
    </xf>
    <xf numFmtId="0" fontId="148" fillId="2" borderId="33" xfId="0" applyFont="1" applyFill="1" applyBorder="1" applyAlignment="1">
      <alignment horizontal="left" vertical="top" wrapText="1"/>
    </xf>
    <xf numFmtId="0" fontId="148" fillId="9" borderId="33" xfId="0" applyFont="1" applyFill="1" applyBorder="1" applyAlignment="1">
      <alignment vertical="center"/>
    </xf>
    <xf numFmtId="0" fontId="148" fillId="9" borderId="33" xfId="0" applyFont="1" applyFill="1" applyBorder="1" applyAlignment="1">
      <alignment horizontal="right" vertical="center"/>
    </xf>
    <xf numFmtId="0" fontId="148" fillId="9" borderId="33" xfId="0" applyFont="1" applyFill="1" applyBorder="1" applyAlignment="1">
      <alignment horizontal="left" vertical="center"/>
    </xf>
    <xf numFmtId="0" fontId="148" fillId="9" borderId="33" xfId="0" applyFont="1" applyFill="1" applyBorder="1"/>
    <xf numFmtId="0" fontId="148" fillId="9" borderId="33" xfId="0" applyFont="1" applyFill="1" applyBorder="1" applyAlignment="1">
      <alignment horizontal="right"/>
    </xf>
    <xf numFmtId="0" fontId="115" fillId="0" borderId="0" xfId="0" applyFont="1" applyBorder="1" applyAlignment="1">
      <alignment vertical="top"/>
    </xf>
    <xf numFmtId="2" fontId="148" fillId="9" borderId="14" xfId="0" applyNumberFormat="1" applyFont="1" applyFill="1" applyBorder="1" applyAlignment="1">
      <alignment vertical="center"/>
    </xf>
    <xf numFmtId="2" fontId="148" fillId="9" borderId="43" xfId="0" applyNumberFormat="1" applyFont="1" applyFill="1" applyBorder="1" applyAlignment="1">
      <alignment vertical="center"/>
    </xf>
    <xf numFmtId="1" fontId="158" fillId="0" borderId="47" xfId="0" applyNumberFormat="1" applyFont="1" applyBorder="1" applyAlignment="1">
      <alignment horizontal="right" vertical="center"/>
    </xf>
    <xf numFmtId="166" fontId="158" fillId="0" borderId="47" xfId="0" applyNumberFormat="1" applyFont="1" applyBorder="1" applyAlignment="1">
      <alignment vertical="center"/>
    </xf>
    <xf numFmtId="0" fontId="158" fillId="0" borderId="47" xfId="0" applyFont="1" applyBorder="1" applyAlignment="1">
      <alignment horizontal="left" vertical="center"/>
    </xf>
    <xf numFmtId="0" fontId="92" fillId="0" borderId="28" xfId="0" applyFont="1" applyBorder="1" applyAlignment="1">
      <alignment vertical="top"/>
    </xf>
    <xf numFmtId="3" fontId="91" fillId="0" borderId="28" xfId="0" applyNumberFormat="1" applyFont="1" applyFill="1" applyBorder="1" applyAlignment="1">
      <alignment horizontal="left" vertical="top"/>
    </xf>
    <xf numFmtId="3" fontId="91" fillId="0" borderId="28" xfId="0" applyNumberFormat="1" applyFont="1" applyFill="1" applyBorder="1" applyAlignment="1">
      <alignment horizontal="left" vertical="center"/>
    </xf>
    <xf numFmtId="3" fontId="91" fillId="2" borderId="28" xfId="0" applyNumberFormat="1" applyFont="1" applyFill="1" applyBorder="1" applyAlignment="1">
      <alignment horizontal="left" vertical="center"/>
    </xf>
    <xf numFmtId="0" fontId="91" fillId="0" borderId="28" xfId="0" applyFont="1" applyBorder="1" applyAlignment="1">
      <alignment vertical="top"/>
    </xf>
    <xf numFmtId="0" fontId="90" fillId="0" borderId="28" xfId="0" applyFont="1" applyBorder="1" applyAlignment="1">
      <alignment vertical="top"/>
    </xf>
    <xf numFmtId="0" fontId="89" fillId="0" borderId="30" xfId="0" applyFont="1" applyBorder="1" applyAlignment="1">
      <alignment vertical="top"/>
    </xf>
    <xf numFmtId="0" fontId="89" fillId="0" borderId="28" xfId="0" applyFont="1" applyBorder="1" applyAlignment="1">
      <alignment vertical="top" wrapText="1"/>
    </xf>
    <xf numFmtId="0" fontId="89" fillId="0" borderId="28" xfId="0" applyFont="1" applyBorder="1" applyAlignment="1">
      <alignment vertical="top"/>
    </xf>
    <xf numFmtId="0" fontId="88" fillId="0" borderId="28" xfId="0" applyFont="1" applyBorder="1" applyAlignment="1">
      <alignment vertical="top"/>
    </xf>
    <xf numFmtId="0" fontId="87" fillId="0" borderId="28" xfId="0" applyFont="1" applyBorder="1" applyAlignment="1">
      <alignment vertical="top"/>
    </xf>
    <xf numFmtId="170" fontId="148" fillId="10" borderId="3" xfId="1" applyNumberFormat="1" applyFont="1" applyFill="1" applyBorder="1" applyAlignment="1">
      <alignment horizontal="left" vertical="center"/>
    </xf>
    <xf numFmtId="170" fontId="148" fillId="10" borderId="41" xfId="1" applyNumberFormat="1" applyFont="1" applyFill="1" applyBorder="1" applyAlignment="1">
      <alignment horizontal="left" vertical="center"/>
    </xf>
    <xf numFmtId="3" fontId="158" fillId="0" borderId="28" xfId="15" applyNumberFormat="1" applyFont="1" applyFill="1" applyBorder="1" applyAlignment="1">
      <alignment vertical="center"/>
    </xf>
    <xf numFmtId="171" fontId="158" fillId="0" borderId="0" xfId="0" quotePrefix="1" applyNumberFormat="1" applyFont="1" applyAlignment="1">
      <alignment horizontal="left"/>
    </xf>
    <xf numFmtId="0" fontId="153" fillId="2" borderId="12" xfId="0" applyFont="1" applyFill="1" applyBorder="1" applyAlignment="1"/>
    <xf numFmtId="9" fontId="158" fillId="0" borderId="29" xfId="1" applyFont="1" applyFill="1" applyBorder="1" applyAlignment="1"/>
    <xf numFmtId="0" fontId="153" fillId="2" borderId="14" xfId="0" applyFont="1" applyFill="1" applyBorder="1" applyAlignment="1"/>
    <xf numFmtId="0" fontId="85" fillId="0" borderId="28" xfId="0" applyFont="1" applyBorder="1" applyAlignment="1">
      <alignment vertical="top"/>
    </xf>
    <xf numFmtId="9" fontId="163" fillId="0" borderId="0" xfId="1" applyFont="1"/>
    <xf numFmtId="0" fontId="163" fillId="2" borderId="0" xfId="0" applyFont="1" applyFill="1" applyBorder="1"/>
    <xf numFmtId="0" fontId="84" fillId="2" borderId="1" xfId="0" applyFont="1" applyFill="1" applyBorder="1" applyAlignment="1">
      <alignment horizontal="center" vertical="top" wrapText="1"/>
    </xf>
    <xf numFmtId="0" fontId="84" fillId="2" borderId="1" xfId="0" applyFont="1" applyFill="1" applyBorder="1" applyAlignment="1">
      <alignment horizontal="left" vertical="top" wrapText="1"/>
    </xf>
    <xf numFmtId="0" fontId="84" fillId="2" borderId="2" xfId="0" applyFont="1" applyFill="1" applyBorder="1" applyAlignment="1">
      <alignment horizontal="left" vertical="top" wrapText="1"/>
    </xf>
    <xf numFmtId="0" fontId="163" fillId="2" borderId="12" xfId="0" applyFont="1" applyFill="1" applyBorder="1"/>
    <xf numFmtId="0" fontId="84" fillId="2" borderId="2" xfId="0" applyFont="1" applyFill="1" applyBorder="1" applyAlignment="1">
      <alignment horizontal="center" vertical="top" wrapText="1"/>
    </xf>
    <xf numFmtId="0" fontId="163" fillId="2" borderId="0" xfId="0" applyFont="1" applyFill="1"/>
    <xf numFmtId="169" fontId="84" fillId="9" borderId="11" xfId="4" applyNumberFormat="1" applyFont="1" applyFill="1" applyBorder="1"/>
    <xf numFmtId="169" fontId="84" fillId="0" borderId="20" xfId="4" applyNumberFormat="1" applyFont="1" applyFill="1" applyBorder="1"/>
    <xf numFmtId="0" fontId="84" fillId="0" borderId="7" xfId="0" applyFont="1" applyBorder="1"/>
    <xf numFmtId="9" fontId="84" fillId="0" borderId="7" xfId="1" applyFont="1" applyBorder="1"/>
    <xf numFmtId="0" fontId="84" fillId="0" borderId="7" xfId="0" applyFont="1" applyBorder="1" applyAlignment="1">
      <alignment wrapText="1"/>
    </xf>
    <xf numFmtId="0" fontId="84" fillId="0" borderId="7" xfId="0" applyFont="1" applyBorder="1" applyAlignment="1">
      <alignment horizontal="left" wrapText="1"/>
    </xf>
    <xf numFmtId="0" fontId="84" fillId="0" borderId="7" xfId="0" applyNumberFormat="1" applyFont="1" applyBorder="1" applyAlignment="1">
      <alignment wrapText="1"/>
    </xf>
    <xf numFmtId="9" fontId="84" fillId="0" borderId="56" xfId="1" applyFont="1" applyBorder="1"/>
    <xf numFmtId="9" fontId="84" fillId="9" borderId="55" xfId="1" applyFont="1" applyFill="1" applyBorder="1"/>
    <xf numFmtId="0" fontId="163" fillId="0" borderId="7" xfId="0" applyFont="1" applyFill="1" applyBorder="1"/>
    <xf numFmtId="0" fontId="163" fillId="0" borderId="7" xfId="0" applyFont="1" applyBorder="1"/>
    <xf numFmtId="9" fontId="84" fillId="9" borderId="14" xfId="1" applyFont="1" applyFill="1" applyBorder="1"/>
    <xf numFmtId="0" fontId="163" fillId="0" borderId="36" xfId="0" applyFont="1" applyFill="1" applyBorder="1"/>
    <xf numFmtId="0" fontId="163" fillId="0" borderId="36" xfId="0" applyFont="1" applyBorder="1"/>
    <xf numFmtId="169" fontId="84" fillId="9" borderId="17" xfId="4" applyNumberFormat="1" applyFont="1" applyFill="1" applyBorder="1"/>
    <xf numFmtId="0" fontId="163" fillId="2" borderId="61" xfId="0" applyFont="1" applyFill="1" applyBorder="1"/>
    <xf numFmtId="0" fontId="84" fillId="0" borderId="23" xfId="0" applyFont="1" applyBorder="1"/>
    <xf numFmtId="0" fontId="163" fillId="0" borderId="23" xfId="0" applyFont="1" applyFill="1" applyBorder="1"/>
    <xf numFmtId="169" fontId="84" fillId="9" borderId="13" xfId="4" applyNumberFormat="1" applyFont="1" applyFill="1" applyBorder="1"/>
    <xf numFmtId="169" fontId="84" fillId="0" borderId="45" xfId="4" applyNumberFormat="1" applyFont="1" applyFill="1" applyBorder="1"/>
    <xf numFmtId="0" fontId="163" fillId="0" borderId="28" xfId="0" applyFont="1" applyBorder="1"/>
    <xf numFmtId="0" fontId="163" fillId="0" borderId="28" xfId="0" applyFont="1" applyFill="1" applyBorder="1"/>
    <xf numFmtId="0" fontId="84" fillId="0" borderId="28" xfId="0" applyFont="1" applyBorder="1"/>
    <xf numFmtId="0" fontId="163" fillId="0" borderId="28" xfId="0" applyFont="1" applyBorder="1" applyAlignment="1">
      <alignment vertical="center" wrapText="1"/>
    </xf>
    <xf numFmtId="9" fontId="84" fillId="9" borderId="40" xfId="1" applyFont="1" applyFill="1" applyBorder="1"/>
    <xf numFmtId="0" fontId="163" fillId="0" borderId="28" xfId="0" applyFont="1" applyBorder="1" applyAlignment="1">
      <alignment wrapText="1"/>
    </xf>
    <xf numFmtId="0" fontId="163" fillId="0" borderId="29" xfId="0" applyFont="1" applyBorder="1"/>
    <xf numFmtId="0" fontId="163" fillId="0" borderId="29" xfId="0" applyFont="1" applyFill="1" applyBorder="1"/>
    <xf numFmtId="169" fontId="84" fillId="9" borderId="39" xfId="4" applyNumberFormat="1" applyFont="1" applyFill="1" applyBorder="1"/>
    <xf numFmtId="169" fontId="84" fillId="0" borderId="41" xfId="4" applyNumberFormat="1" applyFont="1" applyFill="1" applyBorder="1"/>
    <xf numFmtId="0" fontId="84" fillId="0" borderId="0" xfId="0" applyFont="1"/>
    <xf numFmtId="9" fontId="84" fillId="0" borderId="0" xfId="1" applyFont="1"/>
    <xf numFmtId="0" fontId="84" fillId="0" borderId="28" xfId="0" applyFont="1" applyBorder="1" applyAlignment="1">
      <alignment vertical="center" wrapText="1"/>
    </xf>
    <xf numFmtId="0" fontId="84" fillId="0" borderId="28" xfId="0" applyFont="1" applyBorder="1" applyAlignment="1">
      <alignment wrapText="1"/>
    </xf>
    <xf numFmtId="0" fontId="84" fillId="0" borderId="29" xfId="0" applyFont="1" applyBorder="1"/>
    <xf numFmtId="0" fontId="83" fillId="0" borderId="28" xfId="0" applyFont="1" applyBorder="1" applyAlignment="1">
      <alignment vertical="top"/>
    </xf>
    <xf numFmtId="0" fontId="82" fillId="0" borderId="28" xfId="0" applyFont="1" applyBorder="1" applyAlignment="1">
      <alignment vertical="top"/>
    </xf>
    <xf numFmtId="0" fontId="81" fillId="0" borderId="28" xfId="0" applyFont="1" applyBorder="1" applyAlignment="1">
      <alignment vertical="top"/>
    </xf>
    <xf numFmtId="0" fontId="80" fillId="0" borderId="28" xfId="0" applyFont="1" applyBorder="1" applyAlignment="1">
      <alignment vertical="top"/>
    </xf>
    <xf numFmtId="0" fontId="79" fillId="0" borderId="28" xfId="0" applyFont="1" applyBorder="1" applyAlignment="1">
      <alignment vertical="top"/>
    </xf>
    <xf numFmtId="3" fontId="158" fillId="15" borderId="28" xfId="0" applyNumberFormat="1" applyFont="1" applyFill="1" applyBorder="1" applyAlignment="1">
      <alignment horizontal="right" vertical="center"/>
    </xf>
    <xf numFmtId="0" fontId="78" fillId="0" borderId="28" xfId="0" applyFont="1" applyBorder="1" applyAlignment="1">
      <alignment vertical="top"/>
    </xf>
    <xf numFmtId="0" fontId="77" fillId="0" borderId="28" xfId="0" applyFont="1" applyBorder="1" applyAlignment="1">
      <alignment vertical="top"/>
    </xf>
    <xf numFmtId="0" fontId="76" fillId="0" borderId="28" xfId="0" applyFont="1" applyBorder="1" applyAlignment="1">
      <alignment vertical="top"/>
    </xf>
    <xf numFmtId="0" fontId="75" fillId="0" borderId="28" xfId="0" applyFont="1" applyBorder="1" applyAlignment="1">
      <alignment vertical="top"/>
    </xf>
    <xf numFmtId="3" fontId="158" fillId="16" borderId="0" xfId="0" applyNumberFormat="1" applyFont="1" applyFill="1" applyBorder="1" applyAlignment="1" applyProtection="1">
      <alignment horizontal="right" vertical="center" wrapText="1"/>
      <protection locked="0"/>
    </xf>
    <xf numFmtId="3" fontId="158" fillId="17" borderId="28" xfId="0" applyNumberFormat="1" applyFont="1" applyFill="1" applyBorder="1" applyAlignment="1">
      <alignment horizontal="right" vertical="center"/>
    </xf>
    <xf numFmtId="3" fontId="158" fillId="16" borderId="6" xfId="0" applyNumberFormat="1" applyFont="1" applyFill="1" applyBorder="1" applyAlignment="1" applyProtection="1">
      <alignment horizontal="right" vertical="center" wrapText="1"/>
      <protection locked="0"/>
    </xf>
    <xf numFmtId="3" fontId="158" fillId="16" borderId="9" xfId="0" applyNumberFormat="1" applyFont="1" applyFill="1" applyBorder="1" applyAlignment="1" applyProtection="1">
      <alignment horizontal="right" vertical="center" wrapText="1"/>
      <protection locked="0"/>
    </xf>
    <xf numFmtId="3" fontId="158" fillId="16" borderId="28" xfId="0" applyNumberFormat="1" applyFont="1" applyFill="1" applyBorder="1" applyAlignment="1">
      <alignment horizontal="right" vertical="center"/>
    </xf>
    <xf numFmtId="3" fontId="158" fillId="16" borderId="13" xfId="0" applyNumberFormat="1" applyFont="1" applyFill="1" applyBorder="1" applyAlignment="1" applyProtection="1">
      <alignment horizontal="right" vertical="center" wrapText="1"/>
      <protection locked="0"/>
    </xf>
    <xf numFmtId="3" fontId="158" fillId="16" borderId="4" xfId="0" applyNumberFormat="1" applyFont="1" applyFill="1" applyBorder="1" applyAlignment="1" applyProtection="1">
      <alignment horizontal="right" vertical="center" wrapText="1"/>
      <protection locked="0"/>
    </xf>
    <xf numFmtId="3" fontId="158" fillId="16" borderId="11" xfId="0" applyNumberFormat="1" applyFont="1" applyFill="1" applyBorder="1" applyAlignment="1" applyProtection="1">
      <alignment horizontal="right" vertical="center" wrapText="1"/>
      <protection locked="0"/>
    </xf>
    <xf numFmtId="3" fontId="158" fillId="16" borderId="5" xfId="0" applyNumberFormat="1" applyFont="1" applyFill="1" applyBorder="1" applyAlignment="1" applyProtection="1">
      <alignment horizontal="right" vertical="center" wrapText="1"/>
      <protection locked="0"/>
    </xf>
    <xf numFmtId="3" fontId="165" fillId="16" borderId="11" xfId="0" applyNumberFormat="1" applyFont="1" applyFill="1" applyBorder="1" applyAlignment="1" applyProtection="1">
      <alignment horizontal="right" vertical="center" wrapText="1"/>
      <protection locked="0"/>
    </xf>
    <xf numFmtId="3" fontId="165" fillId="16" borderId="5" xfId="0" applyNumberFormat="1" applyFont="1" applyFill="1" applyBorder="1" applyAlignment="1" applyProtection="1">
      <alignment horizontal="right" vertical="center" wrapText="1"/>
      <protection locked="0"/>
    </xf>
    <xf numFmtId="3" fontId="165" fillId="16" borderId="28" xfId="0" applyNumberFormat="1" applyFont="1" applyFill="1" applyBorder="1" applyAlignment="1">
      <alignment horizontal="right" vertical="center"/>
    </xf>
    <xf numFmtId="3" fontId="158" fillId="16" borderId="17" xfId="0" applyNumberFormat="1" applyFont="1" applyFill="1" applyBorder="1" applyAlignment="1" applyProtection="1">
      <alignment horizontal="right" vertical="center" wrapText="1"/>
      <protection locked="0"/>
    </xf>
    <xf numFmtId="3" fontId="158" fillId="16" borderId="19" xfId="0" applyNumberFormat="1" applyFont="1" applyFill="1" applyBorder="1" applyAlignment="1" applyProtection="1">
      <alignment horizontal="right" vertical="center" wrapText="1"/>
      <protection locked="0"/>
    </xf>
    <xf numFmtId="3" fontId="178" fillId="0" borderId="28" xfId="0" quotePrefix="1" applyNumberFormat="1" applyFont="1" applyFill="1" applyBorder="1" applyAlignment="1">
      <alignment vertical="center"/>
    </xf>
    <xf numFmtId="3" fontId="158" fillId="9" borderId="10" xfId="0" applyNumberFormat="1" applyFont="1" applyFill="1" applyBorder="1" applyAlignment="1" applyProtection="1">
      <alignment horizontal="right" vertical="center" wrapText="1"/>
      <protection locked="0"/>
    </xf>
    <xf numFmtId="3" fontId="158" fillId="9" borderId="18" xfId="0" applyNumberFormat="1" applyFont="1" applyFill="1" applyBorder="1" applyAlignment="1" applyProtection="1">
      <alignment horizontal="right" vertical="center" wrapText="1"/>
      <protection locked="0"/>
    </xf>
    <xf numFmtId="3" fontId="74" fillId="0" borderId="28" xfId="0" applyNumberFormat="1" applyFont="1" applyFill="1" applyBorder="1" applyAlignment="1">
      <alignment horizontal="left" vertical="top"/>
    </xf>
    <xf numFmtId="3" fontId="74" fillId="0" borderId="28" xfId="0" applyNumberFormat="1" applyFont="1" applyFill="1" applyBorder="1" applyAlignment="1">
      <alignment horizontal="left" vertical="center"/>
    </xf>
    <xf numFmtId="3" fontId="158" fillId="17" borderId="28" xfId="0" applyNumberFormat="1" applyFont="1" applyFill="1" applyBorder="1" applyAlignment="1">
      <alignment vertical="center"/>
    </xf>
    <xf numFmtId="3" fontId="158" fillId="0" borderId="14" xfId="0" applyNumberFormat="1" applyFont="1" applyFill="1" applyBorder="1" applyAlignment="1" applyProtection="1">
      <alignment horizontal="right" vertical="center" wrapText="1"/>
      <protection locked="0"/>
    </xf>
    <xf numFmtId="3" fontId="158" fillId="2" borderId="23" xfId="0" applyNumberFormat="1" applyFont="1" applyFill="1" applyBorder="1" applyAlignment="1">
      <alignment horizontal="right" vertical="center"/>
    </xf>
    <xf numFmtId="3" fontId="158" fillId="0" borderId="17" xfId="0" applyNumberFormat="1" applyFont="1" applyFill="1" applyBorder="1" applyAlignment="1" applyProtection="1">
      <alignment horizontal="right" vertical="center" wrapText="1"/>
      <protection locked="0"/>
    </xf>
    <xf numFmtId="3" fontId="158" fillId="0" borderId="3" xfId="0" applyNumberFormat="1" applyFont="1" applyFill="1" applyBorder="1" applyAlignment="1" applyProtection="1">
      <alignment horizontal="right" vertical="center" wrapText="1"/>
      <protection locked="0"/>
    </xf>
    <xf numFmtId="3" fontId="158" fillId="0" borderId="5" xfId="0" applyNumberFormat="1" applyFont="1" applyFill="1" applyBorder="1" applyAlignment="1" applyProtection="1">
      <alignment horizontal="right" vertical="center" wrapText="1"/>
      <protection locked="0"/>
    </xf>
    <xf numFmtId="3" fontId="158" fillId="0" borderId="30" xfId="0" applyNumberFormat="1" applyFont="1" applyFill="1" applyBorder="1" applyAlignment="1">
      <alignment vertical="center"/>
    </xf>
    <xf numFmtId="9" fontId="158" fillId="0" borderId="0" xfId="1" applyFont="1" applyFill="1" applyBorder="1" applyAlignment="1">
      <alignment horizontal="left" vertical="top" wrapText="1"/>
    </xf>
    <xf numFmtId="9" fontId="158" fillId="0" borderId="0" xfId="1" applyFont="1" applyFill="1" applyBorder="1" applyAlignment="1">
      <alignment vertical="center"/>
    </xf>
    <xf numFmtId="9" fontId="158" fillId="0" borderId="66" xfId="1" applyFont="1" applyFill="1" applyBorder="1" applyAlignment="1">
      <alignment vertical="center"/>
    </xf>
    <xf numFmtId="9" fontId="158" fillId="2" borderId="66" xfId="1" applyFont="1" applyFill="1" applyBorder="1" applyAlignment="1">
      <alignment vertical="center"/>
    </xf>
    <xf numFmtId="9" fontId="158" fillId="2" borderId="66" xfId="1" applyFont="1" applyFill="1" applyBorder="1" applyAlignment="1">
      <alignment horizontal="center" vertical="center" wrapText="1"/>
    </xf>
    <xf numFmtId="9" fontId="158" fillId="0" borderId="23" xfId="1" applyFont="1" applyFill="1" applyBorder="1" applyAlignment="1">
      <alignment vertical="center"/>
    </xf>
    <xf numFmtId="9" fontId="174" fillId="0" borderId="28" xfId="1" applyFont="1" applyFill="1" applyBorder="1" applyAlignment="1">
      <alignment vertical="center"/>
    </xf>
    <xf numFmtId="9" fontId="158" fillId="0" borderId="28" xfId="1" applyFont="1" applyFill="1" applyBorder="1" applyAlignment="1">
      <alignment vertical="center"/>
    </xf>
    <xf numFmtId="9" fontId="158" fillId="2" borderId="28" xfId="1" applyFont="1" applyFill="1" applyBorder="1" applyAlignment="1">
      <alignment vertical="center"/>
    </xf>
    <xf numFmtId="9" fontId="174" fillId="0" borderId="29" xfId="1" applyFont="1" applyFill="1" applyBorder="1" applyAlignment="1">
      <alignment vertical="center"/>
    </xf>
    <xf numFmtId="169" fontId="73" fillId="9" borderId="0" xfId="4" applyNumberFormat="1" applyFont="1" applyFill="1" applyBorder="1" applyAlignment="1">
      <alignment horizontal="right" vertical="center"/>
    </xf>
    <xf numFmtId="170" fontId="73" fillId="3" borderId="0" xfId="1" applyNumberFormat="1" applyFont="1" applyFill="1" applyBorder="1" applyAlignment="1">
      <alignment horizontal="right" vertical="center"/>
    </xf>
    <xf numFmtId="0" fontId="158" fillId="0" borderId="9" xfId="0" applyFont="1" applyFill="1" applyBorder="1" applyAlignment="1">
      <alignment vertical="center"/>
    </xf>
    <xf numFmtId="0" fontId="73" fillId="0" borderId="6" xfId="0" applyFont="1" applyBorder="1" applyAlignment="1">
      <alignment wrapText="1"/>
    </xf>
    <xf numFmtId="0" fontId="73" fillId="2" borderId="19" xfId="0" applyFont="1" applyFill="1" applyBorder="1" applyAlignment="1">
      <alignment vertical="top" wrapText="1"/>
    </xf>
    <xf numFmtId="0" fontId="73" fillId="0" borderId="71" xfId="0" applyFont="1" applyFill="1" applyBorder="1" applyAlignment="1">
      <alignment vertical="center"/>
    </xf>
    <xf numFmtId="169" fontId="73" fillId="9" borderId="27" xfId="4" applyNumberFormat="1" applyFont="1" applyFill="1" applyBorder="1" applyAlignment="1">
      <alignment horizontal="right" vertical="center"/>
    </xf>
    <xf numFmtId="170" fontId="73" fillId="3" borderId="27" xfId="1" applyNumberFormat="1" applyFont="1" applyFill="1" applyBorder="1" applyAlignment="1">
      <alignment horizontal="right" vertical="center"/>
    </xf>
    <xf numFmtId="0" fontId="0" fillId="0" borderId="31" xfId="0" applyBorder="1"/>
    <xf numFmtId="169" fontId="148" fillId="0" borderId="28" xfId="0" applyNumberFormat="1" applyFont="1" applyBorder="1" applyAlignment="1">
      <alignment vertical="center" wrapText="1"/>
    </xf>
    <xf numFmtId="0" fontId="71" fillId="0" borderId="0" xfId="0" applyFont="1"/>
    <xf numFmtId="0" fontId="71" fillId="0" borderId="0" xfId="0" applyFont="1" applyAlignment="1">
      <alignment vertical="center"/>
    </xf>
    <xf numFmtId="0" fontId="163" fillId="0" borderId="0" xfId="0" applyFont="1" applyAlignment="1">
      <alignment vertical="center"/>
    </xf>
    <xf numFmtId="0" fontId="158" fillId="0" borderId="77" xfId="28" applyFont="1" applyBorder="1" applyAlignment="1">
      <alignment vertical="center"/>
    </xf>
    <xf numFmtId="3" fontId="165" fillId="9" borderId="2" xfId="0" applyNumberFormat="1" applyFont="1" applyFill="1" applyBorder="1" applyAlignment="1" applyProtection="1">
      <alignment horizontal="right" vertical="center" wrapText="1"/>
      <protection locked="0"/>
    </xf>
    <xf numFmtId="3" fontId="165" fillId="9" borderId="4" xfId="0" applyNumberFormat="1" applyFont="1" applyFill="1" applyBorder="1" applyAlignment="1" applyProtection="1">
      <alignment horizontal="right" vertical="center" wrapText="1"/>
      <protection locked="0"/>
    </xf>
    <xf numFmtId="0" fontId="69" fillId="0" borderId="45" xfId="0" applyFont="1" applyFill="1" applyBorder="1" applyAlignment="1">
      <alignment vertical="center"/>
    </xf>
    <xf numFmtId="0" fontId="68" fillId="0" borderId="28" xfId="0" applyFont="1" applyBorder="1" applyAlignment="1">
      <alignment vertical="top"/>
    </xf>
    <xf numFmtId="0" fontId="171" fillId="0" borderId="24" xfId="0" applyFont="1" applyFill="1" applyBorder="1" applyAlignment="1">
      <alignment vertical="center"/>
    </xf>
    <xf numFmtId="0" fontId="67" fillId="2" borderId="1" xfId="0" applyFont="1" applyFill="1" applyBorder="1" applyAlignment="1">
      <alignment vertical="top"/>
    </xf>
    <xf numFmtId="3" fontId="158" fillId="2" borderId="0" xfId="0" applyNumberFormat="1" applyFont="1" applyFill="1" applyBorder="1" applyAlignment="1">
      <alignment horizontal="left" vertical="center" wrapText="1"/>
    </xf>
    <xf numFmtId="0" fontId="66" fillId="0" borderId="28" xfId="0" applyFont="1" applyBorder="1" applyAlignment="1">
      <alignment vertical="top"/>
    </xf>
    <xf numFmtId="3" fontId="158" fillId="2" borderId="0" xfId="0" applyNumberFormat="1" applyFont="1" applyFill="1" applyBorder="1" applyAlignment="1">
      <alignment vertical="center" wrapText="1"/>
    </xf>
    <xf numFmtId="0" fontId="66" fillId="0" borderId="24" xfId="0" applyFont="1" applyBorder="1" applyAlignment="1">
      <alignment horizontal="left" vertical="center"/>
    </xf>
    <xf numFmtId="0" fontId="65" fillId="0" borderId="28" xfId="0" applyFont="1" applyBorder="1" applyAlignment="1">
      <alignment vertical="top"/>
    </xf>
    <xf numFmtId="0" fontId="174" fillId="6" borderId="0" xfId="0" applyFont="1" applyFill="1" applyBorder="1"/>
    <xf numFmtId="0" fontId="174" fillId="6" borderId="0" xfId="0" applyFont="1" applyFill="1" applyBorder="1" applyAlignment="1">
      <alignment vertical="center" wrapText="1"/>
    </xf>
    <xf numFmtId="0" fontId="154" fillId="0" borderId="0" xfId="0" applyFont="1" applyBorder="1" applyAlignment="1">
      <alignment horizontal="left" vertical="top" wrapText="1"/>
    </xf>
    <xf numFmtId="0" fontId="64" fillId="0" borderId="28" xfId="0" applyFont="1" applyBorder="1" applyAlignment="1">
      <alignment vertical="top"/>
    </xf>
    <xf numFmtId="0" fontId="155" fillId="0" borderId="0" xfId="0" applyFont="1"/>
    <xf numFmtId="0" fontId="64" fillId="9" borderId="12" xfId="0" applyFont="1" applyFill="1" applyBorder="1" applyAlignment="1">
      <alignment horizontal="right" vertical="center"/>
    </xf>
    <xf numFmtId="0" fontId="148" fillId="0" borderId="67" xfId="0" applyFont="1" applyBorder="1" applyAlignment="1">
      <alignment horizontal="center" vertical="center"/>
    </xf>
    <xf numFmtId="0" fontId="148" fillId="0" borderId="67" xfId="0" applyFont="1" applyBorder="1" applyAlignment="1">
      <alignment horizontal="center"/>
    </xf>
    <xf numFmtId="9" fontId="148" fillId="2" borderId="20" xfId="1" applyFont="1" applyFill="1" applyBorder="1" applyAlignment="1">
      <alignment horizontal="center" vertical="center"/>
    </xf>
    <xf numFmtId="0" fontId="63" fillId="0" borderId="44" xfId="0" applyFont="1" applyBorder="1"/>
    <xf numFmtId="0" fontId="63" fillId="0" borderId="44" xfId="0" applyFont="1" applyBorder="1" applyAlignment="1">
      <alignment horizontal="center" vertical="center"/>
    </xf>
    <xf numFmtId="0" fontId="63" fillId="0" borderId="44" xfId="0" applyFont="1" applyBorder="1" applyAlignment="1">
      <alignment horizontal="center"/>
    </xf>
    <xf numFmtId="0" fontId="63" fillId="0" borderId="28" xfId="0" applyFont="1" applyBorder="1" applyAlignment="1">
      <alignment vertical="top"/>
    </xf>
    <xf numFmtId="0" fontId="62" fillId="0" borderId="28" xfId="0" applyFont="1" applyBorder="1" applyAlignment="1">
      <alignment vertical="top"/>
    </xf>
    <xf numFmtId="0" fontId="62" fillId="0" borderId="28" xfId="0" applyFont="1" applyBorder="1" applyAlignment="1">
      <alignment vertical="top" wrapText="1"/>
    </xf>
    <xf numFmtId="0" fontId="61" fillId="0" borderId="24" xfId="0" applyFont="1" applyBorder="1"/>
    <xf numFmtId="0" fontId="61" fillId="0" borderId="67" xfId="0" applyFont="1" applyBorder="1"/>
    <xf numFmtId="169" fontId="117" fillId="0" borderId="20" xfId="4" applyNumberFormat="1" applyFont="1" applyBorder="1" applyAlignment="1">
      <alignment vertical="center"/>
    </xf>
    <xf numFmtId="0" fontId="60" fillId="0" borderId="28" xfId="0" applyFont="1" applyBorder="1" applyAlignment="1">
      <alignment vertical="top"/>
    </xf>
    <xf numFmtId="0" fontId="59" fillId="0" borderId="28" xfId="0" applyFont="1" applyBorder="1" applyAlignment="1">
      <alignment vertical="top"/>
    </xf>
    <xf numFmtId="0" fontId="58" fillId="0" borderId="28" xfId="0" applyFont="1" applyBorder="1" applyAlignment="1">
      <alignment vertical="top"/>
    </xf>
    <xf numFmtId="0" fontId="58" fillId="0" borderId="0" xfId="0" applyFont="1" applyBorder="1" applyAlignment="1">
      <alignment vertical="top"/>
    </xf>
    <xf numFmtId="0" fontId="57" fillId="0" borderId="28" xfId="0" applyFont="1" applyBorder="1" applyAlignment="1">
      <alignment vertical="top"/>
    </xf>
    <xf numFmtId="169" fontId="148" fillId="0" borderId="29" xfId="0" applyNumberFormat="1" applyFont="1" applyBorder="1" applyAlignment="1">
      <alignment vertical="center" wrapText="1"/>
    </xf>
    <xf numFmtId="0" fontId="56" fillId="0" borderId="30" xfId="0" applyFont="1" applyBorder="1" applyAlignment="1">
      <alignment vertical="top"/>
    </xf>
    <xf numFmtId="0" fontId="148" fillId="2" borderId="1" xfId="0" applyFont="1" applyFill="1" applyBorder="1" applyAlignment="1">
      <alignment horizontal="left" vertical="top" wrapText="1"/>
    </xf>
    <xf numFmtId="0" fontId="170" fillId="0" borderId="0" xfId="0" applyFont="1" applyAlignment="1">
      <alignment horizontal="left" vertical="center" wrapText="1"/>
    </xf>
    <xf numFmtId="0" fontId="148" fillId="2" borderId="4" xfId="0" applyFont="1" applyFill="1" applyBorder="1" applyAlignment="1">
      <alignment vertical="center" wrapText="1"/>
    </xf>
    <xf numFmtId="0" fontId="148" fillId="2" borderId="5" xfId="0" applyFont="1" applyFill="1" applyBorder="1" applyAlignment="1">
      <alignment vertical="center" wrapText="1"/>
    </xf>
    <xf numFmtId="0" fontId="148" fillId="2" borderId="74" xfId="0" applyFont="1" applyFill="1" applyBorder="1" applyAlignment="1">
      <alignment vertical="center" wrapText="1"/>
    </xf>
    <xf numFmtId="170" fontId="102" fillId="0" borderId="24" xfId="1" applyNumberFormat="1" applyFont="1" applyFill="1" applyBorder="1" applyAlignment="1">
      <alignment vertical="center" wrapText="1"/>
    </xf>
    <xf numFmtId="9" fontId="102" fillId="0" borderId="24" xfId="1" applyNumberFormat="1" applyFont="1" applyFill="1" applyBorder="1" applyAlignment="1">
      <alignment vertical="center" wrapText="1"/>
    </xf>
    <xf numFmtId="0" fontId="148" fillId="2" borderId="71" xfId="0" applyFont="1" applyFill="1" applyBorder="1" applyAlignment="1">
      <alignment vertical="center" wrapText="1"/>
    </xf>
    <xf numFmtId="0" fontId="148" fillId="2" borderId="71" xfId="0" applyFont="1" applyFill="1" applyBorder="1" applyAlignment="1">
      <alignment vertical="center"/>
    </xf>
    <xf numFmtId="9" fontId="102" fillId="0" borderId="45" xfId="1" applyFont="1" applyFill="1" applyBorder="1" applyAlignment="1">
      <alignment vertical="center" wrapText="1"/>
    </xf>
    <xf numFmtId="0" fontId="55" fillId="2" borderId="1" xfId="0" applyFont="1" applyFill="1" applyBorder="1" applyAlignment="1">
      <alignment horizontal="left" vertical="center" wrapText="1"/>
    </xf>
    <xf numFmtId="0" fontId="55" fillId="0" borderId="0" xfId="0" applyFont="1" applyFill="1" applyBorder="1"/>
    <xf numFmtId="0" fontId="148" fillId="0" borderId="45" xfId="0" applyFont="1" applyBorder="1" applyAlignment="1">
      <alignment horizontal="left" vertical="center"/>
    </xf>
    <xf numFmtId="0" fontId="148" fillId="0" borderId="45" xfId="0" applyFont="1" applyBorder="1" applyAlignment="1">
      <alignment horizontal="left" vertical="center" wrapText="1"/>
    </xf>
    <xf numFmtId="169" fontId="148" fillId="10" borderId="2" xfId="4" applyNumberFormat="1" applyFont="1" applyFill="1" applyBorder="1" applyAlignment="1">
      <alignment horizontal="left" vertical="center"/>
    </xf>
    <xf numFmtId="169" fontId="148" fillId="0" borderId="45" xfId="4" applyNumberFormat="1" applyFont="1" applyBorder="1" applyAlignment="1">
      <alignment horizontal="left" vertical="center"/>
    </xf>
    <xf numFmtId="170" fontId="148" fillId="10" borderId="2" xfId="1" applyNumberFormat="1" applyFont="1" applyFill="1" applyBorder="1" applyAlignment="1">
      <alignment horizontal="left" vertical="center"/>
    </xf>
    <xf numFmtId="170" fontId="148" fillId="0" borderId="45" xfId="1" applyNumberFormat="1" applyFont="1" applyBorder="1" applyAlignment="1">
      <alignment horizontal="center" vertical="center"/>
    </xf>
    <xf numFmtId="0" fontId="148" fillId="2" borderId="41" xfId="0" applyFont="1" applyFill="1" applyBorder="1" applyAlignment="1">
      <alignment vertical="top" wrapText="1"/>
    </xf>
    <xf numFmtId="0" fontId="158" fillId="2" borderId="33" xfId="0" applyFont="1" applyFill="1" applyBorder="1" applyAlignment="1">
      <alignment vertical="top" wrapText="1"/>
    </xf>
    <xf numFmtId="0" fontId="148" fillId="2" borderId="41" xfId="0" applyFont="1" applyFill="1" applyBorder="1" applyAlignment="1">
      <alignment horizontal="right" wrapText="1"/>
    </xf>
    <xf numFmtId="0" fontId="135" fillId="0" borderId="42" xfId="0" applyFont="1" applyBorder="1" applyAlignment="1">
      <alignment vertical="center"/>
    </xf>
    <xf numFmtId="0" fontId="148" fillId="0" borderId="45" xfId="0" applyFont="1" applyBorder="1" applyAlignment="1">
      <alignment vertical="center"/>
    </xf>
    <xf numFmtId="0" fontId="117" fillId="0" borderId="45" xfId="0" applyFont="1" applyBorder="1" applyAlignment="1">
      <alignment vertical="center"/>
    </xf>
    <xf numFmtId="175" fontId="158" fillId="0" borderId="79" xfId="0" applyNumberFormat="1" applyFont="1" applyFill="1" applyBorder="1" applyAlignment="1">
      <alignment horizontal="right" vertical="center"/>
    </xf>
    <xf numFmtId="175" fontId="158" fillId="0" borderId="75" xfId="0" applyNumberFormat="1" applyFont="1" applyFill="1" applyBorder="1" applyAlignment="1">
      <alignment horizontal="right" vertical="center"/>
    </xf>
    <xf numFmtId="0" fontId="148" fillId="0" borderId="22" xfId="0" applyFont="1" applyBorder="1" applyAlignment="1">
      <alignment vertical="center" wrapText="1"/>
    </xf>
    <xf numFmtId="169" fontId="117" fillId="0" borderId="45" xfId="4" applyNumberFormat="1" applyFont="1" applyBorder="1" applyAlignment="1">
      <alignment vertical="center"/>
    </xf>
    <xf numFmtId="0" fontId="148" fillId="2" borderId="41" xfId="0" applyFont="1" applyFill="1" applyBorder="1" applyAlignment="1">
      <alignment vertical="top"/>
    </xf>
    <xf numFmtId="0" fontId="117" fillId="2" borderId="31" xfId="0" applyFont="1" applyFill="1" applyBorder="1" applyAlignment="1">
      <alignment vertical="top"/>
    </xf>
    <xf numFmtId="0" fontId="148" fillId="2" borderId="31" xfId="0" applyFont="1" applyFill="1" applyBorder="1" applyAlignment="1">
      <alignment vertical="top"/>
    </xf>
    <xf numFmtId="0" fontId="148" fillId="2" borderId="33" xfId="0" applyFont="1" applyFill="1" applyBorder="1" applyAlignment="1">
      <alignment horizontal="right"/>
    </xf>
    <xf numFmtId="0" fontId="148" fillId="0" borderId="23" xfId="0" applyFont="1" applyFill="1" applyBorder="1" applyAlignment="1">
      <alignment vertical="center"/>
    </xf>
    <xf numFmtId="169" fontId="148" fillId="9" borderId="2" xfId="4" applyNumberFormat="1" applyFont="1" applyFill="1" applyBorder="1" applyAlignment="1">
      <alignment vertical="center"/>
    </xf>
    <xf numFmtId="0" fontId="148" fillId="2" borderId="33" xfId="0" applyFont="1" applyFill="1" applyBorder="1" applyAlignment="1">
      <alignment vertical="top" wrapText="1"/>
    </xf>
    <xf numFmtId="0" fontId="148" fillId="2" borderId="33" xfId="0" applyFont="1" applyFill="1" applyBorder="1" applyAlignment="1">
      <alignment vertical="top"/>
    </xf>
    <xf numFmtId="169" fontId="148" fillId="9" borderId="2" xfId="4" applyNumberFormat="1" applyFont="1" applyFill="1" applyBorder="1"/>
    <xf numFmtId="0" fontId="171" fillId="2" borderId="33" xfId="0" applyFont="1" applyFill="1" applyBorder="1" applyAlignment="1">
      <alignment vertical="top" wrapText="1"/>
    </xf>
    <xf numFmtId="3" fontId="158" fillId="0" borderId="6" xfId="0" applyNumberFormat="1" applyFont="1" applyFill="1" applyBorder="1" applyAlignment="1">
      <alignment horizontal="left" vertical="center" wrapText="1"/>
    </xf>
    <xf numFmtId="3" fontId="158" fillId="0" borderId="1" xfId="0" applyNumberFormat="1" applyFont="1" applyFill="1" applyBorder="1" applyAlignment="1">
      <alignment horizontal="center" vertical="center" wrapText="1"/>
    </xf>
    <xf numFmtId="3" fontId="158" fillId="0" borderId="1" xfId="0" applyNumberFormat="1" applyFont="1" applyFill="1" applyBorder="1" applyAlignment="1">
      <alignment horizontal="left" vertical="center" wrapText="1"/>
    </xf>
    <xf numFmtId="0" fontId="158" fillId="0" borderId="1" xfId="0" applyFont="1" applyFill="1" applyBorder="1" applyAlignment="1">
      <alignment vertical="center" wrapText="1"/>
    </xf>
    <xf numFmtId="3" fontId="158" fillId="2" borderId="39" xfId="0" applyNumberFormat="1" applyFont="1" applyFill="1" applyBorder="1" applyAlignment="1">
      <alignment vertical="center" wrapText="1"/>
    </xf>
    <xf numFmtId="3" fontId="158" fillId="2" borderId="33" xfId="0" applyNumberFormat="1" applyFont="1" applyFill="1" applyBorder="1" applyAlignment="1">
      <alignment vertical="center" textRotation="90" wrapText="1"/>
    </xf>
    <xf numFmtId="3" fontId="158" fillId="2" borderId="33" xfId="0" applyNumberFormat="1" applyFont="1" applyFill="1" applyBorder="1" applyAlignment="1">
      <alignment horizontal="left" vertical="center" wrapText="1"/>
    </xf>
    <xf numFmtId="0" fontId="158" fillId="2" borderId="33" xfId="0" applyFont="1" applyFill="1" applyBorder="1" applyAlignment="1">
      <alignment horizontal="center" vertical="center" wrapText="1"/>
    </xf>
    <xf numFmtId="14" fontId="158" fillId="2" borderId="33" xfId="0" applyNumberFormat="1" applyFont="1" applyFill="1" applyBorder="1" applyAlignment="1">
      <alignment horizontal="center" vertical="center" wrapText="1"/>
    </xf>
    <xf numFmtId="0" fontId="158" fillId="2" borderId="33" xfId="0" applyFont="1" applyFill="1" applyBorder="1" applyAlignment="1">
      <alignment vertical="center"/>
    </xf>
    <xf numFmtId="173" fontId="158" fillId="2" borderId="33" xfId="0" applyNumberFormat="1" applyFont="1" applyFill="1" applyBorder="1" applyAlignment="1">
      <alignment horizontal="center" vertical="center"/>
    </xf>
    <xf numFmtId="173" fontId="158" fillId="2" borderId="74" xfId="0" applyNumberFormat="1" applyFont="1" applyFill="1" applyBorder="1" applyAlignment="1">
      <alignment horizontal="center" vertical="center"/>
    </xf>
    <xf numFmtId="0" fontId="122" fillId="0" borderId="22" xfId="0" applyFont="1" applyBorder="1"/>
    <xf numFmtId="0" fontId="148" fillId="0" borderId="80" xfId="0" applyFont="1" applyFill="1" applyBorder="1"/>
    <xf numFmtId="0" fontId="148" fillId="0" borderId="81" xfId="0" applyFont="1" applyBorder="1"/>
    <xf numFmtId="169" fontId="148" fillId="9" borderId="13" xfId="4" applyNumberFormat="1" applyFont="1" applyFill="1" applyBorder="1"/>
    <xf numFmtId="0" fontId="148" fillId="9" borderId="2" xfId="0" applyFont="1" applyFill="1" applyBorder="1" applyAlignment="1">
      <alignment horizontal="left" vertical="center"/>
    </xf>
    <xf numFmtId="0" fontId="148" fillId="9" borderId="2" xfId="0" applyFont="1" applyFill="1" applyBorder="1"/>
    <xf numFmtId="0" fontId="148" fillId="9" borderId="2" xfId="0" applyFont="1" applyFill="1" applyBorder="1" applyAlignment="1">
      <alignment horizontal="right"/>
    </xf>
    <xf numFmtId="0" fontId="141" fillId="8" borderId="33" xfId="0" applyFont="1" applyFill="1" applyBorder="1" applyAlignment="1">
      <alignment vertical="top" wrapText="1"/>
    </xf>
    <xf numFmtId="0" fontId="171" fillId="8" borderId="33" xfId="0" applyFont="1" applyFill="1" applyBorder="1" applyAlignment="1">
      <alignment vertical="top" wrapText="1"/>
    </xf>
    <xf numFmtId="0" fontId="171" fillId="8" borderId="71" xfId="0" applyFont="1" applyFill="1" applyBorder="1" applyAlignment="1">
      <alignment horizontal="left" vertical="center" wrapText="1"/>
    </xf>
    <xf numFmtId="0" fontId="171" fillId="8" borderId="33" xfId="0" applyFont="1" applyFill="1" applyBorder="1" applyAlignment="1">
      <alignment horizontal="right"/>
    </xf>
    <xf numFmtId="0" fontId="148" fillId="9" borderId="2" xfId="0" applyFont="1" applyFill="1" applyBorder="1" applyAlignment="1">
      <alignment vertical="center"/>
    </xf>
    <xf numFmtId="0" fontId="148" fillId="9" borderId="2" xfId="0" applyFont="1" applyFill="1" applyBorder="1" applyAlignment="1">
      <alignment horizontal="right" vertical="center"/>
    </xf>
    <xf numFmtId="0" fontId="148" fillId="0" borderId="42" xfId="0" applyFont="1" applyBorder="1" applyAlignment="1">
      <alignment horizontal="left" vertical="center"/>
    </xf>
    <xf numFmtId="10" fontId="132" fillId="0" borderId="23" xfId="1" applyNumberFormat="1" applyFont="1" applyBorder="1" applyAlignment="1">
      <alignment horizontal="center" vertical="center"/>
    </xf>
    <xf numFmtId="0" fontId="148" fillId="2" borderId="74" xfId="0" applyFont="1" applyFill="1" applyBorder="1" applyAlignment="1">
      <alignment vertical="top"/>
    </xf>
    <xf numFmtId="0" fontId="84" fillId="0" borderId="75" xfId="0" applyFont="1" applyBorder="1"/>
    <xf numFmtId="0" fontId="153" fillId="0" borderId="75" xfId="0" applyFont="1" applyBorder="1"/>
    <xf numFmtId="9" fontId="84" fillId="0" borderId="75" xfId="1" applyFont="1" applyBorder="1"/>
    <xf numFmtId="0" fontId="163" fillId="2" borderId="43" xfId="0" applyFont="1" applyFill="1" applyBorder="1"/>
    <xf numFmtId="0" fontId="84" fillId="2" borderId="41" xfId="0" applyFont="1" applyFill="1" applyBorder="1" applyAlignment="1">
      <alignment horizontal="left" vertical="top" wrapText="1"/>
    </xf>
    <xf numFmtId="169" fontId="84" fillId="0" borderId="82" xfId="4" applyNumberFormat="1" applyFont="1" applyFill="1" applyBorder="1"/>
    <xf numFmtId="172" fontId="165" fillId="9" borderId="2" xfId="0" applyNumberFormat="1" applyFont="1" applyFill="1" applyBorder="1" applyAlignment="1" applyProtection="1">
      <alignment horizontal="left" wrapText="1"/>
      <protection locked="0"/>
    </xf>
    <xf numFmtId="172" fontId="0" fillId="9" borderId="2" xfId="0" applyNumberFormat="1" applyFill="1" applyBorder="1" applyAlignment="1" applyProtection="1">
      <alignment horizontal="left" wrapText="1"/>
      <protection locked="0"/>
    </xf>
    <xf numFmtId="0" fontId="171" fillId="2" borderId="83" xfId="0" applyFont="1" applyFill="1" applyBorder="1" applyAlignment="1">
      <alignment vertical="top" wrapText="1"/>
    </xf>
    <xf numFmtId="0" fontId="174" fillId="2" borderId="31" xfId="0" applyFont="1" applyFill="1" applyBorder="1" applyAlignment="1">
      <alignment horizontal="left" vertical="center" wrapText="1"/>
    </xf>
    <xf numFmtId="0" fontId="158" fillId="2" borderId="31" xfId="0" applyFont="1" applyFill="1" applyBorder="1" applyAlignment="1">
      <alignment horizontal="center" vertical="center" wrapText="1"/>
    </xf>
    <xf numFmtId="0" fontId="158" fillId="2" borderId="41" xfId="0" applyFont="1" applyFill="1" applyBorder="1" applyAlignment="1">
      <alignment horizontal="center" vertical="center" wrapText="1"/>
    </xf>
    <xf numFmtId="1" fontId="71" fillId="2" borderId="41" xfId="0" applyNumberFormat="1" applyFont="1" applyFill="1" applyBorder="1" applyAlignment="1">
      <alignment vertical="center"/>
    </xf>
    <xf numFmtId="0" fontId="54" fillId="2" borderId="5" xfId="0" applyFont="1" applyFill="1" applyBorder="1" applyAlignment="1">
      <alignment vertical="center" wrapText="1"/>
    </xf>
    <xf numFmtId="0" fontId="54" fillId="2" borderId="4" xfId="0" applyFont="1" applyFill="1" applyBorder="1" applyAlignment="1">
      <alignment vertical="center" wrapText="1"/>
    </xf>
    <xf numFmtId="0" fontId="0" fillId="0" borderId="43" xfId="0" applyBorder="1"/>
    <xf numFmtId="0" fontId="53" fillId="0" borderId="0" xfId="0" applyFont="1" applyAlignment="1">
      <alignment vertical="center"/>
    </xf>
    <xf numFmtId="0" fontId="52" fillId="0" borderId="28" xfId="0" applyFont="1" applyBorder="1" applyAlignment="1">
      <alignment vertical="top"/>
    </xf>
    <xf numFmtId="0" fontId="52" fillId="2" borderId="27" xfId="0" applyFont="1" applyFill="1" applyBorder="1"/>
    <xf numFmtId="0" fontId="0" fillId="0" borderId="3" xfId="0" applyBorder="1" applyAlignment="1">
      <alignment vertical="center"/>
    </xf>
    <xf numFmtId="0" fontId="51" fillId="0" borderId="28" xfId="0" applyFont="1" applyBorder="1" applyAlignment="1">
      <alignment vertical="top"/>
    </xf>
    <xf numFmtId="0" fontId="50" fillId="0" borderId="0" xfId="0" applyFont="1"/>
    <xf numFmtId="0" fontId="170" fillId="0" borderId="0" xfId="0" applyFont="1"/>
    <xf numFmtId="0" fontId="49" fillId="2" borderId="71" xfId="0" applyFont="1" applyFill="1" applyBorder="1" applyAlignment="1">
      <alignment vertical="center" wrapText="1"/>
    </xf>
    <xf numFmtId="0" fontId="48" fillId="0" borderId="28" xfId="0" applyFont="1" applyBorder="1" applyAlignment="1">
      <alignment vertical="top"/>
    </xf>
    <xf numFmtId="1" fontId="148" fillId="9" borderId="14" xfId="0" applyNumberFormat="1" applyFont="1" applyFill="1" applyBorder="1" applyAlignment="1">
      <alignment vertical="center"/>
    </xf>
    <xf numFmtId="0" fontId="47" fillId="0" borderId="24" xfId="0" applyFont="1" applyFill="1" applyBorder="1" applyAlignment="1">
      <alignment vertical="center" wrapText="1"/>
    </xf>
    <xf numFmtId="0" fontId="47" fillId="0" borderId="45" xfId="0" applyFont="1" applyFill="1" applyBorder="1" applyAlignment="1">
      <alignment vertical="center" wrapText="1"/>
    </xf>
    <xf numFmtId="0" fontId="46" fillId="0" borderId="28" xfId="0" applyFont="1" applyBorder="1" applyAlignment="1">
      <alignment vertical="top"/>
    </xf>
    <xf numFmtId="0" fontId="45" fillId="2" borderId="4" xfId="0" applyFont="1" applyFill="1" applyBorder="1" applyAlignment="1">
      <alignment vertical="center"/>
    </xf>
    <xf numFmtId="0" fontId="45" fillId="2" borderId="5" xfId="0" applyFont="1" applyFill="1" applyBorder="1" applyAlignment="1">
      <alignment vertical="center"/>
    </xf>
    <xf numFmtId="0" fontId="45" fillId="0" borderId="28" xfId="0" applyFont="1" applyBorder="1" applyAlignment="1">
      <alignment vertical="top"/>
    </xf>
    <xf numFmtId="10" fontId="132" fillId="9" borderId="28" xfId="1" applyNumberFormat="1" applyFont="1" applyFill="1" applyBorder="1" applyAlignment="1">
      <alignment horizontal="center" vertical="center"/>
    </xf>
    <xf numFmtId="169" fontId="148" fillId="9" borderId="33" xfId="4" applyNumberFormat="1" applyFont="1" applyFill="1" applyBorder="1" applyAlignment="1">
      <alignment horizontal="right" vertical="center"/>
    </xf>
    <xf numFmtId="0" fontId="158" fillId="0" borderId="37" xfId="0" applyFont="1" applyBorder="1" applyAlignment="1">
      <alignment vertical="center" wrapText="1"/>
    </xf>
    <xf numFmtId="10" fontId="158" fillId="0" borderId="29" xfId="1" applyNumberFormat="1" applyFont="1" applyBorder="1" applyAlignment="1">
      <alignment horizontal="center" vertical="center" wrapText="1"/>
    </xf>
    <xf numFmtId="0" fontId="158" fillId="0" borderId="38" xfId="0" applyFont="1" applyBorder="1" applyAlignment="1">
      <alignment vertical="center" wrapText="1"/>
    </xf>
    <xf numFmtId="0" fontId="45" fillId="2" borderId="74" xfId="0" applyFont="1" applyFill="1" applyBorder="1" applyAlignment="1">
      <alignment vertical="center" wrapText="1"/>
    </xf>
    <xf numFmtId="0" fontId="153" fillId="2" borderId="1" xfId="0" applyFont="1" applyFill="1" applyBorder="1" applyAlignment="1"/>
    <xf numFmtId="0" fontId="153" fillId="2" borderId="3" xfId="0" applyFont="1" applyFill="1" applyBorder="1" applyAlignment="1"/>
    <xf numFmtId="0" fontId="153" fillId="2" borderId="43" xfId="0" applyFont="1" applyFill="1" applyBorder="1" applyAlignment="1">
      <alignment vertical="top" wrapText="1"/>
    </xf>
    <xf numFmtId="0" fontId="153" fillId="2" borderId="39" xfId="0" applyFont="1" applyFill="1" applyBorder="1" applyAlignment="1">
      <alignment vertical="top" wrapText="1"/>
    </xf>
    <xf numFmtId="0" fontId="153" fillId="2" borderId="74" xfId="0" applyFont="1" applyFill="1" applyBorder="1" applyAlignment="1">
      <alignment vertical="top"/>
    </xf>
    <xf numFmtId="0" fontId="44" fillId="2" borderId="10" xfId="0" applyFont="1" applyFill="1" applyBorder="1" applyAlignment="1">
      <alignment horizontal="left" vertical="center"/>
    </xf>
    <xf numFmtId="0" fontId="44" fillId="0" borderId="2" xfId="0" applyFont="1" applyBorder="1"/>
    <xf numFmtId="2" fontId="44" fillId="0" borderId="2" xfId="0" applyNumberFormat="1" applyFont="1" applyBorder="1"/>
    <xf numFmtId="0" fontId="44" fillId="2" borderId="3" xfId="0" applyFont="1" applyFill="1" applyBorder="1"/>
    <xf numFmtId="2" fontId="44" fillId="2" borderId="3" xfId="0" applyNumberFormat="1" applyFont="1" applyFill="1" applyBorder="1"/>
    <xf numFmtId="0" fontId="44" fillId="0" borderId="10" xfId="0" applyFont="1" applyBorder="1"/>
    <xf numFmtId="2" fontId="44" fillId="0" borderId="10" xfId="0" applyNumberFormat="1" applyFont="1" applyBorder="1"/>
    <xf numFmtId="0" fontId="44" fillId="0" borderId="0" xfId="0" applyFont="1" applyBorder="1"/>
    <xf numFmtId="2" fontId="44" fillId="0" borderId="0" xfId="0" applyNumberFormat="1" applyFont="1" applyBorder="1"/>
    <xf numFmtId="0" fontId="44" fillId="0" borderId="41" xfId="0" applyFont="1" applyFill="1" applyBorder="1"/>
    <xf numFmtId="2" fontId="44" fillId="0" borderId="41" xfId="0" applyNumberFormat="1" applyFont="1" applyFill="1" applyBorder="1"/>
    <xf numFmtId="0" fontId="44" fillId="0" borderId="0" xfId="0" applyFont="1" applyAlignment="1">
      <alignment vertical="center"/>
    </xf>
    <xf numFmtId="0" fontId="44" fillId="0" borderId="0" xfId="0" applyFont="1" applyFill="1" applyAlignment="1">
      <alignment vertical="center"/>
    </xf>
    <xf numFmtId="0" fontId="44" fillId="0" borderId="0" xfId="0" applyFont="1"/>
    <xf numFmtId="0" fontId="44" fillId="2" borderId="9" xfId="0" applyFont="1" applyFill="1" applyBorder="1" applyAlignment="1">
      <alignment horizontal="left" vertical="top"/>
    </xf>
    <xf numFmtId="0" fontId="44" fillId="0" borderId="0" xfId="0" applyFont="1" applyFill="1" applyBorder="1" applyAlignment="1">
      <alignment horizontal="center" vertical="top"/>
    </xf>
    <xf numFmtId="0" fontId="44" fillId="2" borderId="1" xfId="0" applyFont="1" applyFill="1" applyBorder="1" applyAlignment="1">
      <alignment horizontal="center" vertical="top"/>
    </xf>
    <xf numFmtId="0" fontId="44" fillId="0" borderId="9" xfId="0" applyFont="1" applyFill="1" applyBorder="1" applyAlignment="1">
      <alignment horizontal="center" vertical="top" wrapText="1"/>
    </xf>
    <xf numFmtId="0" fontId="44" fillId="0" borderId="1" xfId="0" applyFont="1" applyFill="1" applyBorder="1" applyAlignment="1">
      <alignment horizontal="center" vertical="top" wrapText="1"/>
    </xf>
    <xf numFmtId="0" fontId="44" fillId="2" borderId="10" xfId="0" applyNumberFormat="1" applyFont="1" applyFill="1" applyBorder="1"/>
    <xf numFmtId="0" fontId="44" fillId="2" borderId="2" xfId="0" applyFont="1" applyFill="1" applyBorder="1" applyAlignment="1">
      <alignment horizontal="center" vertical="top"/>
    </xf>
    <xf numFmtId="0" fontId="44" fillId="0" borderId="0" xfId="0" applyFont="1" applyFill="1"/>
    <xf numFmtId="0" fontId="44" fillId="0" borderId="2" xfId="0" applyFont="1" applyFill="1" applyBorder="1"/>
    <xf numFmtId="10" fontId="44" fillId="0" borderId="2" xfId="1" applyNumberFormat="1" applyFont="1" applyFill="1" applyBorder="1"/>
    <xf numFmtId="0" fontId="44" fillId="0" borderId="17" xfId="0" applyFont="1" applyFill="1" applyBorder="1"/>
    <xf numFmtId="0" fontId="44" fillId="0" borderId="3" xfId="0" applyFont="1" applyFill="1" applyBorder="1"/>
    <xf numFmtId="10" fontId="44" fillId="0" borderId="5" xfId="1" applyNumberFormat="1" applyFont="1" applyFill="1" applyBorder="1"/>
    <xf numFmtId="10" fontId="44" fillId="0" borderId="14" xfId="1" applyNumberFormat="1" applyFont="1" applyFill="1" applyBorder="1"/>
    <xf numFmtId="0" fontId="44" fillId="0" borderId="0" xfId="0" applyFont="1" applyFill="1" applyBorder="1"/>
    <xf numFmtId="9" fontId="44" fillId="0" borderId="0" xfId="32" applyNumberFormat="1"/>
    <xf numFmtId="10" fontId="44" fillId="0" borderId="3" xfId="1" applyNumberFormat="1" applyFont="1" applyFill="1" applyBorder="1"/>
    <xf numFmtId="10" fontId="0" fillId="0" borderId="0" xfId="0" applyNumberFormat="1" applyFill="1"/>
    <xf numFmtId="0" fontId="44" fillId="2" borderId="1" xfId="0" applyFont="1" applyFill="1" applyBorder="1" applyAlignment="1">
      <alignment vertical="top"/>
    </xf>
    <xf numFmtId="0" fontId="44" fillId="2" borderId="33" xfId="0" applyFont="1" applyFill="1" applyBorder="1" applyAlignment="1">
      <alignment vertical="top" wrapText="1"/>
    </xf>
    <xf numFmtId="169" fontId="44" fillId="9" borderId="2" xfId="4" applyNumberFormat="1" applyFont="1" applyFill="1" applyBorder="1"/>
    <xf numFmtId="169" fontId="44" fillId="9" borderId="3" xfId="4" applyNumberFormat="1" applyFont="1" applyFill="1" applyBorder="1"/>
    <xf numFmtId="169" fontId="44" fillId="9" borderId="33" xfId="4" applyNumberFormat="1" applyFont="1" applyFill="1" applyBorder="1"/>
    <xf numFmtId="3" fontId="43" fillId="9" borderId="3" xfId="0" applyNumberFormat="1" applyFont="1" applyFill="1" applyBorder="1" applyAlignment="1">
      <alignment horizontal="left" vertical="center"/>
    </xf>
    <xf numFmtId="9" fontId="171" fillId="8" borderId="33" xfId="1" applyFont="1" applyFill="1" applyBorder="1" applyAlignment="1">
      <alignment vertical="top" wrapText="1"/>
    </xf>
    <xf numFmtId="9" fontId="44" fillId="9" borderId="2" xfId="1" applyFont="1" applyFill="1" applyBorder="1"/>
    <xf numFmtId="9" fontId="44" fillId="9" borderId="3" xfId="1" applyFont="1" applyFill="1" applyBorder="1"/>
    <xf numFmtId="9" fontId="44" fillId="9" borderId="33" xfId="1" applyFont="1" applyFill="1" applyBorder="1"/>
    <xf numFmtId="0" fontId="148" fillId="0" borderId="0" xfId="0" applyFont="1" applyFill="1" applyAlignment="1">
      <alignment vertical="top"/>
    </xf>
    <xf numFmtId="0" fontId="148" fillId="0" borderId="28" xfId="0" applyFont="1" applyFill="1" applyBorder="1" applyAlignment="1">
      <alignment vertical="top"/>
    </xf>
    <xf numFmtId="0" fontId="158" fillId="0" borderId="28" xfId="0" applyFont="1" applyFill="1" applyBorder="1" applyAlignment="1">
      <alignment vertical="top"/>
    </xf>
    <xf numFmtId="0" fontId="163" fillId="0" borderId="0" xfId="0" applyFont="1" applyFill="1" applyAlignment="1">
      <alignment vertical="top"/>
    </xf>
    <xf numFmtId="166" fontId="158" fillId="0" borderId="47" xfId="0" applyNumberFormat="1" applyFont="1" applyFill="1" applyBorder="1" applyAlignment="1">
      <alignment vertical="center"/>
    </xf>
    <xf numFmtId="0" fontId="158" fillId="0" borderId="47" xfId="0" applyFont="1" applyFill="1" applyBorder="1" applyAlignment="1">
      <alignment horizontal="left" vertical="center"/>
    </xf>
    <xf numFmtId="0" fontId="0" fillId="0" borderId="0" xfId="0" applyAlignment="1"/>
    <xf numFmtId="0" fontId="140" fillId="2" borderId="9" xfId="0" applyFont="1" applyFill="1" applyBorder="1" applyAlignment="1"/>
    <xf numFmtId="0" fontId="140" fillId="2" borderId="0" xfId="0" applyFont="1" applyFill="1" applyBorder="1" applyAlignment="1"/>
    <xf numFmtId="0" fontId="131" fillId="2" borderId="3" xfId="0" applyFont="1" applyFill="1" applyBorder="1" applyAlignment="1">
      <alignment horizontal="left" wrapText="1"/>
    </xf>
    <xf numFmtId="0" fontId="131" fillId="2" borderId="11" xfId="0" applyFont="1" applyFill="1" applyBorder="1" applyAlignment="1">
      <alignment horizontal="left" wrapText="1"/>
    </xf>
    <xf numFmtId="0" fontId="131" fillId="2" borderId="14" xfId="0" applyFont="1" applyFill="1" applyBorder="1" applyAlignment="1">
      <alignment horizontal="left" wrapText="1"/>
    </xf>
    <xf numFmtId="0" fontId="131" fillId="2" borderId="2" xfId="0" applyFont="1" applyFill="1" applyBorder="1" applyAlignment="1">
      <alignment horizontal="left" wrapText="1"/>
    </xf>
    <xf numFmtId="0" fontId="140" fillId="2" borderId="4" xfId="0" applyFont="1" applyFill="1" applyBorder="1" applyAlignment="1">
      <alignment horizontal="left" wrapText="1"/>
    </xf>
    <xf numFmtId="0" fontId="140" fillId="9" borderId="3" xfId="0" applyFont="1" applyFill="1" applyBorder="1" applyAlignment="1"/>
    <xf numFmtId="0" fontId="140" fillId="9" borderId="33" xfId="0" applyFont="1" applyFill="1" applyBorder="1" applyAlignment="1"/>
    <xf numFmtId="0" fontId="140" fillId="2" borderId="11" xfId="0" applyNumberFormat="1" applyFont="1" applyFill="1" applyBorder="1" applyAlignment="1">
      <alignment horizontal="left" wrapText="1"/>
    </xf>
    <xf numFmtId="0" fontId="140" fillId="2" borderId="3" xfId="0" applyNumberFormat="1" applyFont="1" applyFill="1" applyBorder="1" applyAlignment="1">
      <alignment horizontal="left" wrapText="1"/>
    </xf>
    <xf numFmtId="0" fontId="110" fillId="2" borderId="3" xfId="0" applyNumberFormat="1" applyFont="1" applyFill="1" applyBorder="1" applyAlignment="1">
      <alignment horizontal="left" wrapText="1"/>
    </xf>
    <xf numFmtId="0" fontId="140" fillId="2" borderId="13" xfId="0" applyNumberFormat="1" applyFont="1" applyFill="1" applyBorder="1" applyAlignment="1">
      <alignment horizontal="center" wrapText="1"/>
    </xf>
    <xf numFmtId="0" fontId="140" fillId="2" borderId="2" xfId="0" applyNumberFormat="1" applyFont="1" applyFill="1" applyBorder="1" applyAlignment="1">
      <alignment horizontal="center" wrapText="1"/>
    </xf>
    <xf numFmtId="0" fontId="110" fillId="2" borderId="2" xfId="0" applyNumberFormat="1" applyFont="1" applyFill="1" applyBorder="1" applyAlignment="1">
      <alignment horizontal="center" wrapText="1"/>
    </xf>
    <xf numFmtId="0" fontId="148" fillId="2" borderId="49" xfId="0" applyFont="1" applyFill="1" applyBorder="1" applyAlignment="1">
      <alignment horizontal="left"/>
    </xf>
    <xf numFmtId="0" fontId="42" fillId="0" borderId="20" xfId="0" applyFont="1" applyBorder="1"/>
    <xf numFmtId="0" fontId="42" fillId="0" borderId="20" xfId="0" applyFont="1" applyBorder="1" applyAlignment="1">
      <alignment horizontal="center" vertical="center"/>
    </xf>
    <xf numFmtId="0" fontId="42" fillId="0" borderId="24" xfId="0" applyFont="1" applyBorder="1"/>
    <xf numFmtId="0" fontId="42" fillId="0" borderId="24" xfId="0" applyFont="1" applyBorder="1" applyAlignment="1">
      <alignment horizontal="center" vertical="center"/>
    </xf>
    <xf numFmtId="0" fontId="42" fillId="0" borderId="67" xfId="0" applyFont="1" applyBorder="1"/>
    <xf numFmtId="0" fontId="42" fillId="0" borderId="67" xfId="0" applyFont="1" applyBorder="1" applyAlignment="1">
      <alignment horizontal="center" vertical="center"/>
    </xf>
    <xf numFmtId="0" fontId="42" fillId="0" borderId="44" xfId="0" applyFont="1" applyBorder="1"/>
    <xf numFmtId="0" fontId="42" fillId="0" borderId="44" xfId="0" applyFont="1" applyBorder="1" applyAlignment="1">
      <alignment horizontal="center" vertical="center"/>
    </xf>
    <xf numFmtId="0" fontId="158" fillId="0" borderId="30" xfId="0" applyFont="1" applyBorder="1" applyAlignment="1">
      <alignment vertical="top"/>
    </xf>
    <xf numFmtId="0" fontId="41" fillId="2" borderId="14" xfId="0" applyFont="1" applyFill="1" applyBorder="1" applyAlignment="1">
      <alignment wrapText="1"/>
    </xf>
    <xf numFmtId="0" fontId="40" fillId="0" borderId="28" xfId="0" applyFont="1" applyBorder="1" applyAlignment="1">
      <alignment vertical="top" wrapText="1"/>
    </xf>
    <xf numFmtId="169" fontId="39" fillId="10" borderId="3" xfId="4" applyNumberFormat="1" applyFont="1" applyFill="1" applyBorder="1" applyAlignment="1">
      <alignment horizontal="left" vertical="center"/>
    </xf>
    <xf numFmtId="0" fontId="39" fillId="0" borderId="28" xfId="0" applyFont="1" applyBorder="1" applyAlignment="1">
      <alignment vertical="top"/>
    </xf>
    <xf numFmtId="0" fontId="194" fillId="0" borderId="0" xfId="0" applyFont="1"/>
    <xf numFmtId="0" fontId="194" fillId="0" borderId="0" xfId="0" applyFont="1" applyAlignment="1">
      <alignment vertical="center"/>
    </xf>
    <xf numFmtId="0" fontId="39" fillId="0" borderId="28" xfId="0" applyFont="1" applyBorder="1" applyAlignment="1">
      <alignment vertical="top" wrapText="1"/>
    </xf>
    <xf numFmtId="0" fontId="38" fillId="0" borderId="28" xfId="0" applyFont="1" applyBorder="1" applyAlignment="1">
      <alignment vertical="top"/>
    </xf>
    <xf numFmtId="0" fontId="37" fillId="0" borderId="0" xfId="0" applyFont="1" applyAlignment="1">
      <alignment vertical="top"/>
    </xf>
    <xf numFmtId="0" fontId="195" fillId="0" borderId="0" xfId="0" applyFont="1" applyAlignment="1">
      <alignment vertical="top"/>
    </xf>
    <xf numFmtId="0" fontId="35" fillId="0" borderId="28" xfId="0" applyFont="1" applyBorder="1" applyAlignment="1">
      <alignment vertical="top"/>
    </xf>
    <xf numFmtId="0" fontId="35" fillId="0" borderId="28" xfId="0" applyFont="1" applyFill="1" applyBorder="1" applyAlignment="1">
      <alignment vertical="top"/>
    </xf>
    <xf numFmtId="0" fontId="135" fillId="0" borderId="28" xfId="0" applyFont="1" applyFill="1" applyBorder="1" applyAlignment="1">
      <alignment vertical="top"/>
    </xf>
    <xf numFmtId="0" fontId="115" fillId="0" borderId="28" xfId="0" applyFont="1" applyFill="1" applyBorder="1" applyAlignment="1">
      <alignment vertical="top"/>
    </xf>
    <xf numFmtId="0" fontId="36" fillId="0" borderId="28" xfId="0" applyFont="1" applyFill="1" applyBorder="1" applyAlignment="1">
      <alignment vertical="top"/>
    </xf>
    <xf numFmtId="0" fontId="51" fillId="0" borderId="28" xfId="0" applyFont="1" applyFill="1" applyBorder="1" applyAlignment="1">
      <alignment vertical="top"/>
    </xf>
    <xf numFmtId="0" fontId="34" fillId="0" borderId="28" xfId="0" applyFont="1" applyFill="1" applyBorder="1" applyAlignment="1">
      <alignment vertical="top"/>
    </xf>
    <xf numFmtId="0" fontId="35" fillId="0" borderId="0" xfId="0" applyFont="1" applyFill="1" applyAlignment="1">
      <alignment vertical="top"/>
    </xf>
    <xf numFmtId="0" fontId="37" fillId="0" borderId="0" xfId="0" applyFont="1" applyFill="1" applyAlignment="1">
      <alignment vertical="top"/>
    </xf>
    <xf numFmtId="0" fontId="35" fillId="0" borderId="28" xfId="0" applyFont="1" applyFill="1" applyBorder="1" applyAlignment="1">
      <alignment vertical="top" wrapText="1"/>
    </xf>
    <xf numFmtId="0" fontId="45" fillId="0" borderId="28" xfId="0" applyFont="1" applyFill="1" applyBorder="1" applyAlignment="1">
      <alignment vertical="top" wrapText="1"/>
    </xf>
    <xf numFmtId="0" fontId="45" fillId="0" borderId="28" xfId="0" applyFont="1" applyFill="1" applyBorder="1" applyAlignment="1">
      <alignment vertical="top"/>
    </xf>
    <xf numFmtId="0" fontId="33" fillId="0" borderId="28" xfId="0" applyFont="1" applyBorder="1" applyAlignment="1">
      <alignment vertical="top"/>
    </xf>
    <xf numFmtId="0" fontId="33" fillId="0" borderId="28" xfId="0" applyFont="1" applyFill="1" applyBorder="1" applyAlignment="1">
      <alignment vertical="top"/>
    </xf>
    <xf numFmtId="10" fontId="0" fillId="0" borderId="0" xfId="1" applyNumberFormat="1" applyFont="1"/>
    <xf numFmtId="10" fontId="0" fillId="0" borderId="71" xfId="1" applyNumberFormat="1" applyFont="1" applyBorder="1"/>
    <xf numFmtId="0" fontId="164" fillId="0" borderId="0" xfId="5" applyFill="1" applyBorder="1" applyAlignment="1">
      <alignment horizontal="left" vertical="center"/>
    </xf>
    <xf numFmtId="0" fontId="134" fillId="2" borderId="5" xfId="0" applyFont="1" applyFill="1" applyBorder="1" applyAlignment="1">
      <alignment horizontal="left" vertical="center" wrapText="1"/>
    </xf>
    <xf numFmtId="0" fontId="32" fillId="2" borderId="2" xfId="0" applyNumberFormat="1" applyFont="1" applyFill="1" applyBorder="1" applyAlignment="1">
      <alignment horizontal="center" wrapText="1"/>
    </xf>
    <xf numFmtId="0" fontId="0" fillId="18" borderId="0" xfId="0" applyFill="1" applyAlignment="1">
      <alignment wrapText="1"/>
    </xf>
    <xf numFmtId="0" fontId="0" fillId="18" borderId="12" xfId="0" applyFill="1" applyBorder="1" applyAlignment="1">
      <alignment wrapText="1"/>
    </xf>
    <xf numFmtId="0" fontId="32" fillId="2" borderId="2" xfId="0" applyFont="1" applyFill="1" applyBorder="1" applyAlignment="1">
      <alignment horizontal="left" wrapText="1"/>
    </xf>
    <xf numFmtId="0" fontId="32" fillId="2" borderId="4" xfId="0" applyFont="1" applyFill="1" applyBorder="1" applyAlignment="1">
      <alignment horizontal="left" wrapText="1"/>
    </xf>
    <xf numFmtId="0" fontId="32" fillId="2" borderId="19" xfId="0" applyFont="1" applyFill="1" applyBorder="1" applyAlignment="1">
      <alignment horizontal="center" vertical="top" wrapText="1"/>
    </xf>
    <xf numFmtId="176" fontId="140" fillId="9" borderId="3" xfId="0" applyNumberFormat="1" applyFont="1" applyFill="1" applyBorder="1" applyAlignment="1"/>
    <xf numFmtId="176" fontId="140" fillId="9" borderId="33" xfId="0" applyNumberFormat="1" applyFont="1" applyFill="1" applyBorder="1" applyAlignment="1"/>
    <xf numFmtId="172" fontId="140" fillId="9" borderId="3" xfId="0" applyNumberFormat="1" applyFont="1" applyFill="1" applyBorder="1" applyAlignment="1"/>
    <xf numFmtId="172" fontId="140" fillId="9" borderId="33" xfId="0" applyNumberFormat="1" applyFont="1" applyFill="1" applyBorder="1" applyAlignment="1"/>
    <xf numFmtId="170" fontId="140" fillId="9" borderId="5" xfId="0" applyNumberFormat="1" applyFont="1" applyFill="1" applyBorder="1" applyAlignment="1"/>
    <xf numFmtId="170" fontId="140" fillId="9" borderId="74" xfId="0" applyNumberFormat="1" applyFont="1" applyFill="1" applyBorder="1" applyAlignment="1"/>
    <xf numFmtId="0" fontId="140" fillId="0" borderId="0" xfId="0" applyFont="1" applyFill="1" applyBorder="1" applyAlignment="1"/>
    <xf numFmtId="2" fontId="140" fillId="9" borderId="33" xfId="0" applyNumberFormat="1" applyFont="1" applyFill="1" applyBorder="1" applyAlignment="1"/>
    <xf numFmtId="176" fontId="140" fillId="9" borderId="74" xfId="0" applyNumberFormat="1" applyFont="1" applyFill="1" applyBorder="1" applyAlignment="1"/>
    <xf numFmtId="176" fontId="140" fillId="9" borderId="2" xfId="0" applyNumberFormat="1" applyFont="1" applyFill="1" applyBorder="1" applyAlignment="1"/>
    <xf numFmtId="176" fontId="140" fillId="9" borderId="2" xfId="1" applyNumberFormat="1" applyFont="1" applyFill="1" applyBorder="1" applyAlignment="1"/>
    <xf numFmtId="176" fontId="140" fillId="9" borderId="3" xfId="1" applyNumberFormat="1" applyFont="1" applyFill="1" applyBorder="1" applyAlignment="1"/>
    <xf numFmtId="176" fontId="140" fillId="9" borderId="33" xfId="1" applyNumberFormat="1" applyFont="1" applyFill="1" applyBorder="1" applyAlignment="1"/>
    <xf numFmtId="2" fontId="140" fillId="9" borderId="2" xfId="0" applyNumberFormat="1" applyFont="1" applyFill="1" applyBorder="1" applyAlignment="1"/>
    <xf numFmtId="2" fontId="140" fillId="9" borderId="3" xfId="0" applyNumberFormat="1" applyFont="1" applyFill="1" applyBorder="1" applyAlignment="1"/>
    <xf numFmtId="0" fontId="71" fillId="0" borderId="0" xfId="0" applyFont="1" applyFill="1" applyAlignment="1">
      <alignment vertical="center"/>
    </xf>
    <xf numFmtId="1" fontId="158" fillId="0" borderId="47" xfId="0" applyNumberFormat="1" applyFont="1" applyFill="1" applyBorder="1" applyAlignment="1">
      <alignment horizontal="right" vertical="center"/>
    </xf>
    <xf numFmtId="0" fontId="158" fillId="0" borderId="47" xfId="0" applyFont="1" applyFill="1" applyBorder="1" applyAlignment="1">
      <alignment vertical="center"/>
    </xf>
    <xf numFmtId="0" fontId="163" fillId="0" borderId="0" xfId="0" applyFont="1" applyFill="1" applyAlignment="1">
      <alignment vertical="center"/>
    </xf>
    <xf numFmtId="0" fontId="163" fillId="0" borderId="0" xfId="0" applyFont="1" applyFill="1"/>
    <xf numFmtId="0" fontId="32" fillId="0" borderId="28" xfId="0" applyFont="1" applyFill="1" applyBorder="1" applyAlignment="1">
      <alignment vertical="top"/>
    </xf>
    <xf numFmtId="0" fontId="110" fillId="0" borderId="28" xfId="0" applyFont="1" applyFill="1" applyBorder="1" applyAlignment="1">
      <alignment vertical="top"/>
    </xf>
    <xf numFmtId="0" fontId="108" fillId="0" borderId="28" xfId="0" applyFont="1" applyFill="1" applyBorder="1" applyAlignment="1">
      <alignment vertical="top"/>
    </xf>
    <xf numFmtId="0" fontId="128" fillId="0" borderId="28" xfId="0" applyFont="1" applyFill="1" applyBorder="1" applyAlignment="1">
      <alignment vertical="top"/>
    </xf>
    <xf numFmtId="0" fontId="158" fillId="0" borderId="28" xfId="0" applyFont="1" applyFill="1" applyBorder="1" applyAlignment="1">
      <alignment vertical="top" wrapText="1"/>
    </xf>
    <xf numFmtId="0" fontId="29" fillId="0" borderId="28" xfId="0" applyFont="1" applyFill="1" applyBorder="1" applyAlignment="1">
      <alignment vertical="top"/>
    </xf>
    <xf numFmtId="0" fontId="31" fillId="0" borderId="28" xfId="0" applyFont="1" applyFill="1" applyBorder="1" applyAlignment="1">
      <alignment vertical="top"/>
    </xf>
    <xf numFmtId="0" fontId="140" fillId="2" borderId="2" xfId="0" applyNumberFormat="1" applyFont="1" applyFill="1" applyBorder="1" applyAlignment="1">
      <alignment horizontal="left" wrapText="1"/>
    </xf>
    <xf numFmtId="0" fontId="158" fillId="0" borderId="0" xfId="0" applyFont="1" applyFill="1" applyBorder="1" applyAlignment="1">
      <alignment vertical="top"/>
    </xf>
    <xf numFmtId="0" fontId="28" fillId="0" borderId="28" xfId="0" applyFont="1" applyBorder="1" applyAlignment="1">
      <alignment vertical="top"/>
    </xf>
    <xf numFmtId="0" fontId="27" fillId="0" borderId="28" xfId="0" applyFont="1" applyBorder="1" applyAlignment="1">
      <alignment vertical="top"/>
    </xf>
    <xf numFmtId="0" fontId="196" fillId="0" borderId="0" xfId="0" applyFont="1" applyAlignment="1">
      <alignment horizontal="left" vertical="center"/>
    </xf>
    <xf numFmtId="0" fontId="25" fillId="0" borderId="28" xfId="0" applyFont="1" applyBorder="1" applyAlignment="1">
      <alignment vertical="top"/>
    </xf>
    <xf numFmtId="0" fontId="45" fillId="0" borderId="0" xfId="0" applyFont="1" applyBorder="1" applyAlignment="1">
      <alignment vertical="top"/>
    </xf>
    <xf numFmtId="0" fontId="24" fillId="0" borderId="28" xfId="0" applyFont="1" applyBorder="1" applyAlignment="1">
      <alignment vertical="top"/>
    </xf>
    <xf numFmtId="0" fontId="24" fillId="0" borderId="28" xfId="0" applyFont="1" applyBorder="1" applyAlignment="1">
      <alignment vertical="top" wrapText="1"/>
    </xf>
    <xf numFmtId="0" fontId="23" fillId="0" borderId="28" xfId="0" applyFont="1" applyBorder="1" applyAlignment="1">
      <alignment vertical="top"/>
    </xf>
    <xf numFmtId="0" fontId="22" fillId="0" borderId="24" xfId="0" applyFont="1" applyFill="1" applyBorder="1" applyAlignment="1">
      <alignment horizontal="left" vertical="center"/>
    </xf>
    <xf numFmtId="0" fontId="22" fillId="0" borderId="28" xfId="0" applyFont="1" applyBorder="1" applyAlignment="1">
      <alignment vertical="top"/>
    </xf>
    <xf numFmtId="0" fontId="21" fillId="0" borderId="11" xfId="0" applyFont="1" applyBorder="1"/>
    <xf numFmtId="0" fontId="20" fillId="0" borderId="47" xfId="0" applyFont="1" applyBorder="1"/>
    <xf numFmtId="0" fontId="19" fillId="0" borderId="47" xfId="0" applyFont="1" applyBorder="1"/>
    <xf numFmtId="0" fontId="19" fillId="0" borderId="28" xfId="0" applyFont="1" applyBorder="1" applyAlignment="1">
      <alignment vertical="top"/>
    </xf>
    <xf numFmtId="0" fontId="19" fillId="0" borderId="28" xfId="0" applyFont="1" applyBorder="1" applyAlignment="1">
      <alignment vertical="top" wrapText="1"/>
    </xf>
    <xf numFmtId="0" fontId="18" fillId="2" borderId="14" xfId="0" applyFont="1" applyFill="1" applyBorder="1" applyAlignment="1">
      <alignment wrapText="1"/>
    </xf>
    <xf numFmtId="0" fontId="18" fillId="0" borderId="28" xfId="0" applyFont="1" applyBorder="1" applyAlignment="1">
      <alignment vertical="top"/>
    </xf>
    <xf numFmtId="0" fontId="132" fillId="2" borderId="14" xfId="0" applyFont="1" applyFill="1" applyBorder="1" applyAlignment="1">
      <alignment vertical="top" wrapText="1"/>
    </xf>
    <xf numFmtId="0" fontId="0" fillId="0" borderId="0" xfId="0" applyFill="1" applyAlignment="1">
      <alignment vertical="top"/>
    </xf>
    <xf numFmtId="0" fontId="17" fillId="0" borderId="28" xfId="0" applyFont="1" applyBorder="1" applyAlignment="1">
      <alignment vertical="top"/>
    </xf>
    <xf numFmtId="3" fontId="158" fillId="16" borderId="35" xfId="0" applyNumberFormat="1" applyFont="1" applyFill="1" applyBorder="1" applyAlignment="1" applyProtection="1">
      <alignment horizontal="right" vertical="center" wrapText="1"/>
      <protection locked="0"/>
    </xf>
    <xf numFmtId="3" fontId="158" fillId="0" borderId="28" xfId="0" applyNumberFormat="1" applyFont="1" applyFill="1" applyBorder="1"/>
    <xf numFmtId="3" fontId="158" fillId="0" borderId="28" xfId="0" applyNumberFormat="1" applyFont="1" applyFill="1" applyBorder="1" applyAlignment="1">
      <alignment horizontal="left" indent="1"/>
    </xf>
    <xf numFmtId="3" fontId="158" fillId="0" borderId="28" xfId="0" quotePrefix="1" applyNumberFormat="1" applyFont="1" applyFill="1" applyBorder="1" applyAlignment="1">
      <alignment horizontal="left" vertical="top" wrapText="1" indent="1"/>
    </xf>
    <xf numFmtId="3" fontId="174" fillId="0" borderId="0" xfId="0" quotePrefix="1" applyNumberFormat="1" applyFont="1" applyFill="1" applyBorder="1" applyAlignment="1">
      <alignment horizontal="left"/>
    </xf>
    <xf numFmtId="0" fontId="17" fillId="0" borderId="28" xfId="0" applyFont="1" applyBorder="1" applyAlignment="1">
      <alignment vertical="top" wrapText="1"/>
    </xf>
    <xf numFmtId="0" fontId="17" fillId="0" borderId="0" xfId="0" applyFont="1" applyBorder="1" applyAlignment="1">
      <alignment vertical="top"/>
    </xf>
    <xf numFmtId="0" fontId="125" fillId="0" borderId="0" xfId="0" applyFont="1" applyBorder="1" applyAlignment="1">
      <alignment vertical="top"/>
    </xf>
    <xf numFmtId="0" fontId="62" fillId="0" borderId="0" xfId="0" applyFont="1" applyBorder="1" applyAlignment="1">
      <alignment vertical="top"/>
    </xf>
    <xf numFmtId="0" fontId="62" fillId="0" borderId="0" xfId="0" applyFont="1" applyBorder="1" applyAlignment="1">
      <alignment vertical="top" wrapText="1"/>
    </xf>
    <xf numFmtId="0" fontId="17" fillId="0" borderId="24" xfId="0" applyFont="1" applyBorder="1" applyAlignment="1">
      <alignment vertical="center" wrapText="1"/>
    </xf>
    <xf numFmtId="0" fontId="110" fillId="0" borderId="67" xfId="0" applyFont="1" applyFill="1" applyBorder="1" applyAlignment="1">
      <alignment vertical="center" wrapText="1"/>
    </xf>
    <xf numFmtId="0" fontId="110" fillId="0" borderId="84" xfId="0" applyFont="1" applyFill="1" applyBorder="1" applyAlignment="1">
      <alignment vertical="center" wrapText="1"/>
    </xf>
    <xf numFmtId="0" fontId="110" fillId="0" borderId="44" xfId="0" applyFont="1" applyFill="1" applyBorder="1" applyAlignment="1">
      <alignment vertical="center" wrapText="1"/>
    </xf>
    <xf numFmtId="0" fontId="17" fillId="0" borderId="47" xfId="0" applyFont="1" applyBorder="1"/>
    <xf numFmtId="165" fontId="158" fillId="9" borderId="27" xfId="70" applyNumberFormat="1" applyFont="1" applyFill="1" applyBorder="1" applyAlignment="1">
      <alignment horizontal="right" vertical="center"/>
    </xf>
    <xf numFmtId="165" fontId="158" fillId="9" borderId="78" xfId="70" applyNumberFormat="1" applyFont="1" applyFill="1" applyBorder="1" applyAlignment="1">
      <alignment horizontal="right" vertical="center"/>
    </xf>
    <xf numFmtId="0" fontId="153" fillId="0" borderId="85" xfId="68" applyFont="1" applyBorder="1"/>
    <xf numFmtId="0" fontId="198" fillId="19" borderId="0" xfId="68" applyFont="1" applyFill="1" applyAlignment="1">
      <alignment horizontal="center" vertical="center" wrapText="1"/>
    </xf>
    <xf numFmtId="0" fontId="17" fillId="0" borderId="0" xfId="68" applyFont="1"/>
    <xf numFmtId="0" fontId="17" fillId="0" borderId="0" xfId="68" applyFont="1" applyAlignment="1">
      <alignment vertical="center"/>
    </xf>
    <xf numFmtId="0" fontId="17" fillId="0" borderId="27" xfId="68" applyFont="1" applyBorder="1"/>
    <xf numFmtId="165" fontId="17" fillId="0" borderId="27" xfId="68" applyNumberFormat="1" applyFont="1" applyBorder="1"/>
    <xf numFmtId="0" fontId="17" fillId="0" borderId="78" xfId="68" applyFont="1" applyBorder="1"/>
    <xf numFmtId="165" fontId="17" fillId="0" borderId="78" xfId="68" applyNumberFormat="1" applyFont="1" applyBorder="1"/>
    <xf numFmtId="0" fontId="170" fillId="0" borderId="0" xfId="68" applyFont="1"/>
    <xf numFmtId="9" fontId="17" fillId="0" borderId="85" xfId="70" applyFont="1" applyBorder="1"/>
    <xf numFmtId="0" fontId="124" fillId="0" borderId="0" xfId="0" applyFont="1" applyBorder="1" applyAlignment="1">
      <alignment vertical="top"/>
    </xf>
    <xf numFmtId="0" fontId="18" fillId="0" borderId="0" xfId="0" applyFont="1" applyBorder="1" applyAlignment="1">
      <alignment vertical="top"/>
    </xf>
    <xf numFmtId="0" fontId="16" fillId="0" borderId="28" xfId="0" applyFont="1" applyBorder="1" applyAlignment="1">
      <alignment vertical="top"/>
    </xf>
    <xf numFmtId="0" fontId="16" fillId="0" borderId="28" xfId="0" applyFont="1" applyFill="1" applyBorder="1" applyAlignment="1">
      <alignment vertical="top"/>
    </xf>
    <xf numFmtId="0" fontId="158" fillId="0" borderId="0" xfId="0" applyFont="1" applyBorder="1" applyAlignment="1">
      <alignment vertical="top" wrapText="1"/>
    </xf>
    <xf numFmtId="0" fontId="35" fillId="0" borderId="0" xfId="0" applyFont="1" applyBorder="1" applyAlignment="1">
      <alignment vertical="top"/>
    </xf>
    <xf numFmtId="0" fontId="45" fillId="0" borderId="0" xfId="0" applyFont="1" applyFill="1" applyBorder="1" applyAlignment="1">
      <alignment vertical="top"/>
    </xf>
    <xf numFmtId="0" fontId="35" fillId="0" borderId="0" xfId="0" applyFont="1" applyFill="1" applyBorder="1" applyAlignment="1">
      <alignment vertical="top"/>
    </xf>
    <xf numFmtId="0" fontId="18" fillId="0" borderId="23" xfId="0" applyFont="1" applyBorder="1" applyAlignment="1">
      <alignment vertical="top"/>
    </xf>
    <xf numFmtId="0" fontId="135" fillId="0" borderId="23" xfId="0" applyFont="1" applyBorder="1" applyAlignment="1">
      <alignment vertical="top"/>
    </xf>
    <xf numFmtId="0" fontId="115" fillId="0" borderId="23" xfId="0" applyFont="1" applyBorder="1" applyAlignment="1">
      <alignment vertical="top"/>
    </xf>
    <xf numFmtId="0" fontId="15" fillId="0" borderId="47" xfId="0" applyFont="1" applyBorder="1"/>
    <xf numFmtId="0" fontId="15" fillId="0" borderId="28" xfId="0" applyFont="1" applyBorder="1" applyAlignment="1">
      <alignment vertical="top"/>
    </xf>
    <xf numFmtId="0" fontId="15" fillId="0" borderId="28" xfId="0" applyFont="1" applyBorder="1" applyAlignment="1">
      <alignment vertical="top" wrapText="1"/>
    </xf>
    <xf numFmtId="0" fontId="14" fillId="0" borderId="28" xfId="0" applyFont="1" applyBorder="1" applyAlignment="1">
      <alignment vertical="top"/>
    </xf>
    <xf numFmtId="0" fontId="14" fillId="0" borderId="28" xfId="0" applyFont="1" applyBorder="1" applyAlignment="1">
      <alignment vertical="top" wrapText="1"/>
    </xf>
    <xf numFmtId="0" fontId="13" fillId="0" borderId="47" xfId="0" applyFont="1" applyBorder="1"/>
    <xf numFmtId="0" fontId="13" fillId="0" borderId="28" xfId="0" applyFont="1" applyBorder="1" applyAlignment="1">
      <alignment vertical="top"/>
    </xf>
    <xf numFmtId="0" fontId="13" fillId="0" borderId="28" xfId="0" applyFont="1" applyBorder="1" applyAlignment="1">
      <alignment vertical="top" wrapText="1"/>
    </xf>
    <xf numFmtId="0" fontId="13" fillId="0" borderId="78" xfId="68" applyFont="1" applyBorder="1"/>
    <xf numFmtId="0" fontId="13" fillId="0" borderId="27" xfId="68" applyFont="1" applyBorder="1"/>
    <xf numFmtId="165" fontId="198" fillId="19" borderId="0" xfId="69" applyNumberFormat="1" applyFont="1" applyFill="1" applyAlignment="1">
      <alignment horizontal="left" vertical="center" wrapText="1"/>
    </xf>
    <xf numFmtId="0" fontId="12" fillId="0" borderId="28" xfId="0" applyFont="1" applyBorder="1" applyAlignment="1">
      <alignment vertical="top"/>
    </xf>
    <xf numFmtId="0" fontId="11" fillId="0" borderId="28" xfId="0" applyFont="1" applyBorder="1" applyAlignment="1">
      <alignment vertical="top"/>
    </xf>
    <xf numFmtId="0" fontId="10" fillId="0" borderId="28" xfId="0" applyFont="1" applyBorder="1" applyAlignment="1">
      <alignment vertical="top"/>
    </xf>
    <xf numFmtId="0" fontId="10" fillId="0" borderId="47" xfId="0" applyFont="1" applyBorder="1"/>
    <xf numFmtId="0" fontId="9" fillId="0" borderId="28" xfId="0" applyFont="1" applyBorder="1" applyAlignment="1">
      <alignment vertical="top"/>
    </xf>
    <xf numFmtId="0" fontId="8" fillId="0" borderId="28" xfId="0" applyFont="1" applyBorder="1" applyAlignment="1">
      <alignment vertical="top"/>
    </xf>
    <xf numFmtId="0" fontId="7" fillId="0" borderId="47" xfId="0" applyFont="1" applyBorder="1"/>
    <xf numFmtId="0" fontId="6" fillId="0" borderId="28" xfId="0" applyFont="1" applyBorder="1" applyAlignment="1">
      <alignment vertical="top" wrapText="1"/>
    </xf>
    <xf numFmtId="0" fontId="6" fillId="0" borderId="28" xfId="0" applyFont="1" applyBorder="1" applyAlignment="1">
      <alignment vertical="top"/>
    </xf>
    <xf numFmtId="0" fontId="5" fillId="0" borderId="28" xfId="0" applyFont="1" applyBorder="1" applyAlignment="1">
      <alignment vertical="top"/>
    </xf>
    <xf numFmtId="0" fontId="5" fillId="0" borderId="28" xfId="0" applyFont="1" applyBorder="1" applyAlignment="1">
      <alignment vertical="top" wrapText="1"/>
    </xf>
    <xf numFmtId="0" fontId="5" fillId="0" borderId="30" xfId="0" applyFont="1" applyBorder="1" applyAlignment="1">
      <alignment vertical="top"/>
    </xf>
    <xf numFmtId="0" fontId="5" fillId="0" borderId="47" xfId="0" applyFont="1" applyBorder="1"/>
    <xf numFmtId="0" fontId="4" fillId="0" borderId="28" xfId="0" applyFont="1" applyBorder="1" applyAlignment="1">
      <alignment vertical="top"/>
    </xf>
    <xf numFmtId="0" fontId="3" fillId="0" borderId="47" xfId="0" applyFont="1" applyBorder="1"/>
    <xf numFmtId="0" fontId="2" fillId="0" borderId="0" xfId="0" applyFont="1" applyAlignment="1">
      <alignment vertical="top"/>
    </xf>
    <xf numFmtId="0" fontId="2" fillId="0" borderId="28" xfId="0" applyFont="1" applyBorder="1" applyAlignment="1">
      <alignment vertical="top"/>
    </xf>
    <xf numFmtId="0" fontId="148" fillId="2" borderId="0" xfId="0" applyFont="1" applyFill="1" applyAlignment="1">
      <alignment horizontal="left"/>
    </xf>
    <xf numFmtId="0" fontId="148" fillId="2" borderId="6" xfId="0" applyFont="1" applyFill="1" applyBorder="1" applyAlignment="1">
      <alignment horizontal="left"/>
    </xf>
    <xf numFmtId="0" fontId="148" fillId="2" borderId="0" xfId="0" applyFont="1" applyFill="1" applyAlignment="1">
      <alignment horizontal="left" vertical="center"/>
    </xf>
    <xf numFmtId="0" fontId="148" fillId="2" borderId="6" xfId="0" applyFont="1" applyFill="1" applyBorder="1" applyAlignment="1">
      <alignment horizontal="left" vertical="center"/>
    </xf>
    <xf numFmtId="0" fontId="153" fillId="0" borderId="0" xfId="0" applyFont="1" applyBorder="1" applyAlignment="1">
      <alignment horizontal="left" vertical="top" wrapText="1"/>
    </xf>
    <xf numFmtId="3" fontId="158" fillId="2" borderId="0" xfId="0" applyNumberFormat="1" applyFont="1" applyFill="1" applyBorder="1" applyAlignment="1">
      <alignment horizontal="center" wrapText="1"/>
    </xf>
    <xf numFmtId="0" fontId="158" fillId="2" borderId="28" xfId="0" applyFont="1" applyFill="1" applyBorder="1" applyAlignment="1">
      <alignment horizontal="left" vertical="center" wrapText="1"/>
    </xf>
    <xf numFmtId="0" fontId="158" fillId="2" borderId="29" xfId="0" applyFont="1" applyFill="1" applyBorder="1" applyAlignment="1">
      <alignment horizontal="left" vertical="center" wrapText="1"/>
    </xf>
    <xf numFmtId="3" fontId="158" fillId="2" borderId="0" xfId="0" applyNumberFormat="1" applyFont="1" applyFill="1" applyBorder="1" applyAlignment="1">
      <alignment horizontal="left" wrapText="1"/>
    </xf>
    <xf numFmtId="3" fontId="158" fillId="2" borderId="0" xfId="0" applyNumberFormat="1" applyFont="1" applyFill="1" applyBorder="1" applyAlignment="1">
      <alignment horizontal="center" vertical="center" wrapText="1"/>
    </xf>
    <xf numFmtId="3" fontId="165" fillId="0" borderId="27" xfId="0" applyNumberFormat="1" applyFont="1" applyFill="1" applyBorder="1" applyAlignment="1">
      <alignment horizontal="left" wrapText="1"/>
    </xf>
    <xf numFmtId="0" fontId="148" fillId="2" borderId="4" xfId="0" applyFont="1" applyFill="1" applyBorder="1" applyAlignment="1">
      <alignment horizontal="center" vertical="top"/>
    </xf>
    <xf numFmtId="0" fontId="148" fillId="2" borderId="12" xfId="0" applyFont="1" applyFill="1" applyBorder="1" applyAlignment="1">
      <alignment horizontal="center" vertical="top"/>
    </xf>
    <xf numFmtId="0" fontId="110" fillId="0" borderId="50" xfId="0" applyFont="1" applyBorder="1" applyAlignment="1">
      <alignment horizontal="center" vertical="center" wrapText="1"/>
    </xf>
    <xf numFmtId="0" fontId="148" fillId="0" borderId="6" xfId="0" applyFont="1" applyBorder="1" applyAlignment="1">
      <alignment horizontal="center" vertical="center" wrapText="1"/>
    </xf>
    <xf numFmtId="0" fontId="148" fillId="0" borderId="31" xfId="0" applyFont="1" applyBorder="1" applyAlignment="1">
      <alignment horizontal="center" vertical="center" wrapText="1"/>
    </xf>
    <xf numFmtId="0" fontId="148" fillId="2" borderId="4" xfId="0" applyFont="1" applyFill="1" applyBorder="1" applyAlignment="1">
      <alignment horizontal="left" vertical="top"/>
    </xf>
    <xf numFmtId="0" fontId="148" fillId="2" borderId="12" xfId="0" applyFont="1" applyFill="1" applyBorder="1" applyAlignment="1">
      <alignment horizontal="left" vertical="top"/>
    </xf>
    <xf numFmtId="0" fontId="148" fillId="2" borderId="1" xfId="0" applyFont="1" applyFill="1" applyBorder="1" applyAlignment="1">
      <alignment horizontal="left" vertical="top"/>
    </xf>
    <xf numFmtId="0" fontId="148" fillId="2" borderId="41" xfId="0" applyFont="1" applyFill="1" applyBorder="1" applyAlignment="1">
      <alignment horizontal="left" vertical="top"/>
    </xf>
    <xf numFmtId="0" fontId="110" fillId="0" borderId="6" xfId="0" applyFont="1" applyBorder="1" applyAlignment="1">
      <alignment horizontal="center" vertical="center" wrapText="1"/>
    </xf>
    <xf numFmtId="0" fontId="148" fillId="0" borderId="22" xfId="0" applyFont="1" applyBorder="1" applyAlignment="1">
      <alignment horizontal="center" vertical="center" wrapText="1"/>
    </xf>
    <xf numFmtId="0" fontId="148" fillId="0" borderId="50" xfId="0" applyFont="1" applyBorder="1" applyAlignment="1">
      <alignment horizontal="center" vertical="center" wrapText="1"/>
    </xf>
    <xf numFmtId="0" fontId="115" fillId="2" borderId="10" xfId="0" applyFont="1" applyFill="1" applyBorder="1" applyAlignment="1">
      <alignment horizontal="left" vertical="top" wrapText="1"/>
    </xf>
    <xf numFmtId="0" fontId="148" fillId="2" borderId="41" xfId="0" applyFont="1" applyFill="1" applyBorder="1" applyAlignment="1">
      <alignment horizontal="left" vertical="top" wrapText="1"/>
    </xf>
    <xf numFmtId="0" fontId="143" fillId="2" borderId="9" xfId="0" applyFont="1" applyFill="1" applyBorder="1" applyAlignment="1">
      <alignment horizontal="center" vertical="top" wrapText="1"/>
    </xf>
    <xf numFmtId="0" fontId="148" fillId="2" borderId="6" xfId="0" applyFont="1" applyFill="1" applyBorder="1" applyAlignment="1">
      <alignment horizontal="center" vertical="top" wrapText="1"/>
    </xf>
    <xf numFmtId="0" fontId="148" fillId="2" borderId="6" xfId="0" applyFont="1" applyFill="1" applyBorder="1" applyAlignment="1">
      <alignment horizontal="center" vertical="top"/>
    </xf>
    <xf numFmtId="0" fontId="44" fillId="2" borderId="4" xfId="0" applyFont="1" applyFill="1" applyBorder="1" applyAlignment="1">
      <alignment horizontal="center" vertical="top"/>
    </xf>
    <xf numFmtId="0" fontId="44" fillId="2" borderId="12" xfId="0" applyFont="1" applyFill="1" applyBorder="1" applyAlignment="1">
      <alignment horizontal="center" vertical="top"/>
    </xf>
    <xf numFmtId="0" fontId="84" fillId="2" borderId="9" xfId="0" applyFont="1" applyFill="1" applyBorder="1" applyAlignment="1">
      <alignment horizontal="center" vertical="top" wrapText="1"/>
    </xf>
    <xf numFmtId="0" fontId="84" fillId="2" borderId="0" xfId="0" applyFont="1" applyFill="1" applyBorder="1" applyAlignment="1">
      <alignment horizontal="center" vertical="top" wrapText="1"/>
    </xf>
    <xf numFmtId="0" fontId="84" fillId="2" borderId="6" xfId="0" applyFont="1" applyFill="1" applyBorder="1" applyAlignment="1">
      <alignment horizontal="center" vertical="top" wrapText="1"/>
    </xf>
    <xf numFmtId="0" fontId="84" fillId="2" borderId="4" xfId="0" applyFont="1" applyFill="1" applyBorder="1" applyAlignment="1">
      <alignment horizontal="center" vertical="top" wrapText="1"/>
    </xf>
    <xf numFmtId="0" fontId="84" fillId="2" borderId="12" xfId="0" applyFont="1" applyFill="1" applyBorder="1" applyAlignment="1">
      <alignment horizontal="center" vertical="top" wrapText="1"/>
    </xf>
    <xf numFmtId="0" fontId="84" fillId="2" borderId="13" xfId="0" applyFont="1" applyFill="1" applyBorder="1" applyAlignment="1">
      <alignment horizontal="center" vertical="top" wrapText="1"/>
    </xf>
    <xf numFmtId="9" fontId="148" fillId="2" borderId="1" xfId="1" applyFont="1" applyFill="1" applyBorder="1" applyAlignment="1">
      <alignment horizontal="center" vertical="top" wrapText="1"/>
    </xf>
    <xf numFmtId="9" fontId="148" fillId="2" borderId="41" xfId="1" applyFont="1" applyFill="1" applyBorder="1" applyAlignment="1">
      <alignment horizontal="center" vertical="top" wrapText="1"/>
    </xf>
    <xf numFmtId="0" fontId="148" fillId="2" borderId="1" xfId="0" applyFont="1" applyFill="1" applyBorder="1" applyAlignment="1">
      <alignment horizontal="left" vertical="top" wrapText="1"/>
    </xf>
    <xf numFmtId="0" fontId="29" fillId="18" borderId="0" xfId="0" applyFont="1" applyFill="1" applyAlignment="1">
      <alignment horizontal="left" wrapText="1"/>
    </xf>
    <xf numFmtId="0" fontId="32" fillId="0" borderId="0" xfId="0" applyFont="1" applyAlignment="1">
      <alignment vertical="top" wrapText="1"/>
    </xf>
    <xf numFmtId="169" fontId="165" fillId="8" borderId="51" xfId="4" applyNumberFormat="1" applyFont="1" applyFill="1" applyBorder="1" applyAlignment="1">
      <alignment horizontal="left"/>
    </xf>
    <xf numFmtId="0" fontId="148" fillId="2" borderId="12" xfId="0" applyFont="1" applyFill="1" applyBorder="1" applyAlignment="1">
      <alignment horizontal="left"/>
    </xf>
    <xf numFmtId="0" fontId="148" fillId="2" borderId="14" xfId="0" applyFont="1" applyFill="1" applyBorder="1" applyAlignment="1">
      <alignment horizontal="left"/>
    </xf>
    <xf numFmtId="0" fontId="131" fillId="0" borderId="0" xfId="0" applyFont="1" applyFill="1" applyBorder="1" applyAlignment="1">
      <alignment vertical="top" wrapText="1"/>
    </xf>
    <xf numFmtId="0" fontId="148" fillId="0" borderId="0" xfId="0" applyFont="1" applyFill="1" applyBorder="1" applyAlignment="1">
      <alignment vertical="top" wrapText="1"/>
    </xf>
    <xf numFmtId="0" fontId="131" fillId="0" borderId="75" xfId="0" applyFont="1" applyFill="1" applyBorder="1" applyAlignment="1">
      <alignment vertical="top" wrapText="1"/>
    </xf>
    <xf numFmtId="0" fontId="148" fillId="0" borderId="75" xfId="0" applyFont="1" applyFill="1" applyBorder="1" applyAlignment="1">
      <alignment vertical="top" wrapText="1"/>
    </xf>
    <xf numFmtId="0" fontId="140" fillId="2" borderId="19" xfId="0" applyFont="1" applyFill="1" applyBorder="1" applyAlignment="1">
      <alignment horizontal="left" wrapText="1"/>
    </xf>
    <xf numFmtId="0" fontId="140" fillId="2" borderId="17" xfId="0" applyFont="1" applyFill="1" applyBorder="1" applyAlignment="1">
      <alignment horizontal="left" wrapText="1"/>
    </xf>
    <xf numFmtId="0" fontId="140" fillId="2" borderId="4" xfId="0" applyFont="1" applyFill="1" applyBorder="1" applyAlignment="1">
      <alignment horizontal="left" wrapText="1"/>
    </xf>
    <xf numFmtId="0" fontId="140" fillId="2" borderId="13" xfId="0" applyFont="1" applyFill="1" applyBorder="1" applyAlignment="1">
      <alignment horizontal="left" wrapText="1"/>
    </xf>
    <xf numFmtId="0" fontId="140" fillId="2" borderId="5" xfId="0" applyFont="1" applyFill="1" applyBorder="1" applyAlignment="1">
      <alignment horizontal="left" wrapText="1"/>
    </xf>
    <xf numFmtId="0" fontId="140" fillId="2" borderId="14" xfId="0" applyFont="1" applyFill="1" applyBorder="1" applyAlignment="1">
      <alignment horizontal="left" wrapText="1"/>
    </xf>
    <xf numFmtId="0" fontId="140" fillId="2" borderId="18" xfId="0" applyFont="1" applyFill="1" applyBorder="1" applyAlignment="1">
      <alignment horizontal="left" wrapText="1"/>
    </xf>
    <xf numFmtId="0" fontId="140" fillId="2" borderId="68" xfId="0" applyFont="1" applyFill="1" applyBorder="1" applyAlignment="1">
      <alignment horizontal="left" wrapText="1"/>
    </xf>
    <xf numFmtId="0" fontId="140" fillId="2" borderId="62" xfId="0" applyFont="1" applyFill="1" applyBorder="1" applyAlignment="1">
      <alignment horizontal="left" wrapText="1"/>
    </xf>
    <xf numFmtId="0" fontId="140" fillId="2" borderId="0" xfId="0" applyFont="1" applyFill="1" applyBorder="1" applyAlignment="1">
      <alignment horizontal="left" wrapText="1"/>
    </xf>
    <xf numFmtId="0" fontId="140" fillId="2" borderId="68" xfId="0" applyFont="1" applyFill="1" applyBorder="1" applyAlignment="1">
      <alignment horizontal="left"/>
    </xf>
    <xf numFmtId="0" fontId="140" fillId="2" borderId="69" xfId="0" applyFont="1" applyFill="1" applyBorder="1" applyAlignment="1">
      <alignment horizontal="left"/>
    </xf>
    <xf numFmtId="0" fontId="140" fillId="2" borderId="63" xfId="0" applyFont="1" applyFill="1" applyBorder="1" applyAlignment="1">
      <alignment horizontal="left"/>
    </xf>
    <xf numFmtId="0" fontId="140" fillId="2" borderId="3" xfId="0" applyFont="1" applyFill="1" applyBorder="1" applyAlignment="1">
      <alignment horizontal="left"/>
    </xf>
    <xf numFmtId="0" fontId="140" fillId="2" borderId="5" xfId="0" applyFont="1" applyFill="1" applyBorder="1" applyAlignment="1">
      <alignment horizontal="left"/>
    </xf>
    <xf numFmtId="0" fontId="140" fillId="2" borderId="14" xfId="0" applyFont="1" applyFill="1" applyBorder="1" applyAlignment="1">
      <alignment horizontal="center"/>
    </xf>
    <xf numFmtId="0" fontId="30" fillId="18" borderId="0" xfId="0" applyFont="1" applyFill="1" applyAlignment="1">
      <alignment horizontal="left" wrapText="1"/>
    </xf>
    <xf numFmtId="0" fontId="110" fillId="2" borderId="1" xfId="0" applyFont="1" applyFill="1" applyBorder="1" applyAlignment="1">
      <alignment horizontal="left" vertical="center" wrapText="1"/>
    </xf>
    <xf numFmtId="0" fontId="148" fillId="2" borderId="1" xfId="0" applyFont="1" applyFill="1" applyBorder="1" applyAlignment="1">
      <alignment horizontal="left" vertical="center" wrapText="1"/>
    </xf>
    <xf numFmtId="0" fontId="148" fillId="2" borderId="2" xfId="0" applyFont="1" applyFill="1" applyBorder="1" applyAlignment="1">
      <alignment horizontal="left" vertical="center" wrapText="1"/>
    </xf>
    <xf numFmtId="0" fontId="132" fillId="2" borderId="4" xfId="0" applyFont="1" applyFill="1" applyBorder="1" applyAlignment="1">
      <alignment horizontal="left" vertical="center" wrapText="1"/>
    </xf>
    <xf numFmtId="0" fontId="132" fillId="2" borderId="12" xfId="0" applyFont="1" applyFill="1" applyBorder="1" applyAlignment="1">
      <alignment horizontal="left" vertical="center" wrapText="1"/>
    </xf>
    <xf numFmtId="0" fontId="148" fillId="2" borderId="9" xfId="0" applyFont="1" applyFill="1" applyBorder="1" applyAlignment="1">
      <alignment horizontal="center" vertical="top"/>
    </xf>
    <xf numFmtId="0" fontId="148" fillId="2" borderId="0" xfId="0" applyFont="1" applyFill="1" applyBorder="1" applyAlignment="1">
      <alignment horizontal="center" vertical="top"/>
    </xf>
    <xf numFmtId="0" fontId="132" fillId="2" borderId="4" xfId="0" applyFont="1" applyFill="1" applyBorder="1" applyAlignment="1">
      <alignment horizontal="center" vertical="top"/>
    </xf>
    <xf numFmtId="0" fontId="135" fillId="2" borderId="1" xfId="0" applyFont="1" applyFill="1" applyBorder="1" applyAlignment="1">
      <alignment horizontal="left" vertical="top"/>
    </xf>
    <xf numFmtId="0" fontId="148" fillId="2" borderId="9" xfId="0" applyFont="1" applyFill="1" applyBorder="1" applyAlignment="1">
      <alignment horizontal="left" vertical="top"/>
    </xf>
    <xf numFmtId="0" fontId="104" fillId="2" borderId="1" xfId="0" applyFont="1" applyFill="1" applyBorder="1" applyAlignment="1">
      <alignment horizontal="center" vertical="top"/>
    </xf>
    <xf numFmtId="0" fontId="132" fillId="2" borderId="1" xfId="0" applyFont="1" applyFill="1" applyBorder="1" applyAlignment="1">
      <alignment horizontal="center" vertical="top"/>
    </xf>
    <xf numFmtId="0" fontId="132" fillId="2" borderId="2" xfId="0" applyFont="1" applyFill="1" applyBorder="1" applyAlignment="1">
      <alignment horizontal="center" vertical="top"/>
    </xf>
    <xf numFmtId="0" fontId="112" fillId="2" borderId="6" xfId="0" applyFont="1" applyFill="1" applyBorder="1" applyAlignment="1">
      <alignment horizontal="center" vertical="center" wrapText="1"/>
    </xf>
    <xf numFmtId="0" fontId="112" fillId="2" borderId="1" xfId="0" applyFont="1" applyFill="1" applyBorder="1" applyAlignment="1">
      <alignment horizontal="center" vertical="center" wrapText="1"/>
    </xf>
    <xf numFmtId="0" fontId="103" fillId="2" borderId="18" xfId="0" applyFont="1" applyFill="1" applyBorder="1" applyAlignment="1">
      <alignment horizontal="left" vertical="center" wrapText="1"/>
    </xf>
    <xf numFmtId="0" fontId="118" fillId="2" borderId="12" xfId="0" applyFont="1" applyFill="1" applyBorder="1" applyAlignment="1">
      <alignment horizontal="left" vertical="center" wrapText="1"/>
    </xf>
    <xf numFmtId="0" fontId="148" fillId="2" borderId="9" xfId="0" applyFont="1" applyFill="1" applyBorder="1" applyAlignment="1">
      <alignment horizontal="center" vertical="center"/>
    </xf>
    <xf numFmtId="0" fontId="148" fillId="2" borderId="0" xfId="0" applyFont="1" applyFill="1" applyBorder="1" applyAlignment="1">
      <alignment horizontal="center" vertical="center"/>
    </xf>
    <xf numFmtId="0" fontId="148" fillId="2" borderId="6" xfId="0" applyFont="1" applyFill="1" applyBorder="1" applyAlignment="1">
      <alignment horizontal="center" vertical="center"/>
    </xf>
    <xf numFmtId="0" fontId="44" fillId="2" borderId="1" xfId="0" applyFont="1" applyFill="1" applyBorder="1" applyAlignment="1">
      <alignment horizontal="left" vertical="top" wrapText="1"/>
    </xf>
    <xf numFmtId="0" fontId="148" fillId="2" borderId="4" xfId="0" applyFont="1" applyFill="1" applyBorder="1" applyAlignment="1">
      <alignment horizontal="center" vertical="center" wrapText="1"/>
    </xf>
    <xf numFmtId="0" fontId="148" fillId="2" borderId="12" xfId="0" applyFont="1" applyFill="1" applyBorder="1" applyAlignment="1">
      <alignment horizontal="center" vertical="center" wrapText="1"/>
    </xf>
    <xf numFmtId="0" fontId="44" fillId="2" borderId="4"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 xfId="0" applyFont="1" applyFill="1" applyBorder="1" applyAlignment="1">
      <alignment horizontal="center" vertical="top"/>
    </xf>
    <xf numFmtId="0" fontId="44" fillId="2" borderId="2" xfId="0" applyFont="1" applyFill="1" applyBorder="1" applyAlignment="1">
      <alignment horizontal="center" vertical="top"/>
    </xf>
    <xf numFmtId="0" fontId="44" fillId="2" borderId="9" xfId="0" applyFont="1" applyFill="1" applyBorder="1" applyAlignment="1">
      <alignment horizontal="center" vertical="top"/>
    </xf>
    <xf numFmtId="0" fontId="44" fillId="2" borderId="0" xfId="0" applyFont="1" applyFill="1" applyBorder="1" applyAlignment="1">
      <alignment horizontal="center" vertical="top"/>
    </xf>
    <xf numFmtId="0" fontId="44" fillId="2" borderId="1" xfId="0" applyFont="1" applyFill="1" applyBorder="1" applyAlignment="1">
      <alignment horizontal="center" vertical="top" wrapText="1"/>
    </xf>
    <xf numFmtId="0" fontId="44" fillId="2" borderId="2" xfId="0" applyFont="1" applyFill="1" applyBorder="1" applyAlignment="1">
      <alignment horizontal="center" vertical="top" wrapText="1"/>
    </xf>
    <xf numFmtId="0" fontId="180" fillId="0" borderId="0" xfId="0" applyFont="1" applyAlignment="1">
      <alignment horizontal="left"/>
    </xf>
    <xf numFmtId="0" fontId="180" fillId="0" borderId="0" xfId="0" applyFont="1" applyBorder="1" applyAlignment="1">
      <alignment horizontal="left"/>
    </xf>
    <xf numFmtId="3" fontId="181" fillId="0" borderId="28" xfId="0" applyNumberFormat="1" applyFont="1" applyFill="1" applyBorder="1" applyAlignment="1">
      <alignment vertical="center" wrapText="1"/>
    </xf>
    <xf numFmtId="0" fontId="180" fillId="0" borderId="28" xfId="0" applyFont="1" applyBorder="1" applyAlignment="1">
      <alignment vertical="center" wrapText="1"/>
    </xf>
    <xf numFmtId="0" fontId="180" fillId="0" borderId="0" xfId="0" applyFont="1" applyAlignment="1">
      <alignment vertical="top" wrapText="1"/>
    </xf>
    <xf numFmtId="0" fontId="180" fillId="0" borderId="0" xfId="0" applyFont="1" applyAlignment="1">
      <alignment horizontal="left" vertical="top" wrapText="1"/>
    </xf>
    <xf numFmtId="3" fontId="181" fillId="0" borderId="28" xfId="0" quotePrefix="1" applyNumberFormat="1" applyFont="1" applyFill="1" applyBorder="1" applyAlignment="1">
      <alignment vertical="center" wrapText="1"/>
    </xf>
    <xf numFmtId="0" fontId="180" fillId="0" borderId="0" xfId="0" applyFont="1" applyAlignment="1">
      <alignment wrapText="1"/>
    </xf>
  </cellXfs>
  <cellStyles count="71">
    <cellStyle name="Ausgabe" xfId="3" hidden="1" xr:uid="{00000000-0005-0000-0000-000000000000}"/>
    <cellStyle name="Ausgabe" xfId="7" hidden="1" xr:uid="{00000000-0005-0000-0000-000001000000}"/>
    <cellStyle name="Ausgabe" xfId="8" hidden="1" xr:uid="{00000000-0005-0000-0000-000002000000}"/>
    <cellStyle name="Ausgabe" xfId="10" hidden="1" xr:uid="{00000000-0005-0000-0000-000003000000}"/>
    <cellStyle name="Ausgabe" xfId="17" hidden="1" xr:uid="{00000000-0005-0000-0000-000004000000}"/>
    <cellStyle name="Ausgabe" xfId="20" hidden="1" xr:uid="{00000000-0005-0000-0000-000005000000}"/>
    <cellStyle name="Ausgabe" xfId="21" hidden="1" xr:uid="{00000000-0005-0000-0000-000006000000}"/>
    <cellStyle name="Ausgabe" xfId="23" hidden="1" xr:uid="{00000000-0005-0000-0000-000007000000}"/>
    <cellStyle name="Ausgabe" xfId="34" hidden="1" xr:uid="{00000000-0005-0000-0000-000008000000}"/>
    <cellStyle name="Ausgabe" xfId="37" hidden="1" xr:uid="{00000000-0005-0000-0000-000009000000}"/>
    <cellStyle name="Ausgabe" xfId="38" hidden="1" xr:uid="{00000000-0005-0000-0000-00000A000000}"/>
    <cellStyle name="Ausgabe" xfId="40" hidden="1" xr:uid="{00000000-0005-0000-0000-00000B000000}"/>
    <cellStyle name="Ausgabe" xfId="47" hidden="1" xr:uid="{00000000-0005-0000-0000-00000C000000}"/>
    <cellStyle name="Ausgabe" xfId="50" hidden="1" xr:uid="{00000000-0005-0000-0000-00000D000000}"/>
    <cellStyle name="Ausgabe" xfId="51" hidden="1" xr:uid="{00000000-0005-0000-0000-00000E000000}"/>
    <cellStyle name="Ausgabe" xfId="53" hidden="1" xr:uid="{00000000-0005-0000-0000-00000F000000}"/>
    <cellStyle name="Comma 2" xfId="18" xr:uid="{00000000-0005-0000-0000-000011000000}"/>
    <cellStyle name="Comma 2 2" xfId="48" xr:uid="{00000000-0005-0000-0000-000012000000}"/>
    <cellStyle name="Comma 3" xfId="35" xr:uid="{00000000-0005-0000-0000-000013000000}"/>
    <cellStyle name="Eingabe" xfId="2" hidden="1" xr:uid="{00000000-0005-0000-0000-000014000000}"/>
    <cellStyle name="Eingabe" xfId="6" hidden="1" xr:uid="{00000000-0005-0000-0000-000015000000}"/>
    <cellStyle name="Eingabe" xfId="9" hidden="1" xr:uid="{00000000-0005-0000-0000-000016000000}"/>
    <cellStyle name="Eingabe" xfId="11" hidden="1" xr:uid="{00000000-0005-0000-0000-000017000000}"/>
    <cellStyle name="Eingabe" xfId="16" hidden="1" xr:uid="{00000000-0005-0000-0000-000018000000}"/>
    <cellStyle name="Eingabe" xfId="19" hidden="1" xr:uid="{00000000-0005-0000-0000-000019000000}"/>
    <cellStyle name="Eingabe" xfId="22" hidden="1" xr:uid="{00000000-0005-0000-0000-00001A000000}"/>
    <cellStyle name="Eingabe" xfId="24" hidden="1" xr:uid="{00000000-0005-0000-0000-00001B000000}"/>
    <cellStyle name="Eingabe" xfId="33" hidden="1" xr:uid="{00000000-0005-0000-0000-00001C000000}"/>
    <cellStyle name="Eingabe" xfId="36" hidden="1" xr:uid="{00000000-0005-0000-0000-00001D000000}"/>
    <cellStyle name="Eingabe" xfId="39" hidden="1" xr:uid="{00000000-0005-0000-0000-00001E000000}"/>
    <cellStyle name="Eingabe" xfId="41" hidden="1" xr:uid="{00000000-0005-0000-0000-00001F000000}"/>
    <cellStyle name="Eingabe" xfId="46" hidden="1" xr:uid="{00000000-0005-0000-0000-000020000000}"/>
    <cellStyle name="Eingabe" xfId="49" hidden="1" xr:uid="{00000000-0005-0000-0000-000021000000}"/>
    <cellStyle name="Eingabe" xfId="52" hidden="1" xr:uid="{00000000-0005-0000-0000-000022000000}"/>
    <cellStyle name="Eingabe" xfId="54" hidden="1" xr:uid="{00000000-0005-0000-0000-000023000000}"/>
    <cellStyle name="Komma" xfId="4" builtinId="3"/>
    <cellStyle name="Komma 2" xfId="30" xr:uid="{00000000-0005-0000-0000-000025000000}"/>
    <cellStyle name="Komma 2 2" xfId="60" xr:uid="{00000000-0005-0000-0000-000026000000}"/>
    <cellStyle name="Komma 3" xfId="31" xr:uid="{00000000-0005-0000-0000-000027000000}"/>
    <cellStyle name="Komma 3 2" xfId="61" xr:uid="{00000000-0005-0000-0000-000028000000}"/>
    <cellStyle name="Link" xfId="5" builtinId="8"/>
    <cellStyle name="Milliers 2" xfId="14" xr:uid="{00000000-0005-0000-0000-000029000000}"/>
    <cellStyle name="Milliers 2 2" xfId="27" xr:uid="{00000000-0005-0000-0000-00002A000000}"/>
    <cellStyle name="Milliers 2 2 2" xfId="57" xr:uid="{00000000-0005-0000-0000-00002B000000}"/>
    <cellStyle name="Milliers 2 3" xfId="44" xr:uid="{00000000-0005-0000-0000-00002C000000}"/>
    <cellStyle name="Normal 2" xfId="32" xr:uid="{00000000-0005-0000-0000-00002E000000}"/>
    <cellStyle name="Normal 2 2" xfId="62" xr:uid="{00000000-0005-0000-0000-00002F000000}"/>
    <cellStyle name="Normal 3" xfId="66" xr:uid="{00000000-0005-0000-0000-000030000000}"/>
    <cellStyle name="Normal 45" xfId="12" xr:uid="{00000000-0005-0000-0000-000031000000}"/>
    <cellStyle name="Normal 45 2" xfId="25" xr:uid="{00000000-0005-0000-0000-000032000000}"/>
    <cellStyle name="Normal 45 2 2" xfId="55" xr:uid="{00000000-0005-0000-0000-000033000000}"/>
    <cellStyle name="Normal 45 3" xfId="42" xr:uid="{00000000-0005-0000-0000-000034000000}"/>
    <cellStyle name="Percent 2" xfId="64" xr:uid="{00000000-0005-0000-0000-000036000000}"/>
    <cellStyle name="Pourcentage 2" xfId="13" xr:uid="{00000000-0005-0000-0000-000037000000}"/>
    <cellStyle name="Pourcentage 2 2" xfId="26" xr:uid="{00000000-0005-0000-0000-000038000000}"/>
    <cellStyle name="Pourcentage 2 2 2" xfId="56" xr:uid="{00000000-0005-0000-0000-000039000000}"/>
    <cellStyle name="Pourcentage 2 3" xfId="43" xr:uid="{00000000-0005-0000-0000-00003A000000}"/>
    <cellStyle name="Prozent" xfId="1" builtinId="5"/>
    <cellStyle name="Prozent 2" xfId="29" xr:uid="{00000000-0005-0000-0000-00003B000000}"/>
    <cellStyle name="Prozent 2 2" xfId="59" xr:uid="{00000000-0005-0000-0000-00003C000000}"/>
    <cellStyle name="Prozent 2 3" xfId="67" xr:uid="{61946949-B426-4CDF-BC04-A4603F236A0E}"/>
    <cellStyle name="Prozent 2 4" xfId="70" xr:uid="{52698DA9-803E-4490-B763-0C93428B94B1}"/>
    <cellStyle name="Standard" xfId="0" builtinId="0"/>
    <cellStyle name="Standard 12" xfId="15" xr:uid="{00000000-0005-0000-0000-00003D000000}"/>
    <cellStyle name="Standard 12 2" xfId="45" xr:uid="{00000000-0005-0000-0000-00003E000000}"/>
    <cellStyle name="Standard 2" xfId="28" xr:uid="{00000000-0005-0000-0000-00003F000000}"/>
    <cellStyle name="Standard 2 2" xfId="63" xr:uid="{00000000-0005-0000-0000-000040000000}"/>
    <cellStyle name="Standard 2 2 2" xfId="69" xr:uid="{6254F745-7351-49D5-A58C-FB7050EAE9D9}"/>
    <cellStyle name="Standard 2 3" xfId="65" xr:uid="{00000000-0005-0000-0000-000041000000}"/>
    <cellStyle name="Standard 2 4" xfId="58" xr:uid="{00000000-0005-0000-0000-000042000000}"/>
    <cellStyle name="Standard 3" xfId="68" xr:uid="{C46FED78-ADDB-4CA3-B778-2054797088EB}"/>
  </cellStyles>
  <dxfs count="37">
    <dxf>
      <font>
        <color auto="1"/>
      </font>
      <fill>
        <patternFill>
          <bgColor theme="3" tint="0.79998168889431442"/>
        </patternFill>
      </fill>
    </dxf>
    <dxf>
      <font>
        <color auto="1"/>
      </font>
      <fill>
        <patternFill>
          <bgColor theme="3" tint="0.79998168889431442"/>
        </patternFill>
      </fill>
    </dxf>
    <dxf>
      <font>
        <color auto="1"/>
      </font>
      <fill>
        <patternFill>
          <bgColor rgb="FFFFFFCC"/>
        </patternFill>
      </fill>
    </dxf>
    <dxf>
      <font>
        <color auto="1"/>
      </font>
      <fill>
        <patternFill>
          <bgColor theme="6" tint="0.59996337778862885"/>
        </patternFill>
      </fill>
    </dxf>
    <dxf>
      <font>
        <color auto="1"/>
      </font>
      <fill>
        <patternFill>
          <bgColor theme="5" tint="0.59996337778862885"/>
        </patternFill>
      </fill>
    </dxf>
    <dxf>
      <font>
        <color auto="1"/>
      </font>
      <fill>
        <patternFill>
          <bgColor theme="3" tint="0.79998168889431442"/>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4ECF9"/>
        </patternFill>
      </fill>
    </dxf>
    <dxf>
      <fill>
        <patternFill>
          <bgColor rgb="FFD4ECF9"/>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7"/>
        </patternFill>
      </fill>
    </dxf>
    <dxf>
      <fill>
        <patternFill>
          <bgColor rgb="FFD4ECF9"/>
        </patternFill>
      </fill>
    </dxf>
    <dxf>
      <fill>
        <patternFill>
          <bgColor rgb="FFD4ECF9"/>
        </patternFill>
      </fill>
    </dxf>
    <dxf>
      <fill>
        <patternFill>
          <bgColor rgb="FFD8E4BC"/>
        </patternFill>
      </fill>
    </dxf>
    <dxf>
      <fill>
        <patternFill>
          <bgColor rgb="FFD8E4BC"/>
        </patternFill>
      </fill>
    </dxf>
    <dxf>
      <fill>
        <patternFill>
          <bgColor theme="4" tint="0.59996337778862885"/>
        </patternFill>
      </fill>
    </dxf>
    <dxf>
      <fill>
        <patternFill>
          <bgColor rgb="FFD8E4BC"/>
        </patternFill>
      </fill>
    </dxf>
    <dxf>
      <fill>
        <patternFill>
          <bgColor rgb="FFFFFFCC"/>
        </patternFill>
      </fill>
    </dxf>
  </dxfs>
  <tableStyles count="0" defaultTableStyle="TableStyleMedium2" defaultPivotStyle="PivotStyleLight16"/>
  <colors>
    <mruColors>
      <color rgb="FF002D64"/>
      <color rgb="FFD4ECF7"/>
      <color rgb="FF00539E"/>
      <color rgb="FFFDE2CE"/>
      <color rgb="FFD4ECF9"/>
      <color rgb="FFD8E4BC"/>
      <color rgb="FFEBF6FC"/>
      <color rgb="FFA2D3EE"/>
      <color rgb="FFBDE4F7"/>
      <color rgb="FF86C7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40"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D4ECF9"/>
  </sheetPr>
  <dimension ref="A1:K42"/>
  <sheetViews>
    <sheetView showGridLines="0" tabSelected="1" zoomScale="90" zoomScaleNormal="90" workbookViewId="0"/>
  </sheetViews>
  <sheetFormatPr baseColWidth="10" defaultColWidth="8.5703125" defaultRowHeight="12.75" customHeight="1" x14ac:dyDescent="0.2"/>
  <cols>
    <col min="1" max="1" width="5.5703125" style="18" customWidth="1"/>
    <col min="2" max="2" width="23" style="18" customWidth="1"/>
    <col min="3" max="3" width="13.42578125" style="18" customWidth="1"/>
    <col min="4" max="4" width="36" style="18" customWidth="1"/>
    <col min="5" max="5" width="54.42578125" style="18" customWidth="1"/>
    <col min="6" max="16384" width="8.5703125" style="18"/>
  </cols>
  <sheetData>
    <row r="1" spans="1:11" ht="20.100000000000001" customHeight="1" x14ac:dyDescent="0.2">
      <c r="A1" s="21">
        <v>1</v>
      </c>
      <c r="B1" s="680" t="str">
        <f>VLOOKUP("T.01.01",Translation,LanguageNo+1,FALSE)</f>
        <v>SST-Template</v>
      </c>
      <c r="C1" s="22">
        <v>2024</v>
      </c>
    </row>
    <row r="2" spans="1:11" ht="14.25" customHeight="1" x14ac:dyDescent="0.2">
      <c r="A2" s="67"/>
      <c r="B2" s="67"/>
      <c r="C2" s="67"/>
      <c r="D2" s="67"/>
      <c r="E2" s="67"/>
      <c r="F2" s="67"/>
      <c r="G2" s="67"/>
      <c r="H2" s="67"/>
      <c r="I2" s="67"/>
      <c r="J2" s="67"/>
    </row>
    <row r="3" spans="1:11" s="55" customFormat="1" ht="14.25" customHeight="1" x14ac:dyDescent="0.2">
      <c r="A3" s="54"/>
      <c r="B3" s="64" t="s">
        <v>720</v>
      </c>
      <c r="C3" s="788" t="s">
        <v>5018</v>
      </c>
      <c r="D3" s="67"/>
      <c r="E3" s="67"/>
      <c r="F3" s="67"/>
      <c r="G3" s="67"/>
      <c r="H3" s="67"/>
      <c r="I3" s="67"/>
      <c r="J3" s="67"/>
    </row>
    <row r="4" spans="1:11" s="55" customFormat="1" ht="14.25" customHeight="1" x14ac:dyDescent="0.2">
      <c r="A4" s="54"/>
      <c r="B4" s="64"/>
      <c r="C4" s="157"/>
      <c r="D4" s="67"/>
      <c r="E4" s="67"/>
      <c r="F4" s="67"/>
      <c r="G4" s="67"/>
      <c r="H4" s="67"/>
      <c r="I4" s="67"/>
      <c r="J4" s="67"/>
    </row>
    <row r="5" spans="1:11" s="55" customFormat="1" ht="14.25" customHeight="1" x14ac:dyDescent="0.2">
      <c r="A5" s="67"/>
      <c r="B5" s="158"/>
      <c r="C5" s="67"/>
      <c r="D5" s="67"/>
      <c r="E5" s="67"/>
      <c r="F5" s="67"/>
      <c r="G5" s="67"/>
      <c r="H5" s="67"/>
      <c r="I5" s="67"/>
      <c r="J5" s="67"/>
    </row>
    <row r="6" spans="1:11" s="55" customFormat="1" ht="14.25" customHeight="1" x14ac:dyDescent="0.2">
      <c r="A6" s="67"/>
      <c r="B6" s="67"/>
      <c r="C6" s="67"/>
      <c r="D6" s="67"/>
      <c r="E6" s="67"/>
      <c r="F6" s="67"/>
      <c r="G6" s="67"/>
      <c r="H6" s="67"/>
      <c r="I6" s="67"/>
      <c r="J6" s="67"/>
    </row>
    <row r="7" spans="1:11" s="55" customFormat="1" ht="14.25" customHeight="1" x14ac:dyDescent="0.2">
      <c r="A7" s="67"/>
      <c r="B7" s="1264" t="s">
        <v>274</v>
      </c>
      <c r="C7" s="1264"/>
      <c r="D7" s="1265"/>
      <c r="E7" s="143" t="s">
        <v>5019</v>
      </c>
      <c r="F7" s="56">
        <f>IF(Language="DE",1,IF(Language="FR",2,3))</f>
        <v>1</v>
      </c>
      <c r="G7" s="911" t="str">
        <f>IF(LanguageNo=1,"in Mio.",IF(LanguageNo=2,"en milion","in Mio."))&amp;" "</f>
        <v xml:space="preserve">in Mio. </v>
      </c>
      <c r="H7" s="67"/>
      <c r="I7" s="67"/>
      <c r="J7" s="67"/>
    </row>
    <row r="8" spans="1:11" s="55" customFormat="1" ht="14.25" customHeight="1" x14ac:dyDescent="0.2">
      <c r="A8" s="87"/>
      <c r="B8" s="79"/>
      <c r="C8" s="67"/>
      <c r="D8" s="67"/>
      <c r="E8" s="159"/>
      <c r="F8" s="87"/>
      <c r="G8" s="87"/>
      <c r="H8" s="87"/>
      <c r="I8" s="87"/>
      <c r="J8" s="87"/>
      <c r="K8" s="57"/>
    </row>
    <row r="9" spans="1:11" s="55" customFormat="1" ht="14.25" customHeight="1" x14ac:dyDescent="0.2">
      <c r="A9" s="87"/>
      <c r="B9" s="1266" t="str">
        <f>VLOOKUP("T.01.02",Translation,LanguageNo+1,FALSE)</f>
        <v>Name der Versicherungsgesellschaft</v>
      </c>
      <c r="C9" s="1266"/>
      <c r="D9" s="1267"/>
      <c r="E9" s="143" t="s">
        <v>276</v>
      </c>
      <c r="F9" s="67"/>
      <c r="G9" s="87"/>
      <c r="H9" s="87"/>
      <c r="I9" s="87"/>
      <c r="J9" s="87"/>
      <c r="K9" s="57"/>
    </row>
    <row r="10" spans="1:11" s="55" customFormat="1" ht="14.25" customHeight="1" x14ac:dyDescent="0.2">
      <c r="A10" s="87"/>
      <c r="B10" s="87"/>
      <c r="C10" s="67"/>
      <c r="D10" s="67"/>
      <c r="E10" s="160"/>
      <c r="F10" s="87"/>
      <c r="G10" s="87"/>
      <c r="H10" s="87"/>
      <c r="I10" s="87"/>
      <c r="J10" s="87"/>
      <c r="K10" s="57"/>
    </row>
    <row r="11" spans="1:11" s="55" customFormat="1" ht="14.25" customHeight="1" x14ac:dyDescent="0.2">
      <c r="A11" s="87"/>
      <c r="B11" s="1266" t="str">
        <f>VLOOKUP("T.01.03",Translation,LanguageNo+1,FALSE)</f>
        <v>Sparte</v>
      </c>
      <c r="C11" s="1266"/>
      <c r="D11" s="1267"/>
      <c r="E11" s="143" t="s">
        <v>261</v>
      </c>
      <c r="F11" s="187"/>
      <c r="G11" s="87"/>
      <c r="H11" s="87"/>
      <c r="I11" s="87"/>
      <c r="J11" s="87"/>
      <c r="K11" s="57"/>
    </row>
    <row r="12" spans="1:11" s="55" customFormat="1" ht="14.25" customHeight="1" x14ac:dyDescent="0.2">
      <c r="A12" s="87"/>
      <c r="B12" s="87"/>
      <c r="C12" s="67"/>
      <c r="D12" s="67"/>
      <c r="E12" s="160"/>
      <c r="F12" s="87"/>
      <c r="G12" s="87"/>
      <c r="H12" s="87"/>
      <c r="I12" s="87"/>
      <c r="J12" s="87"/>
      <c r="K12" s="57"/>
    </row>
    <row r="13" spans="1:11" s="55" customFormat="1" ht="14.25" customHeight="1" x14ac:dyDescent="0.2">
      <c r="A13" s="87"/>
      <c r="B13" s="1266" t="str">
        <f>VLOOKUP("T.01.09",Translation,LanguageNo+1,FALSE)</f>
        <v>Kontaktperson</v>
      </c>
      <c r="C13" s="1266"/>
      <c r="D13" s="1267"/>
      <c r="E13" s="143"/>
      <c r="F13" s="67"/>
      <c r="G13" s="87"/>
      <c r="H13" s="87"/>
      <c r="I13" s="87"/>
      <c r="J13" s="87"/>
      <c r="K13" s="57"/>
    </row>
    <row r="14" spans="1:11" s="55" customFormat="1" ht="14.25" customHeight="1" x14ac:dyDescent="0.2">
      <c r="A14" s="87"/>
      <c r="B14" s="87"/>
      <c r="C14" s="67"/>
      <c r="D14" s="67"/>
      <c r="E14" s="160"/>
      <c r="F14" s="67"/>
      <c r="G14" s="87"/>
      <c r="H14" s="87"/>
      <c r="I14" s="87"/>
      <c r="J14" s="87"/>
      <c r="K14" s="57"/>
    </row>
    <row r="15" spans="1:11" s="55" customFormat="1" ht="14.25" customHeight="1" x14ac:dyDescent="0.2">
      <c r="A15" s="87"/>
      <c r="B15" s="1264" t="s">
        <v>278</v>
      </c>
      <c r="C15" s="1264"/>
      <c r="D15" s="1265"/>
      <c r="E15" s="143"/>
      <c r="F15" s="67"/>
      <c r="G15" s="87"/>
      <c r="H15" s="87"/>
      <c r="I15" s="87"/>
      <c r="J15" s="87"/>
      <c r="K15" s="57"/>
    </row>
    <row r="16" spans="1:11" s="55" customFormat="1" ht="14.25" customHeight="1" x14ac:dyDescent="0.2">
      <c r="A16" s="87"/>
      <c r="B16" s="161"/>
      <c r="C16" s="161"/>
      <c r="D16" s="156"/>
      <c r="E16" s="87"/>
      <c r="F16" s="87"/>
      <c r="G16" s="87"/>
      <c r="H16" s="87"/>
      <c r="I16" s="87"/>
      <c r="J16" s="87"/>
      <c r="K16" s="57"/>
    </row>
    <row r="17" spans="1:11" s="55" customFormat="1" ht="14.25" customHeight="1" x14ac:dyDescent="0.2">
      <c r="A17" s="87"/>
      <c r="B17" s="1264" t="str">
        <f>VLOOKUP("T.01.10",Translation,LanguageNo+1,FALSE)</f>
        <v>Anzahl Simulationen</v>
      </c>
      <c r="C17" s="1264"/>
      <c r="D17" s="1265"/>
      <c r="E17" s="162">
        <v>1000000</v>
      </c>
      <c r="F17" s="87"/>
      <c r="G17" s="87"/>
      <c r="H17" s="87"/>
      <c r="I17" s="87"/>
      <c r="J17" s="87"/>
      <c r="K17" s="57"/>
    </row>
    <row r="18" spans="1:11" s="55" customFormat="1" ht="14.25" customHeight="1" x14ac:dyDescent="0.2">
      <c r="A18" s="87"/>
      <c r="B18" s="161"/>
      <c r="C18" s="161"/>
      <c r="D18" s="424"/>
      <c r="E18" s="87"/>
      <c r="F18" s="87"/>
      <c r="G18" s="87"/>
      <c r="H18" s="87"/>
      <c r="I18" s="87"/>
      <c r="J18" s="87"/>
      <c r="K18" s="57"/>
    </row>
    <row r="19" spans="1:11" s="55" customFormat="1" ht="14.25" customHeight="1" x14ac:dyDescent="0.2">
      <c r="A19" s="87"/>
      <c r="B19" s="1264" t="str">
        <f>VLOOKUP("T.01.11",Translation,LanguageNo+1,FALSE)</f>
        <v>Seed Nummer</v>
      </c>
      <c r="C19" s="1264"/>
      <c r="D19" s="1265"/>
      <c r="E19" s="162">
        <v>1</v>
      </c>
      <c r="F19" s="87"/>
      <c r="G19" s="87"/>
      <c r="H19" s="87"/>
      <c r="I19" s="87"/>
      <c r="J19" s="87"/>
      <c r="K19" s="57"/>
    </row>
    <row r="20" spans="1:11" s="55" customFormat="1" ht="14.25" customHeight="1" x14ac:dyDescent="0.2">
      <c r="A20" s="87"/>
      <c r="B20" s="161"/>
      <c r="C20" s="161"/>
      <c r="D20" s="180"/>
      <c r="E20" s="87"/>
      <c r="F20" s="87"/>
      <c r="G20" s="87"/>
      <c r="H20" s="87"/>
      <c r="I20" s="87"/>
      <c r="J20" s="87"/>
      <c r="K20" s="57"/>
    </row>
    <row r="21" spans="1:11" s="55" customFormat="1" ht="14.25" customHeight="1" x14ac:dyDescent="0.2">
      <c r="A21" s="87"/>
      <c r="B21" s="1264" t="str">
        <f>VLOOKUP("T.01.12",Translation,LanguageNo+1,FALSE)</f>
        <v>Nachsilbe zur Bezeichnung des ausgegebenen FDS</v>
      </c>
      <c r="C21" s="1264"/>
      <c r="D21" s="1265"/>
      <c r="E21" s="1078"/>
      <c r="F21" s="67"/>
      <c r="G21" s="87"/>
      <c r="H21" s="87"/>
      <c r="I21" s="87"/>
      <c r="J21" s="87"/>
      <c r="K21" s="57"/>
    </row>
    <row r="22" spans="1:11" s="55" customFormat="1" ht="14.25" customHeight="1" x14ac:dyDescent="0.2">
      <c r="A22" s="67"/>
      <c r="B22" s="67"/>
      <c r="C22" s="67"/>
      <c r="D22" s="98"/>
      <c r="E22" s="98"/>
      <c r="F22" s="98"/>
      <c r="G22" s="98"/>
      <c r="H22" s="98"/>
      <c r="I22" s="98"/>
      <c r="J22" s="98"/>
      <c r="K22" s="58"/>
    </row>
    <row r="23" spans="1:11" s="55" customFormat="1" ht="14.25" customHeight="1" x14ac:dyDescent="0.2">
      <c r="A23" s="67"/>
      <c r="B23" s="67"/>
      <c r="C23" s="79"/>
      <c r="D23" s="98"/>
      <c r="E23" s="98"/>
      <c r="F23" s="98"/>
      <c r="G23" s="98"/>
      <c r="H23" s="98"/>
      <c r="I23" s="98"/>
      <c r="J23" s="98"/>
      <c r="K23" s="58"/>
    </row>
    <row r="24" spans="1:11" s="55" customFormat="1" ht="14.25" customHeight="1" x14ac:dyDescent="0.2">
      <c r="A24" s="67"/>
      <c r="B24" s="10" t="str">
        <f>VLOOKUP("T.02.03",Translation,LanguageNo+1,FALSE)</f>
        <v>Bemerkungen</v>
      </c>
      <c r="C24" s="119"/>
      <c r="D24" s="98"/>
      <c r="E24" s="98"/>
      <c r="F24" s="98"/>
      <c r="G24" s="98"/>
      <c r="H24" s="98"/>
      <c r="I24" s="98"/>
      <c r="J24" s="98"/>
      <c r="K24" s="58"/>
    </row>
    <row r="25" spans="1:11" s="55" customFormat="1" ht="14.25" customHeight="1" x14ac:dyDescent="0.2">
      <c r="A25" s="128"/>
      <c r="B25" s="163" t="str">
        <f>VLOOKUP("T.01.17",Translation,LanguageNo+1,FALSE)</f>
        <v>Dieses SST-Template enthält Tabellenblätter mit verschiedenen Registerfarben. Es wird die folgende Farbenkonvention verwendet:</v>
      </c>
      <c r="C25" s="120"/>
      <c r="D25" s="120"/>
      <c r="E25" s="119"/>
      <c r="F25" s="120"/>
      <c r="G25" s="120"/>
      <c r="H25" s="120"/>
      <c r="I25" s="120"/>
      <c r="J25" s="120"/>
      <c r="K25" s="62"/>
    </row>
    <row r="26" spans="1:11" s="55" customFormat="1" ht="14.25" customHeight="1" x14ac:dyDescent="0.2">
      <c r="A26" s="128"/>
      <c r="B26" s="163"/>
      <c r="C26" s="67"/>
      <c r="D26" s="119"/>
      <c r="E26" s="119"/>
      <c r="F26" s="119"/>
      <c r="G26" s="119"/>
      <c r="H26" s="119"/>
      <c r="I26" s="119"/>
      <c r="J26" s="119"/>
      <c r="K26" s="59"/>
    </row>
    <row r="27" spans="1:11" s="55" customFormat="1" ht="14.25" customHeight="1" x14ac:dyDescent="0.2">
      <c r="A27" s="67"/>
      <c r="B27" s="421" t="str">
        <f>VLOOKUP("T.01.13",Translation,LanguageNo+1,FALSE)</f>
        <v>Angaben</v>
      </c>
      <c r="C27" s="164" t="str">
        <f>VLOOKUP("T.01.18",Translation,LanguageNo+1,FALSE)</f>
        <v>Tabellenblätter, die vom Versicherungsunternehmen auszufüllen sind.</v>
      </c>
      <c r="D27" s="98"/>
      <c r="E27" s="98"/>
      <c r="F27" s="98"/>
      <c r="G27" s="98"/>
      <c r="H27" s="98"/>
      <c r="I27" s="98"/>
      <c r="J27" s="98"/>
      <c r="K27" s="58"/>
    </row>
    <row r="28" spans="1:11" s="55" customFormat="1" ht="14.25" customHeight="1" x14ac:dyDescent="0.2">
      <c r="A28" s="67"/>
      <c r="B28" s="63" t="str">
        <f>VLOOKUP("T.01.14",Translation,LanguageNo+1,FALSE)</f>
        <v>Parameter</v>
      </c>
      <c r="C28" s="165" t="str">
        <f>VLOOKUP("T.01.19",Translation,LanguageNo+1,FALSE)</f>
        <v>Tabellenblätter mit Informationen und Parametern. Diese Tabellenblätter sind in der Regel nicht zu ändern.</v>
      </c>
      <c r="D28" s="98"/>
      <c r="E28" s="98"/>
      <c r="F28" s="98"/>
      <c r="G28" s="98"/>
      <c r="H28" s="98"/>
      <c r="I28" s="98"/>
      <c r="J28" s="98"/>
      <c r="K28" s="58"/>
    </row>
    <row r="29" spans="1:11" s="55" customFormat="1" ht="14.25" customHeight="1" x14ac:dyDescent="0.2">
      <c r="A29" s="67"/>
      <c r="B29" s="728" t="str">
        <f>VLOOKUP("T.01.15",Translation,LanguageNo+1,FALSE)</f>
        <v>Configuration</v>
      </c>
      <c r="C29" s="165" t="str">
        <f>VLOOKUP("T.01.20",Translation,LanguageNo+1,FALSE)</f>
        <v>Tabellenblätter, die für die Steuerung des Tools notwendig sind. Diese Tabellenblätter sind in der Regel nicht zu ändern.</v>
      </c>
      <c r="D29" s="98"/>
      <c r="E29" s="98"/>
      <c r="F29" s="98"/>
      <c r="G29" s="98"/>
      <c r="H29" s="98"/>
      <c r="I29" s="98"/>
      <c r="J29" s="98"/>
      <c r="K29" s="58"/>
    </row>
    <row r="30" spans="1:11" s="55" customFormat="1" ht="14.25" customHeight="1" x14ac:dyDescent="0.2">
      <c r="A30" s="67"/>
      <c r="B30" s="98"/>
      <c r="C30" s="165"/>
      <c r="D30" s="98"/>
      <c r="E30" s="98"/>
      <c r="F30" s="98"/>
      <c r="G30" s="98"/>
      <c r="H30" s="98"/>
      <c r="I30" s="98"/>
      <c r="J30" s="98"/>
      <c r="K30" s="58"/>
    </row>
    <row r="31" spans="1:11" s="60" customFormat="1" ht="14.25" customHeight="1" x14ac:dyDescent="0.25">
      <c r="A31" s="128"/>
      <c r="B31" s="166" t="str">
        <f>VLOOKUP("T.01.16",Translation,LanguageNo+1,FALSE)</f>
        <v>Eingabe</v>
      </c>
      <c r="C31" s="167" t="str">
        <f>VLOOKUP("T.01.21",Translation,LanguageNo+1,FALSE)</f>
        <v>Eingabefelder: In diesen Feldern werden versicherungsspezifische Angaben erwartet.</v>
      </c>
      <c r="D31" s="163"/>
      <c r="E31" s="163"/>
      <c r="F31" s="163"/>
      <c r="G31" s="163"/>
      <c r="H31" s="163"/>
      <c r="I31" s="163"/>
      <c r="J31" s="163"/>
      <c r="K31" s="61"/>
    </row>
    <row r="32" spans="1:11" ht="12.75" customHeight="1" x14ac:dyDescent="0.2">
      <c r="A32" s="67"/>
      <c r="B32" s="67"/>
      <c r="C32" s="67"/>
      <c r="D32" s="67"/>
      <c r="E32" s="67"/>
      <c r="F32" s="67"/>
      <c r="G32" s="67"/>
      <c r="H32" s="67"/>
      <c r="I32" s="67"/>
      <c r="J32" s="67"/>
    </row>
    <row r="33" spans="1:10" ht="12.75" customHeight="1" x14ac:dyDescent="0.2">
      <c r="A33" s="67"/>
      <c r="B33" s="67"/>
      <c r="C33" s="165"/>
      <c r="D33" s="67"/>
      <c r="E33" s="67"/>
      <c r="F33" s="67"/>
      <c r="G33" s="67"/>
      <c r="H33" s="67"/>
      <c r="I33" s="67"/>
      <c r="J33" s="67"/>
    </row>
    <row r="34" spans="1:10" ht="12.75" customHeight="1" x14ac:dyDescent="0.2">
      <c r="A34" s="67"/>
      <c r="B34" s="67"/>
      <c r="C34" s="67"/>
      <c r="D34" s="67"/>
      <c r="E34" s="67"/>
      <c r="F34" s="67"/>
      <c r="G34" s="67"/>
      <c r="H34" s="67"/>
      <c r="I34" s="67"/>
      <c r="J34" s="67"/>
    </row>
    <row r="35" spans="1:10" ht="12.75" customHeight="1" x14ac:dyDescent="0.2">
      <c r="A35" s="67"/>
      <c r="B35" s="67"/>
      <c r="C35" s="67"/>
      <c r="D35" s="67"/>
      <c r="E35" s="67"/>
      <c r="F35" s="67"/>
      <c r="G35" s="67"/>
      <c r="H35" s="67"/>
      <c r="I35" s="67"/>
      <c r="J35" s="67"/>
    </row>
    <row r="36" spans="1:10" ht="12.75" customHeight="1" x14ac:dyDescent="0.2">
      <c r="A36" s="67"/>
      <c r="B36" s="67"/>
      <c r="C36" s="67"/>
      <c r="D36" s="67"/>
      <c r="E36" s="67"/>
      <c r="F36" s="67"/>
      <c r="G36" s="67"/>
      <c r="H36" s="67"/>
      <c r="I36" s="67"/>
      <c r="J36" s="67"/>
    </row>
    <row r="37" spans="1:10" ht="12.75" customHeight="1" x14ac:dyDescent="0.2">
      <c r="A37" s="67"/>
      <c r="B37" s="67"/>
      <c r="C37" s="67"/>
      <c r="D37" s="67"/>
      <c r="E37" s="67"/>
      <c r="F37" s="67"/>
      <c r="G37" s="67"/>
      <c r="H37" s="67"/>
      <c r="I37" s="67"/>
      <c r="J37" s="67"/>
    </row>
    <row r="38" spans="1:10" ht="12.75" customHeight="1" x14ac:dyDescent="0.2">
      <c r="A38" s="67"/>
      <c r="B38" s="67"/>
      <c r="C38" s="67"/>
      <c r="D38" s="67"/>
      <c r="E38" s="67"/>
      <c r="F38" s="67"/>
      <c r="G38" s="67"/>
      <c r="H38" s="67"/>
      <c r="I38" s="67"/>
      <c r="J38" s="67"/>
    </row>
    <row r="39" spans="1:10" ht="12.75" customHeight="1" x14ac:dyDescent="0.2">
      <c r="A39" s="67"/>
      <c r="B39" s="67"/>
      <c r="C39" s="67"/>
      <c r="D39" s="67"/>
      <c r="E39" s="67"/>
      <c r="F39" s="67"/>
      <c r="G39" s="67"/>
      <c r="H39" s="67"/>
      <c r="I39" s="67"/>
      <c r="J39" s="67"/>
    </row>
    <row r="40" spans="1:10" ht="12.75" customHeight="1" x14ac:dyDescent="0.2">
      <c r="A40" s="67"/>
      <c r="B40" s="67"/>
      <c r="C40" s="67"/>
      <c r="D40" s="67"/>
      <c r="E40" s="67"/>
      <c r="F40" s="67"/>
      <c r="G40" s="67"/>
      <c r="H40" s="67"/>
      <c r="I40" s="67"/>
      <c r="J40" s="67"/>
    </row>
    <row r="41" spans="1:10" ht="12.75" customHeight="1" x14ac:dyDescent="0.2">
      <c r="A41" s="67"/>
      <c r="B41" s="67"/>
      <c r="C41" s="67"/>
      <c r="D41" s="67"/>
      <c r="E41" s="67"/>
      <c r="F41" s="67"/>
      <c r="G41" s="67"/>
      <c r="H41" s="67"/>
      <c r="I41" s="67"/>
      <c r="J41" s="67"/>
    </row>
    <row r="42" spans="1:10" ht="12.75" customHeight="1" x14ac:dyDescent="0.2">
      <c r="A42" s="67"/>
      <c r="B42" s="67"/>
      <c r="C42" s="67"/>
      <c r="D42" s="67"/>
      <c r="E42" s="67"/>
      <c r="F42" s="67"/>
      <c r="G42" s="67"/>
      <c r="H42" s="67"/>
      <c r="I42" s="67"/>
      <c r="J42" s="67"/>
    </row>
  </sheetData>
  <mergeCells count="8">
    <mergeCell ref="B21:D21"/>
    <mergeCell ref="B19:D19"/>
    <mergeCell ref="B17:D17"/>
    <mergeCell ref="B7:D7"/>
    <mergeCell ref="B9:D9"/>
    <mergeCell ref="B11:D11"/>
    <mergeCell ref="B13:D13"/>
    <mergeCell ref="B15:D15"/>
  </mergeCells>
  <dataValidations count="1">
    <dataValidation type="list" allowBlank="1" showInputMessage="1" showErrorMessage="1" sqref="C23 E7" xr:uid="{00000000-0002-0000-0000-000000000000}">
      <formula1>"DE, FR, EN"</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IF(Language="DE",Glossary!$C$11:$C$16,IF(Language="FR",Glossary!$D$11:$D$16,Glossary!$E$11:$E$16))</xm:f>
          </x14:formula1>
          <xm:sqref>E11</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3">
    <tabColor rgb="FFD4ECF9"/>
  </sheetPr>
  <dimension ref="A1:R44"/>
  <sheetViews>
    <sheetView showGridLines="0" zoomScale="90" zoomScaleNormal="90" workbookViewId="0"/>
  </sheetViews>
  <sheetFormatPr baseColWidth="10" defaultColWidth="8.5703125" defaultRowHeight="12.75" customHeight="1" x14ac:dyDescent="0.25"/>
  <cols>
    <col min="1" max="1" width="5.5703125" customWidth="1"/>
    <col min="2" max="2" width="20" bestFit="1" customWidth="1"/>
    <col min="3" max="3" width="36" bestFit="1" customWidth="1"/>
    <col min="4" max="4" width="13.5703125" customWidth="1"/>
    <col min="5" max="5" width="44.5703125" customWidth="1"/>
    <col min="6" max="6" width="15.5703125" customWidth="1"/>
  </cols>
  <sheetData>
    <row r="1" spans="1:18" ht="20.100000000000001" customHeight="1" x14ac:dyDescent="0.25">
      <c r="A1" s="21">
        <v>9</v>
      </c>
      <c r="B1" s="680" t="str">
        <f>VLOOKUP("T.09.01",Translation,LanguageNo+1,FALSE)</f>
        <v>Preisabhängige Assets und Beteiligungen</v>
      </c>
      <c r="C1" s="22"/>
    </row>
    <row r="2" spans="1:18" ht="14.25" customHeight="1" x14ac:dyDescent="0.25">
      <c r="A2" s="140"/>
      <c r="B2" s="140"/>
      <c r="C2" s="23"/>
      <c r="D2" s="67"/>
      <c r="E2" s="67"/>
      <c r="F2" s="67"/>
      <c r="G2" s="67"/>
      <c r="H2" s="67"/>
    </row>
    <row r="3" spans="1:18" ht="14.25" customHeight="1" x14ac:dyDescent="0.25">
      <c r="A3" s="67"/>
      <c r="B3" s="67"/>
      <c r="C3" s="67"/>
      <c r="D3" s="67"/>
      <c r="E3" s="67"/>
      <c r="F3" s="67"/>
      <c r="G3" s="67"/>
      <c r="H3" s="67"/>
    </row>
    <row r="4" spans="1:18" ht="14.25" customHeight="1" x14ac:dyDescent="0.25">
      <c r="A4" s="67"/>
      <c r="B4" s="67"/>
      <c r="C4" s="67"/>
      <c r="D4" s="67"/>
      <c r="E4" s="67"/>
      <c r="F4" s="67"/>
      <c r="G4" s="67"/>
      <c r="H4" s="67"/>
      <c r="I4" s="2"/>
      <c r="J4" s="2"/>
      <c r="K4" s="2"/>
      <c r="L4" s="2"/>
      <c r="M4" s="2"/>
      <c r="N4" s="2"/>
      <c r="O4" s="2"/>
      <c r="P4" s="2"/>
      <c r="Q4" s="2"/>
      <c r="R4" s="2"/>
    </row>
    <row r="5" spans="1:18" ht="25.35" customHeight="1" x14ac:dyDescent="0.25">
      <c r="A5" s="67"/>
      <c r="B5" s="567" t="s">
        <v>1594</v>
      </c>
      <c r="C5" s="74" t="str">
        <f>VLOOKUP("T.09.02",Translation,LanguageNo+1,FALSE)</f>
        <v>Art</v>
      </c>
      <c r="D5" s="74" t="str">
        <f>VLOOKUP("T.09.03",Translation,LanguageNo+1,FALSE)</f>
        <v>Währung</v>
      </c>
      <c r="E5" s="901" t="s">
        <v>585</v>
      </c>
      <c r="F5" s="74" t="s">
        <v>25</v>
      </c>
      <c r="G5" s="67"/>
      <c r="H5" s="67"/>
      <c r="I5" s="2"/>
      <c r="J5" s="2"/>
      <c r="K5" s="2"/>
      <c r="L5" s="2"/>
      <c r="M5" s="2"/>
      <c r="N5" s="2"/>
      <c r="O5" s="2"/>
      <c r="P5" s="2"/>
      <c r="Q5" s="2"/>
      <c r="R5" s="2"/>
    </row>
    <row r="6" spans="1:18" ht="38.25" x14ac:dyDescent="0.25">
      <c r="A6" s="67"/>
      <c r="B6" s="960"/>
      <c r="C6" s="960"/>
      <c r="D6" s="960"/>
      <c r="E6" s="950" t="str">
        <f>VLOOKUP("T.09.10",Translation,LanguageNo+1,FALSE)</f>
        <v>Die Zuordnung der Art und der Währung erfolgt gemäss dem Dokument Technische Beschreibung für das SST-Standardmodell Marktrisiko.</v>
      </c>
      <c r="F6" s="967" t="str">
        <f>Unit</f>
        <v xml:space="preserve">in Mio. </v>
      </c>
      <c r="G6" s="67"/>
      <c r="H6" s="67"/>
      <c r="I6" s="2"/>
      <c r="J6" s="2"/>
      <c r="K6" s="2"/>
      <c r="L6" s="2"/>
      <c r="M6" s="2"/>
      <c r="N6" s="2"/>
      <c r="O6" s="2"/>
      <c r="P6" s="2"/>
      <c r="Q6" s="2"/>
      <c r="R6" s="2"/>
    </row>
    <row r="7" spans="1:18" ht="14.25" customHeight="1" x14ac:dyDescent="0.25">
      <c r="A7" s="67"/>
      <c r="B7" s="982" t="s">
        <v>1687</v>
      </c>
      <c r="C7" s="150" t="str">
        <f>VLOOKUP("T.09.09",Translation,LanguageNo+1,FALSE)</f>
        <v>Total (immaterielle) Beteiligungen</v>
      </c>
      <c r="D7" s="983" t="str">
        <f>SST_Currency</f>
        <v>CHF</v>
      </c>
      <c r="E7" s="984"/>
      <c r="F7" s="985"/>
      <c r="G7" s="67"/>
      <c r="H7" s="67"/>
      <c r="I7" s="2"/>
      <c r="J7" s="2"/>
      <c r="K7" s="2"/>
      <c r="L7" s="2"/>
      <c r="M7" s="2"/>
      <c r="N7" s="2"/>
      <c r="O7" s="2"/>
      <c r="P7" s="2"/>
      <c r="Q7" s="2"/>
      <c r="R7" s="2"/>
    </row>
    <row r="8" spans="1:18" ht="14.25" customHeight="1" x14ac:dyDescent="0.25">
      <c r="A8" s="67"/>
      <c r="B8" s="562" t="s">
        <v>27</v>
      </c>
      <c r="C8" s="76" t="str">
        <f>VLOOKUP("T.09.04",Translation,LanguageNo+1,FALSE)</f>
        <v>Aktien</v>
      </c>
      <c r="D8" s="152" t="s">
        <v>30</v>
      </c>
      <c r="E8" s="153"/>
      <c r="F8" s="110"/>
      <c r="G8" s="67"/>
      <c r="I8" s="2"/>
      <c r="J8" s="2"/>
      <c r="K8" s="2"/>
      <c r="L8" s="2"/>
      <c r="M8" s="2"/>
      <c r="N8" s="2"/>
      <c r="O8" s="2"/>
      <c r="P8" s="2"/>
      <c r="Q8" s="2"/>
      <c r="R8" s="2"/>
    </row>
    <row r="9" spans="1:18" ht="14.25" customHeight="1" x14ac:dyDescent="0.25">
      <c r="A9" s="67"/>
      <c r="B9" s="562" t="s">
        <v>27</v>
      </c>
      <c r="C9" s="77" t="str">
        <f>VLOOKUP("T.09.04",Translation,LanguageNo+1,FALSE)</f>
        <v>Aktien</v>
      </c>
      <c r="D9" s="154" t="s">
        <v>31</v>
      </c>
      <c r="E9" s="155"/>
      <c r="F9" s="110"/>
      <c r="G9" s="67"/>
      <c r="H9" s="67"/>
      <c r="I9" s="2"/>
      <c r="J9" s="2"/>
      <c r="K9" s="2"/>
      <c r="L9" s="2"/>
      <c r="M9" s="2"/>
      <c r="N9" s="2"/>
      <c r="O9" s="2"/>
      <c r="P9" s="2"/>
      <c r="Q9" s="2"/>
      <c r="R9" s="2"/>
    </row>
    <row r="10" spans="1:18" ht="14.25" customHeight="1" x14ac:dyDescent="0.25">
      <c r="A10" s="67"/>
      <c r="B10" s="562" t="s">
        <v>27</v>
      </c>
      <c r="C10" s="77" t="str">
        <f>VLOOKUP("T.09.04",Translation,LanguageNo+1,FALSE)</f>
        <v>Aktien</v>
      </c>
      <c r="D10" s="154" t="s">
        <v>33</v>
      </c>
      <c r="E10" s="155"/>
      <c r="F10" s="110"/>
      <c r="G10" s="67"/>
      <c r="H10" s="67"/>
      <c r="I10" s="2"/>
      <c r="J10" s="2"/>
      <c r="K10" s="2"/>
      <c r="L10" s="2"/>
      <c r="M10" s="2"/>
      <c r="N10" s="2"/>
      <c r="O10" s="2"/>
      <c r="P10" s="2"/>
      <c r="Q10" s="2"/>
      <c r="R10" s="2"/>
    </row>
    <row r="11" spans="1:18" ht="14.25" customHeight="1" x14ac:dyDescent="0.25">
      <c r="A11" s="67"/>
      <c r="B11" s="562" t="s">
        <v>27</v>
      </c>
      <c r="C11" s="77" t="str">
        <f>VLOOKUP("T.09.04",Translation,LanguageNo+1,FALSE)</f>
        <v>Aktien</v>
      </c>
      <c r="D11" s="154" t="s">
        <v>32</v>
      </c>
      <c r="E11" s="155"/>
      <c r="F11" s="110"/>
      <c r="G11" s="67"/>
      <c r="H11" s="67"/>
      <c r="I11" s="2"/>
      <c r="J11" s="2"/>
      <c r="K11" s="2"/>
      <c r="L11" s="2"/>
      <c r="M11" s="2"/>
      <c r="N11" s="2"/>
      <c r="O11" s="2"/>
      <c r="P11" s="2"/>
      <c r="Q11" s="2"/>
      <c r="R11" s="2"/>
    </row>
    <row r="12" spans="1:18" ht="14.25" customHeight="1" x14ac:dyDescent="0.25">
      <c r="A12" s="67"/>
      <c r="B12" s="562" t="s">
        <v>27</v>
      </c>
      <c r="C12" s="77" t="str">
        <f>VLOOKUP("T.09.04",Translation,LanguageNo+1,FALSE)</f>
        <v>Aktien</v>
      </c>
      <c r="D12" s="154" t="s">
        <v>87</v>
      </c>
      <c r="E12" s="155"/>
      <c r="F12" s="110"/>
      <c r="G12" s="67"/>
      <c r="H12" s="67"/>
      <c r="I12" s="2"/>
      <c r="J12" s="2"/>
      <c r="K12" s="2"/>
      <c r="L12" s="2"/>
      <c r="M12" s="2"/>
      <c r="N12" s="2"/>
      <c r="O12" s="2"/>
      <c r="P12" s="2"/>
      <c r="Q12" s="2"/>
      <c r="R12" s="2"/>
    </row>
    <row r="13" spans="1:18" ht="14.25" customHeight="1" x14ac:dyDescent="0.25">
      <c r="A13" s="67"/>
      <c r="B13" s="563" t="s">
        <v>28</v>
      </c>
      <c r="C13" s="77" t="str">
        <f>VLOOKUP("T.09.05",Translation,LanguageNo+1,FALSE)</f>
        <v>Hedgefonds</v>
      </c>
      <c r="D13" s="154" t="s">
        <v>30</v>
      </c>
      <c r="E13" s="155"/>
      <c r="F13" s="110"/>
      <c r="G13" s="67"/>
      <c r="H13" s="67"/>
      <c r="I13" s="2"/>
      <c r="J13" s="2"/>
      <c r="K13" s="2"/>
      <c r="L13" s="2"/>
      <c r="M13" s="2"/>
      <c r="N13" s="2"/>
      <c r="O13" s="2"/>
      <c r="P13" s="2"/>
      <c r="Q13" s="2"/>
      <c r="R13" s="2"/>
    </row>
    <row r="14" spans="1:18" ht="14.25" customHeight="1" x14ac:dyDescent="0.25">
      <c r="A14" s="67"/>
      <c r="B14" s="563" t="s">
        <v>28</v>
      </c>
      <c r="C14" s="77" t="str">
        <f>VLOOKUP("T.09.05",Translation,LanguageNo+1,FALSE)</f>
        <v>Hedgefonds</v>
      </c>
      <c r="D14" s="154" t="s">
        <v>31</v>
      </c>
      <c r="E14" s="155"/>
      <c r="F14" s="110"/>
      <c r="G14" s="67"/>
      <c r="H14" s="67"/>
      <c r="I14" s="2"/>
      <c r="J14" s="2"/>
      <c r="K14" s="2"/>
      <c r="L14" s="2"/>
      <c r="M14" s="2"/>
      <c r="N14" s="2"/>
      <c r="O14" s="2"/>
      <c r="P14" s="2"/>
      <c r="Q14" s="2"/>
      <c r="R14" s="2"/>
    </row>
    <row r="15" spans="1:18" ht="14.25" customHeight="1" x14ac:dyDescent="0.25">
      <c r="A15" s="67"/>
      <c r="B15" s="563" t="s">
        <v>28</v>
      </c>
      <c r="C15" s="77" t="str">
        <f>VLOOKUP("T.09.05",Translation,LanguageNo+1,FALSE)</f>
        <v>Hedgefonds</v>
      </c>
      <c r="D15" s="154" t="s">
        <v>33</v>
      </c>
      <c r="E15" s="155"/>
      <c r="F15" s="110"/>
      <c r="G15" s="67"/>
      <c r="H15" s="67"/>
      <c r="I15" s="2"/>
      <c r="J15" s="2"/>
      <c r="K15" s="2"/>
      <c r="L15" s="2"/>
      <c r="M15" s="2"/>
      <c r="N15" s="2"/>
      <c r="O15" s="2"/>
      <c r="P15" s="2"/>
      <c r="Q15" s="2"/>
      <c r="R15" s="2"/>
    </row>
    <row r="16" spans="1:18" ht="14.25" customHeight="1" x14ac:dyDescent="0.25">
      <c r="A16" s="67"/>
      <c r="B16" s="563" t="s">
        <v>28</v>
      </c>
      <c r="C16" s="77" t="str">
        <f>VLOOKUP("T.09.05",Translation,LanguageNo+1,FALSE)</f>
        <v>Hedgefonds</v>
      </c>
      <c r="D16" s="154" t="s">
        <v>32</v>
      </c>
      <c r="E16" s="155"/>
      <c r="F16" s="110"/>
      <c r="G16" s="67"/>
      <c r="H16" s="67"/>
      <c r="I16" s="2"/>
      <c r="J16" s="2"/>
      <c r="K16" s="2"/>
      <c r="L16" s="2"/>
      <c r="M16" s="2"/>
      <c r="N16" s="2"/>
      <c r="O16" s="2"/>
      <c r="P16" s="2"/>
      <c r="Q16" s="2"/>
      <c r="R16" s="2"/>
    </row>
    <row r="17" spans="1:18" ht="14.25" customHeight="1" x14ac:dyDescent="0.25">
      <c r="A17" s="67"/>
      <c r="B17" s="563" t="s">
        <v>28</v>
      </c>
      <c r="C17" s="77" t="str">
        <f>VLOOKUP("T.09.05",Translation,LanguageNo+1,FALSE)</f>
        <v>Hedgefonds</v>
      </c>
      <c r="D17" s="154" t="s">
        <v>87</v>
      </c>
      <c r="E17" s="155"/>
      <c r="F17" s="110"/>
      <c r="G17" s="67"/>
      <c r="H17" s="67"/>
      <c r="I17" s="2"/>
      <c r="J17" s="2"/>
      <c r="K17" s="2"/>
      <c r="L17" s="2"/>
      <c r="M17" s="2"/>
      <c r="N17" s="2"/>
      <c r="O17" s="2"/>
      <c r="P17" s="2"/>
      <c r="Q17" s="2"/>
      <c r="R17" s="2"/>
    </row>
    <row r="18" spans="1:18" ht="14.25" customHeight="1" x14ac:dyDescent="0.25">
      <c r="A18" s="67"/>
      <c r="B18" s="563" t="s">
        <v>91</v>
      </c>
      <c r="C18" s="77" t="str">
        <f>VLOOKUP("T.09.06",Translation,LanguageNo+1,FALSE)</f>
        <v>Private Equity</v>
      </c>
      <c r="D18" s="154" t="s">
        <v>30</v>
      </c>
      <c r="E18" s="155"/>
      <c r="F18" s="110"/>
      <c r="G18" s="67"/>
      <c r="H18" s="67"/>
      <c r="I18" s="2"/>
      <c r="J18" s="2"/>
      <c r="K18" s="2"/>
      <c r="L18" s="2"/>
      <c r="M18" s="2"/>
      <c r="N18" s="2"/>
      <c r="O18" s="2"/>
      <c r="P18" s="2"/>
      <c r="Q18" s="2"/>
      <c r="R18" s="2"/>
    </row>
    <row r="19" spans="1:18" ht="14.25" customHeight="1" x14ac:dyDescent="0.25">
      <c r="A19" s="67"/>
      <c r="B19" s="563" t="s">
        <v>91</v>
      </c>
      <c r="C19" s="77" t="str">
        <f>VLOOKUP("T.09.06",Translation,LanguageNo+1,FALSE)</f>
        <v>Private Equity</v>
      </c>
      <c r="D19" s="154" t="s">
        <v>31</v>
      </c>
      <c r="E19" s="155"/>
      <c r="F19" s="110"/>
      <c r="G19" s="67"/>
      <c r="H19" s="67"/>
      <c r="I19" s="5"/>
      <c r="J19" s="2"/>
      <c r="K19" s="2"/>
      <c r="L19" s="2"/>
      <c r="M19" s="2"/>
      <c r="N19" s="2"/>
      <c r="O19" s="2"/>
      <c r="P19" s="2"/>
      <c r="Q19" s="2"/>
      <c r="R19" s="2"/>
    </row>
    <row r="20" spans="1:18" ht="14.25" customHeight="1" x14ac:dyDescent="0.25">
      <c r="A20" s="67"/>
      <c r="B20" s="563" t="s">
        <v>91</v>
      </c>
      <c r="C20" s="77" t="str">
        <f>VLOOKUP("T.09.06",Translation,LanguageNo+1,FALSE)</f>
        <v>Private Equity</v>
      </c>
      <c r="D20" s="154" t="s">
        <v>33</v>
      </c>
      <c r="E20" s="155"/>
      <c r="F20" s="110"/>
      <c r="G20" s="67"/>
      <c r="H20" s="67"/>
      <c r="I20" s="5"/>
      <c r="J20" s="2"/>
      <c r="K20" s="2"/>
      <c r="L20" s="2"/>
      <c r="M20" s="2"/>
      <c r="N20" s="2"/>
      <c r="O20" s="2"/>
      <c r="P20" s="2"/>
      <c r="Q20" s="2"/>
      <c r="R20" s="2"/>
    </row>
    <row r="21" spans="1:18" ht="14.25" customHeight="1" x14ac:dyDescent="0.25">
      <c r="A21" s="67"/>
      <c r="B21" s="563" t="s">
        <v>91</v>
      </c>
      <c r="C21" s="77" t="str">
        <f>VLOOKUP("T.09.06",Translation,LanguageNo+1,FALSE)</f>
        <v>Private Equity</v>
      </c>
      <c r="D21" s="154" t="s">
        <v>32</v>
      </c>
      <c r="E21" s="155"/>
      <c r="F21" s="110"/>
      <c r="G21" s="67"/>
      <c r="H21" s="67"/>
      <c r="I21" s="2"/>
      <c r="J21" s="2"/>
      <c r="K21" s="2"/>
      <c r="L21" s="2"/>
      <c r="M21" s="2"/>
      <c r="N21" s="2"/>
      <c r="O21" s="2"/>
      <c r="P21" s="2"/>
      <c r="Q21" s="2"/>
      <c r="R21" s="2"/>
    </row>
    <row r="22" spans="1:18" ht="14.25" customHeight="1" x14ac:dyDescent="0.25">
      <c r="A22" s="67"/>
      <c r="B22" s="563" t="s">
        <v>91</v>
      </c>
      <c r="C22" s="77" t="str">
        <f>VLOOKUP("T.09.06",Translation,LanguageNo+1,FALSE)</f>
        <v>Private Equity</v>
      </c>
      <c r="D22" s="154" t="s">
        <v>87</v>
      </c>
      <c r="E22" s="155"/>
      <c r="F22" s="110"/>
      <c r="G22" s="67"/>
      <c r="H22" s="67"/>
      <c r="I22" s="2"/>
      <c r="J22" s="2"/>
      <c r="K22" s="2"/>
      <c r="L22" s="2"/>
      <c r="M22" s="2"/>
      <c r="N22" s="2"/>
      <c r="O22" s="2"/>
      <c r="P22" s="2"/>
      <c r="Q22" s="2"/>
      <c r="R22" s="2"/>
    </row>
    <row r="23" spans="1:18" ht="14.25" customHeight="1" x14ac:dyDescent="0.25">
      <c r="A23" s="67"/>
      <c r="B23" s="563" t="s">
        <v>29</v>
      </c>
      <c r="C23" s="491" t="str">
        <f>VLOOKUP("T.09.07",Translation,LanguageNo+1,FALSE)</f>
        <v>Wohnimmobilien</v>
      </c>
      <c r="D23" s="154" t="s">
        <v>30</v>
      </c>
      <c r="E23" s="155"/>
      <c r="F23" s="110"/>
      <c r="G23" s="67"/>
      <c r="H23" s="67"/>
      <c r="I23" s="2"/>
      <c r="J23" s="2"/>
      <c r="K23" s="2"/>
      <c r="L23" s="2"/>
      <c r="M23" s="2"/>
      <c r="N23" s="2"/>
      <c r="O23" s="2"/>
      <c r="P23" s="2"/>
      <c r="Q23" s="2"/>
      <c r="R23" s="2"/>
    </row>
    <row r="24" spans="1:18" ht="14.25" customHeight="1" x14ac:dyDescent="0.25">
      <c r="A24" s="67"/>
      <c r="B24" s="564" t="s">
        <v>255</v>
      </c>
      <c r="C24" s="492" t="str">
        <f>VLOOKUP("T.09.08",Translation,LanguageNo+1,FALSE)</f>
        <v>Geschäftsimmobilien</v>
      </c>
      <c r="D24" s="539" t="s">
        <v>30</v>
      </c>
      <c r="E24" s="493"/>
      <c r="F24" s="117"/>
      <c r="G24" s="67"/>
      <c r="H24" s="67"/>
      <c r="I24" s="2"/>
      <c r="J24" s="2"/>
      <c r="K24" s="2"/>
      <c r="L24" s="2"/>
      <c r="M24" s="2"/>
      <c r="N24" s="2"/>
      <c r="O24" s="2"/>
      <c r="P24" s="2"/>
      <c r="Q24" s="2"/>
      <c r="R24" s="2"/>
    </row>
    <row r="25" spans="1:18" ht="12.75" customHeight="1" x14ac:dyDescent="0.25">
      <c r="A25" s="67"/>
      <c r="B25" s="67"/>
      <c r="C25" s="67"/>
      <c r="D25" s="606"/>
      <c r="E25" s="67"/>
      <c r="F25" s="67"/>
      <c r="G25" s="67"/>
      <c r="H25" s="67"/>
      <c r="I25" s="2"/>
      <c r="J25" s="2"/>
      <c r="K25" s="2"/>
      <c r="L25" s="2"/>
      <c r="M25" s="2"/>
      <c r="N25" s="2"/>
      <c r="O25" s="2"/>
      <c r="P25" s="2"/>
      <c r="Q25" s="2"/>
      <c r="R25" s="2"/>
    </row>
    <row r="26" spans="1:18" ht="12.75" customHeight="1" x14ac:dyDescent="0.25">
      <c r="A26" s="67"/>
      <c r="B26" s="67"/>
      <c r="C26" s="67"/>
      <c r="D26" s="67"/>
      <c r="E26" s="67"/>
      <c r="F26" s="67"/>
      <c r="G26" s="67"/>
      <c r="H26" s="67"/>
      <c r="I26" s="2"/>
      <c r="J26" s="2"/>
      <c r="K26" s="2"/>
      <c r="L26" s="2"/>
      <c r="M26" s="2"/>
      <c r="N26" s="2"/>
      <c r="O26" s="2"/>
      <c r="P26" s="2"/>
      <c r="Q26" s="2"/>
      <c r="R26" s="2"/>
    </row>
    <row r="27" spans="1:18" ht="12.75" customHeight="1" x14ac:dyDescent="0.25">
      <c r="A27" s="67"/>
      <c r="B27" s="67"/>
      <c r="C27" s="67"/>
      <c r="D27" s="67"/>
      <c r="E27" s="67"/>
      <c r="F27" s="67"/>
      <c r="G27" s="67"/>
      <c r="H27" s="67"/>
      <c r="I27" s="2"/>
      <c r="J27" s="2"/>
      <c r="K27" s="2"/>
      <c r="L27" s="2"/>
      <c r="M27" s="2"/>
      <c r="N27" s="2"/>
      <c r="O27" s="2"/>
      <c r="P27" s="2"/>
      <c r="Q27" s="2"/>
      <c r="R27" s="2"/>
    </row>
    <row r="28" spans="1:18" ht="12.75" customHeight="1" x14ac:dyDescent="0.25">
      <c r="A28" s="67"/>
      <c r="B28" s="67"/>
      <c r="C28" s="67"/>
      <c r="D28" s="67"/>
      <c r="E28" s="67"/>
      <c r="F28" s="67"/>
      <c r="G28" s="67"/>
      <c r="H28" s="67"/>
      <c r="I28" s="2"/>
      <c r="J28" s="2"/>
      <c r="K28" s="2"/>
      <c r="L28" s="2"/>
      <c r="M28" s="2"/>
      <c r="N28" s="2"/>
      <c r="O28" s="2"/>
      <c r="P28" s="2"/>
      <c r="Q28" s="2"/>
      <c r="R28" s="2"/>
    </row>
    <row r="29" spans="1:18" ht="12.75" customHeight="1" x14ac:dyDescent="0.25">
      <c r="A29" s="67"/>
      <c r="B29" s="67"/>
      <c r="C29" s="67"/>
      <c r="D29" s="67"/>
      <c r="E29" s="67"/>
      <c r="F29" s="67"/>
      <c r="G29" s="67"/>
      <c r="H29" s="67"/>
      <c r="I29" s="2"/>
      <c r="J29" s="2"/>
      <c r="K29" s="2"/>
      <c r="L29" s="2"/>
      <c r="M29" s="2"/>
      <c r="N29" s="2"/>
      <c r="O29" s="2"/>
      <c r="P29" s="2"/>
      <c r="Q29" s="2"/>
      <c r="R29" s="2"/>
    </row>
    <row r="30" spans="1:18" ht="12.75" customHeight="1" x14ac:dyDescent="0.25">
      <c r="A30" s="2"/>
      <c r="B30" s="2"/>
      <c r="C30" s="2"/>
      <c r="D30" s="2"/>
      <c r="E30" s="2"/>
      <c r="F30" s="2"/>
      <c r="G30" s="2"/>
      <c r="H30" s="2"/>
      <c r="I30" s="2"/>
      <c r="J30" s="2"/>
      <c r="K30" s="2"/>
      <c r="L30" s="2"/>
      <c r="M30" s="2"/>
      <c r="N30" s="2"/>
      <c r="O30" s="2"/>
      <c r="P30" s="2"/>
      <c r="Q30" s="2"/>
      <c r="R30" s="2"/>
    </row>
    <row r="31" spans="1:18" ht="12.75" customHeight="1" x14ac:dyDescent="0.25">
      <c r="A31" s="2"/>
      <c r="B31" s="2"/>
      <c r="C31" s="2"/>
      <c r="D31" s="2"/>
      <c r="E31" s="2"/>
      <c r="F31" s="2"/>
      <c r="G31" s="2"/>
      <c r="H31" s="2"/>
      <c r="I31" s="2"/>
      <c r="J31" s="2"/>
      <c r="K31" s="2"/>
      <c r="L31" s="2"/>
      <c r="M31" s="2"/>
      <c r="N31" s="2"/>
      <c r="O31" s="2"/>
      <c r="P31" s="2"/>
      <c r="Q31" s="2"/>
      <c r="R31" s="2"/>
    </row>
    <row r="32" spans="1:18" ht="12.75" customHeight="1" x14ac:dyDescent="0.25">
      <c r="A32" s="2"/>
      <c r="B32" s="2"/>
      <c r="C32" s="2"/>
      <c r="D32" s="2"/>
      <c r="E32" s="2"/>
      <c r="F32" s="2"/>
      <c r="G32" s="2"/>
      <c r="H32" s="2"/>
      <c r="I32" s="2"/>
      <c r="J32" s="2"/>
      <c r="K32" s="2"/>
      <c r="L32" s="2"/>
      <c r="M32" s="2"/>
      <c r="N32" s="2"/>
      <c r="O32" s="2"/>
      <c r="P32" s="2"/>
      <c r="Q32" s="2"/>
      <c r="R32" s="2"/>
    </row>
    <row r="33" spans="1:18" ht="12.75" customHeight="1" x14ac:dyDescent="0.25">
      <c r="A33" s="2"/>
      <c r="B33" s="2"/>
      <c r="C33" s="2"/>
      <c r="D33" s="2"/>
      <c r="E33" s="2"/>
      <c r="F33" s="2"/>
      <c r="G33" s="2"/>
      <c r="H33" s="2"/>
      <c r="I33" s="2"/>
      <c r="J33" s="2"/>
      <c r="K33" s="2"/>
      <c r="L33" s="2"/>
      <c r="M33" s="2"/>
      <c r="N33" s="2"/>
      <c r="O33" s="2"/>
      <c r="P33" s="2"/>
      <c r="Q33" s="2"/>
      <c r="R33" s="2"/>
    </row>
    <row r="34" spans="1:18" ht="12.75" customHeight="1" x14ac:dyDescent="0.25">
      <c r="A34" s="2"/>
      <c r="B34" s="2"/>
      <c r="C34" s="2"/>
      <c r="D34" s="2"/>
      <c r="E34" s="2"/>
      <c r="F34" s="2"/>
      <c r="G34" s="2"/>
      <c r="H34" s="2"/>
      <c r="I34" s="2"/>
      <c r="J34" s="2"/>
      <c r="K34" s="2"/>
      <c r="L34" s="2"/>
      <c r="M34" s="2"/>
      <c r="N34" s="2"/>
      <c r="O34" s="2"/>
      <c r="P34" s="2"/>
      <c r="Q34" s="2"/>
      <c r="R34" s="2"/>
    </row>
    <row r="35" spans="1:18" ht="12.75" customHeight="1" x14ac:dyDescent="0.25">
      <c r="A35" s="2"/>
      <c r="B35" s="2"/>
      <c r="C35" s="2"/>
      <c r="D35" s="2"/>
      <c r="E35" s="2"/>
      <c r="F35" s="2"/>
      <c r="G35" s="2"/>
      <c r="H35" s="2"/>
      <c r="I35" s="2"/>
      <c r="J35" s="2"/>
      <c r="K35" s="2"/>
      <c r="L35" s="2"/>
      <c r="M35" s="2"/>
      <c r="N35" s="2"/>
      <c r="O35" s="2"/>
      <c r="P35" s="2"/>
      <c r="Q35" s="2"/>
      <c r="R35" s="2"/>
    </row>
    <row r="36" spans="1:18" ht="12.75" customHeight="1" x14ac:dyDescent="0.25">
      <c r="A36" s="2"/>
      <c r="B36" s="2"/>
      <c r="C36" s="2"/>
      <c r="D36" s="2"/>
      <c r="E36" s="2"/>
      <c r="F36" s="2"/>
      <c r="G36" s="2"/>
      <c r="H36" s="2"/>
      <c r="I36" s="2"/>
      <c r="J36" s="2"/>
      <c r="K36" s="2"/>
      <c r="L36" s="2"/>
      <c r="M36" s="2"/>
      <c r="N36" s="2"/>
      <c r="O36" s="2"/>
      <c r="P36" s="2"/>
      <c r="Q36" s="2"/>
      <c r="R36" s="2"/>
    </row>
    <row r="37" spans="1:18" ht="12.75" customHeight="1" x14ac:dyDescent="0.25">
      <c r="A37" s="2"/>
      <c r="B37" s="2"/>
      <c r="C37" s="2"/>
      <c r="D37" s="2"/>
      <c r="E37" s="2"/>
      <c r="F37" s="2"/>
      <c r="G37" s="2"/>
      <c r="H37" s="2"/>
      <c r="I37" s="2"/>
      <c r="J37" s="2"/>
      <c r="K37" s="2"/>
      <c r="L37" s="2"/>
      <c r="M37" s="2"/>
      <c r="N37" s="2"/>
      <c r="O37" s="2"/>
      <c r="P37" s="2"/>
      <c r="Q37" s="2"/>
      <c r="R37" s="2"/>
    </row>
    <row r="38" spans="1:18" ht="12.75" customHeight="1" x14ac:dyDescent="0.25">
      <c r="A38" s="2"/>
      <c r="B38" s="2"/>
      <c r="C38" s="2"/>
      <c r="D38" s="2"/>
      <c r="E38" s="2"/>
      <c r="F38" s="2"/>
      <c r="G38" s="2"/>
      <c r="H38" s="2"/>
      <c r="I38" s="2"/>
      <c r="J38" s="2"/>
      <c r="K38" s="2"/>
      <c r="L38" s="2"/>
      <c r="M38" s="2"/>
      <c r="N38" s="2"/>
      <c r="O38" s="2"/>
      <c r="P38" s="2"/>
      <c r="Q38" s="2"/>
      <c r="R38" s="2"/>
    </row>
    <row r="39" spans="1:18" ht="12.75" customHeight="1" x14ac:dyDescent="0.25">
      <c r="A39" s="2"/>
      <c r="B39" s="2"/>
      <c r="C39" s="2"/>
      <c r="D39" s="2"/>
      <c r="E39" s="2"/>
      <c r="F39" s="2"/>
      <c r="G39" s="2"/>
      <c r="H39" s="2"/>
      <c r="I39" s="2"/>
      <c r="J39" s="2"/>
      <c r="K39" s="2"/>
      <c r="L39" s="2"/>
      <c r="M39" s="2"/>
      <c r="N39" s="2"/>
      <c r="O39" s="2"/>
      <c r="P39" s="2"/>
      <c r="Q39" s="2"/>
      <c r="R39" s="2"/>
    </row>
    <row r="40" spans="1:18" ht="12.75" customHeight="1" x14ac:dyDescent="0.25">
      <c r="A40" s="2"/>
      <c r="B40" s="2"/>
      <c r="C40" s="2"/>
      <c r="D40" s="2"/>
      <c r="E40" s="2"/>
      <c r="F40" s="2"/>
      <c r="G40" s="2"/>
      <c r="H40" s="2"/>
      <c r="I40" s="2"/>
      <c r="J40" s="2"/>
      <c r="K40" s="2"/>
      <c r="L40" s="2"/>
      <c r="M40" s="2"/>
      <c r="N40" s="2"/>
      <c r="O40" s="2"/>
      <c r="P40" s="2"/>
      <c r="Q40" s="2"/>
      <c r="R40" s="2"/>
    </row>
    <row r="41" spans="1:18" ht="12.75" customHeight="1" x14ac:dyDescent="0.25">
      <c r="A41" s="2"/>
      <c r="B41" s="2"/>
      <c r="C41" s="2"/>
      <c r="D41" s="2"/>
      <c r="E41" s="2"/>
      <c r="F41" s="2"/>
      <c r="G41" s="2"/>
      <c r="H41" s="2"/>
      <c r="I41" s="2"/>
      <c r="J41" s="2"/>
      <c r="K41" s="2"/>
      <c r="L41" s="2"/>
      <c r="M41" s="2"/>
      <c r="N41" s="2"/>
      <c r="O41" s="2"/>
      <c r="P41" s="2"/>
      <c r="Q41" s="2"/>
      <c r="R41" s="2"/>
    </row>
    <row r="42" spans="1:18" ht="12.75" customHeight="1" x14ac:dyDescent="0.25">
      <c r="A42" s="2"/>
      <c r="B42" s="2"/>
      <c r="C42" s="2"/>
      <c r="D42" s="2"/>
      <c r="E42" s="2"/>
      <c r="F42" s="2"/>
      <c r="G42" s="2"/>
      <c r="H42" s="2"/>
      <c r="I42" s="2"/>
      <c r="J42" s="2"/>
      <c r="K42" s="2"/>
      <c r="L42" s="2"/>
      <c r="M42" s="2"/>
      <c r="N42" s="2"/>
      <c r="O42" s="2"/>
      <c r="P42" s="2"/>
      <c r="Q42" s="2"/>
      <c r="R42" s="2"/>
    </row>
    <row r="43" spans="1:18" ht="12.75" customHeight="1" x14ac:dyDescent="0.25">
      <c r="A43" s="2"/>
      <c r="B43" s="2"/>
      <c r="C43" s="2"/>
      <c r="D43" s="2"/>
      <c r="E43" s="2"/>
      <c r="F43" s="2"/>
      <c r="G43" s="2"/>
      <c r="H43" s="2"/>
      <c r="I43" s="2"/>
      <c r="J43" s="2"/>
      <c r="K43" s="2"/>
      <c r="L43" s="2"/>
      <c r="M43" s="2"/>
      <c r="N43" s="2"/>
      <c r="O43" s="2"/>
      <c r="P43" s="2"/>
      <c r="Q43" s="2"/>
      <c r="R43" s="2"/>
    </row>
    <row r="44" spans="1:18" ht="12.75" customHeight="1" x14ac:dyDescent="0.25">
      <c r="A44" s="2"/>
      <c r="B44" s="2"/>
      <c r="C44" s="2"/>
      <c r="D44" s="2"/>
      <c r="E44" s="2"/>
      <c r="F44" s="2"/>
      <c r="G44" s="2"/>
      <c r="H44" s="2"/>
      <c r="I44" s="2"/>
      <c r="J44" s="2"/>
      <c r="K44" s="2"/>
      <c r="L44" s="2"/>
      <c r="M44" s="2"/>
      <c r="N44" s="2"/>
      <c r="O44" s="2"/>
      <c r="P44" s="2"/>
      <c r="Q44" s="2"/>
      <c r="R44" s="2"/>
    </row>
  </sheetData>
  <dataValidations count="1">
    <dataValidation type="decimal" showInputMessage="1" showErrorMessage="1" sqref="F7:F24" xr:uid="{00000000-0002-0000-0800-000000000000}">
      <formula1>-1E+90</formula1>
      <formula2>1E+90</formula2>
    </dataValidation>
  </dataValidation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4">
    <tabColor rgb="FFD4ECF9"/>
  </sheetPr>
  <dimension ref="A1:BF42"/>
  <sheetViews>
    <sheetView showGridLines="0" zoomScale="90" zoomScaleNormal="90" workbookViewId="0"/>
  </sheetViews>
  <sheetFormatPr baseColWidth="10" defaultColWidth="8.5703125" defaultRowHeight="12.75" x14ac:dyDescent="0.2"/>
  <cols>
    <col min="1" max="1" width="5.5703125" style="2" customWidth="1"/>
    <col min="2" max="3" width="8.5703125" style="2"/>
    <col min="4" max="4" width="42.5703125" style="2" customWidth="1"/>
    <col min="5" max="5" width="15.5703125" style="2" customWidth="1"/>
    <col min="6" max="6" width="17.42578125" style="2" customWidth="1"/>
    <col min="7" max="16" width="8.5703125" style="2"/>
    <col min="17" max="17" width="8.5703125" style="2" customWidth="1"/>
    <col min="18" max="16384" width="8.5703125" style="2"/>
  </cols>
  <sheetData>
    <row r="1" spans="1:58" ht="20.100000000000001" customHeight="1" x14ac:dyDescent="0.2">
      <c r="A1" s="21">
        <v>10</v>
      </c>
      <c r="B1" s="680" t="str">
        <f>VLOOKUP("T.10.01",Translation,LanguageNo+1,FALSE)</f>
        <v>Cashflows aus festverzinslichen Wertpapieren</v>
      </c>
    </row>
    <row r="2" spans="1:58" ht="14.25" customHeight="1" x14ac:dyDescent="0.2">
      <c r="A2" s="140"/>
      <c r="B2" s="23"/>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58" ht="14.25" customHeight="1" x14ac:dyDescent="0.2">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58" ht="14.25" customHeight="1" x14ac:dyDescent="0.2">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58" ht="25.35" customHeight="1" x14ac:dyDescent="0.2">
      <c r="A5" s="67"/>
      <c r="B5" s="74" t="str">
        <f>VLOOKUP("T.10.02",Translation,LanguageNo+1,FALSE)</f>
        <v>Währung</v>
      </c>
      <c r="C5" s="74" t="str">
        <f>VLOOKUP("T.10.03",Translation,LanguageNo+1,FALSE)</f>
        <v>Rating</v>
      </c>
      <c r="D5" s="74" t="s">
        <v>585</v>
      </c>
      <c r="E5" s="74" t="str">
        <f>VLOOKUP("T.10.04",Translation,LanguageNo+1,FALSE)</f>
        <v>Gesamtmarktwert</v>
      </c>
      <c r="F5" s="74" t="str">
        <f>VLOOKUP("T.10.05",Translation,LanguageNo+1,FALSE)</f>
        <v>Spread</v>
      </c>
      <c r="G5" s="1275" t="s">
        <v>56</v>
      </c>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67"/>
      <c r="BF5" s="67"/>
    </row>
    <row r="6" spans="1:58" ht="38.25" x14ac:dyDescent="0.2">
      <c r="A6" s="67"/>
      <c r="B6" s="960"/>
      <c r="C6" s="960"/>
      <c r="D6" s="950" t="str">
        <f>VLOOKUP("T.10.07",Translation,LanguageNo+1,FALSE)</f>
        <v>Die Zuordnung der Währung und des Rating erfolgt gemäss dem Dokument Technische Beschreibung für das SST-Standardmodell Marktrisiko.</v>
      </c>
      <c r="E6" s="960" t="str">
        <f>Unit</f>
        <v xml:space="preserve">in Mio. </v>
      </c>
      <c r="F6" s="969" t="str">
        <f>VLOOKUP("T.10.06",Translation,LanguageNo+1,FALSE)</f>
        <v>Nur wenn negative Cash Flows vorhanden sind</v>
      </c>
      <c r="G6" s="967">
        <v>1</v>
      </c>
      <c r="H6" s="967">
        <v>2</v>
      </c>
      <c r="I6" s="967">
        <v>3</v>
      </c>
      <c r="J6" s="967">
        <v>4</v>
      </c>
      <c r="K6" s="967">
        <v>5</v>
      </c>
      <c r="L6" s="967">
        <v>6</v>
      </c>
      <c r="M6" s="967">
        <v>7</v>
      </c>
      <c r="N6" s="967">
        <v>8</v>
      </c>
      <c r="O6" s="967">
        <v>9</v>
      </c>
      <c r="P6" s="967">
        <v>10</v>
      </c>
      <c r="Q6" s="967">
        <v>11</v>
      </c>
      <c r="R6" s="967">
        <v>12</v>
      </c>
      <c r="S6" s="967">
        <v>13</v>
      </c>
      <c r="T6" s="967">
        <v>14</v>
      </c>
      <c r="U6" s="967">
        <v>15</v>
      </c>
      <c r="V6" s="967">
        <v>16</v>
      </c>
      <c r="W6" s="967">
        <v>17</v>
      </c>
      <c r="X6" s="967">
        <v>18</v>
      </c>
      <c r="Y6" s="967">
        <v>19</v>
      </c>
      <c r="Z6" s="967">
        <v>20</v>
      </c>
      <c r="AA6" s="967">
        <v>21</v>
      </c>
      <c r="AB6" s="967">
        <v>22</v>
      </c>
      <c r="AC6" s="967">
        <v>23</v>
      </c>
      <c r="AD6" s="967">
        <v>24</v>
      </c>
      <c r="AE6" s="967">
        <v>25</v>
      </c>
      <c r="AF6" s="967">
        <v>26</v>
      </c>
      <c r="AG6" s="967">
        <v>27</v>
      </c>
      <c r="AH6" s="967">
        <v>28</v>
      </c>
      <c r="AI6" s="967">
        <v>29</v>
      </c>
      <c r="AJ6" s="967">
        <v>30</v>
      </c>
      <c r="AK6" s="967">
        <v>31</v>
      </c>
      <c r="AL6" s="967">
        <v>32</v>
      </c>
      <c r="AM6" s="967">
        <v>33</v>
      </c>
      <c r="AN6" s="967">
        <v>34</v>
      </c>
      <c r="AO6" s="967">
        <v>35</v>
      </c>
      <c r="AP6" s="967">
        <v>36</v>
      </c>
      <c r="AQ6" s="967">
        <v>37</v>
      </c>
      <c r="AR6" s="967">
        <v>38</v>
      </c>
      <c r="AS6" s="967">
        <v>39</v>
      </c>
      <c r="AT6" s="967">
        <v>40</v>
      </c>
      <c r="AU6" s="967">
        <v>41</v>
      </c>
      <c r="AV6" s="967">
        <v>42</v>
      </c>
      <c r="AW6" s="967">
        <v>43</v>
      </c>
      <c r="AX6" s="967">
        <v>44</v>
      </c>
      <c r="AY6" s="967">
        <v>45</v>
      </c>
      <c r="AZ6" s="967">
        <v>46</v>
      </c>
      <c r="BA6" s="967">
        <v>47</v>
      </c>
      <c r="BB6" s="967">
        <v>48</v>
      </c>
      <c r="BC6" s="967">
        <v>49</v>
      </c>
      <c r="BD6" s="967">
        <v>50</v>
      </c>
      <c r="BE6" s="67"/>
      <c r="BF6" s="67"/>
    </row>
    <row r="7" spans="1:58" ht="14.25" customHeight="1" x14ac:dyDescent="0.2">
      <c r="A7" s="67"/>
      <c r="B7" s="69" t="s">
        <v>30</v>
      </c>
      <c r="C7" s="69" t="s">
        <v>40</v>
      </c>
      <c r="D7" s="150"/>
      <c r="E7" s="968"/>
      <c r="F7" s="968"/>
      <c r="G7" s="968"/>
      <c r="H7" s="968"/>
      <c r="I7" s="968"/>
      <c r="J7" s="968"/>
      <c r="K7" s="968"/>
      <c r="L7" s="968"/>
      <c r="M7" s="968"/>
      <c r="N7" s="968"/>
      <c r="O7" s="968"/>
      <c r="P7" s="968"/>
      <c r="Q7" s="968"/>
      <c r="R7" s="968"/>
      <c r="S7" s="968"/>
      <c r="T7" s="968"/>
      <c r="U7" s="968"/>
      <c r="V7" s="968"/>
      <c r="W7" s="968"/>
      <c r="X7" s="968"/>
      <c r="Y7" s="968"/>
      <c r="Z7" s="968"/>
      <c r="AA7" s="968"/>
      <c r="AB7" s="968"/>
      <c r="AC7" s="968"/>
      <c r="AD7" s="968"/>
      <c r="AE7" s="968"/>
      <c r="AF7" s="968"/>
      <c r="AG7" s="968"/>
      <c r="AH7" s="968"/>
      <c r="AI7" s="968"/>
      <c r="AJ7" s="968"/>
      <c r="AK7" s="968"/>
      <c r="AL7" s="968"/>
      <c r="AM7" s="968"/>
      <c r="AN7" s="968"/>
      <c r="AO7" s="968"/>
      <c r="AP7" s="968"/>
      <c r="AQ7" s="968"/>
      <c r="AR7" s="968"/>
      <c r="AS7" s="968"/>
      <c r="AT7" s="968"/>
      <c r="AU7" s="968"/>
      <c r="AV7" s="968"/>
      <c r="AW7" s="968"/>
      <c r="AX7" s="968"/>
      <c r="AY7" s="968"/>
      <c r="AZ7" s="968"/>
      <c r="BA7" s="968"/>
      <c r="BB7" s="968"/>
      <c r="BC7" s="968"/>
      <c r="BD7" s="968"/>
      <c r="BE7" s="67"/>
      <c r="BF7" s="67"/>
    </row>
    <row r="8" spans="1:58" ht="14.25" customHeight="1" x14ac:dyDescent="0.2">
      <c r="A8" s="67"/>
      <c r="B8" s="70" t="s">
        <v>30</v>
      </c>
      <c r="C8" s="70" t="s">
        <v>42</v>
      </c>
      <c r="D8" s="77"/>
      <c r="E8" s="103"/>
      <c r="F8" s="103"/>
      <c r="G8" s="103"/>
      <c r="H8" s="103"/>
      <c r="I8" s="103"/>
      <c r="J8" s="103"/>
      <c r="K8" s="103"/>
      <c r="L8" s="103"/>
      <c r="M8" s="103"/>
      <c r="N8" s="103"/>
      <c r="O8" s="103"/>
      <c r="P8" s="103"/>
      <c r="Q8" s="103"/>
      <c r="R8" s="103"/>
      <c r="S8" s="103"/>
      <c r="T8" s="103"/>
      <c r="U8" s="103"/>
      <c r="V8" s="103"/>
      <c r="W8" s="103"/>
      <c r="X8" s="103"/>
      <c r="Y8" s="103"/>
      <c r="Z8" s="103"/>
      <c r="AA8" s="103"/>
      <c r="AB8" s="103"/>
      <c r="AC8" s="103"/>
      <c r="AD8" s="103"/>
      <c r="AE8" s="103"/>
      <c r="AF8" s="103"/>
      <c r="AG8" s="103"/>
      <c r="AH8" s="103"/>
      <c r="AI8" s="103"/>
      <c r="AJ8" s="103"/>
      <c r="AK8" s="103"/>
      <c r="AL8" s="103"/>
      <c r="AM8" s="103"/>
      <c r="AN8" s="103"/>
      <c r="AO8" s="103"/>
      <c r="AP8" s="103"/>
      <c r="AQ8" s="103"/>
      <c r="AR8" s="103"/>
      <c r="AS8" s="103"/>
      <c r="AT8" s="103"/>
      <c r="AU8" s="103"/>
      <c r="AV8" s="103"/>
      <c r="AW8" s="103"/>
      <c r="AX8" s="103"/>
      <c r="AY8" s="103"/>
      <c r="AZ8" s="103"/>
      <c r="BA8" s="103"/>
      <c r="BB8" s="103"/>
      <c r="BC8" s="103"/>
      <c r="BD8" s="103"/>
      <c r="BE8" s="67"/>
      <c r="BF8" s="67"/>
    </row>
    <row r="9" spans="1:58" ht="14.25" customHeight="1" x14ac:dyDescent="0.2">
      <c r="A9" s="67"/>
      <c r="B9" s="70" t="s">
        <v>30</v>
      </c>
      <c r="C9" s="70" t="s">
        <v>43</v>
      </c>
      <c r="D9" s="77"/>
      <c r="E9" s="103"/>
      <c r="F9" s="103"/>
      <c r="G9" s="103"/>
      <c r="H9" s="103"/>
      <c r="I9" s="103"/>
      <c r="J9" s="103"/>
      <c r="K9" s="103"/>
      <c r="L9" s="103"/>
      <c r="M9" s="103"/>
      <c r="N9" s="103"/>
      <c r="O9" s="103"/>
      <c r="P9" s="103"/>
      <c r="Q9" s="103"/>
      <c r="R9" s="103"/>
      <c r="S9" s="103"/>
      <c r="T9" s="103"/>
      <c r="U9" s="103"/>
      <c r="V9" s="103"/>
      <c r="W9" s="103"/>
      <c r="X9" s="103"/>
      <c r="Y9" s="103"/>
      <c r="Z9" s="103"/>
      <c r="AA9" s="103"/>
      <c r="AB9" s="103"/>
      <c r="AC9" s="103"/>
      <c r="AD9" s="103"/>
      <c r="AE9" s="103"/>
      <c r="AF9" s="103"/>
      <c r="AG9" s="103"/>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67"/>
      <c r="BF9" s="67"/>
    </row>
    <row r="10" spans="1:58" ht="14.25" customHeight="1" x14ac:dyDescent="0.2">
      <c r="A10" s="67"/>
      <c r="B10" s="70" t="s">
        <v>30</v>
      </c>
      <c r="C10" s="70" t="s">
        <v>35</v>
      </c>
      <c r="D10" s="77"/>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103"/>
      <c r="AE10" s="103"/>
      <c r="AF10" s="103"/>
      <c r="AG10" s="103"/>
      <c r="AH10" s="103"/>
      <c r="AI10" s="103"/>
      <c r="AJ10" s="103"/>
      <c r="AK10" s="103"/>
      <c r="AL10" s="103"/>
      <c r="AM10" s="103"/>
      <c r="AN10" s="103"/>
      <c r="AO10" s="103"/>
      <c r="AP10" s="103"/>
      <c r="AQ10" s="103"/>
      <c r="AR10" s="103"/>
      <c r="AS10" s="103"/>
      <c r="AT10" s="103"/>
      <c r="AU10" s="103"/>
      <c r="AV10" s="103"/>
      <c r="AW10" s="103"/>
      <c r="AX10" s="103"/>
      <c r="AY10" s="103"/>
      <c r="AZ10" s="103"/>
      <c r="BA10" s="103"/>
      <c r="BB10" s="103"/>
      <c r="BC10" s="103"/>
      <c r="BD10" s="103"/>
      <c r="BE10" s="67"/>
      <c r="BF10" s="67"/>
    </row>
    <row r="11" spans="1:58" ht="14.25" customHeight="1" x14ac:dyDescent="0.2">
      <c r="A11" s="67"/>
      <c r="B11" s="70" t="s">
        <v>30</v>
      </c>
      <c r="C11" s="70" t="s">
        <v>36</v>
      </c>
      <c r="D11" s="77"/>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103"/>
      <c r="AT11" s="103"/>
      <c r="AU11" s="103"/>
      <c r="AV11" s="103"/>
      <c r="AW11" s="103"/>
      <c r="AX11" s="103"/>
      <c r="AY11" s="103"/>
      <c r="AZ11" s="103"/>
      <c r="BA11" s="103"/>
      <c r="BB11" s="103"/>
      <c r="BC11" s="103"/>
      <c r="BD11" s="103"/>
      <c r="BE11" s="67"/>
      <c r="BF11" s="67"/>
    </row>
    <row r="12" spans="1:58" ht="14.25" customHeight="1" x14ac:dyDescent="0.2">
      <c r="A12" s="67"/>
      <c r="B12" s="70" t="s">
        <v>30</v>
      </c>
      <c r="C12" s="70" t="s">
        <v>37</v>
      </c>
      <c r="D12" s="77"/>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67"/>
      <c r="BF12" s="67"/>
    </row>
    <row r="13" spans="1:58" ht="14.25" customHeight="1" x14ac:dyDescent="0.2">
      <c r="A13" s="67"/>
      <c r="B13" s="70" t="s">
        <v>30</v>
      </c>
      <c r="C13" s="70" t="s">
        <v>38</v>
      </c>
      <c r="D13" s="77"/>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67"/>
      <c r="BF13" s="67"/>
    </row>
    <row r="14" spans="1:58" ht="14.25" customHeight="1" x14ac:dyDescent="0.2">
      <c r="A14" s="67"/>
      <c r="B14" s="70" t="s">
        <v>30</v>
      </c>
      <c r="C14" s="70" t="s">
        <v>39</v>
      </c>
      <c r="D14" s="77"/>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67"/>
      <c r="BF14" s="67"/>
    </row>
    <row r="15" spans="1:58" ht="14.25" customHeight="1" x14ac:dyDescent="0.2">
      <c r="A15" s="67"/>
      <c r="B15" s="70" t="s">
        <v>31</v>
      </c>
      <c r="C15" s="70" t="s">
        <v>40</v>
      </c>
      <c r="D15" s="77"/>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c r="BA15" s="103"/>
      <c r="BB15" s="103"/>
      <c r="BC15" s="103"/>
      <c r="BD15" s="103"/>
      <c r="BE15" s="67"/>
      <c r="BF15" s="67"/>
    </row>
    <row r="16" spans="1:58" ht="14.25" customHeight="1" x14ac:dyDescent="0.2">
      <c r="A16" s="67"/>
      <c r="B16" s="70" t="s">
        <v>31</v>
      </c>
      <c r="C16" s="70" t="s">
        <v>41</v>
      </c>
      <c r="D16" s="77"/>
      <c r="E16" s="103"/>
      <c r="F16" s="103"/>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3"/>
      <c r="AF16" s="103"/>
      <c r="AG16" s="103"/>
      <c r="AH16" s="103"/>
      <c r="AI16" s="103"/>
      <c r="AJ16" s="103"/>
      <c r="AK16" s="103"/>
      <c r="AL16" s="103"/>
      <c r="AM16" s="103"/>
      <c r="AN16" s="103"/>
      <c r="AO16" s="103"/>
      <c r="AP16" s="103"/>
      <c r="AQ16" s="103"/>
      <c r="AR16" s="103"/>
      <c r="AS16" s="103"/>
      <c r="AT16" s="103"/>
      <c r="AU16" s="103"/>
      <c r="AV16" s="103"/>
      <c r="AW16" s="103"/>
      <c r="AX16" s="103"/>
      <c r="AY16" s="103"/>
      <c r="AZ16" s="103"/>
      <c r="BA16" s="103"/>
      <c r="BB16" s="103"/>
      <c r="BC16" s="103"/>
      <c r="BD16" s="103"/>
      <c r="BE16" s="67"/>
      <c r="BF16" s="67"/>
    </row>
    <row r="17" spans="1:58" ht="14.25" customHeight="1" x14ac:dyDescent="0.2">
      <c r="A17" s="67"/>
      <c r="B17" s="70" t="s">
        <v>31</v>
      </c>
      <c r="C17" s="70" t="s">
        <v>35</v>
      </c>
      <c r="D17" s="77"/>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67"/>
      <c r="BF17" s="67"/>
    </row>
    <row r="18" spans="1:58" ht="14.25" customHeight="1" x14ac:dyDescent="0.2">
      <c r="A18" s="67"/>
      <c r="B18" s="70" t="s">
        <v>31</v>
      </c>
      <c r="C18" s="70" t="s">
        <v>36</v>
      </c>
      <c r="D18" s="77"/>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c r="AJ18" s="103"/>
      <c r="AK18" s="103"/>
      <c r="AL18" s="103"/>
      <c r="AM18" s="103"/>
      <c r="AN18" s="103"/>
      <c r="AO18" s="103"/>
      <c r="AP18" s="103"/>
      <c r="AQ18" s="103"/>
      <c r="AR18" s="103"/>
      <c r="AS18" s="103"/>
      <c r="AT18" s="103"/>
      <c r="AU18" s="103"/>
      <c r="AV18" s="103"/>
      <c r="AW18" s="103"/>
      <c r="AX18" s="103"/>
      <c r="AY18" s="103"/>
      <c r="AZ18" s="103"/>
      <c r="BA18" s="103"/>
      <c r="BB18" s="103"/>
      <c r="BC18" s="103"/>
      <c r="BD18" s="103"/>
      <c r="BE18" s="67"/>
      <c r="BF18" s="67"/>
    </row>
    <row r="19" spans="1:58" ht="14.25" customHeight="1" x14ac:dyDescent="0.2">
      <c r="A19" s="67"/>
      <c r="B19" s="70" t="s">
        <v>31</v>
      </c>
      <c r="C19" s="70" t="s">
        <v>37</v>
      </c>
      <c r="D19" s="77"/>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c r="AW19" s="103"/>
      <c r="AX19" s="103"/>
      <c r="AY19" s="103"/>
      <c r="AZ19" s="103"/>
      <c r="BA19" s="103"/>
      <c r="BB19" s="103"/>
      <c r="BC19" s="103"/>
      <c r="BD19" s="103"/>
      <c r="BE19" s="67"/>
      <c r="BF19" s="67"/>
    </row>
    <row r="20" spans="1:58" ht="14.25" customHeight="1" x14ac:dyDescent="0.2">
      <c r="A20" s="67"/>
      <c r="B20" s="70" t="s">
        <v>31</v>
      </c>
      <c r="C20" s="70" t="s">
        <v>38</v>
      </c>
      <c r="D20" s="77"/>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103"/>
      <c r="AE20" s="103"/>
      <c r="AF20" s="103"/>
      <c r="AG20" s="103"/>
      <c r="AH20" s="103"/>
      <c r="AI20" s="103"/>
      <c r="AJ20" s="103"/>
      <c r="AK20" s="103"/>
      <c r="AL20" s="103"/>
      <c r="AM20" s="103"/>
      <c r="AN20" s="103"/>
      <c r="AO20" s="103"/>
      <c r="AP20" s="103"/>
      <c r="AQ20" s="103"/>
      <c r="AR20" s="103"/>
      <c r="AS20" s="103"/>
      <c r="AT20" s="103"/>
      <c r="AU20" s="103"/>
      <c r="AV20" s="103"/>
      <c r="AW20" s="103"/>
      <c r="AX20" s="103"/>
      <c r="AY20" s="103"/>
      <c r="AZ20" s="103"/>
      <c r="BA20" s="103"/>
      <c r="BB20" s="103"/>
      <c r="BC20" s="103"/>
      <c r="BD20" s="103"/>
      <c r="BE20" s="67"/>
      <c r="BF20" s="67"/>
    </row>
    <row r="21" spans="1:58" ht="14.25" customHeight="1" x14ac:dyDescent="0.2">
      <c r="A21" s="67"/>
      <c r="B21" s="70" t="s">
        <v>31</v>
      </c>
      <c r="C21" s="70" t="s">
        <v>39</v>
      </c>
      <c r="D21" s="77"/>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c r="AW21" s="103"/>
      <c r="AX21" s="103"/>
      <c r="AY21" s="103"/>
      <c r="AZ21" s="103"/>
      <c r="BA21" s="103"/>
      <c r="BB21" s="103"/>
      <c r="BC21" s="103"/>
      <c r="BD21" s="103"/>
      <c r="BE21" s="67"/>
      <c r="BF21" s="67"/>
    </row>
    <row r="22" spans="1:58" ht="14.25" customHeight="1" x14ac:dyDescent="0.2">
      <c r="A22" s="67"/>
      <c r="B22" s="70" t="s">
        <v>33</v>
      </c>
      <c r="C22" s="70" t="s">
        <v>40</v>
      </c>
      <c r="D22" s="77"/>
      <c r="E22" s="103"/>
      <c r="F22" s="103"/>
      <c r="G22" s="103"/>
      <c r="H22" s="103"/>
      <c r="I22" s="103"/>
      <c r="J22" s="103"/>
      <c r="K22" s="103"/>
      <c r="L22" s="103"/>
      <c r="M22" s="103"/>
      <c r="N22" s="103"/>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3"/>
      <c r="AP22" s="103"/>
      <c r="AQ22" s="103"/>
      <c r="AR22" s="103"/>
      <c r="AS22" s="103"/>
      <c r="AT22" s="103"/>
      <c r="AU22" s="103"/>
      <c r="AV22" s="103"/>
      <c r="AW22" s="103"/>
      <c r="AX22" s="103"/>
      <c r="AY22" s="103"/>
      <c r="AZ22" s="103"/>
      <c r="BA22" s="103"/>
      <c r="BB22" s="103"/>
      <c r="BC22" s="103"/>
      <c r="BD22" s="103"/>
      <c r="BE22" s="67"/>
      <c r="BF22" s="67"/>
    </row>
    <row r="23" spans="1:58" ht="14.25" customHeight="1" x14ac:dyDescent="0.2">
      <c r="A23" s="67"/>
      <c r="B23" s="70" t="s">
        <v>33</v>
      </c>
      <c r="C23" s="70" t="s">
        <v>35</v>
      </c>
      <c r="D23" s="77"/>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103"/>
      <c r="AE23" s="103"/>
      <c r="AF23" s="103"/>
      <c r="AG23" s="103"/>
      <c r="AH23" s="103"/>
      <c r="AI23" s="103"/>
      <c r="AJ23" s="103"/>
      <c r="AK23" s="103"/>
      <c r="AL23" s="103"/>
      <c r="AM23" s="103"/>
      <c r="AN23" s="103"/>
      <c r="AO23" s="103"/>
      <c r="AP23" s="103"/>
      <c r="AQ23" s="103"/>
      <c r="AR23" s="103"/>
      <c r="AS23" s="103"/>
      <c r="AT23" s="103"/>
      <c r="AU23" s="103"/>
      <c r="AV23" s="103"/>
      <c r="AW23" s="103"/>
      <c r="AX23" s="103"/>
      <c r="AY23" s="103"/>
      <c r="AZ23" s="103"/>
      <c r="BA23" s="103"/>
      <c r="BB23" s="103"/>
      <c r="BC23" s="103"/>
      <c r="BD23" s="103"/>
      <c r="BE23" s="67"/>
      <c r="BF23" s="67"/>
    </row>
    <row r="24" spans="1:58" ht="14.25" customHeight="1" x14ac:dyDescent="0.2">
      <c r="A24" s="67"/>
      <c r="B24" s="70" t="s">
        <v>33</v>
      </c>
      <c r="C24" s="70" t="s">
        <v>36</v>
      </c>
      <c r="D24" s="77"/>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103"/>
      <c r="AE24" s="103"/>
      <c r="AF24" s="103"/>
      <c r="AG24" s="103"/>
      <c r="AH24" s="103"/>
      <c r="AI24" s="103"/>
      <c r="AJ24" s="103"/>
      <c r="AK24" s="103"/>
      <c r="AL24" s="103"/>
      <c r="AM24" s="103"/>
      <c r="AN24" s="103"/>
      <c r="AO24" s="103"/>
      <c r="AP24" s="103"/>
      <c r="AQ24" s="103"/>
      <c r="AR24" s="103"/>
      <c r="AS24" s="103"/>
      <c r="AT24" s="103"/>
      <c r="AU24" s="103"/>
      <c r="AV24" s="103"/>
      <c r="AW24" s="103"/>
      <c r="AX24" s="103"/>
      <c r="AY24" s="103"/>
      <c r="AZ24" s="103"/>
      <c r="BA24" s="103"/>
      <c r="BB24" s="103"/>
      <c r="BC24" s="103"/>
      <c r="BD24" s="103"/>
      <c r="BE24" s="67"/>
      <c r="BF24" s="67"/>
    </row>
    <row r="25" spans="1:58" ht="14.25" customHeight="1" x14ac:dyDescent="0.2">
      <c r="A25" s="67"/>
      <c r="B25" s="70" t="s">
        <v>33</v>
      </c>
      <c r="C25" s="70" t="s">
        <v>37</v>
      </c>
      <c r="D25" s="77"/>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103"/>
      <c r="AE25" s="103"/>
      <c r="AF25" s="103"/>
      <c r="AG25" s="103"/>
      <c r="AH25" s="103"/>
      <c r="AI25" s="103"/>
      <c r="AJ25" s="103"/>
      <c r="AK25" s="103"/>
      <c r="AL25" s="103"/>
      <c r="AM25" s="103"/>
      <c r="AN25" s="103"/>
      <c r="AO25" s="103"/>
      <c r="AP25" s="103"/>
      <c r="AQ25" s="103"/>
      <c r="AR25" s="103"/>
      <c r="AS25" s="103"/>
      <c r="AT25" s="103"/>
      <c r="AU25" s="103"/>
      <c r="AV25" s="103"/>
      <c r="AW25" s="103"/>
      <c r="AX25" s="103"/>
      <c r="AY25" s="103"/>
      <c r="AZ25" s="103"/>
      <c r="BA25" s="103"/>
      <c r="BB25" s="103"/>
      <c r="BC25" s="103"/>
      <c r="BD25" s="103"/>
      <c r="BE25" s="67"/>
      <c r="BF25" s="67"/>
    </row>
    <row r="26" spans="1:58" ht="14.25" customHeight="1" x14ac:dyDescent="0.2">
      <c r="A26" s="67"/>
      <c r="B26" s="70" t="s">
        <v>33</v>
      </c>
      <c r="C26" s="70" t="s">
        <v>38</v>
      </c>
      <c r="D26" s="77"/>
      <c r="E26" s="103"/>
      <c r="F26" s="103"/>
      <c r="G26" s="103"/>
      <c r="H26" s="103"/>
      <c r="I26" s="103"/>
      <c r="J26" s="103"/>
      <c r="K26" s="103"/>
      <c r="L26" s="103"/>
      <c r="M26" s="103"/>
      <c r="N26" s="103"/>
      <c r="O26" s="103"/>
      <c r="P26" s="103"/>
      <c r="Q26" s="103"/>
      <c r="R26" s="103"/>
      <c r="S26" s="103"/>
      <c r="T26" s="103"/>
      <c r="U26" s="103"/>
      <c r="V26" s="103"/>
      <c r="W26" s="103"/>
      <c r="X26" s="103"/>
      <c r="Y26" s="103"/>
      <c r="Z26" s="103"/>
      <c r="AA26" s="103"/>
      <c r="AB26" s="103"/>
      <c r="AC26" s="103"/>
      <c r="AD26" s="103"/>
      <c r="AE26" s="103"/>
      <c r="AF26" s="103"/>
      <c r="AG26" s="103"/>
      <c r="AH26" s="103"/>
      <c r="AI26" s="103"/>
      <c r="AJ26" s="103"/>
      <c r="AK26" s="103"/>
      <c r="AL26" s="103"/>
      <c r="AM26" s="103"/>
      <c r="AN26" s="103"/>
      <c r="AO26" s="103"/>
      <c r="AP26" s="103"/>
      <c r="AQ26" s="103"/>
      <c r="AR26" s="103"/>
      <c r="AS26" s="103"/>
      <c r="AT26" s="103"/>
      <c r="AU26" s="103"/>
      <c r="AV26" s="103"/>
      <c r="AW26" s="103"/>
      <c r="AX26" s="103"/>
      <c r="AY26" s="103"/>
      <c r="AZ26" s="103"/>
      <c r="BA26" s="103"/>
      <c r="BB26" s="103"/>
      <c r="BC26" s="103"/>
      <c r="BD26" s="103"/>
      <c r="BE26" s="67"/>
      <c r="BF26" s="67"/>
    </row>
    <row r="27" spans="1:58" ht="14.25" customHeight="1" x14ac:dyDescent="0.2">
      <c r="A27" s="67"/>
      <c r="B27" s="70" t="s">
        <v>33</v>
      </c>
      <c r="C27" s="70" t="s">
        <v>39</v>
      </c>
      <c r="D27" s="77"/>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103"/>
      <c r="AE27" s="103"/>
      <c r="AF27" s="103"/>
      <c r="AG27" s="103"/>
      <c r="AH27" s="103"/>
      <c r="AI27" s="103"/>
      <c r="AJ27" s="103"/>
      <c r="AK27" s="103"/>
      <c r="AL27" s="103"/>
      <c r="AM27" s="103"/>
      <c r="AN27" s="103"/>
      <c r="AO27" s="103"/>
      <c r="AP27" s="103"/>
      <c r="AQ27" s="103"/>
      <c r="AR27" s="103"/>
      <c r="AS27" s="103"/>
      <c r="AT27" s="103"/>
      <c r="AU27" s="103"/>
      <c r="AV27" s="103"/>
      <c r="AW27" s="103"/>
      <c r="AX27" s="103"/>
      <c r="AY27" s="103"/>
      <c r="AZ27" s="103"/>
      <c r="BA27" s="103"/>
      <c r="BB27" s="103"/>
      <c r="BC27" s="103"/>
      <c r="BD27" s="103"/>
      <c r="BE27" s="67"/>
      <c r="BF27" s="67"/>
    </row>
    <row r="28" spans="1:58" ht="14.25" customHeight="1" x14ac:dyDescent="0.2">
      <c r="A28" s="67"/>
      <c r="B28" s="70" t="s">
        <v>32</v>
      </c>
      <c r="C28" s="70" t="s">
        <v>40</v>
      </c>
      <c r="D28" s="77"/>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67"/>
      <c r="BF28" s="67"/>
    </row>
    <row r="29" spans="1:58" ht="14.25" customHeight="1" x14ac:dyDescent="0.2">
      <c r="A29" s="67"/>
      <c r="B29" s="70" t="s">
        <v>32</v>
      </c>
      <c r="C29" s="70" t="s">
        <v>35</v>
      </c>
      <c r="D29" s="77"/>
      <c r="E29" s="103"/>
      <c r="F29" s="103"/>
      <c r="G29" s="103"/>
      <c r="H29" s="103"/>
      <c r="I29" s="103"/>
      <c r="J29" s="103"/>
      <c r="K29" s="103"/>
      <c r="L29" s="103"/>
      <c r="M29" s="103"/>
      <c r="N29" s="103"/>
      <c r="O29" s="103"/>
      <c r="P29" s="103"/>
      <c r="Q29" s="103"/>
      <c r="R29" s="103"/>
      <c r="S29" s="103"/>
      <c r="T29" s="103"/>
      <c r="U29" s="103"/>
      <c r="V29" s="103"/>
      <c r="W29" s="103"/>
      <c r="X29" s="103"/>
      <c r="Y29" s="103"/>
      <c r="Z29" s="103"/>
      <c r="AA29" s="103"/>
      <c r="AB29" s="103"/>
      <c r="AC29" s="103"/>
      <c r="AD29" s="103"/>
      <c r="AE29" s="103"/>
      <c r="AF29" s="103"/>
      <c r="AG29" s="103"/>
      <c r="AH29" s="103"/>
      <c r="AI29" s="103"/>
      <c r="AJ29" s="103"/>
      <c r="AK29" s="103"/>
      <c r="AL29" s="103"/>
      <c r="AM29" s="103"/>
      <c r="AN29" s="103"/>
      <c r="AO29" s="103"/>
      <c r="AP29" s="103"/>
      <c r="AQ29" s="103"/>
      <c r="AR29" s="103"/>
      <c r="AS29" s="103"/>
      <c r="AT29" s="103"/>
      <c r="AU29" s="103"/>
      <c r="AV29" s="103"/>
      <c r="AW29" s="103"/>
      <c r="AX29" s="103"/>
      <c r="AY29" s="103"/>
      <c r="AZ29" s="103"/>
      <c r="BA29" s="103"/>
      <c r="BB29" s="103"/>
      <c r="BC29" s="103"/>
      <c r="BD29" s="103"/>
      <c r="BE29" s="67"/>
      <c r="BF29" s="67"/>
    </row>
    <row r="30" spans="1:58" ht="14.25" customHeight="1" x14ac:dyDescent="0.2">
      <c r="A30" s="67"/>
      <c r="B30" s="70" t="s">
        <v>32</v>
      </c>
      <c r="C30" s="70" t="s">
        <v>36</v>
      </c>
      <c r="D30" s="77"/>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103"/>
      <c r="AE30" s="103"/>
      <c r="AF30" s="103"/>
      <c r="AG30" s="103"/>
      <c r="AH30" s="103"/>
      <c r="AI30" s="103"/>
      <c r="AJ30" s="103"/>
      <c r="AK30" s="103"/>
      <c r="AL30" s="103"/>
      <c r="AM30" s="103"/>
      <c r="AN30" s="103"/>
      <c r="AO30" s="103"/>
      <c r="AP30" s="103"/>
      <c r="AQ30" s="103"/>
      <c r="AR30" s="103"/>
      <c r="AS30" s="103"/>
      <c r="AT30" s="103"/>
      <c r="AU30" s="103"/>
      <c r="AV30" s="103"/>
      <c r="AW30" s="103"/>
      <c r="AX30" s="103"/>
      <c r="AY30" s="103"/>
      <c r="AZ30" s="103"/>
      <c r="BA30" s="103"/>
      <c r="BB30" s="103"/>
      <c r="BC30" s="103"/>
      <c r="BD30" s="103"/>
      <c r="BE30" s="67"/>
      <c r="BF30" s="67"/>
    </row>
    <row r="31" spans="1:58" ht="14.25" customHeight="1" x14ac:dyDescent="0.2">
      <c r="A31" s="67"/>
      <c r="B31" s="70" t="s">
        <v>32</v>
      </c>
      <c r="C31" s="70" t="s">
        <v>37</v>
      </c>
      <c r="D31" s="77"/>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103"/>
      <c r="AE31" s="103"/>
      <c r="AF31" s="103"/>
      <c r="AG31" s="103"/>
      <c r="AH31" s="103"/>
      <c r="AI31" s="103"/>
      <c r="AJ31" s="103"/>
      <c r="AK31" s="103"/>
      <c r="AL31" s="103"/>
      <c r="AM31" s="103"/>
      <c r="AN31" s="103"/>
      <c r="AO31" s="103"/>
      <c r="AP31" s="103"/>
      <c r="AQ31" s="103"/>
      <c r="AR31" s="103"/>
      <c r="AS31" s="103"/>
      <c r="AT31" s="103"/>
      <c r="AU31" s="103"/>
      <c r="AV31" s="103"/>
      <c r="AW31" s="103"/>
      <c r="AX31" s="103"/>
      <c r="AY31" s="103"/>
      <c r="AZ31" s="103"/>
      <c r="BA31" s="103"/>
      <c r="BB31" s="103"/>
      <c r="BC31" s="103"/>
      <c r="BD31" s="103"/>
      <c r="BE31" s="67"/>
      <c r="BF31" s="67"/>
    </row>
    <row r="32" spans="1:58" ht="14.25" customHeight="1" x14ac:dyDescent="0.2">
      <c r="A32" s="67"/>
      <c r="B32" s="70" t="s">
        <v>32</v>
      </c>
      <c r="C32" s="70" t="s">
        <v>38</v>
      </c>
      <c r="D32" s="77"/>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c r="AI32" s="103"/>
      <c r="AJ32" s="103"/>
      <c r="AK32" s="103"/>
      <c r="AL32" s="103"/>
      <c r="AM32" s="103"/>
      <c r="AN32" s="103"/>
      <c r="AO32" s="103"/>
      <c r="AP32" s="103"/>
      <c r="AQ32" s="103"/>
      <c r="AR32" s="103"/>
      <c r="AS32" s="103"/>
      <c r="AT32" s="103"/>
      <c r="AU32" s="103"/>
      <c r="AV32" s="103"/>
      <c r="AW32" s="103"/>
      <c r="AX32" s="103"/>
      <c r="AY32" s="103"/>
      <c r="AZ32" s="103"/>
      <c r="BA32" s="103"/>
      <c r="BB32" s="103"/>
      <c r="BC32" s="103"/>
      <c r="BD32" s="103"/>
      <c r="BE32" s="67"/>
      <c r="BF32" s="67"/>
    </row>
    <row r="33" spans="1:58" ht="14.25" customHeight="1" x14ac:dyDescent="0.2">
      <c r="A33" s="67"/>
      <c r="B33" s="70" t="s">
        <v>32</v>
      </c>
      <c r="C33" s="70" t="s">
        <v>39</v>
      </c>
      <c r="D33" s="77"/>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103"/>
      <c r="AE33" s="103"/>
      <c r="AF33" s="103"/>
      <c r="AG33" s="103"/>
      <c r="AH33" s="103"/>
      <c r="AI33" s="103"/>
      <c r="AJ33" s="103"/>
      <c r="AK33" s="103"/>
      <c r="AL33" s="103"/>
      <c r="AM33" s="103"/>
      <c r="AN33" s="103"/>
      <c r="AO33" s="103"/>
      <c r="AP33" s="103"/>
      <c r="AQ33" s="103"/>
      <c r="AR33" s="103"/>
      <c r="AS33" s="103"/>
      <c r="AT33" s="103"/>
      <c r="AU33" s="103"/>
      <c r="AV33" s="103"/>
      <c r="AW33" s="103"/>
      <c r="AX33" s="103"/>
      <c r="AY33" s="103"/>
      <c r="AZ33" s="103"/>
      <c r="BA33" s="103"/>
      <c r="BB33" s="103"/>
      <c r="BC33" s="103"/>
      <c r="BD33" s="103"/>
      <c r="BE33" s="67"/>
      <c r="BF33" s="67"/>
    </row>
    <row r="34" spans="1:58" ht="14.25" customHeight="1" x14ac:dyDescent="0.2">
      <c r="A34" s="67"/>
      <c r="B34" s="70" t="s">
        <v>87</v>
      </c>
      <c r="C34" s="70" t="s">
        <v>35</v>
      </c>
      <c r="D34" s="77"/>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103"/>
      <c r="AE34" s="103"/>
      <c r="AF34" s="103"/>
      <c r="AG34" s="103"/>
      <c r="AH34" s="103"/>
      <c r="AI34" s="103"/>
      <c r="AJ34" s="103"/>
      <c r="AK34" s="103"/>
      <c r="AL34" s="103"/>
      <c r="AM34" s="103"/>
      <c r="AN34" s="103"/>
      <c r="AO34" s="103"/>
      <c r="AP34" s="103"/>
      <c r="AQ34" s="103"/>
      <c r="AR34" s="103"/>
      <c r="AS34" s="103"/>
      <c r="AT34" s="103"/>
      <c r="AU34" s="103"/>
      <c r="AV34" s="103"/>
      <c r="AW34" s="103"/>
      <c r="AX34" s="103"/>
      <c r="AY34" s="103"/>
      <c r="AZ34" s="103"/>
      <c r="BA34" s="103"/>
      <c r="BB34" s="103"/>
      <c r="BC34" s="103"/>
      <c r="BD34" s="103"/>
      <c r="BE34" s="67"/>
      <c r="BF34" s="67"/>
    </row>
    <row r="35" spans="1:58" ht="14.25" customHeight="1" x14ac:dyDescent="0.2">
      <c r="A35" s="67"/>
      <c r="B35" s="70" t="s">
        <v>87</v>
      </c>
      <c r="C35" s="70" t="s">
        <v>36</v>
      </c>
      <c r="D35" s="77"/>
      <c r="E35" s="103"/>
      <c r="F35" s="103"/>
      <c r="G35" s="103"/>
      <c r="H35" s="103"/>
      <c r="I35" s="103"/>
      <c r="J35" s="103"/>
      <c r="K35" s="103"/>
      <c r="L35" s="103"/>
      <c r="M35" s="103"/>
      <c r="N35" s="103"/>
      <c r="O35" s="103"/>
      <c r="P35" s="103"/>
      <c r="Q35" s="103"/>
      <c r="R35" s="103"/>
      <c r="S35" s="103"/>
      <c r="T35" s="103"/>
      <c r="U35" s="103"/>
      <c r="V35" s="103"/>
      <c r="W35" s="103"/>
      <c r="X35" s="103"/>
      <c r="Y35" s="103"/>
      <c r="Z35" s="103"/>
      <c r="AA35" s="103"/>
      <c r="AB35" s="103"/>
      <c r="AC35" s="103"/>
      <c r="AD35" s="103"/>
      <c r="AE35" s="103"/>
      <c r="AF35" s="103"/>
      <c r="AG35" s="103"/>
      <c r="AH35" s="103"/>
      <c r="AI35" s="103"/>
      <c r="AJ35" s="103"/>
      <c r="AK35" s="103"/>
      <c r="AL35" s="103"/>
      <c r="AM35" s="103"/>
      <c r="AN35" s="103"/>
      <c r="AO35" s="103"/>
      <c r="AP35" s="103"/>
      <c r="AQ35" s="103"/>
      <c r="AR35" s="103"/>
      <c r="AS35" s="103"/>
      <c r="AT35" s="103"/>
      <c r="AU35" s="103"/>
      <c r="AV35" s="103"/>
      <c r="AW35" s="103"/>
      <c r="AX35" s="103"/>
      <c r="AY35" s="103"/>
      <c r="AZ35" s="103"/>
      <c r="BA35" s="103"/>
      <c r="BB35" s="103"/>
      <c r="BC35" s="103"/>
      <c r="BD35" s="103"/>
      <c r="BE35" s="67"/>
      <c r="BF35" s="67"/>
    </row>
    <row r="36" spans="1:58" ht="14.25" customHeight="1" x14ac:dyDescent="0.2">
      <c r="A36" s="67"/>
      <c r="B36" s="70" t="s">
        <v>87</v>
      </c>
      <c r="C36" s="70" t="s">
        <v>37</v>
      </c>
      <c r="D36" s="77"/>
      <c r="E36" s="103"/>
      <c r="F36" s="103"/>
      <c r="G36" s="103"/>
      <c r="H36" s="103"/>
      <c r="I36" s="103"/>
      <c r="J36" s="103"/>
      <c r="K36" s="103"/>
      <c r="L36" s="103"/>
      <c r="M36" s="103"/>
      <c r="N36" s="103"/>
      <c r="O36" s="103"/>
      <c r="P36" s="103"/>
      <c r="Q36" s="103"/>
      <c r="R36" s="103"/>
      <c r="S36" s="103"/>
      <c r="T36" s="103"/>
      <c r="U36" s="103"/>
      <c r="V36" s="103"/>
      <c r="W36" s="103"/>
      <c r="X36" s="103"/>
      <c r="Y36" s="103"/>
      <c r="Z36" s="103"/>
      <c r="AA36" s="103"/>
      <c r="AB36" s="103"/>
      <c r="AC36" s="103"/>
      <c r="AD36" s="103"/>
      <c r="AE36" s="103"/>
      <c r="AF36" s="103"/>
      <c r="AG36" s="103"/>
      <c r="AH36" s="103"/>
      <c r="AI36" s="103"/>
      <c r="AJ36" s="103"/>
      <c r="AK36" s="103"/>
      <c r="AL36" s="103"/>
      <c r="AM36" s="103"/>
      <c r="AN36" s="103"/>
      <c r="AO36" s="103"/>
      <c r="AP36" s="103"/>
      <c r="AQ36" s="103"/>
      <c r="AR36" s="103"/>
      <c r="AS36" s="103"/>
      <c r="AT36" s="103"/>
      <c r="AU36" s="103"/>
      <c r="AV36" s="103"/>
      <c r="AW36" s="103"/>
      <c r="AX36" s="103"/>
      <c r="AY36" s="103"/>
      <c r="AZ36" s="103"/>
      <c r="BA36" s="103"/>
      <c r="BB36" s="103"/>
      <c r="BC36" s="103"/>
      <c r="BD36" s="103"/>
      <c r="BE36" s="67"/>
      <c r="BF36" s="67"/>
    </row>
    <row r="37" spans="1:58" ht="14.25" customHeight="1" x14ac:dyDescent="0.2">
      <c r="A37" s="67"/>
      <c r="B37" s="70" t="s">
        <v>87</v>
      </c>
      <c r="C37" s="70" t="s">
        <v>38</v>
      </c>
      <c r="D37" s="77"/>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103"/>
      <c r="AE37" s="103"/>
      <c r="AF37" s="103"/>
      <c r="AG37" s="103"/>
      <c r="AH37" s="103"/>
      <c r="AI37" s="103"/>
      <c r="AJ37" s="103"/>
      <c r="AK37" s="103"/>
      <c r="AL37" s="103"/>
      <c r="AM37" s="103"/>
      <c r="AN37" s="103"/>
      <c r="AO37" s="103"/>
      <c r="AP37" s="103"/>
      <c r="AQ37" s="103"/>
      <c r="AR37" s="103"/>
      <c r="AS37" s="103"/>
      <c r="AT37" s="103"/>
      <c r="AU37" s="103"/>
      <c r="AV37" s="103"/>
      <c r="AW37" s="103"/>
      <c r="AX37" s="103"/>
      <c r="AY37" s="103"/>
      <c r="AZ37" s="103"/>
      <c r="BA37" s="103"/>
      <c r="BB37" s="103"/>
      <c r="BC37" s="103"/>
      <c r="BD37" s="103"/>
      <c r="BE37" s="67"/>
      <c r="BF37" s="67"/>
    </row>
    <row r="38" spans="1:58" ht="14.25" customHeight="1" x14ac:dyDescent="0.2">
      <c r="A38" s="67"/>
      <c r="B38" s="71" t="s">
        <v>87</v>
      </c>
      <c r="C38" s="71" t="s">
        <v>39</v>
      </c>
      <c r="D38" s="78"/>
      <c r="E38" s="151"/>
      <c r="F38" s="151"/>
      <c r="G38" s="151"/>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1"/>
      <c r="AY38" s="151"/>
      <c r="AZ38" s="151"/>
      <c r="BA38" s="151"/>
      <c r="BB38" s="151"/>
      <c r="BC38" s="151"/>
      <c r="BD38" s="151"/>
      <c r="BE38" s="67"/>
      <c r="BF38" s="67"/>
    </row>
    <row r="39" spans="1:58" x14ac:dyDescent="0.2">
      <c r="A39" s="67"/>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67"/>
      <c r="AM39" s="67"/>
      <c r="AN39" s="67"/>
      <c r="AO39" s="67"/>
      <c r="AP39" s="67"/>
      <c r="AQ39" s="67"/>
      <c r="AR39" s="67"/>
      <c r="AS39" s="67"/>
      <c r="AT39" s="67"/>
      <c r="AU39" s="67"/>
      <c r="AV39" s="67"/>
      <c r="AW39" s="67"/>
      <c r="AX39" s="67"/>
      <c r="AY39" s="67"/>
      <c r="AZ39" s="67"/>
      <c r="BA39" s="67"/>
      <c r="BB39" s="67"/>
      <c r="BC39" s="67"/>
      <c r="BD39" s="67"/>
      <c r="BE39" s="67"/>
      <c r="BF39" s="67"/>
    </row>
    <row r="40" spans="1:58" x14ac:dyDescent="0.2">
      <c r="A40" s="67"/>
      <c r="B40" s="67"/>
      <c r="C40" s="67"/>
      <c r="D40" s="67"/>
      <c r="E40" s="67"/>
      <c r="F40" s="67"/>
      <c r="G40" s="67"/>
      <c r="H40" s="67"/>
      <c r="I40" s="67"/>
      <c r="J40" s="67"/>
      <c r="K40" s="67"/>
      <c r="L40" s="67"/>
      <c r="M40" s="67"/>
      <c r="N40" s="67"/>
      <c r="O40" s="67"/>
      <c r="P40" s="67"/>
      <c r="Q40" s="67"/>
      <c r="R40" s="67"/>
      <c r="S40" s="67"/>
      <c r="T40" s="67"/>
      <c r="U40" s="67"/>
      <c r="V40" s="67"/>
      <c r="W40" s="67"/>
      <c r="X40" s="67"/>
      <c r="Y40" s="67"/>
      <c r="Z40" s="67"/>
      <c r="AA40" s="67"/>
      <c r="AB40" s="67"/>
      <c r="AC40" s="67"/>
      <c r="AD40" s="67"/>
      <c r="AE40" s="67"/>
      <c r="AF40" s="67"/>
      <c r="AG40" s="67"/>
      <c r="AH40" s="67"/>
      <c r="AI40" s="67"/>
      <c r="AJ40" s="67"/>
      <c r="AK40" s="67"/>
      <c r="AL40" s="67"/>
      <c r="AM40" s="67"/>
      <c r="AN40" s="67"/>
      <c r="AO40" s="67"/>
      <c r="AP40" s="67"/>
      <c r="AQ40" s="67"/>
      <c r="AR40" s="67"/>
      <c r="AS40" s="67"/>
      <c r="AT40" s="67"/>
      <c r="AU40" s="67"/>
      <c r="AV40" s="67"/>
      <c r="AW40" s="67"/>
      <c r="AX40" s="67"/>
      <c r="AY40" s="67"/>
      <c r="AZ40" s="67"/>
      <c r="BA40" s="67"/>
      <c r="BB40" s="67"/>
      <c r="BC40" s="67"/>
      <c r="BD40" s="67"/>
      <c r="BE40" s="67"/>
      <c r="BF40" s="67"/>
    </row>
    <row r="41" spans="1:58" x14ac:dyDescent="0.2">
      <c r="A41" s="67"/>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7"/>
      <c r="AO41" s="67"/>
      <c r="AP41" s="67"/>
      <c r="AQ41" s="67"/>
      <c r="AR41" s="67"/>
      <c r="AS41" s="67"/>
      <c r="AT41" s="67"/>
      <c r="AU41" s="67"/>
      <c r="AV41" s="67"/>
      <c r="AW41" s="67"/>
      <c r="AX41" s="67"/>
      <c r="AY41" s="67"/>
      <c r="AZ41" s="67"/>
      <c r="BA41" s="67"/>
      <c r="BB41" s="67"/>
      <c r="BC41" s="67"/>
      <c r="BD41" s="67"/>
      <c r="BE41" s="67"/>
      <c r="BF41" s="67"/>
    </row>
    <row r="42" spans="1:58" x14ac:dyDescent="0.2">
      <c r="A42" s="67"/>
      <c r="B42" s="67"/>
      <c r="C42" s="67"/>
      <c r="D42" s="67"/>
      <c r="E42" s="67"/>
      <c r="F42" s="67"/>
      <c r="G42" s="67"/>
      <c r="H42" s="67"/>
      <c r="I42" s="67"/>
      <c r="J42" s="67"/>
      <c r="K42" s="67"/>
      <c r="L42" s="67"/>
      <c r="M42" s="67"/>
      <c r="N42" s="67"/>
      <c r="O42" s="67"/>
      <c r="P42" s="67"/>
      <c r="Q42" s="67"/>
      <c r="R42" s="67"/>
      <c r="S42" s="67"/>
      <c r="T42" s="67"/>
      <c r="U42" s="67"/>
      <c r="V42" s="67"/>
      <c r="W42" s="67"/>
      <c r="X42" s="67"/>
      <c r="Y42" s="67"/>
      <c r="Z42" s="67"/>
      <c r="AA42" s="67"/>
      <c r="AB42" s="67"/>
      <c r="AC42" s="67"/>
      <c r="AD42" s="67"/>
      <c r="AE42" s="67"/>
      <c r="AF42" s="67"/>
      <c r="AG42" s="67"/>
      <c r="AH42" s="67"/>
      <c r="AI42" s="67"/>
      <c r="AJ42" s="67"/>
      <c r="AK42" s="67"/>
      <c r="AL42" s="67"/>
      <c r="AM42" s="67"/>
      <c r="AN42" s="67"/>
      <c r="AO42" s="67"/>
      <c r="AP42" s="67"/>
      <c r="AQ42" s="67"/>
      <c r="AR42" s="67"/>
      <c r="AS42" s="67"/>
      <c r="AT42" s="67"/>
      <c r="AU42" s="67"/>
      <c r="AV42" s="67"/>
      <c r="AW42" s="67"/>
      <c r="AX42" s="67"/>
      <c r="AY42" s="67"/>
      <c r="AZ42" s="67"/>
      <c r="BA42" s="67"/>
      <c r="BB42" s="67"/>
      <c r="BC42" s="67"/>
      <c r="BD42" s="67"/>
      <c r="BE42" s="67"/>
      <c r="BF42" s="67"/>
    </row>
  </sheetData>
  <mergeCells count="1">
    <mergeCell ref="G5:BD5"/>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D4ECF9"/>
  </sheetPr>
  <dimension ref="A1:BE25"/>
  <sheetViews>
    <sheetView showGridLines="0" zoomScale="90" zoomScaleNormal="90" workbookViewId="0"/>
  </sheetViews>
  <sheetFormatPr baseColWidth="10" defaultColWidth="8.5703125" defaultRowHeight="12.75" customHeight="1" x14ac:dyDescent="0.25"/>
  <cols>
    <col min="1" max="1" width="5.5703125" customWidth="1"/>
    <col min="2" max="3" width="8.5703125" customWidth="1"/>
    <col min="4" max="4" width="52.42578125" customWidth="1"/>
    <col min="5" max="54" width="8.5703125" customWidth="1"/>
  </cols>
  <sheetData>
    <row r="1" spans="1:57" ht="20.100000000000001" customHeight="1" x14ac:dyDescent="0.25">
      <c r="A1" s="21">
        <v>11</v>
      </c>
      <c r="B1" s="680" t="str">
        <f>VLOOKUP("T.11.01",Translation,LanguageNo+1,FALSE)</f>
        <v>Cashflows aus Versicherungsgeschäft</v>
      </c>
      <c r="D1" s="1"/>
    </row>
    <row r="2" spans="1:57" ht="14.25" customHeight="1" x14ac:dyDescent="0.25">
      <c r="A2" s="67"/>
      <c r="B2" s="140"/>
      <c r="C2" s="23"/>
      <c r="D2" s="138"/>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row>
    <row r="3" spans="1:57" ht="14.25" customHeight="1"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row>
    <row r="4" spans="1:57" ht="14.25" customHeight="1"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row>
    <row r="5" spans="1:57" ht="25.35" customHeight="1" x14ac:dyDescent="0.25">
      <c r="A5" s="67"/>
      <c r="B5" s="1282" t="str">
        <f>VLOOKUP("T.11.02",Translation,LanguageNo+1,FALSE)</f>
        <v>Sparte</v>
      </c>
      <c r="C5" s="1282" t="str">
        <f>VLOOKUP("T.11.03",Translation,LanguageNo+1,FALSE)</f>
        <v>Währung</v>
      </c>
      <c r="D5" s="86" t="s">
        <v>585</v>
      </c>
      <c r="E5" s="1280" t="str">
        <f>"Cash flows " &amp;Unit</f>
        <v xml:space="preserve">Cash flows in Mio. </v>
      </c>
      <c r="F5" s="1281"/>
      <c r="G5" s="1281"/>
      <c r="H5" s="1281"/>
      <c r="I5" s="1281"/>
      <c r="J5" s="1281"/>
      <c r="K5" s="1281"/>
      <c r="L5" s="1281"/>
      <c r="M5" s="1281"/>
      <c r="N5" s="1281"/>
      <c r="O5" s="1281"/>
      <c r="P5" s="1281"/>
      <c r="Q5" s="1281"/>
      <c r="R5" s="1281"/>
      <c r="S5" s="1281"/>
      <c r="T5" s="1281"/>
      <c r="U5" s="1281"/>
      <c r="V5" s="1281"/>
      <c r="W5" s="1281"/>
      <c r="X5" s="1281"/>
      <c r="Y5" s="1281"/>
      <c r="Z5" s="1281"/>
      <c r="AA5" s="1281"/>
      <c r="AB5" s="1281"/>
      <c r="AC5" s="1281"/>
      <c r="AD5" s="1281"/>
      <c r="AE5" s="1281"/>
      <c r="AF5" s="1281"/>
      <c r="AG5" s="1281"/>
      <c r="AH5" s="1281"/>
      <c r="AI5" s="1281"/>
      <c r="AJ5" s="1281"/>
      <c r="AK5" s="1281"/>
      <c r="AL5" s="1281"/>
      <c r="AM5" s="1281"/>
      <c r="AN5" s="1281"/>
      <c r="AO5" s="1281"/>
      <c r="AP5" s="1281"/>
      <c r="AQ5" s="1281"/>
      <c r="AR5" s="1281"/>
      <c r="AS5" s="1281"/>
      <c r="AT5" s="1281"/>
      <c r="AU5" s="1281"/>
      <c r="AV5" s="1281"/>
      <c r="AW5" s="1281"/>
      <c r="AX5" s="1281"/>
      <c r="AY5" s="1281"/>
      <c r="AZ5" s="1281"/>
      <c r="BA5" s="1281"/>
      <c r="BB5" s="1281"/>
      <c r="BC5" s="67"/>
      <c r="BD5" s="67"/>
      <c r="BE5" s="67"/>
    </row>
    <row r="6" spans="1:57" ht="38.25" x14ac:dyDescent="0.25">
      <c r="A6" s="67"/>
      <c r="B6" s="1283" t="str">
        <f>VLOOKUP("T.13.02",Translation,LanguageNo+1,FALSE)</f>
        <v>Risikofaktor</v>
      </c>
      <c r="C6" s="1283" t="str">
        <f>VLOOKUP("T.13.02",Translation,LanguageNo+1,FALSE)</f>
        <v>Risikofaktor</v>
      </c>
      <c r="D6" s="966" t="str">
        <f>VLOOKUP("T.11.07",Translation,LanguageNo+1,FALSE)</f>
        <v>Die Zuordnung der Währung erfolgt gemäss dem Dokument Technische Beschreibung für das SST-Standardmodell Marktrisiko.</v>
      </c>
      <c r="E6" s="967">
        <v>1</v>
      </c>
      <c r="F6" s="967">
        <v>2</v>
      </c>
      <c r="G6" s="967">
        <v>3</v>
      </c>
      <c r="H6" s="967">
        <v>4</v>
      </c>
      <c r="I6" s="967">
        <v>5</v>
      </c>
      <c r="J6" s="967">
        <v>6</v>
      </c>
      <c r="K6" s="967">
        <v>7</v>
      </c>
      <c r="L6" s="967">
        <v>8</v>
      </c>
      <c r="M6" s="967">
        <v>9</v>
      </c>
      <c r="N6" s="967">
        <v>10</v>
      </c>
      <c r="O6" s="967">
        <v>11</v>
      </c>
      <c r="P6" s="967">
        <v>12</v>
      </c>
      <c r="Q6" s="967">
        <v>13</v>
      </c>
      <c r="R6" s="967">
        <v>14</v>
      </c>
      <c r="S6" s="967">
        <v>15</v>
      </c>
      <c r="T6" s="967">
        <v>16</v>
      </c>
      <c r="U6" s="967">
        <v>17</v>
      </c>
      <c r="V6" s="967">
        <v>18</v>
      </c>
      <c r="W6" s="967">
        <v>19</v>
      </c>
      <c r="X6" s="967">
        <v>20</v>
      </c>
      <c r="Y6" s="967">
        <v>21</v>
      </c>
      <c r="Z6" s="967">
        <v>22</v>
      </c>
      <c r="AA6" s="967">
        <v>23</v>
      </c>
      <c r="AB6" s="967">
        <v>24</v>
      </c>
      <c r="AC6" s="967">
        <v>25</v>
      </c>
      <c r="AD6" s="967">
        <v>26</v>
      </c>
      <c r="AE6" s="967">
        <v>27</v>
      </c>
      <c r="AF6" s="967">
        <v>28</v>
      </c>
      <c r="AG6" s="967">
        <v>29</v>
      </c>
      <c r="AH6" s="967">
        <v>30</v>
      </c>
      <c r="AI6" s="967">
        <v>31</v>
      </c>
      <c r="AJ6" s="967">
        <v>32</v>
      </c>
      <c r="AK6" s="967">
        <v>33</v>
      </c>
      <c r="AL6" s="967">
        <v>34</v>
      </c>
      <c r="AM6" s="967">
        <v>35</v>
      </c>
      <c r="AN6" s="967">
        <v>36</v>
      </c>
      <c r="AO6" s="967">
        <v>37</v>
      </c>
      <c r="AP6" s="967">
        <v>38</v>
      </c>
      <c r="AQ6" s="967">
        <v>39</v>
      </c>
      <c r="AR6" s="967">
        <v>40</v>
      </c>
      <c r="AS6" s="967">
        <v>41</v>
      </c>
      <c r="AT6" s="967">
        <v>42</v>
      </c>
      <c r="AU6" s="967">
        <v>43</v>
      </c>
      <c r="AV6" s="967">
        <v>44</v>
      </c>
      <c r="AW6" s="967">
        <v>45</v>
      </c>
      <c r="AX6" s="967">
        <v>46</v>
      </c>
      <c r="AY6" s="967">
        <v>47</v>
      </c>
      <c r="AZ6" s="967">
        <v>48</v>
      </c>
      <c r="BA6" s="967">
        <v>49</v>
      </c>
      <c r="BB6" s="967">
        <v>50</v>
      </c>
      <c r="BC6" s="67"/>
      <c r="BD6" s="67"/>
      <c r="BE6" s="67"/>
    </row>
    <row r="7" spans="1:57" ht="14.25" customHeight="1" x14ac:dyDescent="0.25">
      <c r="A7" s="67"/>
      <c r="B7" s="964" t="str">
        <f>VLOOKUP("T.11.04",Translation,LanguageNo+1,FALSE)</f>
        <v>Leben</v>
      </c>
      <c r="C7" s="123" t="s">
        <v>30</v>
      </c>
      <c r="D7" s="1284" t="str">
        <f>VLOOKUP("T.11.08",Translation,LanguageNo+1,FALSE)</f>
        <v>Gemäss Dokument Technische Beschreibung für das SST-Standardmodell Lebenversicherung, Abschnitt 6.2.2</v>
      </c>
      <c r="E7" s="965"/>
      <c r="F7" s="965"/>
      <c r="G7" s="965"/>
      <c r="H7" s="965"/>
      <c r="I7" s="965"/>
      <c r="J7" s="965"/>
      <c r="K7" s="965"/>
      <c r="L7" s="965"/>
      <c r="M7" s="965"/>
      <c r="N7" s="965"/>
      <c r="O7" s="965"/>
      <c r="P7" s="965"/>
      <c r="Q7" s="965"/>
      <c r="R7" s="965"/>
      <c r="S7" s="965"/>
      <c r="T7" s="965"/>
      <c r="U7" s="965"/>
      <c r="V7" s="965"/>
      <c r="W7" s="965"/>
      <c r="X7" s="965"/>
      <c r="Y7" s="965"/>
      <c r="Z7" s="965"/>
      <c r="AA7" s="965"/>
      <c r="AB7" s="965"/>
      <c r="AC7" s="965"/>
      <c r="AD7" s="965"/>
      <c r="AE7" s="965"/>
      <c r="AF7" s="965"/>
      <c r="AG7" s="965"/>
      <c r="AH7" s="965"/>
      <c r="AI7" s="965"/>
      <c r="AJ7" s="965"/>
      <c r="AK7" s="965"/>
      <c r="AL7" s="965"/>
      <c r="AM7" s="965"/>
      <c r="AN7" s="965"/>
      <c r="AO7" s="965"/>
      <c r="AP7" s="965"/>
      <c r="AQ7" s="965"/>
      <c r="AR7" s="965"/>
      <c r="AS7" s="965"/>
      <c r="AT7" s="965"/>
      <c r="AU7" s="965"/>
      <c r="AV7" s="965"/>
      <c r="AW7" s="965"/>
      <c r="AX7" s="965"/>
      <c r="AY7" s="965"/>
      <c r="AZ7" s="965"/>
      <c r="BA7" s="965"/>
      <c r="BB7" s="965"/>
      <c r="BC7" s="67"/>
      <c r="BD7" s="67"/>
      <c r="BE7" s="67"/>
    </row>
    <row r="8" spans="1:57" ht="14.25" customHeight="1" x14ac:dyDescent="0.25">
      <c r="A8" s="67"/>
      <c r="B8" s="428" t="str">
        <f>VLOOKUP("T.11.04",Translation,LanguageNo+1,FALSE)</f>
        <v>Leben</v>
      </c>
      <c r="C8" s="125" t="s">
        <v>31</v>
      </c>
      <c r="D8" s="1278" t="str">
        <f>VLOOKUP("T.14.07",Translation,LanguageNo+1,FALSE)</f>
        <v>Hedgefonds</v>
      </c>
      <c r="E8" s="145"/>
      <c r="F8" s="145"/>
      <c r="G8" s="145"/>
      <c r="H8" s="145"/>
      <c r="I8" s="145"/>
      <c r="J8" s="145"/>
      <c r="K8" s="145"/>
      <c r="L8" s="145"/>
      <c r="M8" s="145"/>
      <c r="N8" s="145"/>
      <c r="O8" s="145"/>
      <c r="P8" s="145"/>
      <c r="Q8" s="145"/>
      <c r="R8" s="145"/>
      <c r="S8" s="145"/>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67"/>
      <c r="BD8" s="67"/>
      <c r="BE8" s="67"/>
    </row>
    <row r="9" spans="1:57" ht="14.25" customHeight="1" x14ac:dyDescent="0.25">
      <c r="A9" s="67"/>
      <c r="B9" s="428" t="str">
        <f>VLOOKUP("T.11.04",Translation,LanguageNo+1,FALSE)</f>
        <v>Leben</v>
      </c>
      <c r="C9" s="125" t="s">
        <v>33</v>
      </c>
      <c r="D9" s="1278" t="str">
        <f>VLOOKUP("T.14.07",Translation,LanguageNo+1,FALSE)</f>
        <v>Hedgefonds</v>
      </c>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67"/>
      <c r="BD9" s="67"/>
      <c r="BE9" s="67"/>
    </row>
    <row r="10" spans="1:57" ht="14.25" customHeight="1" x14ac:dyDescent="0.25">
      <c r="A10" s="67"/>
      <c r="B10" s="428" t="str">
        <f>VLOOKUP("T.11.04",Translation,LanguageNo+1,FALSE)</f>
        <v>Leben</v>
      </c>
      <c r="C10" s="125" t="s">
        <v>32</v>
      </c>
      <c r="D10" s="1278" t="str">
        <f>VLOOKUP("T.14.07",Translation,LanguageNo+1,FALSE)</f>
        <v>Hedgefonds</v>
      </c>
      <c r="E10" s="145"/>
      <c r="F10" s="145"/>
      <c r="G10" s="145"/>
      <c r="H10" s="145"/>
      <c r="I10" s="145"/>
      <c r="J10" s="145"/>
      <c r="K10" s="145"/>
      <c r="L10" s="145"/>
      <c r="M10" s="145"/>
      <c r="N10" s="145"/>
      <c r="O10" s="145"/>
      <c r="P10" s="145"/>
      <c r="Q10" s="145"/>
      <c r="R10" s="145"/>
      <c r="S10" s="145"/>
      <c r="T10" s="145"/>
      <c r="U10" s="145"/>
      <c r="V10" s="145"/>
      <c r="W10" s="145"/>
      <c r="X10" s="145"/>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67"/>
      <c r="BD10" s="67"/>
      <c r="BE10" s="67"/>
    </row>
    <row r="11" spans="1:57" ht="14.25" customHeight="1" x14ac:dyDescent="0.25">
      <c r="A11" s="67"/>
      <c r="B11" s="428" t="str">
        <f>VLOOKUP("T.11.04",Translation,LanguageNo+1,FALSE)</f>
        <v>Leben</v>
      </c>
      <c r="C11" s="125" t="s">
        <v>87</v>
      </c>
      <c r="D11" s="1285" t="str">
        <f>VLOOKUP("T.14.07",Translation,LanguageNo+1,FALSE)</f>
        <v>Hedgefonds</v>
      </c>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67"/>
      <c r="BD11" s="67"/>
      <c r="BE11" s="67"/>
    </row>
    <row r="12" spans="1:57" s="11" customFormat="1" ht="14.25" customHeight="1" x14ac:dyDescent="0.25">
      <c r="A12" s="128"/>
      <c r="B12" s="429" t="str">
        <f>VLOOKUP("T.11.05",Translation,LanguageNo+1,FALSE)</f>
        <v>Schaden</v>
      </c>
      <c r="C12" s="125" t="s">
        <v>30</v>
      </c>
      <c r="D12" s="1286" t="str">
        <f>VLOOKUP("T.11.09",Translation,LanguageNo+1,FALSE)</f>
        <v>Gemäss Dokument Technische Beschreibung für das SST-Standardmodell Schadenversicherung bzw. Technical description of the SST standard model reinsurance (StandRe) bzw. Technical description of the SST standard model captives</v>
      </c>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28"/>
      <c r="BD12" s="128"/>
      <c r="BE12" s="128"/>
    </row>
    <row r="13" spans="1:57" s="11" customFormat="1" ht="14.25" customHeight="1" x14ac:dyDescent="0.25">
      <c r="A13" s="128"/>
      <c r="B13" s="429" t="str">
        <f>VLOOKUP("T.11.05",Translation,LanguageNo+1,FALSE)</f>
        <v>Schaden</v>
      </c>
      <c r="C13" s="125" t="s">
        <v>31</v>
      </c>
      <c r="D13" s="1278" t="str">
        <f>VLOOKUP("T.14.07",Translation,LanguageNo+1,FALSE)</f>
        <v>Hedgefonds</v>
      </c>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c r="AK13" s="145"/>
      <c r="AL13" s="145"/>
      <c r="AM13" s="145"/>
      <c r="AN13" s="145"/>
      <c r="AO13" s="145"/>
      <c r="AP13" s="145"/>
      <c r="AQ13" s="145"/>
      <c r="AR13" s="145"/>
      <c r="AS13" s="145"/>
      <c r="AT13" s="145"/>
      <c r="AU13" s="145"/>
      <c r="AV13" s="145"/>
      <c r="AW13" s="145"/>
      <c r="AX13" s="145"/>
      <c r="AY13" s="145"/>
      <c r="AZ13" s="145"/>
      <c r="BA13" s="145"/>
      <c r="BB13" s="145"/>
      <c r="BC13" s="128"/>
      <c r="BD13" s="128"/>
      <c r="BE13" s="128"/>
    </row>
    <row r="14" spans="1:57" s="11" customFormat="1" ht="14.25" customHeight="1" x14ac:dyDescent="0.25">
      <c r="A14" s="128"/>
      <c r="B14" s="429" t="str">
        <f>VLOOKUP("T.11.05",Translation,LanguageNo+1,FALSE)</f>
        <v>Schaden</v>
      </c>
      <c r="C14" s="125" t="s">
        <v>33</v>
      </c>
      <c r="D14" s="1278" t="str">
        <f>VLOOKUP("T.14.07",Translation,LanguageNo+1,FALSE)</f>
        <v>Hedgefonds</v>
      </c>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c r="AK14" s="145"/>
      <c r="AL14" s="145"/>
      <c r="AM14" s="145"/>
      <c r="AN14" s="145"/>
      <c r="AO14" s="145"/>
      <c r="AP14" s="145"/>
      <c r="AQ14" s="145"/>
      <c r="AR14" s="145"/>
      <c r="AS14" s="145"/>
      <c r="AT14" s="145"/>
      <c r="AU14" s="145"/>
      <c r="AV14" s="145"/>
      <c r="AW14" s="145"/>
      <c r="AX14" s="145"/>
      <c r="AY14" s="145"/>
      <c r="AZ14" s="145"/>
      <c r="BA14" s="145"/>
      <c r="BB14" s="145"/>
      <c r="BC14" s="128"/>
      <c r="BD14" s="128"/>
      <c r="BE14" s="128"/>
    </row>
    <row r="15" spans="1:57" s="11" customFormat="1" ht="14.25" customHeight="1" x14ac:dyDescent="0.25">
      <c r="A15" s="128"/>
      <c r="B15" s="429" t="str">
        <f>VLOOKUP("T.11.05",Translation,LanguageNo+1,FALSE)</f>
        <v>Schaden</v>
      </c>
      <c r="C15" s="125" t="s">
        <v>32</v>
      </c>
      <c r="D15" s="1278" t="str">
        <f>VLOOKUP("T.14.07",Translation,LanguageNo+1,FALSE)</f>
        <v>Hedgefonds</v>
      </c>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AB15" s="145"/>
      <c r="AC15" s="145"/>
      <c r="AD15" s="145"/>
      <c r="AE15" s="145"/>
      <c r="AF15" s="145"/>
      <c r="AG15" s="145"/>
      <c r="AH15" s="145"/>
      <c r="AI15" s="145"/>
      <c r="AJ15" s="145"/>
      <c r="AK15" s="145"/>
      <c r="AL15" s="145"/>
      <c r="AM15" s="145"/>
      <c r="AN15" s="145"/>
      <c r="AO15" s="145"/>
      <c r="AP15" s="145"/>
      <c r="AQ15" s="145"/>
      <c r="AR15" s="145"/>
      <c r="AS15" s="145"/>
      <c r="AT15" s="145"/>
      <c r="AU15" s="145"/>
      <c r="AV15" s="145"/>
      <c r="AW15" s="145"/>
      <c r="AX15" s="145"/>
      <c r="AY15" s="145"/>
      <c r="AZ15" s="145"/>
      <c r="BA15" s="145"/>
      <c r="BB15" s="145"/>
      <c r="BC15" s="128"/>
      <c r="BD15" s="128"/>
      <c r="BE15" s="128"/>
    </row>
    <row r="16" spans="1:57" s="11" customFormat="1" ht="14.25" customHeight="1" x14ac:dyDescent="0.25">
      <c r="A16" s="128"/>
      <c r="B16" s="429" t="str">
        <f>VLOOKUP("T.11.05",Translation,LanguageNo+1,FALSE)</f>
        <v>Schaden</v>
      </c>
      <c r="C16" s="125" t="s">
        <v>87</v>
      </c>
      <c r="D16" s="1285" t="str">
        <f>VLOOKUP("T.14.07",Translation,LanguageNo+1,FALSE)</f>
        <v>Hedgefonds</v>
      </c>
      <c r="E16" s="145"/>
      <c r="F16" s="145"/>
      <c r="G16" s="145"/>
      <c r="H16" s="145"/>
      <c r="I16" s="145"/>
      <c r="J16" s="145"/>
      <c r="K16" s="145"/>
      <c r="L16" s="145"/>
      <c r="M16" s="145"/>
      <c r="N16" s="145"/>
      <c r="O16" s="145"/>
      <c r="P16" s="145"/>
      <c r="Q16" s="145"/>
      <c r="R16" s="145"/>
      <c r="S16" s="145"/>
      <c r="T16" s="145"/>
      <c r="U16" s="145"/>
      <c r="V16" s="145"/>
      <c r="W16" s="145"/>
      <c r="X16" s="145"/>
      <c r="Y16" s="145"/>
      <c r="Z16" s="145"/>
      <c r="AA16" s="145"/>
      <c r="AB16" s="145"/>
      <c r="AC16" s="145"/>
      <c r="AD16" s="145"/>
      <c r="AE16" s="145"/>
      <c r="AF16" s="145"/>
      <c r="AG16" s="145"/>
      <c r="AH16" s="145"/>
      <c r="AI16" s="145"/>
      <c r="AJ16" s="145"/>
      <c r="AK16" s="145"/>
      <c r="AL16" s="145"/>
      <c r="AM16" s="145"/>
      <c r="AN16" s="145"/>
      <c r="AO16" s="145"/>
      <c r="AP16" s="145"/>
      <c r="AQ16" s="145"/>
      <c r="AR16" s="145"/>
      <c r="AS16" s="145"/>
      <c r="AT16" s="145"/>
      <c r="AU16" s="145"/>
      <c r="AV16" s="145"/>
      <c r="AW16" s="145"/>
      <c r="AX16" s="145"/>
      <c r="AY16" s="145"/>
      <c r="AZ16" s="145"/>
      <c r="BA16" s="145"/>
      <c r="BB16" s="145"/>
      <c r="BC16" s="128"/>
      <c r="BD16" s="128"/>
      <c r="BE16" s="128"/>
    </row>
    <row r="17" spans="1:57" ht="14.25" customHeight="1" x14ac:dyDescent="0.25">
      <c r="A17" s="67"/>
      <c r="B17" s="429" t="str">
        <f>VLOOKUP("T.11.06",Translation,LanguageNo+1,FALSE)</f>
        <v>Kranken</v>
      </c>
      <c r="C17" s="125" t="s">
        <v>30</v>
      </c>
      <c r="D17" s="1277" t="str">
        <f>VLOOKUP("T.11.10",Translation,LanguageNo+1,FALSE)</f>
        <v>Gemäss Dokument Technische Beschreibung für das SST-Standardmodell Krankenversicherung, Abschnitt 11.3.</v>
      </c>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c r="AK17" s="145"/>
      <c r="AL17" s="145"/>
      <c r="AM17" s="145"/>
      <c r="AN17" s="145"/>
      <c r="AO17" s="145"/>
      <c r="AP17" s="145"/>
      <c r="AQ17" s="145"/>
      <c r="AR17" s="145"/>
      <c r="AS17" s="145"/>
      <c r="AT17" s="145"/>
      <c r="AU17" s="145"/>
      <c r="AV17" s="145"/>
      <c r="AW17" s="145"/>
      <c r="AX17" s="145"/>
      <c r="AY17" s="145"/>
      <c r="AZ17" s="145"/>
      <c r="BA17" s="145"/>
      <c r="BB17" s="145"/>
      <c r="BC17" s="67"/>
      <c r="BD17" s="67"/>
      <c r="BE17" s="67"/>
    </row>
    <row r="18" spans="1:57" ht="14.25" customHeight="1" x14ac:dyDescent="0.25">
      <c r="A18" s="67"/>
      <c r="B18" s="429" t="str">
        <f>VLOOKUP("T.11.06",Translation,LanguageNo+1,FALSE)</f>
        <v>Kranken</v>
      </c>
      <c r="C18" s="125" t="s">
        <v>31</v>
      </c>
      <c r="D18" s="1278" t="str">
        <f>VLOOKUP("T.14.07",Translation,LanguageNo+1,FALSE)</f>
        <v>Hedgefonds</v>
      </c>
      <c r="E18" s="145"/>
      <c r="F18" s="145"/>
      <c r="G18" s="145"/>
      <c r="H18" s="145"/>
      <c r="I18" s="145"/>
      <c r="J18" s="145"/>
      <c r="K18" s="145"/>
      <c r="L18" s="145"/>
      <c r="M18" s="145"/>
      <c r="N18" s="145"/>
      <c r="O18" s="145"/>
      <c r="P18" s="145"/>
      <c r="Q18" s="145"/>
      <c r="R18" s="145"/>
      <c r="S18" s="145"/>
      <c r="T18" s="145"/>
      <c r="U18" s="145"/>
      <c r="V18" s="145"/>
      <c r="W18" s="145"/>
      <c r="X18" s="145"/>
      <c r="Y18" s="145"/>
      <c r="Z18" s="145"/>
      <c r="AA18" s="145"/>
      <c r="AB18" s="145"/>
      <c r="AC18" s="145"/>
      <c r="AD18" s="145"/>
      <c r="AE18" s="145"/>
      <c r="AF18" s="145"/>
      <c r="AG18" s="145"/>
      <c r="AH18" s="145"/>
      <c r="AI18" s="145"/>
      <c r="AJ18" s="145"/>
      <c r="AK18" s="145"/>
      <c r="AL18" s="145"/>
      <c r="AM18" s="145"/>
      <c r="AN18" s="145"/>
      <c r="AO18" s="145"/>
      <c r="AP18" s="145"/>
      <c r="AQ18" s="145"/>
      <c r="AR18" s="145"/>
      <c r="AS18" s="145"/>
      <c r="AT18" s="145"/>
      <c r="AU18" s="145"/>
      <c r="AV18" s="145"/>
      <c r="AW18" s="145"/>
      <c r="AX18" s="145"/>
      <c r="AY18" s="145"/>
      <c r="AZ18" s="145"/>
      <c r="BA18" s="145"/>
      <c r="BB18" s="145"/>
      <c r="BC18" s="67"/>
      <c r="BD18" s="67"/>
      <c r="BE18" s="67"/>
    </row>
    <row r="19" spans="1:57" ht="14.25" customHeight="1" x14ac:dyDescent="0.25">
      <c r="A19" s="67"/>
      <c r="B19" s="429" t="str">
        <f>VLOOKUP("T.11.06",Translation,LanguageNo+1,FALSE)</f>
        <v>Kranken</v>
      </c>
      <c r="C19" s="125" t="s">
        <v>33</v>
      </c>
      <c r="D19" s="1278" t="str">
        <f>VLOOKUP("T.14.07",Translation,LanguageNo+1,FALSE)</f>
        <v>Hedgefonds</v>
      </c>
      <c r="E19" s="145"/>
      <c r="F19" s="145"/>
      <c r="G19" s="145"/>
      <c r="H19" s="145"/>
      <c r="I19" s="145"/>
      <c r="J19" s="145"/>
      <c r="K19" s="145"/>
      <c r="L19" s="145"/>
      <c r="M19" s="145"/>
      <c r="N19" s="145"/>
      <c r="O19" s="145"/>
      <c r="P19" s="145"/>
      <c r="Q19" s="145"/>
      <c r="R19" s="145"/>
      <c r="S19" s="145"/>
      <c r="T19" s="145"/>
      <c r="U19" s="145"/>
      <c r="V19" s="145"/>
      <c r="W19" s="145"/>
      <c r="X19" s="145"/>
      <c r="Y19" s="145"/>
      <c r="Z19" s="145"/>
      <c r="AA19" s="145"/>
      <c r="AB19" s="145"/>
      <c r="AC19" s="145"/>
      <c r="AD19" s="145"/>
      <c r="AE19" s="145"/>
      <c r="AF19" s="145"/>
      <c r="AG19" s="145"/>
      <c r="AH19" s="145"/>
      <c r="AI19" s="145"/>
      <c r="AJ19" s="145"/>
      <c r="AK19" s="145"/>
      <c r="AL19" s="145"/>
      <c r="AM19" s="145"/>
      <c r="AN19" s="145"/>
      <c r="AO19" s="145"/>
      <c r="AP19" s="145"/>
      <c r="AQ19" s="145"/>
      <c r="AR19" s="145"/>
      <c r="AS19" s="145"/>
      <c r="AT19" s="145"/>
      <c r="AU19" s="145"/>
      <c r="AV19" s="145"/>
      <c r="AW19" s="145"/>
      <c r="AX19" s="145"/>
      <c r="AY19" s="145"/>
      <c r="AZ19" s="145"/>
      <c r="BA19" s="145"/>
      <c r="BB19" s="145"/>
      <c r="BC19" s="67"/>
      <c r="BD19" s="67"/>
      <c r="BE19" s="67"/>
    </row>
    <row r="20" spans="1:57" ht="14.25" customHeight="1" x14ac:dyDescent="0.25">
      <c r="A20" s="67"/>
      <c r="B20" s="429" t="str">
        <f>VLOOKUP("T.11.06",Translation,LanguageNo+1,FALSE)</f>
        <v>Kranken</v>
      </c>
      <c r="C20" s="125" t="s">
        <v>32</v>
      </c>
      <c r="D20" s="1278" t="str">
        <f>VLOOKUP("T.14.07",Translation,LanguageNo+1,FALSE)</f>
        <v>Hedgefonds</v>
      </c>
      <c r="E20" s="145"/>
      <c r="F20" s="145"/>
      <c r="G20" s="145"/>
      <c r="H20" s="145"/>
      <c r="I20" s="145"/>
      <c r="J20" s="145"/>
      <c r="K20" s="145"/>
      <c r="L20" s="145"/>
      <c r="M20" s="145"/>
      <c r="N20" s="145"/>
      <c r="O20" s="145"/>
      <c r="P20" s="145"/>
      <c r="Q20" s="145"/>
      <c r="R20" s="145"/>
      <c r="S20" s="145"/>
      <c r="T20" s="145"/>
      <c r="U20" s="145"/>
      <c r="V20" s="145"/>
      <c r="W20" s="145"/>
      <c r="X20" s="145"/>
      <c r="Y20" s="145"/>
      <c r="Z20" s="145"/>
      <c r="AA20" s="145"/>
      <c r="AB20" s="145"/>
      <c r="AC20" s="145"/>
      <c r="AD20" s="145"/>
      <c r="AE20" s="145"/>
      <c r="AF20" s="145"/>
      <c r="AG20" s="145"/>
      <c r="AH20" s="145"/>
      <c r="AI20" s="145"/>
      <c r="AJ20" s="145"/>
      <c r="AK20" s="145"/>
      <c r="AL20" s="145"/>
      <c r="AM20" s="145"/>
      <c r="AN20" s="145"/>
      <c r="AO20" s="145"/>
      <c r="AP20" s="145"/>
      <c r="AQ20" s="145"/>
      <c r="AR20" s="145"/>
      <c r="AS20" s="145"/>
      <c r="AT20" s="145"/>
      <c r="AU20" s="145"/>
      <c r="AV20" s="145"/>
      <c r="AW20" s="145"/>
      <c r="AX20" s="145"/>
      <c r="AY20" s="145"/>
      <c r="AZ20" s="145"/>
      <c r="BA20" s="145"/>
      <c r="BB20" s="145"/>
      <c r="BC20" s="67"/>
      <c r="BD20" s="67"/>
      <c r="BE20" s="67"/>
    </row>
    <row r="21" spans="1:57" ht="14.25" customHeight="1" x14ac:dyDescent="0.25">
      <c r="A21" s="67"/>
      <c r="B21" s="126" t="str">
        <f>VLOOKUP("T.11.06",Translation,LanguageNo+1,FALSE)</f>
        <v>Kranken</v>
      </c>
      <c r="C21" s="126" t="s">
        <v>87</v>
      </c>
      <c r="D21" s="1279" t="str">
        <f>VLOOKUP("T.14.07",Translation,LanguageNo+1,FALSE)</f>
        <v>Hedgefonds</v>
      </c>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c r="AL21" s="149"/>
      <c r="AM21" s="149"/>
      <c r="AN21" s="149"/>
      <c r="AO21" s="149"/>
      <c r="AP21" s="149"/>
      <c r="AQ21" s="149"/>
      <c r="AR21" s="149"/>
      <c r="AS21" s="149"/>
      <c r="AT21" s="149"/>
      <c r="AU21" s="149"/>
      <c r="AV21" s="149"/>
      <c r="AW21" s="149"/>
      <c r="AX21" s="149"/>
      <c r="AY21" s="149"/>
      <c r="AZ21" s="149"/>
      <c r="BA21" s="149"/>
      <c r="BB21" s="149"/>
      <c r="BC21" s="67"/>
      <c r="BD21" s="67"/>
      <c r="BE21" s="67"/>
    </row>
    <row r="22" spans="1:57" ht="12.75" customHeight="1" x14ac:dyDescent="0.25">
      <c r="A22" s="67"/>
      <c r="B22" s="606"/>
      <c r="C22" s="606"/>
      <c r="D22" s="67"/>
      <c r="E22" s="67"/>
      <c r="F22" s="67"/>
      <c r="G22" s="67"/>
      <c r="H22" s="67"/>
      <c r="I22" s="67"/>
      <c r="J22" s="67"/>
      <c r="K22" s="67"/>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R22" s="67"/>
      <c r="AS22" s="67"/>
      <c r="AT22" s="67"/>
      <c r="AU22" s="67"/>
      <c r="AV22" s="67"/>
      <c r="AW22" s="67"/>
      <c r="AX22" s="67"/>
      <c r="AY22" s="67"/>
      <c r="AZ22" s="67"/>
      <c r="BA22" s="67"/>
      <c r="BB22" s="67"/>
      <c r="BC22" s="67"/>
      <c r="BD22" s="67"/>
      <c r="BE22" s="67"/>
    </row>
    <row r="23" spans="1:57" ht="12.75" customHeight="1" x14ac:dyDescent="0.25">
      <c r="A23" s="67"/>
      <c r="B23" s="67"/>
      <c r="C23" s="67"/>
      <c r="D23" s="67"/>
      <c r="E23" s="67"/>
      <c r="F23" s="67"/>
      <c r="G23" s="67"/>
      <c r="H23" s="67"/>
      <c r="I23" s="67"/>
      <c r="J23" s="67"/>
      <c r="K23" s="67"/>
      <c r="L23" s="67"/>
      <c r="M23" s="67"/>
      <c r="N23" s="67"/>
      <c r="O23" s="67"/>
      <c r="P23" s="67"/>
      <c r="Q23" s="67"/>
      <c r="R23" s="67"/>
      <c r="S23" s="67"/>
      <c r="T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R23" s="67"/>
      <c r="AS23" s="67"/>
      <c r="AT23" s="67"/>
      <c r="AU23" s="67"/>
      <c r="AV23" s="67"/>
      <c r="AW23" s="67"/>
      <c r="AX23" s="67"/>
      <c r="AY23" s="67"/>
      <c r="AZ23" s="67"/>
      <c r="BA23" s="67"/>
      <c r="BB23" s="67"/>
      <c r="BC23" s="67"/>
      <c r="BD23" s="67"/>
      <c r="BE23" s="67"/>
    </row>
    <row r="24" spans="1:57" ht="12.75" customHeight="1" x14ac:dyDescent="0.25">
      <c r="A24" s="67"/>
      <c r="B24" s="67"/>
      <c r="C24" s="67"/>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row>
    <row r="25" spans="1:57" ht="12.75" customHeight="1" x14ac:dyDescent="0.25">
      <c r="A25" s="67"/>
      <c r="B25" s="67"/>
      <c r="C25" s="67"/>
      <c r="D25" s="67"/>
      <c r="E25" s="67"/>
      <c r="F25" s="67"/>
      <c r="G25" s="67"/>
      <c r="H25" s="67"/>
      <c r="I25" s="67"/>
      <c r="J25" s="67"/>
      <c r="K25" s="67"/>
      <c r="L25" s="67"/>
      <c r="M25" s="67"/>
      <c r="N25" s="67"/>
      <c r="O25" s="67"/>
      <c r="P25" s="67"/>
      <c r="Q25" s="67"/>
      <c r="R25" s="67"/>
      <c r="S25" s="67"/>
      <c r="T25" s="67"/>
      <c r="U25" s="67"/>
      <c r="V25" s="67"/>
      <c r="W25" s="67"/>
      <c r="X25" s="67"/>
      <c r="Y25" s="67"/>
      <c r="Z25" s="67"/>
      <c r="AA25" s="67"/>
      <c r="AB25" s="67"/>
      <c r="AC25" s="67"/>
      <c r="AD25" s="67"/>
      <c r="AE25" s="67"/>
      <c r="AF25" s="67"/>
      <c r="AG25" s="67"/>
      <c r="AH25" s="67"/>
      <c r="AI25" s="67"/>
      <c r="AJ25" s="67"/>
      <c r="AK25" s="67"/>
      <c r="AL25" s="67"/>
      <c r="AM25" s="67"/>
      <c r="AN25" s="67"/>
      <c r="AO25" s="67"/>
      <c r="AP25" s="67"/>
      <c r="AQ25" s="67"/>
      <c r="AR25" s="67"/>
      <c r="AS25" s="67"/>
      <c r="AT25" s="67"/>
      <c r="AU25" s="67"/>
      <c r="AV25" s="67"/>
      <c r="AW25" s="67"/>
      <c r="AX25" s="67"/>
      <c r="AY25" s="67"/>
      <c r="AZ25" s="67"/>
      <c r="BA25" s="67"/>
      <c r="BB25" s="67"/>
      <c r="BC25" s="67"/>
      <c r="BD25" s="67"/>
      <c r="BE25" s="67"/>
    </row>
  </sheetData>
  <mergeCells count="6">
    <mergeCell ref="D17:D21"/>
    <mergeCell ref="E5:BB5"/>
    <mergeCell ref="B5:B6"/>
    <mergeCell ref="C5:C6"/>
    <mergeCell ref="D7:D11"/>
    <mergeCell ref="D12:D16"/>
  </mergeCell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6">
    <tabColor rgb="FFD4ECF9"/>
  </sheetPr>
  <dimension ref="A1:Q16"/>
  <sheetViews>
    <sheetView showGridLines="0" zoomScale="90" zoomScaleNormal="90" workbookViewId="0"/>
  </sheetViews>
  <sheetFormatPr baseColWidth="10" defaultColWidth="8.5703125" defaultRowHeight="12.75" customHeight="1" x14ac:dyDescent="0.2"/>
  <cols>
    <col min="1" max="1" width="5.5703125" style="2" customWidth="1"/>
    <col min="2" max="2" width="12.42578125" style="2" customWidth="1"/>
    <col min="3" max="3" width="41.5703125" style="2" customWidth="1"/>
    <col min="4" max="9" width="20.5703125" style="2" customWidth="1"/>
    <col min="10" max="10" width="8.5703125" style="2"/>
    <col min="11" max="11" width="17" style="2" customWidth="1"/>
    <col min="12" max="12" width="34.85546875" style="2" customWidth="1"/>
    <col min="13" max="17" width="21.5703125" style="2" customWidth="1"/>
    <col min="18" max="16384" width="8.5703125" style="2"/>
  </cols>
  <sheetData>
    <row r="1" spans="1:17" ht="20.100000000000001" customHeight="1" x14ac:dyDescent="0.2">
      <c r="A1" s="21">
        <v>12</v>
      </c>
      <c r="B1" s="680" t="str">
        <f>VLOOKUP("T.12.01",Translation,LanguageNo+1,FALSE)</f>
        <v>Termingeschäfte für preisabhängige Assets und für Währungen</v>
      </c>
    </row>
    <row r="2" spans="1:17" ht="14.25" customHeight="1" x14ac:dyDescent="0.2">
      <c r="A2" s="140"/>
      <c r="B2" s="23"/>
      <c r="C2" s="67"/>
      <c r="D2" s="67"/>
      <c r="E2" s="67"/>
      <c r="F2" s="67"/>
      <c r="G2" s="67"/>
      <c r="H2" s="67"/>
    </row>
    <row r="3" spans="1:17" ht="14.25" customHeight="1" x14ac:dyDescent="0.2">
      <c r="B3" s="7"/>
      <c r="H3" s="8"/>
      <c r="I3" s="8"/>
      <c r="J3" s="8"/>
      <c r="K3" s="8"/>
      <c r="L3" s="8"/>
      <c r="M3" s="8"/>
    </row>
    <row r="4" spans="1:17" ht="40.35" customHeight="1" x14ac:dyDescent="0.2">
      <c r="B4" s="527" t="str">
        <f>VLOOKUP("T.12.02",Translation,LanguageNo+1,FALSE)</f>
        <v>Vertrag</v>
      </c>
      <c r="C4" s="433" t="s">
        <v>585</v>
      </c>
      <c r="D4" s="528" t="str">
        <f>VLOOKUP("T.12.03",Translation,LanguageNo+1,FALSE)</f>
        <v>Assetklasse</v>
      </c>
      <c r="E4" s="144" t="str">
        <f>VLOOKUP("T.12.04",Translation,LanguageNo+1,FALSE)</f>
        <v>Währung</v>
      </c>
      <c r="F4" s="529" t="str">
        <f>VLOOKUP("T.12.05",Translation,LanguageNo+1,FALSE)</f>
        <v>Fälligkeit (in Jahren)</v>
      </c>
      <c r="G4" s="142" t="str">
        <f>VLOOKUP("T.12.06",Translation,LanguageNo+1,FALSE)</f>
        <v>Zugrundeliegendes Exposure (t=0)</v>
      </c>
      <c r="H4" s="142" t="str">
        <f>VLOOKUP("T.12.07",Translation,LanguageNo+1,FALSE)</f>
        <v>Terminpreis</v>
      </c>
      <c r="I4" s="142" t="str">
        <f>VLOOKUP("T.12.08",Translation,LanguageNo+1,FALSE)</f>
        <v>Lang/Kurz</v>
      </c>
      <c r="J4" s="8"/>
      <c r="K4" s="432" t="str">
        <f>VLOOKUP("T.12.02",Translation,LanguageNo+1,FALSE)</f>
        <v>Vertrag</v>
      </c>
      <c r="L4" s="433" t="s">
        <v>585</v>
      </c>
      <c r="M4" s="142" t="str">
        <f>VLOOKUP("T.12.05",Translation,LanguageNo+1,FALSE)</f>
        <v>Fälligkeit (in Jahren)</v>
      </c>
      <c r="N4" s="144" t="str">
        <f>VLOOKUP("T.12.16",Translation,LanguageNo+1,FALSE)</f>
        <v>Nominell</v>
      </c>
      <c r="O4" s="142" t="str">
        <f>VLOOKUP("T.12.17",Translation,LanguageNo+1,FALSE)</f>
        <v>Terminkurs</v>
      </c>
      <c r="P4" s="142" t="str">
        <f>VLOOKUP("T.12.18",Translation,LanguageNo+1,FALSE)</f>
        <v>Fremdwährung</v>
      </c>
      <c r="Q4" s="142" t="str">
        <f>VLOOKUP("T.12.19",Translation,LanguageNo+1,FALSE)</f>
        <v>Lang/Kurz</v>
      </c>
    </row>
    <row r="5" spans="1:17" ht="128.25" customHeight="1" x14ac:dyDescent="0.2">
      <c r="B5" s="168"/>
      <c r="C5" s="169" t="str">
        <f>VLOOKUP("T.12.09",Translation,LanguageNo+1,FALSE)</f>
        <v>In dieser Tabelle sind alle Preis-Forward-Verträge einzutragen. Es sind so viele Zeile zu kopieren, wie es Preis-Forward-Verträge gibt. Forwards können aggregiert werden. Der aggregierte Forward-Preis ist dann die Summe der Exposures.</v>
      </c>
      <c r="D5" s="169" t="str">
        <f>VLOOKUP("T.12.10",Translation,LanguageNo+1,FALSE)</f>
        <v>Die Assetklassen sind im Blatt Asset Prices definiert.</v>
      </c>
      <c r="E5" s="430" t="str">
        <f>VLOOKUP("T.12.11",Translation,LanguageNo+1,FALSE)</f>
        <v>Die Währung ist abhängig von der Assetklasse im Blatt Asset Prices definiert. Die Einheit ist in Mio. anzugeben.</v>
      </c>
      <c r="F5" s="430" t="str">
        <f>VLOOKUP("T.12.12",Translation,LanguageNo+1,FALSE)</f>
        <v>Die Restlaufzeit ist ab dem Bilanz Stichtag gemessen und ist ganzzahlig anzugeben, mindestens 1 Jahr.</v>
      </c>
      <c r="G5" s="430" t="str">
        <f>VLOOKUP("T.12.13",Translation,LanguageNo+1,FALSE)</f>
        <v>Das Underlying Exposure ist in der angegebenen Währung einzutragen. Es wird angenommen, dass der gehedgte Preisindex auf 1 normiert ist.</v>
      </c>
      <c r="H5" s="430" t="str">
        <f>VLOOKUP("T.12.14",Translation,LanguageNo+1,FALSE)</f>
        <v>Hier ist der vereinbarte Forward-Preis für das Underlying einzutragen. 
Bei einem vollständigen Hedge ist der vereinbarte Forward Preis in der Grössenordnung des Underlying Exposure.</v>
      </c>
      <c r="I5" s="430" t="str">
        <f>VLOOKUP("T.12.15",Translation,LanguageNo+1,FALSE)</f>
        <v>Hier ist die vereinbarte Position einzutragen.</v>
      </c>
      <c r="J5" s="8"/>
      <c r="K5" s="431"/>
      <c r="L5" s="169" t="str">
        <f>VLOOKUP("T.12.20",Translation,LanguageNo+1,FALSE)</f>
        <v>In dieser Tabelle sind alle FX-Forward-Verträge einzutragen. Es sind so viele Zeilen zu kopieren, wie es FX-Forward-Verträge gibt. Forwards können aggregiert werden. Die aggregierte Forward Rate ist dann der exposuregewichtete Durchschnitt.</v>
      </c>
      <c r="M5" s="169" t="str">
        <f>VLOOKUP("T.12.21",Translation,LanguageNo+1,FALSE)</f>
        <v>Die Restlaufzeit wird ab dem Bilanz Stichtag gemessen und ist ganzzahlig anzugeben, mindestens 1 Jahr.</v>
      </c>
      <c r="N5" s="169" t="str">
        <f>VLOOKUP("T.12.22",Translation,LanguageNo+1,FALSE)</f>
        <v>Das Nominal ist in der zu hedgenden Währung einzutragen.</v>
      </c>
      <c r="O5" s="169" t="str">
        <f>VLOOKUP("T.12.23",Translation,LanguageNo+1,FALSE)</f>
        <v>Hier ist der vereinbarte Wechselkurs einzutragen.</v>
      </c>
      <c r="P5" s="169" t="str">
        <f>VLOOKUP("T.12.24",Translation,LanguageNo+1,FALSE)</f>
        <v>Hier ist die zu hedgende Fremdwährung einzutragen. Die Fremdwährung ist eine andere Währung als die SST-Währung. Die Einheit ist in Mio. anzugeben.</v>
      </c>
      <c r="Q5" s="169" t="str">
        <f>VLOOKUP("T.12.25",Translation,LanguageNo+1,FALSE)</f>
        <v>Hier ist die vereinbarte Position einzutragen.</v>
      </c>
    </row>
    <row r="6" spans="1:17" ht="14.25" customHeight="1" x14ac:dyDescent="0.2">
      <c r="A6" s="658"/>
      <c r="B6" s="989"/>
      <c r="C6" s="990" t="s">
        <v>799</v>
      </c>
      <c r="D6" s="991" t="s">
        <v>27</v>
      </c>
      <c r="E6" s="991" t="s">
        <v>33</v>
      </c>
      <c r="F6" s="991">
        <v>1</v>
      </c>
      <c r="G6" s="991">
        <v>20</v>
      </c>
      <c r="H6" s="991">
        <v>22</v>
      </c>
      <c r="I6" s="992" t="s">
        <v>2334</v>
      </c>
      <c r="J6" s="8"/>
      <c r="K6" s="990" t="s">
        <v>799</v>
      </c>
      <c r="L6" s="990"/>
      <c r="M6" s="990">
        <v>1</v>
      </c>
      <c r="N6" s="990">
        <v>20</v>
      </c>
      <c r="O6" s="990">
        <v>1.2</v>
      </c>
      <c r="P6" s="990" t="s">
        <v>31</v>
      </c>
      <c r="Q6" s="990" t="s">
        <v>2334</v>
      </c>
    </row>
    <row r="7" spans="1:17" ht="14.25" customHeight="1" x14ac:dyDescent="0.2">
      <c r="B7" s="568" t="s">
        <v>107</v>
      </c>
      <c r="C7" s="932"/>
      <c r="D7" s="986"/>
      <c r="E7" s="987"/>
      <c r="F7" s="988"/>
      <c r="G7" s="988"/>
      <c r="H7" s="988"/>
      <c r="I7" s="988"/>
      <c r="J7" s="8"/>
      <c r="K7" s="568" t="s">
        <v>107</v>
      </c>
      <c r="L7" s="932"/>
      <c r="M7" s="993"/>
      <c r="N7" s="965"/>
      <c r="O7" s="965"/>
      <c r="P7" s="994"/>
      <c r="Q7" s="994"/>
    </row>
    <row r="8" spans="1:17" ht="14.25" customHeight="1" x14ac:dyDescent="0.2">
      <c r="B8" s="435" t="s">
        <v>108</v>
      </c>
      <c r="C8" s="169"/>
      <c r="D8" s="147"/>
      <c r="E8" s="80"/>
      <c r="F8" s="148"/>
      <c r="G8" s="148"/>
      <c r="H8" s="148"/>
      <c r="I8" s="148"/>
      <c r="K8" s="435" t="s">
        <v>108</v>
      </c>
      <c r="L8" s="169"/>
      <c r="M8" s="143"/>
      <c r="N8" s="145"/>
      <c r="O8" s="145"/>
      <c r="P8" s="146"/>
      <c r="Q8" s="146"/>
    </row>
    <row r="9" spans="1:17" ht="14.25" customHeight="1" x14ac:dyDescent="0.2">
      <c r="B9" s="435" t="s">
        <v>109</v>
      </c>
      <c r="C9" s="169"/>
      <c r="D9" s="147"/>
      <c r="E9" s="80"/>
      <c r="F9" s="148"/>
      <c r="G9" s="148"/>
      <c r="H9" s="148"/>
      <c r="I9" s="148"/>
      <c r="K9" s="435" t="s">
        <v>109</v>
      </c>
      <c r="L9" s="169"/>
      <c r="M9" s="143"/>
      <c r="N9" s="145"/>
      <c r="O9" s="145"/>
      <c r="P9" s="146"/>
      <c r="Q9" s="434"/>
    </row>
    <row r="10" spans="1:17" ht="14.25" customHeight="1" x14ac:dyDescent="0.2">
      <c r="B10" s="436" t="s">
        <v>1603</v>
      </c>
      <c r="C10" s="169"/>
      <c r="D10" s="147"/>
      <c r="E10" s="80"/>
      <c r="F10" s="148"/>
      <c r="G10" s="148"/>
      <c r="H10" s="148"/>
      <c r="I10" s="148"/>
      <c r="K10" s="436" t="s">
        <v>1603</v>
      </c>
      <c r="L10" s="169"/>
      <c r="M10" s="143"/>
      <c r="N10" s="145"/>
      <c r="O10" s="145"/>
      <c r="P10" s="146"/>
      <c r="Q10" s="434"/>
    </row>
    <row r="11" spans="1:17" ht="14.25" customHeight="1" x14ac:dyDescent="0.2">
      <c r="B11" s="436" t="s">
        <v>1604</v>
      </c>
      <c r="C11" s="169"/>
      <c r="D11" s="147"/>
      <c r="E11" s="80"/>
      <c r="F11" s="148"/>
      <c r="G11" s="148"/>
      <c r="H11" s="148"/>
      <c r="I11" s="148"/>
      <c r="K11" s="436" t="s">
        <v>1604</v>
      </c>
      <c r="L11" s="169"/>
      <c r="M11" s="143"/>
      <c r="N11" s="145"/>
      <c r="O11" s="145"/>
      <c r="P11" s="146"/>
      <c r="Q11" s="434"/>
    </row>
    <row r="12" spans="1:17" ht="14.25" customHeight="1" x14ac:dyDescent="0.2">
      <c r="B12" s="436" t="s">
        <v>1605</v>
      </c>
      <c r="C12" s="169"/>
      <c r="D12" s="147"/>
      <c r="E12" s="80"/>
      <c r="F12" s="148"/>
      <c r="G12" s="148"/>
      <c r="H12" s="148"/>
      <c r="I12" s="148"/>
      <c r="K12" s="436" t="s">
        <v>1605</v>
      </c>
      <c r="L12" s="169"/>
      <c r="M12" s="143"/>
      <c r="N12" s="145"/>
      <c r="O12" s="145"/>
      <c r="P12" s="146"/>
      <c r="Q12" s="434"/>
    </row>
    <row r="13" spans="1:17" ht="14.25" customHeight="1" x14ac:dyDescent="0.2">
      <c r="B13" s="436" t="s">
        <v>1606</v>
      </c>
      <c r="C13" s="169"/>
      <c r="D13" s="147"/>
      <c r="E13" s="80"/>
      <c r="F13" s="148"/>
      <c r="G13" s="148"/>
      <c r="H13" s="148"/>
      <c r="I13" s="148"/>
      <c r="K13" s="436" t="s">
        <v>1606</v>
      </c>
      <c r="L13" s="169"/>
      <c r="M13" s="143"/>
      <c r="N13" s="145"/>
      <c r="O13" s="145"/>
      <c r="P13" s="146"/>
      <c r="Q13" s="434"/>
    </row>
    <row r="14" spans="1:17" ht="14.25" customHeight="1" x14ac:dyDescent="0.2">
      <c r="B14" s="436" t="s">
        <v>1607</v>
      </c>
      <c r="C14" s="169"/>
      <c r="D14" s="147"/>
      <c r="E14" s="80"/>
      <c r="F14" s="148"/>
      <c r="G14" s="148"/>
      <c r="H14" s="148"/>
      <c r="I14" s="148"/>
      <c r="K14" s="436" t="s">
        <v>1607</v>
      </c>
      <c r="L14" s="169"/>
      <c r="M14" s="143"/>
      <c r="N14" s="145"/>
      <c r="O14" s="145"/>
      <c r="P14" s="146"/>
      <c r="Q14" s="434"/>
    </row>
    <row r="15" spans="1:17" ht="14.25" customHeight="1" x14ac:dyDescent="0.2">
      <c r="B15" s="436" t="s">
        <v>1608</v>
      </c>
      <c r="C15" s="169"/>
      <c r="D15" s="147"/>
      <c r="E15" s="80"/>
      <c r="F15" s="148"/>
      <c r="G15" s="148"/>
      <c r="H15" s="148"/>
      <c r="I15" s="148"/>
      <c r="K15" s="436" t="s">
        <v>1608</v>
      </c>
      <c r="L15" s="169"/>
      <c r="M15" s="143"/>
      <c r="N15" s="145"/>
      <c r="O15" s="145"/>
      <c r="P15" s="146"/>
      <c r="Q15" s="434"/>
    </row>
    <row r="16" spans="1:17" ht="14.25" customHeight="1" x14ac:dyDescent="0.2">
      <c r="B16" s="761" t="s">
        <v>1609</v>
      </c>
      <c r="C16" s="762"/>
      <c r="D16" s="765"/>
      <c r="E16" s="766"/>
      <c r="F16" s="767"/>
      <c r="G16" s="767"/>
      <c r="H16" s="767"/>
      <c r="I16" s="767"/>
      <c r="K16" s="761" t="s">
        <v>1609</v>
      </c>
      <c r="L16" s="762"/>
      <c r="M16" s="763"/>
      <c r="N16" s="149"/>
      <c r="O16" s="149"/>
      <c r="P16" s="764"/>
      <c r="Q16" s="764"/>
    </row>
  </sheetData>
  <dataValidations count="4">
    <dataValidation type="list" allowBlank="1" showInputMessage="1" showErrorMessage="1" sqref="E7:E16 P7:P16" xr:uid="{00000000-0002-0000-0B00-000000000000}">
      <formula1>"CHF, EUR, USD, GBP, JPY"</formula1>
    </dataValidation>
    <dataValidation type="whole" allowBlank="1" showInputMessage="1" showErrorMessage="1" sqref="F7:F16 M7:M16" xr:uid="{00000000-0002-0000-0B00-000001000000}">
      <formula1>1</formula1>
      <formula2>50</formula2>
    </dataValidation>
    <dataValidation type="list" allowBlank="1" showInputMessage="1" showErrorMessage="1" sqref="I6:I16" xr:uid="{00000000-0002-0000-0B00-000002000000}">
      <formula1>"long,short"</formula1>
    </dataValidation>
    <dataValidation type="list" allowBlank="1" showInputMessage="1" showErrorMessage="1" sqref="Q6:Q16" xr:uid="{00000000-0002-0000-0B00-000003000000}">
      <formula1>"long, short"</formula1>
    </dataValidation>
  </dataValidation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Tabelle2">
    <tabColor rgb="FFD4ECF9"/>
  </sheetPr>
  <dimension ref="A1:L111"/>
  <sheetViews>
    <sheetView showGridLines="0" zoomScale="90" zoomScaleNormal="90" workbookViewId="0"/>
  </sheetViews>
  <sheetFormatPr baseColWidth="10" defaultColWidth="8.5703125" defaultRowHeight="12.75" customHeight="1" x14ac:dyDescent="0.25"/>
  <cols>
    <col min="1" max="1" width="5.5703125" customWidth="1"/>
    <col min="2" max="2" width="22.5703125" style="677" customWidth="1"/>
    <col min="3" max="3" width="37.5703125" customWidth="1"/>
    <col min="4" max="4" width="7.5703125" bestFit="1" customWidth="1"/>
    <col min="5" max="6" width="15.5703125" customWidth="1"/>
    <col min="7" max="7" width="107.42578125" customWidth="1"/>
    <col min="8" max="11" width="15.5703125" customWidth="1"/>
    <col min="12" max="12" width="13" customWidth="1"/>
  </cols>
  <sheetData>
    <row r="1" spans="1:12" ht="20.100000000000001" customHeight="1" x14ac:dyDescent="0.25">
      <c r="A1" s="21">
        <v>13</v>
      </c>
      <c r="B1" s="680" t="str">
        <f>VLOOKUP("T.13.01",Translation,LanguageNo+1,FALSE)</f>
        <v>Delta-Normal Marktrisiko</v>
      </c>
      <c r="C1" s="726"/>
      <c r="D1" s="726"/>
    </row>
    <row r="2" spans="1:12" ht="14.25" customHeight="1" x14ac:dyDescent="0.25">
      <c r="A2" s="21"/>
      <c r="C2" s="22"/>
      <c r="D2" s="22"/>
    </row>
    <row r="3" spans="1:12" ht="14.25" customHeight="1" x14ac:dyDescent="0.25">
      <c r="A3" s="67"/>
      <c r="B3" s="67"/>
      <c r="C3" s="67"/>
      <c r="D3" s="67"/>
      <c r="E3" s="67"/>
      <c r="F3" s="67"/>
      <c r="G3" s="67"/>
      <c r="H3" s="67"/>
      <c r="I3" s="67"/>
      <c r="J3" s="67"/>
      <c r="K3" s="67"/>
      <c r="L3" s="67"/>
    </row>
    <row r="4" spans="1:12" ht="73.349999999999994" customHeight="1" x14ac:dyDescent="0.25">
      <c r="A4" s="67"/>
      <c r="B4" s="567" t="s">
        <v>1594</v>
      </c>
      <c r="C4" s="74" t="str">
        <f>VLOOKUP("T.13.02",Translation,LanguageNo+1,FALSE)</f>
        <v>Risikofaktor</v>
      </c>
      <c r="D4" s="570"/>
      <c r="E4" s="569" t="str">
        <f>VLOOKUP("T.13.04",Translation,LanguageNo+1,FALSE)</f>
        <v>Auslenkung des Risikofaktors</v>
      </c>
      <c r="F4" s="570"/>
      <c r="G4" s="141" t="s">
        <v>102</v>
      </c>
      <c r="H4" s="1289" t="str">
        <f>VLOOKUP("T.13.05",Translation,LanguageNo+1,FALSE)</f>
        <v>Änderungen der Aktiven bei Auslenkung des Risikofaktors</v>
      </c>
      <c r="I4" s="1291" t="str">
        <f>VLOOKUP("T.17.03",Translation,LanguageNo+1,FALSE)</f>
        <v>Szenarioname</v>
      </c>
      <c r="J4" s="1289" t="str">
        <f>VLOOKUP("T.13.06",Translation,LanguageNo+1,FALSE)</f>
        <v>Änderungen der Passiven bei Auslenkung des Risikofaktors</v>
      </c>
      <c r="K4" s="1290" t="str">
        <f>VLOOKUP("T.17.03",Translation,LanguageNo+1,FALSE)</f>
        <v>Szenarioname</v>
      </c>
      <c r="L4" s="759" t="s">
        <v>2455</v>
      </c>
    </row>
    <row r="5" spans="1:12" ht="122.1" customHeight="1" x14ac:dyDescent="0.25">
      <c r="A5" s="67"/>
      <c r="B5" s="89"/>
      <c r="C5" s="89"/>
      <c r="D5" s="580" t="s">
        <v>619</v>
      </c>
      <c r="E5" s="68" t="str">
        <f>VLOOKUP("T.13.07",Translation,LanguageNo+1,FALSE)</f>
        <v>Nach oben</v>
      </c>
      <c r="F5" s="68" t="str">
        <f>VLOOKUP("T.13.08",Translation,LanguageNo+1,FALSE)</f>
        <v>Nach unten</v>
      </c>
      <c r="G5" s="1287" t="str">
        <f>VLOOKUP("T.13.49",Translation,LanguageNo+1,FALSE)</f>
        <v>In diesem Blatt sind die Delta-Auslenkungen für diejenigen Bilanzpositionen, die in den vorhergehenden Blättern noch nicht erfasst worden sind, einzutragen. 
Die Delta-Auslenkungen werden gemäss Dokument Technische Beschreibung für SST-Standardmodell Marktrisiko bestimmt.
Delta Auslenkungen für die Versicherungsverpflichtungen werden gemäss der technischen Beschreibungen der Standardmodelle der jeweiligen Sparten bestimmt. 
   - Delta Auslenkungen für TVOG Einzelleben
   - Delta Sensitivitäten für UVG Renten und Langfristleistungen
Die Risikofaktoren sowie die übrigen Bilanzpositionen sind gemäss Dokument Technische Beschreibung für das Standardmodell Marktrisiko definiert.</v>
      </c>
      <c r="H5" s="68" t="str">
        <f>VLOOKUP("T.13.07",Translation,LanguageNo+1,FALSE)</f>
        <v>Nach oben</v>
      </c>
      <c r="I5" s="68" t="str">
        <f>VLOOKUP("T.13.08",Translation,LanguageNo+1,FALSE)</f>
        <v>Nach unten</v>
      </c>
      <c r="J5" s="68" t="str">
        <f>VLOOKUP("T.13.07",Translation,LanguageNo+1,FALSE)</f>
        <v>Nach oben</v>
      </c>
      <c r="K5" s="68" t="str">
        <f>VLOOKUP("T.13.08",Translation,LanguageNo+1,FALSE)</f>
        <v>Nach unten</v>
      </c>
      <c r="L5" s="68"/>
    </row>
    <row r="6" spans="1:12" ht="16.350000000000001" customHeight="1" x14ac:dyDescent="0.25">
      <c r="A6" s="67"/>
      <c r="B6" s="960"/>
      <c r="C6" s="960"/>
      <c r="D6" s="961" t="s">
        <v>1971</v>
      </c>
      <c r="E6" s="960"/>
      <c r="F6" s="962"/>
      <c r="G6" s="1288" t="str">
        <f>VLOOKUP("T.17.02",Translation,LanguageNo+1,FALSE)</f>
        <v>Signatur</v>
      </c>
      <c r="H6" s="963" t="str">
        <f t="shared" ref="H6:L6" si="0">Unit &amp; SST_Currency</f>
        <v>in Mio. CHF</v>
      </c>
      <c r="I6" s="963" t="str">
        <f t="shared" si="0"/>
        <v>in Mio. CHF</v>
      </c>
      <c r="J6" s="963" t="str">
        <f t="shared" si="0"/>
        <v>in Mio. CHF</v>
      </c>
      <c r="K6" s="963" t="str">
        <f t="shared" si="0"/>
        <v>in Mio. CHF</v>
      </c>
      <c r="L6" s="963" t="str">
        <f t="shared" si="0"/>
        <v>in Mio. CHF</v>
      </c>
    </row>
    <row r="7" spans="1:12" s="189" customFormat="1" ht="14.25" customHeight="1" x14ac:dyDescent="0.25">
      <c r="A7" s="128"/>
      <c r="B7" s="953" t="s">
        <v>1566</v>
      </c>
      <c r="C7" s="954" t="str">
        <f>VLOOKUP("T.13.09",Translation,LanguageNo+1,FALSE)</f>
        <v>CHF kurzfristiger Zinssatz</v>
      </c>
      <c r="D7" s="955" t="s">
        <v>1972</v>
      </c>
      <c r="E7" s="956">
        <v>100</v>
      </c>
      <c r="F7" s="957">
        <v>-100</v>
      </c>
      <c r="G7" s="958"/>
      <c r="H7" s="531"/>
      <c r="I7" s="531"/>
      <c r="J7" s="531"/>
      <c r="K7" s="531"/>
      <c r="L7" s="959">
        <f>10^(4*(D7="bp"))*((H7-J7)-(I7-K7))/(E7-F7)</f>
        <v>0</v>
      </c>
    </row>
    <row r="8" spans="1:12" s="189" customFormat="1" ht="14.25" customHeight="1" x14ac:dyDescent="0.25">
      <c r="A8" s="128"/>
      <c r="B8" s="735" t="s">
        <v>1567</v>
      </c>
      <c r="C8" s="736" t="str">
        <f>VLOOKUP("T.13.10",Translation,LanguageNo+1,FALSE)</f>
        <v>CHF mittelfristiger Zinssatz</v>
      </c>
      <c r="D8" s="737" t="s">
        <v>1972</v>
      </c>
      <c r="E8" s="738">
        <v>100</v>
      </c>
      <c r="F8" s="739">
        <v>-100</v>
      </c>
      <c r="G8" s="740"/>
      <c r="H8" s="532"/>
      <c r="I8" s="532"/>
      <c r="J8" s="532"/>
      <c r="K8" s="532"/>
      <c r="L8" s="924">
        <f t="shared" ref="L8:L45" si="1">10^(4*(D8="bp"))*((H8-J8)-(I8-K8))/(E8-F8)</f>
        <v>0</v>
      </c>
    </row>
    <row r="9" spans="1:12" s="189" customFormat="1" ht="14.25" customHeight="1" x14ac:dyDescent="0.25">
      <c r="A9" s="128"/>
      <c r="B9" s="735" t="s">
        <v>1568</v>
      </c>
      <c r="C9" s="736" t="str">
        <f>VLOOKUP("T.13.11",Translation,LanguageNo+1,FALSE)</f>
        <v>CHF langfristiger Zinssatz</v>
      </c>
      <c r="D9" s="737" t="s">
        <v>1972</v>
      </c>
      <c r="E9" s="738">
        <v>100</v>
      </c>
      <c r="F9" s="739">
        <v>-100</v>
      </c>
      <c r="G9" s="477"/>
      <c r="H9" s="532"/>
      <c r="I9" s="532"/>
      <c r="J9" s="532"/>
      <c r="K9" s="532"/>
      <c r="L9" s="924">
        <f t="shared" si="1"/>
        <v>0</v>
      </c>
    </row>
    <row r="10" spans="1:12" s="189" customFormat="1" ht="14.25" customHeight="1" x14ac:dyDescent="0.25">
      <c r="A10" s="128"/>
      <c r="B10" s="735" t="s">
        <v>1569</v>
      </c>
      <c r="C10" s="736" t="str">
        <f>VLOOKUP("T.13.12",Translation,LanguageNo+1,FALSE)</f>
        <v>EUR kurzfristiger Zinssatz</v>
      </c>
      <c r="D10" s="737" t="s">
        <v>1972</v>
      </c>
      <c r="E10" s="738">
        <v>140</v>
      </c>
      <c r="F10" s="739">
        <v>-140</v>
      </c>
      <c r="G10" s="477"/>
      <c r="H10" s="532"/>
      <c r="I10" s="532"/>
      <c r="J10" s="532"/>
      <c r="K10" s="532"/>
      <c r="L10" s="924">
        <f t="shared" si="1"/>
        <v>0</v>
      </c>
    </row>
    <row r="11" spans="1:12" s="189" customFormat="1" ht="14.25" customHeight="1" x14ac:dyDescent="0.25">
      <c r="A11" s="128"/>
      <c r="B11" s="735" t="s">
        <v>1570</v>
      </c>
      <c r="C11" s="736" t="str">
        <f>VLOOKUP("T.13.13",Translation,LanguageNo+1,FALSE)</f>
        <v>EUR mittelfristiger Zinssatz</v>
      </c>
      <c r="D11" s="737" t="s">
        <v>1972</v>
      </c>
      <c r="E11" s="738">
        <v>140</v>
      </c>
      <c r="F11" s="739">
        <v>-140</v>
      </c>
      <c r="G11" s="477"/>
      <c r="H11" s="532"/>
      <c r="I11" s="532"/>
      <c r="J11" s="532"/>
      <c r="K11" s="532"/>
      <c r="L11" s="924">
        <f t="shared" si="1"/>
        <v>0</v>
      </c>
    </row>
    <row r="12" spans="1:12" s="189" customFormat="1" ht="14.25" customHeight="1" x14ac:dyDescent="0.25">
      <c r="A12" s="128"/>
      <c r="B12" s="735" t="s">
        <v>1571</v>
      </c>
      <c r="C12" s="736" t="str">
        <f>VLOOKUP("T.13.14",Translation,LanguageNo+1,FALSE)</f>
        <v>EUR langfristiger Zinssatz</v>
      </c>
      <c r="D12" s="737" t="s">
        <v>1972</v>
      </c>
      <c r="E12" s="738">
        <v>140</v>
      </c>
      <c r="F12" s="739">
        <v>-140</v>
      </c>
      <c r="G12" s="477"/>
      <c r="H12" s="532"/>
      <c r="I12" s="532"/>
      <c r="J12" s="532"/>
      <c r="K12" s="532"/>
      <c r="L12" s="924">
        <f t="shared" si="1"/>
        <v>0</v>
      </c>
    </row>
    <row r="13" spans="1:12" s="189" customFormat="1" ht="14.25" customHeight="1" x14ac:dyDescent="0.25">
      <c r="A13" s="128"/>
      <c r="B13" s="735" t="s">
        <v>1572</v>
      </c>
      <c r="C13" s="736" t="str">
        <f>VLOOKUP("T.13.15",Translation,LanguageNo+1,FALSE)</f>
        <v>USD kurzfristiger Zinssatz</v>
      </c>
      <c r="D13" s="737" t="s">
        <v>1972</v>
      </c>
      <c r="E13" s="738">
        <v>140</v>
      </c>
      <c r="F13" s="739">
        <v>-140</v>
      </c>
      <c r="G13" s="477"/>
      <c r="H13" s="532"/>
      <c r="I13" s="532"/>
      <c r="J13" s="532"/>
      <c r="K13" s="532"/>
      <c r="L13" s="924">
        <f t="shared" si="1"/>
        <v>0</v>
      </c>
    </row>
    <row r="14" spans="1:12" s="189" customFormat="1" ht="14.25" customHeight="1" x14ac:dyDescent="0.25">
      <c r="A14" s="128"/>
      <c r="B14" s="735" t="s">
        <v>1573</v>
      </c>
      <c r="C14" s="736" t="str">
        <f>VLOOKUP("T.13.16",Translation,LanguageNo+1,FALSE)</f>
        <v>USD mittelfristiger Zinssatz</v>
      </c>
      <c r="D14" s="737" t="s">
        <v>1972</v>
      </c>
      <c r="E14" s="738">
        <v>140</v>
      </c>
      <c r="F14" s="739">
        <v>-140</v>
      </c>
      <c r="G14" s="477"/>
      <c r="H14" s="532"/>
      <c r="I14" s="532"/>
      <c r="J14" s="532"/>
      <c r="K14" s="532"/>
      <c r="L14" s="924">
        <f t="shared" si="1"/>
        <v>0</v>
      </c>
    </row>
    <row r="15" spans="1:12" s="189" customFormat="1" ht="14.25" customHeight="1" x14ac:dyDescent="0.25">
      <c r="A15" s="128"/>
      <c r="B15" s="735" t="s">
        <v>1574</v>
      </c>
      <c r="C15" s="736" t="str">
        <f>VLOOKUP("T.13.17",Translation,LanguageNo+1,FALSE)</f>
        <v>USD langfristiger Zinssatz</v>
      </c>
      <c r="D15" s="737" t="s">
        <v>1972</v>
      </c>
      <c r="E15" s="738">
        <v>140</v>
      </c>
      <c r="F15" s="739">
        <v>-140</v>
      </c>
      <c r="G15" s="477"/>
      <c r="H15" s="532"/>
      <c r="I15" s="532"/>
      <c r="J15" s="532"/>
      <c r="K15" s="532"/>
      <c r="L15" s="924">
        <f t="shared" si="1"/>
        <v>0</v>
      </c>
    </row>
    <row r="16" spans="1:12" s="189" customFormat="1" ht="14.25" customHeight="1" x14ac:dyDescent="0.25">
      <c r="A16" s="128"/>
      <c r="B16" s="735" t="s">
        <v>1575</v>
      </c>
      <c r="C16" s="736" t="str">
        <f>VLOOKUP("T.13.18",Translation,LanguageNo+1,FALSE)</f>
        <v>GBP kurzfristiger Zinssatz</v>
      </c>
      <c r="D16" s="737" t="s">
        <v>1972</v>
      </c>
      <c r="E16" s="738">
        <v>140</v>
      </c>
      <c r="F16" s="739">
        <v>-140</v>
      </c>
      <c r="G16" s="477"/>
      <c r="H16" s="532"/>
      <c r="I16" s="532"/>
      <c r="J16" s="532"/>
      <c r="K16" s="532"/>
      <c r="L16" s="924">
        <f t="shared" si="1"/>
        <v>0</v>
      </c>
    </row>
    <row r="17" spans="1:12" s="189" customFormat="1" ht="14.25" customHeight="1" x14ac:dyDescent="0.25">
      <c r="A17" s="128"/>
      <c r="B17" s="735" t="s">
        <v>1576</v>
      </c>
      <c r="C17" s="736" t="str">
        <f>VLOOKUP("T.13.19",Translation,LanguageNo+1,FALSE)</f>
        <v>GBP mittelfristiger Zinssatz</v>
      </c>
      <c r="D17" s="737" t="s">
        <v>1972</v>
      </c>
      <c r="E17" s="738">
        <v>140</v>
      </c>
      <c r="F17" s="739">
        <v>-140</v>
      </c>
      <c r="G17" s="477"/>
      <c r="H17" s="532"/>
      <c r="I17" s="532"/>
      <c r="J17" s="532"/>
      <c r="K17" s="532"/>
      <c r="L17" s="924">
        <f t="shared" si="1"/>
        <v>0</v>
      </c>
    </row>
    <row r="18" spans="1:12" s="189" customFormat="1" ht="14.25" customHeight="1" x14ac:dyDescent="0.25">
      <c r="A18" s="128"/>
      <c r="B18" s="735" t="s">
        <v>1577</v>
      </c>
      <c r="C18" s="736" t="str">
        <f>VLOOKUP("T.13.20",Translation,LanguageNo+1,FALSE)</f>
        <v>GBP langfristiger Zinssatz</v>
      </c>
      <c r="D18" s="737" t="s">
        <v>1972</v>
      </c>
      <c r="E18" s="738">
        <v>140</v>
      </c>
      <c r="F18" s="739">
        <v>-140</v>
      </c>
      <c r="G18" s="477"/>
      <c r="H18" s="532"/>
      <c r="I18" s="532"/>
      <c r="J18" s="532"/>
      <c r="K18" s="532"/>
      <c r="L18" s="924">
        <f t="shared" si="1"/>
        <v>0</v>
      </c>
    </row>
    <row r="19" spans="1:12" s="189" customFormat="1" ht="14.25" customHeight="1" x14ac:dyDescent="0.25">
      <c r="A19" s="128"/>
      <c r="B19" s="476" t="s">
        <v>57</v>
      </c>
      <c r="C19" s="736" t="str">
        <f>VLOOKUP("T.13.21",Translation,LanguageNo+1,FALSE)</f>
        <v>Implizite Zinsvolatilität</v>
      </c>
      <c r="D19" s="737" t="s">
        <v>1973</v>
      </c>
      <c r="E19" s="741">
        <v>0.3</v>
      </c>
      <c r="F19" s="742">
        <v>-0.3</v>
      </c>
      <c r="G19" s="477"/>
      <c r="H19" s="532"/>
      <c r="I19" s="532"/>
      <c r="J19" s="532"/>
      <c r="K19" s="532"/>
      <c r="L19" s="924">
        <f t="shared" si="1"/>
        <v>0</v>
      </c>
    </row>
    <row r="20" spans="1:12" s="189" customFormat="1" ht="14.25" customHeight="1" x14ac:dyDescent="0.25">
      <c r="A20" s="128"/>
      <c r="B20" s="735" t="s">
        <v>1578</v>
      </c>
      <c r="C20" s="736" t="str">
        <f>VLOOKUP("T.13.22",Translation,LanguageNo+1,FALSE)</f>
        <v>Credit Spread USA AAA</v>
      </c>
      <c r="D20" s="737" t="s">
        <v>1972</v>
      </c>
      <c r="E20" s="738">
        <v>100</v>
      </c>
      <c r="F20" s="739">
        <v>-100</v>
      </c>
      <c r="G20" s="477"/>
      <c r="H20" s="532"/>
      <c r="I20" s="532"/>
      <c r="J20" s="532"/>
      <c r="K20" s="532"/>
      <c r="L20" s="924">
        <f t="shared" si="1"/>
        <v>0</v>
      </c>
    </row>
    <row r="21" spans="1:12" s="189" customFormat="1" ht="14.25" customHeight="1" x14ac:dyDescent="0.25">
      <c r="A21" s="128"/>
      <c r="B21" s="735" t="s">
        <v>1579</v>
      </c>
      <c r="C21" s="736" t="str">
        <f>VLOOKUP("T.13.23",Translation,LanguageNo+1,FALSE)</f>
        <v>Credit Spread USA AA</v>
      </c>
      <c r="D21" s="737" t="s">
        <v>1972</v>
      </c>
      <c r="E21" s="738">
        <v>100</v>
      </c>
      <c r="F21" s="739">
        <v>-100</v>
      </c>
      <c r="G21" s="477"/>
      <c r="H21" s="532"/>
      <c r="I21" s="532"/>
      <c r="J21" s="532"/>
      <c r="K21" s="532"/>
      <c r="L21" s="924">
        <f t="shared" si="1"/>
        <v>0</v>
      </c>
    </row>
    <row r="22" spans="1:12" s="189" customFormat="1" ht="14.25" customHeight="1" x14ac:dyDescent="0.25">
      <c r="A22" s="128"/>
      <c r="B22" s="735" t="s">
        <v>1580</v>
      </c>
      <c r="C22" s="736" t="str">
        <f>VLOOKUP("T.13.24",Translation,LanguageNo+1,FALSE)</f>
        <v>Credit Spread USA A</v>
      </c>
      <c r="D22" s="737" t="s">
        <v>1972</v>
      </c>
      <c r="E22" s="738">
        <v>120</v>
      </c>
      <c r="F22" s="739">
        <v>-120</v>
      </c>
      <c r="G22" s="477"/>
      <c r="H22" s="532"/>
      <c r="I22" s="532"/>
      <c r="J22" s="532"/>
      <c r="K22" s="532"/>
      <c r="L22" s="924">
        <f t="shared" si="1"/>
        <v>0</v>
      </c>
    </row>
    <row r="23" spans="1:12" s="189" customFormat="1" ht="14.25" customHeight="1" x14ac:dyDescent="0.25">
      <c r="A23" s="128"/>
      <c r="B23" s="735" t="s">
        <v>1581</v>
      </c>
      <c r="C23" s="736" t="str">
        <f>VLOOKUP("T.13.25",Translation,LanguageNo+1,FALSE)</f>
        <v>Credit Spread USA BBB</v>
      </c>
      <c r="D23" s="737" t="s">
        <v>1972</v>
      </c>
      <c r="E23" s="738">
        <v>150</v>
      </c>
      <c r="F23" s="739">
        <v>-150</v>
      </c>
      <c r="G23" s="477"/>
      <c r="H23" s="532"/>
      <c r="I23" s="532"/>
      <c r="J23" s="532"/>
      <c r="K23" s="532"/>
      <c r="L23" s="924">
        <f t="shared" si="1"/>
        <v>0</v>
      </c>
    </row>
    <row r="24" spans="1:12" s="189" customFormat="1" ht="14.25" customHeight="1" x14ac:dyDescent="0.25">
      <c r="A24" s="128"/>
      <c r="B24" s="735" t="s">
        <v>1582</v>
      </c>
      <c r="C24" s="736" t="str">
        <f>VLOOKUP("T.13.26",Translation,LanguageNo+1,FALSE)</f>
        <v>Credit Spread USA BB</v>
      </c>
      <c r="D24" s="737" t="s">
        <v>1972</v>
      </c>
      <c r="E24" s="738">
        <v>200</v>
      </c>
      <c r="F24" s="739">
        <v>-200</v>
      </c>
      <c r="G24" s="477"/>
      <c r="H24" s="532"/>
      <c r="I24" s="532"/>
      <c r="J24" s="532"/>
      <c r="K24" s="532"/>
      <c r="L24" s="924">
        <f t="shared" si="1"/>
        <v>0</v>
      </c>
    </row>
    <row r="25" spans="1:12" s="189" customFormat="1" ht="14.25" customHeight="1" x14ac:dyDescent="0.25">
      <c r="A25" s="128"/>
      <c r="B25" s="735" t="s">
        <v>1599</v>
      </c>
      <c r="C25" s="736" t="str">
        <f>VLOOKUP("T.13.27",Translation,LanguageNo+1,FALSE)</f>
        <v>Credit Spread EU AA</v>
      </c>
      <c r="D25" s="737" t="s">
        <v>1972</v>
      </c>
      <c r="E25" s="738">
        <v>100</v>
      </c>
      <c r="F25" s="739">
        <v>-100</v>
      </c>
      <c r="G25" s="477"/>
      <c r="H25" s="532"/>
      <c r="I25" s="532"/>
      <c r="J25" s="532"/>
      <c r="K25" s="532"/>
      <c r="L25" s="924">
        <f t="shared" si="1"/>
        <v>0</v>
      </c>
    </row>
    <row r="26" spans="1:12" s="189" customFormat="1" ht="14.25" customHeight="1" x14ac:dyDescent="0.25">
      <c r="A26" s="128"/>
      <c r="B26" s="743" t="s">
        <v>1601</v>
      </c>
      <c r="C26" s="736" t="str">
        <f>VLOOKUP("T.13.28",Translation,LanguageNo+1,FALSE)</f>
        <v>Credit Spread EU A</v>
      </c>
      <c r="D26" s="737" t="s">
        <v>1972</v>
      </c>
      <c r="E26" s="738">
        <v>120</v>
      </c>
      <c r="F26" s="739">
        <v>-120</v>
      </c>
      <c r="G26" s="477"/>
      <c r="H26" s="532"/>
      <c r="I26" s="532"/>
      <c r="J26" s="532"/>
      <c r="K26" s="532"/>
      <c r="L26" s="924">
        <f t="shared" si="1"/>
        <v>0</v>
      </c>
    </row>
    <row r="27" spans="1:12" s="189" customFormat="1" ht="14.25" customHeight="1" x14ac:dyDescent="0.25">
      <c r="A27" s="128"/>
      <c r="B27" s="735" t="s">
        <v>1600</v>
      </c>
      <c r="C27" s="736" t="str">
        <f>VLOOKUP("T.13.29",Translation,LanguageNo+1,FALSE)</f>
        <v>Credit Spread EU BBB</v>
      </c>
      <c r="D27" s="737" t="s">
        <v>1972</v>
      </c>
      <c r="E27" s="738">
        <v>150</v>
      </c>
      <c r="F27" s="739">
        <v>-150</v>
      </c>
      <c r="G27" s="477"/>
      <c r="H27" s="532"/>
      <c r="I27" s="532"/>
      <c r="J27" s="532"/>
      <c r="K27" s="532"/>
      <c r="L27" s="924">
        <f t="shared" si="1"/>
        <v>0</v>
      </c>
    </row>
    <row r="28" spans="1:12" s="189" customFormat="1" ht="14.25" customHeight="1" x14ac:dyDescent="0.25">
      <c r="A28" s="128"/>
      <c r="B28" s="735" t="s">
        <v>1583</v>
      </c>
      <c r="C28" s="736" t="str">
        <f>VLOOKUP("T.13.30",Translation,LanguageNo+1,FALSE)</f>
        <v>Credit Spread EU Govi unter AAA</v>
      </c>
      <c r="D28" s="737" t="s">
        <v>1972</v>
      </c>
      <c r="E28" s="738">
        <v>100</v>
      </c>
      <c r="F28" s="739">
        <v>-100</v>
      </c>
      <c r="G28" s="477"/>
      <c r="H28" s="532"/>
      <c r="I28" s="532"/>
      <c r="J28" s="532"/>
      <c r="K28" s="532"/>
      <c r="L28" s="924">
        <f t="shared" si="1"/>
        <v>0</v>
      </c>
    </row>
    <row r="29" spans="1:12" s="189" customFormat="1" ht="14.25" customHeight="1" x14ac:dyDescent="0.25">
      <c r="A29" s="128"/>
      <c r="B29" s="735" t="s">
        <v>1584</v>
      </c>
      <c r="C29" s="736" t="str">
        <f>VLOOKUP("T.13.31",Translation,LanguageNo+1,FALSE)</f>
        <v>Credit Spread CH Pfandbriefe und Govi-related</v>
      </c>
      <c r="D29" s="737" t="s">
        <v>1972</v>
      </c>
      <c r="E29" s="738">
        <v>100</v>
      </c>
      <c r="F29" s="739">
        <v>-100</v>
      </c>
      <c r="G29" s="477"/>
      <c r="H29" s="532"/>
      <c r="I29" s="532"/>
      <c r="J29" s="532"/>
      <c r="K29" s="532"/>
      <c r="L29" s="924">
        <f t="shared" si="1"/>
        <v>0</v>
      </c>
    </row>
    <row r="30" spans="1:12" s="189" customFormat="1" ht="14.25" customHeight="1" x14ac:dyDescent="0.25">
      <c r="A30" s="128"/>
      <c r="B30" s="735" t="s">
        <v>1585</v>
      </c>
      <c r="C30" s="736" t="str">
        <f>VLOOKUP("T.13.32",Translation,LanguageNo+1,FALSE)</f>
        <v>Credit Spread CH Corporates</v>
      </c>
      <c r="D30" s="737" t="s">
        <v>1972</v>
      </c>
      <c r="E30" s="738">
        <v>100</v>
      </c>
      <c r="F30" s="739">
        <v>-100</v>
      </c>
      <c r="G30" s="477"/>
      <c r="H30" s="532"/>
      <c r="I30" s="532"/>
      <c r="J30" s="532"/>
      <c r="K30" s="532"/>
      <c r="L30" s="924">
        <f t="shared" si="1"/>
        <v>0</v>
      </c>
    </row>
    <row r="31" spans="1:12" s="189" customFormat="1" ht="14.25" customHeight="1" x14ac:dyDescent="0.25">
      <c r="A31" s="128"/>
      <c r="B31" s="735" t="s">
        <v>1586</v>
      </c>
      <c r="C31" s="736" t="str">
        <f>VLOOKUP("T.13.33",Translation,LanguageNo+1,FALSE)</f>
        <v>Swap-Government Spread</v>
      </c>
      <c r="D31" s="737" t="s">
        <v>1972</v>
      </c>
      <c r="E31" s="738">
        <v>60</v>
      </c>
      <c r="F31" s="739">
        <v>-60</v>
      </c>
      <c r="G31" s="477"/>
      <c r="H31" s="532"/>
      <c r="I31" s="532"/>
      <c r="J31" s="532"/>
      <c r="K31" s="532"/>
      <c r="L31" s="924">
        <f t="shared" si="1"/>
        <v>0</v>
      </c>
    </row>
    <row r="32" spans="1:12" s="189" customFormat="1" ht="14.25" customHeight="1" x14ac:dyDescent="0.25">
      <c r="A32" s="128"/>
      <c r="B32" s="476" t="str">
        <f>IF(SST_Currency="EUR","CHF","EUR")&amp;SST_Currency</f>
        <v>EURCHF</v>
      </c>
      <c r="C32" s="736" t="str">
        <f>VLOOKUP("T.13.34",Translation,LanguageNo+1,FALSE)</f>
        <v>Wechselkurs EUR/CHF</v>
      </c>
      <c r="D32" s="737" t="s">
        <v>1973</v>
      </c>
      <c r="E32" s="744">
        <v>0.15</v>
      </c>
      <c r="F32" s="745">
        <v>-0.15</v>
      </c>
      <c r="G32" s="477"/>
      <c r="H32" s="532"/>
      <c r="I32" s="532"/>
      <c r="J32" s="532"/>
      <c r="K32" s="532"/>
      <c r="L32" s="924">
        <f t="shared" si="1"/>
        <v>0</v>
      </c>
    </row>
    <row r="33" spans="1:12" s="189" customFormat="1" ht="14.25" customHeight="1" x14ac:dyDescent="0.25">
      <c r="A33" s="128"/>
      <c r="B33" s="476" t="str">
        <f>IF(SST_Currency="USD","CHF","USD")&amp;SST_Currency</f>
        <v>USDCHF</v>
      </c>
      <c r="C33" s="736" t="str">
        <f>VLOOKUP("T.13.35",Translation,LanguageNo+1,FALSE)</f>
        <v>Wechselkurs USD/CHF</v>
      </c>
      <c r="D33" s="737" t="s">
        <v>1973</v>
      </c>
      <c r="E33" s="746">
        <v>0.2</v>
      </c>
      <c r="F33" s="745">
        <v>-0.2</v>
      </c>
      <c r="G33" s="477"/>
      <c r="H33" s="532"/>
      <c r="I33" s="532"/>
      <c r="J33" s="532"/>
      <c r="K33" s="532"/>
      <c r="L33" s="924">
        <f t="shared" si="1"/>
        <v>0</v>
      </c>
    </row>
    <row r="34" spans="1:12" s="189" customFormat="1" ht="14.25" customHeight="1" x14ac:dyDescent="0.25">
      <c r="A34" s="128"/>
      <c r="B34" s="476" t="str">
        <f>IF(SST_Currency="GBP","CHF","GBP")&amp;SST_Currency</f>
        <v>GBPCHF</v>
      </c>
      <c r="C34" s="736" t="str">
        <f>VLOOKUP("T.13.36",Translation,LanguageNo+1,FALSE)</f>
        <v>Wechselkurs GBP/CHF</v>
      </c>
      <c r="D34" s="737" t="s">
        <v>1973</v>
      </c>
      <c r="E34" s="746">
        <v>0.2</v>
      </c>
      <c r="F34" s="745">
        <v>-0.2</v>
      </c>
      <c r="G34" s="477"/>
      <c r="H34" s="532"/>
      <c r="I34" s="532"/>
      <c r="J34" s="532"/>
      <c r="K34" s="532"/>
      <c r="L34" s="924">
        <f t="shared" si="1"/>
        <v>0</v>
      </c>
    </row>
    <row r="35" spans="1:12" s="189" customFormat="1" ht="14.25" customHeight="1" x14ac:dyDescent="0.25">
      <c r="A35" s="128"/>
      <c r="B35" s="476" t="str">
        <f>IF(SST_Currency="JPY","CHF","JPY")&amp;SST_Currency</f>
        <v>JPYCHF</v>
      </c>
      <c r="C35" s="736" t="str">
        <f>VLOOKUP("T.13.37",Translation,LanguageNo+1,FALSE)</f>
        <v>Wechselkurs JPY/CHF</v>
      </c>
      <c r="D35" s="737" t="s">
        <v>1973</v>
      </c>
      <c r="E35" s="746">
        <v>0.2</v>
      </c>
      <c r="F35" s="745">
        <v>-0.2</v>
      </c>
      <c r="G35" s="477"/>
      <c r="H35" s="532"/>
      <c r="I35" s="532"/>
      <c r="J35" s="532"/>
      <c r="K35" s="532"/>
      <c r="L35" s="924">
        <f t="shared" si="1"/>
        <v>0</v>
      </c>
    </row>
    <row r="36" spans="1:12" s="189" customFormat="1" ht="25.5" customHeight="1" x14ac:dyDescent="0.25">
      <c r="A36" s="128"/>
      <c r="B36" s="735" t="s">
        <v>1587</v>
      </c>
      <c r="C36" s="736" t="str">
        <f>VLOOKUP("T.13.38",Translation,LanguageNo+1,FALSE)</f>
        <v xml:space="preserve">Implizite FX-Volatilität </v>
      </c>
      <c r="D36" s="737" t="s">
        <v>1973</v>
      </c>
      <c r="E36" s="746">
        <v>1</v>
      </c>
      <c r="F36" s="745">
        <v>0</v>
      </c>
      <c r="G36" s="747" t="str">
        <f>VLOOKUP("T.13.50",Translation,LanguageNo+1,FALSE)</f>
        <v>Neubewertung der Positionen bei + 100 % / - 0 % Änderung der Volatilität gemäss Dokument Technische Beschreibung für das SST-Standardmodell Marktrisiko.</v>
      </c>
      <c r="H36" s="532"/>
      <c r="I36" s="532"/>
      <c r="J36" s="532"/>
      <c r="K36" s="532"/>
      <c r="L36" s="924">
        <f t="shared" si="1"/>
        <v>0</v>
      </c>
    </row>
    <row r="37" spans="1:12" s="189" customFormat="1" ht="14.25" customHeight="1" x14ac:dyDescent="0.25">
      <c r="A37" s="128"/>
      <c r="B37" s="735" t="s">
        <v>1588</v>
      </c>
      <c r="C37" s="736" t="str">
        <f>VLOOKUP("T.13.39",Translation,LanguageNo+1,FALSE)</f>
        <v>Aktien Schweiz</v>
      </c>
      <c r="D37" s="737" t="s">
        <v>1973</v>
      </c>
      <c r="E37" s="746">
        <v>0.2</v>
      </c>
      <c r="F37" s="745">
        <v>-0.2</v>
      </c>
      <c r="G37" s="477"/>
      <c r="H37" s="532"/>
      <c r="I37" s="532"/>
      <c r="J37" s="532"/>
      <c r="K37" s="532"/>
      <c r="L37" s="924">
        <f t="shared" si="1"/>
        <v>0</v>
      </c>
    </row>
    <row r="38" spans="1:12" s="189" customFormat="1" ht="14.25" customHeight="1" x14ac:dyDescent="0.25">
      <c r="A38" s="128"/>
      <c r="B38" s="735" t="s">
        <v>1589</v>
      </c>
      <c r="C38" s="736" t="str">
        <f>VLOOKUP("T.13.40",Translation,LanguageNo+1,FALSE)</f>
        <v>Aktien European Economic and Monetary Union (EMU)</v>
      </c>
      <c r="D38" s="737" t="s">
        <v>1973</v>
      </c>
      <c r="E38" s="746">
        <v>0.2</v>
      </c>
      <c r="F38" s="745">
        <v>-0.2</v>
      </c>
      <c r="G38" s="477"/>
      <c r="H38" s="532"/>
      <c r="I38" s="532"/>
      <c r="J38" s="532"/>
      <c r="K38" s="532"/>
      <c r="L38" s="924">
        <f t="shared" si="1"/>
        <v>0</v>
      </c>
    </row>
    <row r="39" spans="1:12" s="189" customFormat="1" ht="14.25" customHeight="1" x14ac:dyDescent="0.25">
      <c r="A39" s="128"/>
      <c r="B39" s="735" t="s">
        <v>1590</v>
      </c>
      <c r="C39" s="736" t="str">
        <f>VLOOKUP("T.13.41",Translation,LanguageNo+1,FALSE)</f>
        <v>Aktien USA</v>
      </c>
      <c r="D39" s="737" t="s">
        <v>1973</v>
      </c>
      <c r="E39" s="746">
        <v>0.2</v>
      </c>
      <c r="F39" s="745">
        <v>-0.2</v>
      </c>
      <c r="G39" s="477"/>
      <c r="H39" s="532"/>
      <c r="I39" s="532"/>
      <c r="J39" s="532"/>
      <c r="K39" s="532"/>
      <c r="L39" s="924">
        <f t="shared" si="1"/>
        <v>0</v>
      </c>
    </row>
    <row r="40" spans="1:12" s="189" customFormat="1" ht="14.25" customHeight="1" x14ac:dyDescent="0.25">
      <c r="A40" s="128"/>
      <c r="B40" s="735" t="s">
        <v>1591</v>
      </c>
      <c r="C40" s="736" t="str">
        <f>VLOOKUP("T.13.42",Translation,LanguageNo+1,FALSE)</f>
        <v>Aktien Grossbritannien</v>
      </c>
      <c r="D40" s="737" t="s">
        <v>1973</v>
      </c>
      <c r="E40" s="746">
        <v>0.2</v>
      </c>
      <c r="F40" s="745">
        <v>-0.2</v>
      </c>
      <c r="G40" s="477"/>
      <c r="H40" s="532"/>
      <c r="I40" s="532"/>
      <c r="J40" s="532"/>
      <c r="K40" s="532"/>
      <c r="L40" s="924">
        <f t="shared" si="1"/>
        <v>0</v>
      </c>
    </row>
    <row r="41" spans="1:12" s="189" customFormat="1" ht="14.25" customHeight="1" x14ac:dyDescent="0.25">
      <c r="A41" s="128"/>
      <c r="B41" s="735" t="s">
        <v>1592</v>
      </c>
      <c r="C41" s="736" t="str">
        <f>VLOOKUP("T.13.43",Translation,LanguageNo+1,FALSE)</f>
        <v>Aktien Japan</v>
      </c>
      <c r="D41" s="736" t="s">
        <v>1973</v>
      </c>
      <c r="E41" s="746">
        <v>0.2</v>
      </c>
      <c r="F41" s="745">
        <v>-0.2</v>
      </c>
      <c r="G41" s="477"/>
      <c r="H41" s="532"/>
      <c r="I41" s="532"/>
      <c r="J41" s="532"/>
      <c r="K41" s="532"/>
      <c r="L41" s="924">
        <f t="shared" si="1"/>
        <v>0</v>
      </c>
    </row>
    <row r="42" spans="1:12" s="189" customFormat="1" ht="26.1" customHeight="1" x14ac:dyDescent="0.25">
      <c r="A42" s="128"/>
      <c r="B42" s="735" t="s">
        <v>62</v>
      </c>
      <c r="C42" s="736" t="str">
        <f>VLOOKUP("T.13.44",Translation,LanguageNo+1,FALSE)</f>
        <v>Implizite Aktienvolatilität</v>
      </c>
      <c r="D42" s="736" t="s">
        <v>1973</v>
      </c>
      <c r="E42" s="746">
        <v>1</v>
      </c>
      <c r="F42" s="745">
        <v>0</v>
      </c>
      <c r="G42" s="747" t="str">
        <f>VLOOKUP("T.13.50",Translation,LanguageNo+1,FALSE)</f>
        <v>Neubewertung der Positionen bei + 100 % / - 0 % Änderung der Volatilität gemäss Dokument Technische Beschreibung für das SST-Standardmodell Marktrisiko.</v>
      </c>
      <c r="H42" s="532"/>
      <c r="I42" s="532"/>
      <c r="J42" s="532"/>
      <c r="K42" s="532"/>
      <c r="L42" s="924">
        <f t="shared" si="1"/>
        <v>0</v>
      </c>
    </row>
    <row r="43" spans="1:12" s="189" customFormat="1" ht="14.25" customHeight="1" x14ac:dyDescent="0.25">
      <c r="A43" s="128"/>
      <c r="B43" s="476" t="s">
        <v>63</v>
      </c>
      <c r="C43" s="736" t="str">
        <f>VLOOKUP("T.13.45",Translation,LanguageNo+1,FALSE)</f>
        <v>Hedgefonds</v>
      </c>
      <c r="D43" s="736" t="s">
        <v>1973</v>
      </c>
      <c r="E43" s="746">
        <v>0.2</v>
      </c>
      <c r="F43" s="745">
        <v>-0.2</v>
      </c>
      <c r="G43" s="477"/>
      <c r="H43" s="532"/>
      <c r="I43" s="532"/>
      <c r="J43" s="532"/>
      <c r="K43" s="532"/>
      <c r="L43" s="924">
        <f t="shared" si="1"/>
        <v>0</v>
      </c>
    </row>
    <row r="44" spans="1:12" s="189" customFormat="1" ht="14.25" customHeight="1" x14ac:dyDescent="0.25">
      <c r="A44" s="128"/>
      <c r="B44" s="476" t="s">
        <v>64</v>
      </c>
      <c r="C44" s="736" t="str">
        <f>VLOOKUP("T.13.46",Translation,LanguageNo+1,FALSE)</f>
        <v>Private Equity</v>
      </c>
      <c r="D44" s="736" t="s">
        <v>1973</v>
      </c>
      <c r="E44" s="746">
        <v>0.3</v>
      </c>
      <c r="F44" s="745">
        <v>-0.3</v>
      </c>
      <c r="G44" s="477"/>
      <c r="H44" s="532"/>
      <c r="I44" s="532"/>
      <c r="J44" s="532"/>
      <c r="K44" s="532"/>
      <c r="L44" s="924">
        <f t="shared" si="1"/>
        <v>0</v>
      </c>
    </row>
    <row r="45" spans="1:12" s="189" customFormat="1" ht="14.25" customHeight="1" x14ac:dyDescent="0.25">
      <c r="A45" s="128"/>
      <c r="B45" s="748" t="s">
        <v>1593</v>
      </c>
      <c r="C45" s="749" t="str">
        <f>VLOOKUP("T.13.47",Translation,LanguageNo+1,FALSE)</f>
        <v>Immobilienfonds Schweiz</v>
      </c>
      <c r="D45" s="749" t="s">
        <v>1973</v>
      </c>
      <c r="E45" s="750">
        <v>0.1</v>
      </c>
      <c r="F45" s="751">
        <v>-0.1</v>
      </c>
      <c r="G45" s="752"/>
      <c r="H45" s="530"/>
      <c r="I45" s="530"/>
      <c r="J45" s="530"/>
      <c r="K45" s="530"/>
      <c r="L45" s="924">
        <f t="shared" si="1"/>
        <v>0</v>
      </c>
    </row>
    <row r="46" spans="1:12" ht="12.75" customHeight="1" x14ac:dyDescent="0.25">
      <c r="A46" s="67"/>
      <c r="B46" s="67"/>
      <c r="C46" s="67"/>
      <c r="D46" s="67"/>
      <c r="E46" s="67"/>
      <c r="F46" s="67"/>
      <c r="G46" s="67"/>
      <c r="H46" s="67"/>
      <c r="I46" s="67"/>
      <c r="J46" s="67"/>
      <c r="K46" s="67"/>
      <c r="L46" s="67"/>
    </row>
    <row r="47" spans="1:12" ht="12.75" customHeight="1" x14ac:dyDescent="0.25">
      <c r="L47" s="677"/>
    </row>
    <row r="48" spans="1:12" ht="12.75" customHeight="1" x14ac:dyDescent="0.25">
      <c r="L48" s="677"/>
    </row>
    <row r="49" spans="12:12" ht="12.75" customHeight="1" x14ac:dyDescent="0.25">
      <c r="L49" s="677"/>
    </row>
    <row r="50" spans="12:12" ht="12.75" customHeight="1" x14ac:dyDescent="0.25">
      <c r="L50" s="677"/>
    </row>
    <row r="51" spans="12:12" ht="12.75" customHeight="1" x14ac:dyDescent="0.25">
      <c r="L51" s="677"/>
    </row>
    <row r="52" spans="12:12" ht="12.75" customHeight="1" x14ac:dyDescent="0.25">
      <c r="L52" s="677"/>
    </row>
    <row r="53" spans="12:12" ht="12.75" customHeight="1" x14ac:dyDescent="0.25">
      <c r="L53" s="677"/>
    </row>
    <row r="54" spans="12:12" ht="12.75" customHeight="1" x14ac:dyDescent="0.25">
      <c r="L54" s="677"/>
    </row>
    <row r="55" spans="12:12" ht="12.75" customHeight="1" x14ac:dyDescent="0.25">
      <c r="L55" s="677"/>
    </row>
    <row r="56" spans="12:12" ht="12.75" customHeight="1" x14ac:dyDescent="0.25">
      <c r="L56" s="677"/>
    </row>
    <row r="57" spans="12:12" ht="12.75" customHeight="1" x14ac:dyDescent="0.25">
      <c r="L57" s="677"/>
    </row>
    <row r="58" spans="12:12" ht="12.75" customHeight="1" x14ac:dyDescent="0.25">
      <c r="L58" s="677"/>
    </row>
    <row r="59" spans="12:12" ht="12.75" customHeight="1" x14ac:dyDescent="0.25">
      <c r="L59" s="677"/>
    </row>
    <row r="60" spans="12:12" ht="12.75" customHeight="1" x14ac:dyDescent="0.25">
      <c r="L60" s="677"/>
    </row>
    <row r="61" spans="12:12" ht="12.75" customHeight="1" x14ac:dyDescent="0.25">
      <c r="L61" s="677"/>
    </row>
    <row r="62" spans="12:12" ht="12.75" customHeight="1" x14ac:dyDescent="0.25">
      <c r="L62" s="677"/>
    </row>
    <row r="63" spans="12:12" ht="12.75" customHeight="1" x14ac:dyDescent="0.25">
      <c r="L63" s="677"/>
    </row>
    <row r="64" spans="12:12" ht="12.75" customHeight="1" x14ac:dyDescent="0.25">
      <c r="L64" s="677"/>
    </row>
    <row r="65" spans="12:12" ht="12.75" customHeight="1" x14ac:dyDescent="0.25">
      <c r="L65" s="677"/>
    </row>
    <row r="66" spans="12:12" ht="12.75" customHeight="1" x14ac:dyDescent="0.25">
      <c r="L66" s="677"/>
    </row>
    <row r="67" spans="12:12" ht="12.75" customHeight="1" x14ac:dyDescent="0.25">
      <c r="L67" s="677"/>
    </row>
    <row r="68" spans="12:12" ht="12.75" customHeight="1" x14ac:dyDescent="0.25">
      <c r="L68" s="677"/>
    </row>
    <row r="69" spans="12:12" ht="12.75" customHeight="1" x14ac:dyDescent="0.25">
      <c r="L69" s="677"/>
    </row>
    <row r="70" spans="12:12" ht="12.75" customHeight="1" x14ac:dyDescent="0.25">
      <c r="L70" s="677"/>
    </row>
    <row r="71" spans="12:12" ht="12.75" customHeight="1" x14ac:dyDescent="0.25">
      <c r="L71" s="677"/>
    </row>
    <row r="72" spans="12:12" ht="12.75" customHeight="1" x14ac:dyDescent="0.25">
      <c r="L72" s="677"/>
    </row>
    <row r="73" spans="12:12" ht="12.75" customHeight="1" x14ac:dyDescent="0.25">
      <c r="L73" s="677"/>
    </row>
    <row r="74" spans="12:12" ht="12.75" customHeight="1" x14ac:dyDescent="0.25">
      <c r="L74" s="677"/>
    </row>
    <row r="75" spans="12:12" ht="12.75" customHeight="1" x14ac:dyDescent="0.25">
      <c r="L75" s="677"/>
    </row>
    <row r="76" spans="12:12" ht="12.75" customHeight="1" x14ac:dyDescent="0.25">
      <c r="L76" s="677"/>
    </row>
    <row r="77" spans="12:12" ht="12.75" customHeight="1" x14ac:dyDescent="0.25">
      <c r="L77" s="677"/>
    </row>
    <row r="78" spans="12:12" ht="12.75" customHeight="1" x14ac:dyDescent="0.25">
      <c r="L78" s="677"/>
    </row>
    <row r="79" spans="12:12" ht="12.75" customHeight="1" x14ac:dyDescent="0.25">
      <c r="L79" s="677"/>
    </row>
    <row r="80" spans="12:12" ht="12.75" customHeight="1" x14ac:dyDescent="0.25">
      <c r="L80" s="677"/>
    </row>
    <row r="81" spans="12:12" ht="12.75" customHeight="1" x14ac:dyDescent="0.25">
      <c r="L81" s="677"/>
    </row>
    <row r="82" spans="12:12" ht="12.75" customHeight="1" x14ac:dyDescent="0.25">
      <c r="L82" s="677"/>
    </row>
    <row r="83" spans="12:12" ht="12.75" customHeight="1" x14ac:dyDescent="0.25">
      <c r="L83" s="677"/>
    </row>
    <row r="84" spans="12:12" ht="12.75" customHeight="1" x14ac:dyDescent="0.25">
      <c r="L84" s="677"/>
    </row>
    <row r="85" spans="12:12" ht="12.75" customHeight="1" x14ac:dyDescent="0.25">
      <c r="L85" s="677"/>
    </row>
    <row r="86" spans="12:12" ht="12.75" customHeight="1" x14ac:dyDescent="0.25">
      <c r="L86" s="677"/>
    </row>
    <row r="87" spans="12:12" ht="12.75" customHeight="1" x14ac:dyDescent="0.25">
      <c r="L87" s="677"/>
    </row>
    <row r="88" spans="12:12" ht="12.75" customHeight="1" x14ac:dyDescent="0.25">
      <c r="L88" s="677"/>
    </row>
    <row r="89" spans="12:12" ht="12.75" customHeight="1" x14ac:dyDescent="0.25">
      <c r="L89" s="677"/>
    </row>
    <row r="90" spans="12:12" ht="12.75" customHeight="1" x14ac:dyDescent="0.25">
      <c r="L90" s="677"/>
    </row>
    <row r="91" spans="12:12" ht="12.75" customHeight="1" x14ac:dyDescent="0.25">
      <c r="L91" s="677"/>
    </row>
    <row r="92" spans="12:12" ht="12.75" customHeight="1" x14ac:dyDescent="0.25">
      <c r="L92" s="677"/>
    </row>
    <row r="93" spans="12:12" ht="12.75" customHeight="1" x14ac:dyDescent="0.25">
      <c r="L93" s="677"/>
    </row>
    <row r="94" spans="12:12" ht="12.75" customHeight="1" x14ac:dyDescent="0.25">
      <c r="L94" s="677"/>
    </row>
    <row r="95" spans="12:12" ht="12.75" customHeight="1" x14ac:dyDescent="0.25">
      <c r="L95" s="677"/>
    </row>
    <row r="96" spans="12:12" ht="12.75" customHeight="1" x14ac:dyDescent="0.25">
      <c r="L96" s="677"/>
    </row>
    <row r="97" spans="12:12" ht="12.75" customHeight="1" x14ac:dyDescent="0.25">
      <c r="L97" s="677"/>
    </row>
    <row r="98" spans="12:12" ht="12.75" customHeight="1" x14ac:dyDescent="0.25">
      <c r="L98" s="677"/>
    </row>
    <row r="99" spans="12:12" ht="12.75" customHeight="1" x14ac:dyDescent="0.25">
      <c r="L99" s="677"/>
    </row>
    <row r="100" spans="12:12" ht="12.75" customHeight="1" x14ac:dyDescent="0.25">
      <c r="L100" s="677"/>
    </row>
    <row r="101" spans="12:12" ht="12.75" customHeight="1" x14ac:dyDescent="0.25">
      <c r="L101" s="677"/>
    </row>
    <row r="102" spans="12:12" ht="12.75" customHeight="1" x14ac:dyDescent="0.25">
      <c r="L102" s="677"/>
    </row>
    <row r="103" spans="12:12" ht="12.75" customHeight="1" x14ac:dyDescent="0.25">
      <c r="L103" s="677"/>
    </row>
    <row r="104" spans="12:12" ht="12.75" customHeight="1" x14ac:dyDescent="0.25">
      <c r="L104" s="677"/>
    </row>
    <row r="105" spans="12:12" ht="12.75" customHeight="1" x14ac:dyDescent="0.25">
      <c r="L105" s="677"/>
    </row>
    <row r="106" spans="12:12" ht="12.75" customHeight="1" x14ac:dyDescent="0.25">
      <c r="L106" s="677"/>
    </row>
    <row r="107" spans="12:12" ht="12.75" customHeight="1" x14ac:dyDescent="0.25">
      <c r="L107" s="677"/>
    </row>
    <row r="108" spans="12:12" ht="12.75" customHeight="1" x14ac:dyDescent="0.25">
      <c r="L108" s="677"/>
    </row>
    <row r="109" spans="12:12" ht="12.75" customHeight="1" x14ac:dyDescent="0.25">
      <c r="L109" s="677"/>
    </row>
    <row r="110" spans="12:12" ht="12.75" customHeight="1" x14ac:dyDescent="0.25">
      <c r="L110" s="677"/>
    </row>
    <row r="111" spans="12:12" ht="12.75" customHeight="1" x14ac:dyDescent="0.25">
      <c r="L111" s="677"/>
    </row>
  </sheetData>
  <mergeCells count="3">
    <mergeCell ref="G5:G6"/>
    <mergeCell ref="J4:K4"/>
    <mergeCell ref="H4:I4"/>
  </mergeCells>
  <pageMargins left="0.7" right="0.7" top="0.75" bottom="0.75" header="0.3" footer="0.3"/>
  <pageSetup orientation="portrait" horizontalDpi="4294967293"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Tabelle10">
    <tabColor rgb="FFD4ECF9"/>
  </sheetPr>
  <dimension ref="A1:G15"/>
  <sheetViews>
    <sheetView showGridLines="0" zoomScale="90" zoomScaleNormal="90" workbookViewId="0"/>
  </sheetViews>
  <sheetFormatPr baseColWidth="10" defaultColWidth="8.5703125" defaultRowHeight="12.75" customHeight="1" x14ac:dyDescent="0.25"/>
  <cols>
    <col min="1" max="1" width="5.5703125" customWidth="1"/>
    <col min="2" max="2" width="16.42578125" customWidth="1"/>
    <col min="3" max="3" width="10" customWidth="1"/>
    <col min="4" max="4" width="47.42578125" customWidth="1"/>
    <col min="5" max="5" width="15.5703125" customWidth="1"/>
  </cols>
  <sheetData>
    <row r="1" spans="1:7" ht="20.100000000000001" customHeight="1" x14ac:dyDescent="0.25">
      <c r="A1" s="21">
        <v>14</v>
      </c>
      <c r="B1" s="680" t="str">
        <f>VLOOKUP("T.14.01",Translation,LanguageNo+1,FALSE)</f>
        <v>Erwartetes Finanzergebnis</v>
      </c>
    </row>
    <row r="2" spans="1:7" ht="14.25" customHeight="1" x14ac:dyDescent="0.25">
      <c r="A2" s="140"/>
      <c r="B2" s="23"/>
      <c r="C2" s="67"/>
      <c r="D2" s="67"/>
      <c r="E2" s="67"/>
      <c r="F2" s="67"/>
      <c r="G2" s="67"/>
    </row>
    <row r="3" spans="1:7" ht="14.25" customHeight="1" x14ac:dyDescent="0.25">
      <c r="A3" s="67"/>
      <c r="B3" s="67"/>
      <c r="C3" s="67"/>
      <c r="D3" s="67"/>
      <c r="E3" s="67"/>
      <c r="F3" s="67"/>
      <c r="G3" s="67"/>
    </row>
    <row r="4" spans="1:7" ht="14.25" customHeight="1" x14ac:dyDescent="0.25">
      <c r="A4" s="67"/>
      <c r="B4" s="67"/>
      <c r="C4" s="67"/>
      <c r="D4" s="67"/>
      <c r="E4" s="67"/>
      <c r="F4" s="67"/>
      <c r="G4" s="67"/>
    </row>
    <row r="5" spans="1:7" ht="40.35" customHeight="1" x14ac:dyDescent="0.25">
      <c r="A5" s="67"/>
      <c r="B5" s="90" t="str">
        <f>VLOOKUP("T.14.02",Translation,LanguageNo+1,FALSE)</f>
        <v>Assetklasse</v>
      </c>
      <c r="C5" s="568" t="str">
        <f>VLOOKUP("T.14.03",Translation,LanguageNo+1,FALSE)</f>
        <v>Erwartete Rendite</v>
      </c>
      <c r="D5" s="74" t="s">
        <v>585</v>
      </c>
      <c r="E5" s="175" t="s">
        <v>25</v>
      </c>
      <c r="F5" s="67"/>
      <c r="G5" s="67"/>
    </row>
    <row r="6" spans="1:7" ht="79.5" customHeight="1" x14ac:dyDescent="0.25">
      <c r="A6" s="67"/>
      <c r="B6" s="967"/>
      <c r="C6" s="997"/>
      <c r="D6" s="966" t="str">
        <f>VLOOKUP("T.14.11",Translation,LanguageNo+1,FALSE)</f>
        <v>Hier sind die Exposures für das erwartete finanzielle Ergebnis umgerechnet in die Referenzwährung einzutragen.
Die erwartete Überrendite wird gemäss Dokument Technische Beschreibung für das SST-Standardmodell Marktrisiko berechnet.</v>
      </c>
      <c r="E6" s="963" t="str">
        <f>Unit &amp;SST_Currency</f>
        <v>in Mio. CHF</v>
      </c>
      <c r="F6" s="67"/>
      <c r="G6" s="67"/>
    </row>
    <row r="7" spans="1:7" s="11" customFormat="1" ht="40.35" customHeight="1" x14ac:dyDescent="0.25">
      <c r="A7" s="128"/>
      <c r="B7" s="995" t="str">
        <f>VLOOKUP("T.14.04",Translation,LanguageNo+1,FALSE)</f>
        <v>Hypotheken</v>
      </c>
      <c r="C7" s="996">
        <v>1.4999999999999999E-2</v>
      </c>
      <c r="D7" s="958"/>
      <c r="E7" s="531"/>
      <c r="F7" s="128"/>
      <c r="G7" s="128"/>
    </row>
    <row r="8" spans="1:7" s="11" customFormat="1" ht="40.35" customHeight="1" x14ac:dyDescent="0.25">
      <c r="A8" s="128"/>
      <c r="B8" s="476" t="str">
        <f>VLOOKUP("T.14.05",Translation,LanguageNo+1,FALSE)</f>
        <v>Unternehmen</v>
      </c>
      <c r="C8" s="437">
        <v>6.4999999999999997E-3</v>
      </c>
      <c r="D8" s="477"/>
      <c r="E8" s="532"/>
      <c r="F8" s="128"/>
      <c r="G8" s="128"/>
    </row>
    <row r="9" spans="1:7" s="11" customFormat="1" ht="40.35" customHeight="1" x14ac:dyDescent="0.25">
      <c r="A9" s="128"/>
      <c r="B9" s="476" t="str">
        <f>VLOOKUP("T.14.06",Translation,LanguageNo+1,FALSE)</f>
        <v>Aktien</v>
      </c>
      <c r="C9" s="437">
        <v>0.04</v>
      </c>
      <c r="D9" s="477"/>
      <c r="E9" s="532"/>
      <c r="F9" s="128"/>
      <c r="G9" s="128"/>
    </row>
    <row r="10" spans="1:7" s="11" customFormat="1" ht="40.35" customHeight="1" x14ac:dyDescent="0.25">
      <c r="A10" s="128"/>
      <c r="B10" s="476" t="str">
        <f>VLOOKUP("T.14.07",Translation,LanguageNo+1,FALSE)</f>
        <v>Hedgefonds</v>
      </c>
      <c r="C10" s="437">
        <v>0.02</v>
      </c>
      <c r="D10" s="477"/>
      <c r="E10" s="532"/>
      <c r="F10" s="128"/>
      <c r="G10" s="128"/>
    </row>
    <row r="11" spans="1:7" s="11" customFormat="1" ht="40.35" customHeight="1" x14ac:dyDescent="0.25">
      <c r="A11" s="128"/>
      <c r="B11" s="476" t="str">
        <f>VLOOKUP("T.14.08",Translation,LanguageNo+1,FALSE)</f>
        <v>Private Equity</v>
      </c>
      <c r="C11" s="437">
        <v>0.05</v>
      </c>
      <c r="D11" s="477"/>
      <c r="E11" s="532"/>
      <c r="F11" s="128"/>
      <c r="G11" s="128"/>
    </row>
    <row r="12" spans="1:7" s="11" customFormat="1" ht="40.35" customHeight="1" x14ac:dyDescent="0.25">
      <c r="A12" s="128"/>
      <c r="B12" s="476" t="str">
        <f>VLOOKUP("T.14.09",Translation,LanguageNo+1,FALSE)</f>
        <v>Immobilien</v>
      </c>
      <c r="C12" s="438">
        <v>0.03</v>
      </c>
      <c r="D12" s="477"/>
      <c r="E12" s="532"/>
      <c r="F12" s="128"/>
      <c r="G12" s="128"/>
    </row>
    <row r="13" spans="1:7" s="11" customFormat="1" ht="40.35" customHeight="1" x14ac:dyDescent="0.25">
      <c r="A13" s="128"/>
      <c r="B13" s="476" t="str">
        <f>VLOOKUP("T.14.10",Translation,LanguageNo+1,FALSE)</f>
        <v>Delta-Restterm</v>
      </c>
      <c r="C13" s="1030"/>
      <c r="D13" s="740" t="str">
        <f>VLOOKUP("T.14.12",Translation,LanguageNo+1,FALSE)</f>
        <v>Für Assets im Deltamodell ist die Überrendite unternehmensspezifisch anhand der gegebenen Benchmarks einzutragen.</v>
      </c>
      <c r="E13" s="532"/>
      <c r="F13" s="128"/>
      <c r="G13" s="128"/>
    </row>
    <row r="14" spans="1:7" s="189" customFormat="1" ht="40.35" customHeight="1" x14ac:dyDescent="0.25">
      <c r="A14" s="128"/>
      <c r="B14" s="1032" t="str">
        <f>VLOOKUP("T.14.13",Translation,LanguageNo+1,FALSE)</f>
        <v>SST-pflichtige Beteiligungen</v>
      </c>
      <c r="C14" s="1033">
        <v>1</v>
      </c>
      <c r="D14" s="1034" t="str">
        <f>VLOOKUP("T.14.14",Translation,LanguageNo+1,FALSE)</f>
        <v>Hier ist die erwartete Dividende der SST-pflichtigen Beteiligungen einzutragen, gemäss Technische Beschreibung Standardmodell Beteiligungen.</v>
      </c>
      <c r="E14" s="1031"/>
      <c r="F14" s="128"/>
      <c r="G14" s="128"/>
    </row>
    <row r="15" spans="1:7" ht="12.75" customHeight="1" x14ac:dyDescent="0.25">
      <c r="A15" s="67"/>
      <c r="B15" s="67"/>
      <c r="C15" s="67"/>
      <c r="D15" s="67"/>
      <c r="E15" s="67"/>
      <c r="F15" s="67"/>
      <c r="G15" s="67"/>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6">
    <tabColor rgb="FFD4ECF9"/>
  </sheetPr>
  <dimension ref="A1:BL38"/>
  <sheetViews>
    <sheetView showGridLines="0" zoomScale="90" zoomScaleNormal="90" workbookViewId="0"/>
  </sheetViews>
  <sheetFormatPr baseColWidth="10" defaultColWidth="8.5703125" defaultRowHeight="12.75" x14ac:dyDescent="0.2"/>
  <cols>
    <col min="1" max="1" width="5.5703125" style="1054" customWidth="1"/>
    <col min="2" max="2" width="35.42578125" style="1054" customWidth="1"/>
    <col min="3" max="3" width="20.5703125" style="1054" customWidth="1"/>
    <col min="4" max="4" width="33.85546875" style="1054" bestFit="1" customWidth="1"/>
    <col min="5" max="5" width="23.42578125" style="1054" customWidth="1"/>
    <col min="6" max="6" width="26.5703125" style="1054" bestFit="1" customWidth="1"/>
    <col min="7" max="7" width="26.5703125" style="1054" customWidth="1"/>
    <col min="8" max="8" width="23.5703125" style="1054" customWidth="1"/>
    <col min="9" max="9" width="23.5703125" style="1054" bestFit="1" customWidth="1"/>
    <col min="10" max="10" width="25.5703125" style="1054" customWidth="1"/>
    <col min="11" max="11" width="27.5703125" style="1054" customWidth="1"/>
    <col min="12" max="12" width="23.85546875" style="1054" customWidth="1"/>
    <col min="13" max="13" width="22" style="1054" customWidth="1"/>
    <col min="14" max="14" width="15.140625" style="1054" bestFit="1" customWidth="1"/>
    <col min="15" max="24" width="8.5703125" style="1054"/>
    <col min="25" max="25" width="8.5703125" style="1054" customWidth="1"/>
    <col min="26" max="16384" width="8.5703125" style="1054"/>
  </cols>
  <sheetData>
    <row r="1" spans="1:64" ht="20.100000000000001" customHeight="1" x14ac:dyDescent="0.2">
      <c r="A1" s="679">
        <v>15</v>
      </c>
      <c r="B1" s="680" t="str">
        <f>VLOOKUP("T.15.01",Translation,LanguageNo+1,FALSE)</f>
        <v>Inputdaten für das stochastische Kreditrisikomodell</v>
      </c>
    </row>
    <row r="2" spans="1:64" ht="14.25" customHeight="1" x14ac:dyDescent="0.2">
      <c r="A2" s="140"/>
      <c r="B2" s="23"/>
    </row>
    <row r="3" spans="1:64" ht="14.25" customHeight="1" x14ac:dyDescent="0.2"/>
    <row r="4" spans="1:64" ht="25.35" customHeight="1" x14ac:dyDescent="0.2">
      <c r="B4" s="1073" t="str">
        <f>VLOOKUP("T.15.02",Translation,LanguageNo+1,FALSE)</f>
        <v>Positions-Id</v>
      </c>
      <c r="C4" s="1073" t="str">
        <f>VLOOKUP("T.15.03",Translation,LanguageNo+1,FALSE)</f>
        <v>Position Name</v>
      </c>
      <c r="D4" s="1073" t="str">
        <f>VLOOKUP("T.15.04",Translation,LanguageNo+1,FALSE)</f>
        <v>in Kreditrisikomodell enthalten? (Yes/No)</v>
      </c>
      <c r="E4" s="1073" t="str">
        <f>VLOOKUP("T.15.05",Translation,LanguageNo+1,FALSE)</f>
        <v>Gegenpartei-Id</v>
      </c>
      <c r="F4" s="1073" t="str">
        <f>VLOOKUP("T.15.06",Translation,LanguageNo+1,FALSE)</f>
        <v>Name Gegenpartei</v>
      </c>
      <c r="G4" s="1073" t="str">
        <f>VLOOKUP("T.15.07",Translation,LanguageNo+1,FALSE)</f>
        <v>Ratingstufe</v>
      </c>
      <c r="H4" s="1073" t="str">
        <f>VLOOKUP("T.15.08",Translation,LanguageNo+1,FALSE)</f>
        <v>Quelle Rating</v>
      </c>
      <c r="I4" s="1073" t="str">
        <f>VLOOKUP("T.15.09",Translation,LanguageNo+1,FALSE)</f>
        <v>Positionsklasse SA-BIZ</v>
      </c>
      <c r="J4" s="1073" t="str">
        <f>VLOOKUP("T.15.10",Translation,LanguageNo+1,FALSE)</f>
        <v>Migration (Yes/No):</v>
      </c>
      <c r="K4" s="1073" t="str">
        <f>VLOOKUP("T.15.11",Translation,LanguageNo+1,FALSE)</f>
        <v>Währung CFs</v>
      </c>
      <c r="L4" s="1073" t="str">
        <f>VLOOKUP("T.15.12",Translation,LanguageNo+1,FALSE)</f>
        <v>ScalingCF</v>
      </c>
      <c r="M4" s="1073" t="str">
        <f>VLOOKUP("T.15.13",Translation,LanguageNo+1,FALSE)</f>
        <v>ScalingLGD</v>
      </c>
      <c r="N4" s="1073" t="str">
        <f>VLOOKUP("T.15.14",Translation,LanguageNo+1,FALSE)</f>
        <v>Marktwert CFs</v>
      </c>
      <c r="O4" s="1292" t="s">
        <v>56</v>
      </c>
      <c r="P4" s="1293"/>
      <c r="Q4" s="1293"/>
      <c r="R4" s="1293"/>
      <c r="S4" s="1293"/>
      <c r="T4" s="1293"/>
      <c r="U4" s="1293"/>
      <c r="V4" s="1293"/>
      <c r="W4" s="1293"/>
      <c r="X4" s="1293"/>
      <c r="Y4" s="1293"/>
      <c r="Z4" s="1293"/>
      <c r="AA4" s="1293"/>
      <c r="AB4" s="1293"/>
      <c r="AC4" s="1293"/>
      <c r="AD4" s="1293"/>
      <c r="AE4" s="1293"/>
      <c r="AF4" s="1293"/>
      <c r="AG4" s="1293"/>
      <c r="AH4" s="1293"/>
      <c r="AI4" s="1293"/>
      <c r="AJ4" s="1293"/>
      <c r="AK4" s="1293"/>
      <c r="AL4" s="1293"/>
      <c r="AM4" s="1293"/>
      <c r="AN4" s="1293"/>
      <c r="AO4" s="1293"/>
      <c r="AP4" s="1293"/>
      <c r="AQ4" s="1293"/>
      <c r="AR4" s="1293"/>
      <c r="AS4" s="1293"/>
      <c r="AT4" s="1293"/>
      <c r="AU4" s="1293"/>
      <c r="AV4" s="1293"/>
      <c r="AW4" s="1293"/>
      <c r="AX4" s="1293"/>
      <c r="AY4" s="1293"/>
      <c r="AZ4" s="1293"/>
      <c r="BA4" s="1293"/>
      <c r="BB4" s="1293"/>
      <c r="BC4" s="1293"/>
      <c r="BD4" s="1293"/>
      <c r="BE4" s="1293"/>
      <c r="BF4" s="1293"/>
      <c r="BG4" s="1293"/>
      <c r="BH4" s="1293"/>
      <c r="BI4" s="1293"/>
      <c r="BJ4" s="1293"/>
      <c r="BK4" s="1293"/>
      <c r="BL4" s="1293"/>
    </row>
    <row r="5" spans="1:64" ht="102" x14ac:dyDescent="0.2">
      <c r="B5" s="969" t="str">
        <f>VLOOKUP("T.15.15",Translation,LanguageNo+1,FALSE)</f>
        <v>Eindeutige Kennzeichnung der Position (z.B. für börsengehandelte Positionen ISIN). Die vollständige Spezifikation des Blattes Credit Risk Merton befindet sich in der Technischen Beschreibung</v>
      </c>
      <c r="C5" s="969" t="str">
        <f>VLOOKUP("T.15.16",Translation,LanguageNo+1,FALSE)</f>
        <v>Verständliche Bezeichnung der Position (zur Information)</v>
      </c>
      <c r="D5" s="969" t="str">
        <f>VLOOKUP("T.15.17",Translation,LanguageNo+1,FALSE)</f>
        <v>Gibt an, ob die Position im Kreditrisiko enthalten ist. Bei 'No' müssen keine Cashflows angegeben werden</v>
      </c>
      <c r="E5" s="969" t="str">
        <f>VLOOKUP("T.15.18",Translation,LanguageNo+1,FALSE)</f>
        <v>Eindeutige Kennzeichnung einer Gegenpartei für Modellierungszwecke</v>
      </c>
      <c r="F5" s="969" t="str">
        <f>VLOOKUP("T.15.19",Translation,LanguageNo+1,FALSE)</f>
        <v>Bezeichnung der Gegenpartei (zur Information)</v>
      </c>
      <c r="G5" s="969" t="str">
        <f>VLOOKUP("T.15.20",Translation,LanguageNo+1,FALSE)</f>
        <v>Ratingstufe des Emittenten (numerisch 1-8)</v>
      </c>
      <c r="H5" s="969" t="str">
        <f>VLOOKUP("T.15.21",Translation,LanguageNo+1,FALSE)</f>
        <v>Falls die Ratingstufe durch eine anerkannte Ratingagentur ermittelt wurde, kann diese hier angegeben werden (zur Information)</v>
      </c>
      <c r="I5" s="969" t="str">
        <f>VLOOKUP("T.15.22",Translation,LanguageNo+1,FALSE)</f>
        <v>Positionsklasse SA-BIZ gemäss SST-Template: A.1.1-B.6.3</v>
      </c>
      <c r="J5" s="969" t="str">
        <f>VLOOKUP("T.15.23",Translation,LanguageNo+1,FALSE)</f>
        <v>Gibt an, ob die Position einem Migrationsrisiko unterliegt. Bei 'No' müssen keine Cashflows angegeben werden</v>
      </c>
      <c r="K5" s="969" t="str">
        <f>VLOOKUP("T.15.24",Translation,LanguageNo+1,FALSE)</f>
        <v>Zulässig sind nur Währungen, für die FINMA risikolose Zinskurven veröffentlicht. Bonds in anderen Währungen sind zu mappen und die Cashflows umzurechnen</v>
      </c>
      <c r="L5" s="969" t="str">
        <f>VLOOKUP("T.15.25",Translation,LanguageNo+1,FALSE)</f>
        <v>Cashflows und Marktwert eines mit CDS/CDI abgesicherten Instrumentes können skaliert werden. Wert entweder leer oder strikt zwischen 0 und 1</v>
      </c>
      <c r="M5" s="969" t="str">
        <f>VLOOKUP("T.15.26",Translation,LanguageNo+1,FALSE)</f>
        <v>Ist für ein Instrument ein Collateral vorhanden, kann der LGD skaliert werden. Wert entweder leer oder strikt zwischen 0 und 1</v>
      </c>
      <c r="N5" s="969" t="str">
        <f>Unit &amp; VLOOKUP("T.15.11",Translation,LanguageNo+1,FALSE)</f>
        <v>in Mio. Währung CFs</v>
      </c>
      <c r="O5" s="1074">
        <v>1</v>
      </c>
      <c r="P5" s="1074">
        <v>2</v>
      </c>
      <c r="Q5" s="1074">
        <v>3</v>
      </c>
      <c r="R5" s="1074">
        <v>4</v>
      </c>
      <c r="S5" s="1074">
        <v>5</v>
      </c>
      <c r="T5" s="1074">
        <v>6</v>
      </c>
      <c r="U5" s="1074">
        <v>7</v>
      </c>
      <c r="V5" s="1074">
        <v>8</v>
      </c>
      <c r="W5" s="1074">
        <v>9</v>
      </c>
      <c r="X5" s="1074">
        <v>10</v>
      </c>
      <c r="Y5" s="1074">
        <v>11</v>
      </c>
      <c r="Z5" s="1074">
        <v>12</v>
      </c>
      <c r="AA5" s="1074">
        <v>13</v>
      </c>
      <c r="AB5" s="1074">
        <v>14</v>
      </c>
      <c r="AC5" s="1074">
        <v>15</v>
      </c>
      <c r="AD5" s="1074">
        <v>16</v>
      </c>
      <c r="AE5" s="1074">
        <v>17</v>
      </c>
      <c r="AF5" s="1074">
        <v>18</v>
      </c>
      <c r="AG5" s="1074">
        <v>19</v>
      </c>
      <c r="AH5" s="1074">
        <v>20</v>
      </c>
      <c r="AI5" s="1074">
        <v>21</v>
      </c>
      <c r="AJ5" s="1074">
        <v>22</v>
      </c>
      <c r="AK5" s="1074">
        <v>23</v>
      </c>
      <c r="AL5" s="1074">
        <v>24</v>
      </c>
      <c r="AM5" s="1074">
        <v>25</v>
      </c>
      <c r="AN5" s="1074">
        <v>26</v>
      </c>
      <c r="AO5" s="1074">
        <v>27</v>
      </c>
      <c r="AP5" s="1074">
        <v>28</v>
      </c>
      <c r="AQ5" s="1074">
        <v>29</v>
      </c>
      <c r="AR5" s="1074">
        <v>30</v>
      </c>
      <c r="AS5" s="1074">
        <v>31</v>
      </c>
      <c r="AT5" s="1074">
        <v>32</v>
      </c>
      <c r="AU5" s="1074">
        <v>33</v>
      </c>
      <c r="AV5" s="1074">
        <v>34</v>
      </c>
      <c r="AW5" s="1074">
        <v>35</v>
      </c>
      <c r="AX5" s="1074">
        <v>36</v>
      </c>
      <c r="AY5" s="1074">
        <v>37</v>
      </c>
      <c r="AZ5" s="1074">
        <v>38</v>
      </c>
      <c r="BA5" s="1074">
        <v>39</v>
      </c>
      <c r="BB5" s="1074">
        <v>40</v>
      </c>
      <c r="BC5" s="1074">
        <v>41</v>
      </c>
      <c r="BD5" s="1074">
        <v>42</v>
      </c>
      <c r="BE5" s="1074">
        <v>43</v>
      </c>
      <c r="BF5" s="1074">
        <v>44</v>
      </c>
      <c r="BG5" s="1074">
        <v>45</v>
      </c>
      <c r="BH5" s="1074">
        <v>46</v>
      </c>
      <c r="BI5" s="1074">
        <v>47</v>
      </c>
      <c r="BJ5" s="1074">
        <v>48</v>
      </c>
      <c r="BK5" s="1074">
        <v>49</v>
      </c>
      <c r="BL5" s="1074">
        <v>50</v>
      </c>
    </row>
    <row r="6" spans="1:64" ht="14.25" customHeight="1" x14ac:dyDescent="0.2">
      <c r="B6" s="990" t="s">
        <v>3545</v>
      </c>
      <c r="C6" s="990" t="s">
        <v>3546</v>
      </c>
      <c r="D6" s="990" t="s">
        <v>1602</v>
      </c>
      <c r="E6" s="990" t="s">
        <v>3547</v>
      </c>
      <c r="F6" s="990" t="s">
        <v>3548</v>
      </c>
      <c r="G6" s="990">
        <v>4</v>
      </c>
      <c r="H6" s="990" t="s">
        <v>3549</v>
      </c>
      <c r="I6" s="990" t="s">
        <v>150</v>
      </c>
      <c r="J6" s="990" t="s">
        <v>1602</v>
      </c>
      <c r="K6" s="990" t="s">
        <v>30</v>
      </c>
      <c r="L6" s="1079"/>
      <c r="M6" s="1079"/>
      <c r="N6" s="990">
        <v>9.0494920800000003</v>
      </c>
      <c r="O6" s="990">
        <v>0.20125000000000001</v>
      </c>
      <c r="P6" s="990">
        <v>0.20125000000000001</v>
      </c>
      <c r="Q6" s="990">
        <v>0.20125000000000001</v>
      </c>
      <c r="R6" s="990">
        <v>0.20125000000000001</v>
      </c>
      <c r="S6" s="990">
        <v>0.20125000000000001</v>
      </c>
      <c r="T6" s="990">
        <v>0.20125000000000001</v>
      </c>
      <c r="U6" s="990">
        <v>0.20125000000000001</v>
      </c>
      <c r="V6" s="990">
        <v>0.20125000000000001</v>
      </c>
      <c r="W6" s="990">
        <v>0.20125000000000001</v>
      </c>
      <c r="X6" s="990">
        <v>0.20125000000000001</v>
      </c>
      <c r="Y6" s="990">
        <v>0.20125000000000001</v>
      </c>
      <c r="Z6" s="990">
        <v>7.2012499999999999</v>
      </c>
      <c r="AA6" s="990"/>
      <c r="AB6" s="990"/>
      <c r="AC6" s="990"/>
      <c r="AD6" s="990"/>
      <c r="AE6" s="990"/>
      <c r="AF6" s="990"/>
      <c r="AG6" s="990"/>
      <c r="AH6" s="990"/>
      <c r="AI6" s="990"/>
      <c r="AJ6" s="990"/>
      <c r="AK6" s="990"/>
      <c r="AL6" s="990"/>
      <c r="AM6" s="990"/>
      <c r="AN6" s="990"/>
      <c r="AO6" s="990"/>
      <c r="AP6" s="990"/>
      <c r="AQ6" s="990"/>
      <c r="AR6" s="990"/>
      <c r="AS6" s="990"/>
      <c r="AT6" s="990"/>
      <c r="AU6" s="990"/>
      <c r="AV6" s="990"/>
      <c r="AW6" s="990"/>
      <c r="AX6" s="990"/>
      <c r="AY6" s="990"/>
      <c r="AZ6" s="990"/>
      <c r="BA6" s="990"/>
      <c r="BB6" s="990"/>
      <c r="BC6" s="990"/>
      <c r="BD6" s="990"/>
      <c r="BE6" s="990"/>
      <c r="BF6" s="990"/>
      <c r="BG6" s="990"/>
      <c r="BH6" s="990"/>
      <c r="BI6" s="990"/>
      <c r="BJ6" s="990"/>
      <c r="BK6" s="990"/>
      <c r="BL6" s="990"/>
    </row>
    <row r="7" spans="1:64" ht="14.25" customHeight="1" x14ac:dyDescent="0.2">
      <c r="B7" s="1075"/>
      <c r="C7" s="1075"/>
      <c r="D7" s="1076"/>
      <c r="E7" s="1075"/>
      <c r="F7" s="1075"/>
      <c r="G7" s="1075"/>
      <c r="H7" s="1075"/>
      <c r="I7" s="1075"/>
      <c r="J7" s="1075"/>
      <c r="K7" s="1075"/>
      <c r="L7" s="1080"/>
      <c r="M7" s="1080"/>
      <c r="N7" s="1075"/>
      <c r="O7" s="1075"/>
      <c r="P7" s="1075"/>
      <c r="Q7" s="1075"/>
      <c r="R7" s="1075"/>
      <c r="S7" s="1075"/>
      <c r="T7" s="1075"/>
      <c r="U7" s="1075"/>
      <c r="V7" s="1075"/>
      <c r="W7" s="1075"/>
      <c r="X7" s="1075"/>
      <c r="Y7" s="1075"/>
      <c r="Z7" s="1075"/>
      <c r="AA7" s="1075"/>
      <c r="AB7" s="1075"/>
      <c r="AC7" s="1075"/>
      <c r="AD7" s="1075"/>
      <c r="AE7" s="1075"/>
      <c r="AF7" s="1075"/>
      <c r="AG7" s="1075"/>
      <c r="AH7" s="1075"/>
      <c r="AI7" s="1075"/>
      <c r="AJ7" s="1075"/>
      <c r="AK7" s="1075"/>
      <c r="AL7" s="1075"/>
      <c r="AM7" s="1075"/>
      <c r="AN7" s="1075"/>
      <c r="AO7" s="1075"/>
      <c r="AP7" s="1075"/>
      <c r="AQ7" s="1075"/>
      <c r="AR7" s="1075"/>
      <c r="AS7" s="1075"/>
      <c r="AT7" s="1075"/>
      <c r="AU7" s="1075"/>
      <c r="AV7" s="1075"/>
      <c r="AW7" s="1075"/>
      <c r="AX7" s="1075"/>
      <c r="AY7" s="1075"/>
      <c r="AZ7" s="1075"/>
      <c r="BA7" s="1075"/>
      <c r="BB7" s="1075"/>
      <c r="BC7" s="1075"/>
      <c r="BD7" s="1075"/>
      <c r="BE7" s="1075"/>
      <c r="BF7" s="1075"/>
      <c r="BG7" s="1075"/>
      <c r="BH7" s="1075"/>
      <c r="BI7" s="1075"/>
      <c r="BJ7" s="1075"/>
      <c r="BK7" s="1075"/>
      <c r="BL7" s="1075"/>
    </row>
    <row r="8" spans="1:64" ht="14.25" customHeight="1" x14ac:dyDescent="0.2">
      <c r="B8" s="1075"/>
      <c r="C8" s="1075"/>
      <c r="D8" s="1076"/>
      <c r="E8" s="1075"/>
      <c r="F8" s="1075"/>
      <c r="G8" s="1075"/>
      <c r="H8" s="1075"/>
      <c r="I8" s="1075"/>
      <c r="J8" s="1075"/>
      <c r="K8" s="1075"/>
      <c r="L8" s="1080"/>
      <c r="M8" s="1080"/>
      <c r="N8" s="1075"/>
      <c r="O8" s="1075"/>
      <c r="P8" s="1075"/>
      <c r="Q8" s="1075"/>
      <c r="R8" s="1075"/>
      <c r="S8" s="1075"/>
      <c r="T8" s="1075"/>
      <c r="U8" s="1075"/>
      <c r="V8" s="1075"/>
      <c r="W8" s="1075"/>
      <c r="X8" s="1075"/>
      <c r="Y8" s="1075"/>
      <c r="Z8" s="1075"/>
      <c r="AA8" s="1075"/>
      <c r="AB8" s="1075"/>
      <c r="AC8" s="1075"/>
      <c r="AD8" s="1075"/>
      <c r="AE8" s="1075"/>
      <c r="AF8" s="1075"/>
      <c r="AG8" s="1075"/>
      <c r="AH8" s="1075"/>
      <c r="AI8" s="1075"/>
      <c r="AJ8" s="1075"/>
      <c r="AK8" s="1075"/>
      <c r="AL8" s="1075"/>
      <c r="AM8" s="1075"/>
      <c r="AN8" s="1075"/>
      <c r="AO8" s="1075"/>
      <c r="AP8" s="1075"/>
      <c r="AQ8" s="1075"/>
      <c r="AR8" s="1075"/>
      <c r="AS8" s="1075"/>
      <c r="AT8" s="1075"/>
      <c r="AU8" s="1075"/>
      <c r="AV8" s="1075"/>
      <c r="AW8" s="1075"/>
      <c r="AX8" s="1075"/>
      <c r="AY8" s="1075"/>
      <c r="AZ8" s="1075"/>
      <c r="BA8" s="1075"/>
      <c r="BB8" s="1075"/>
      <c r="BC8" s="1075"/>
      <c r="BD8" s="1075"/>
      <c r="BE8" s="1075"/>
      <c r="BF8" s="1075"/>
      <c r="BG8" s="1075"/>
      <c r="BH8" s="1075"/>
      <c r="BI8" s="1075"/>
      <c r="BJ8" s="1075"/>
      <c r="BK8" s="1075"/>
      <c r="BL8" s="1075"/>
    </row>
    <row r="9" spans="1:64" ht="14.25" customHeight="1" x14ac:dyDescent="0.2">
      <c r="B9" s="1076"/>
      <c r="C9" s="1076"/>
      <c r="D9" s="1076"/>
      <c r="E9" s="1076"/>
      <c r="F9" s="1076"/>
      <c r="G9" s="1076"/>
      <c r="H9" s="1075"/>
      <c r="I9" s="1076"/>
      <c r="J9" s="1076"/>
      <c r="K9" s="1076"/>
      <c r="L9" s="1080"/>
      <c r="M9" s="1080"/>
      <c r="N9" s="1075"/>
      <c r="O9" s="1075"/>
      <c r="P9" s="1075"/>
      <c r="Q9" s="1075"/>
      <c r="R9" s="1075"/>
      <c r="S9" s="1075"/>
      <c r="T9" s="1075"/>
      <c r="U9" s="1075"/>
      <c r="V9" s="1075"/>
      <c r="W9" s="1075"/>
      <c r="X9" s="1075"/>
      <c r="Y9" s="1075"/>
      <c r="Z9" s="1075"/>
      <c r="AA9" s="1075"/>
      <c r="AB9" s="1075"/>
      <c r="AC9" s="1075"/>
      <c r="AD9" s="1075"/>
      <c r="AE9" s="1075"/>
      <c r="AF9" s="1075"/>
      <c r="AG9" s="1075"/>
      <c r="AH9" s="1075"/>
      <c r="AI9" s="1075"/>
      <c r="AJ9" s="1075"/>
      <c r="AK9" s="1075"/>
      <c r="AL9" s="1075"/>
      <c r="AM9" s="1075"/>
      <c r="AN9" s="1075"/>
      <c r="AO9" s="1075"/>
      <c r="AP9" s="1075"/>
      <c r="AQ9" s="1075"/>
      <c r="AR9" s="1075"/>
      <c r="AS9" s="1075"/>
      <c r="AT9" s="1075"/>
      <c r="AU9" s="1075"/>
      <c r="AV9" s="1075"/>
      <c r="AW9" s="1075"/>
      <c r="AX9" s="1075"/>
      <c r="AY9" s="1075"/>
      <c r="AZ9" s="1075"/>
      <c r="BA9" s="1075"/>
      <c r="BB9" s="1075"/>
      <c r="BC9" s="1075"/>
      <c r="BD9" s="1075"/>
      <c r="BE9" s="1075"/>
      <c r="BF9" s="1075"/>
      <c r="BG9" s="1075"/>
      <c r="BH9" s="1075"/>
      <c r="BI9" s="1075"/>
      <c r="BJ9" s="1075"/>
      <c r="BK9" s="1075"/>
      <c r="BL9" s="1075"/>
    </row>
    <row r="10" spans="1:64" ht="14.25" customHeight="1" x14ac:dyDescent="0.2">
      <c r="B10" s="1076"/>
      <c r="C10" s="1076"/>
      <c r="D10" s="1076"/>
      <c r="E10" s="1076"/>
      <c r="F10" s="1076"/>
      <c r="G10" s="1076"/>
      <c r="H10" s="1075"/>
      <c r="I10" s="1076"/>
      <c r="J10" s="1076"/>
      <c r="K10" s="1076"/>
      <c r="L10" s="1080"/>
      <c r="M10" s="1080"/>
      <c r="N10" s="1075"/>
      <c r="O10" s="1075"/>
      <c r="P10" s="1075"/>
      <c r="Q10" s="1075"/>
      <c r="R10" s="1075"/>
      <c r="S10" s="1075"/>
      <c r="T10" s="1075"/>
      <c r="U10" s="1075"/>
      <c r="V10" s="1075"/>
      <c r="W10" s="1075"/>
      <c r="X10" s="1075"/>
      <c r="Y10" s="1075"/>
      <c r="Z10" s="1075"/>
      <c r="AA10" s="1075"/>
      <c r="AB10" s="1075"/>
      <c r="AC10" s="1075"/>
      <c r="AD10" s="1075"/>
      <c r="AE10" s="1075"/>
      <c r="AF10" s="1075"/>
      <c r="AG10" s="1075"/>
      <c r="AH10" s="1075"/>
      <c r="AI10" s="1075"/>
      <c r="AJ10" s="1075"/>
      <c r="AK10" s="1075"/>
      <c r="AL10" s="1075"/>
      <c r="AM10" s="1075"/>
      <c r="AN10" s="1075"/>
      <c r="AO10" s="1075"/>
      <c r="AP10" s="1075"/>
      <c r="AQ10" s="1075"/>
      <c r="AR10" s="1075"/>
      <c r="AS10" s="1075"/>
      <c r="AT10" s="1075"/>
      <c r="AU10" s="1075"/>
      <c r="AV10" s="1075"/>
      <c r="AW10" s="1075"/>
      <c r="AX10" s="1075"/>
      <c r="AY10" s="1075"/>
      <c r="AZ10" s="1075"/>
      <c r="BA10" s="1075"/>
      <c r="BB10" s="1075"/>
      <c r="BC10" s="1075"/>
      <c r="BD10" s="1075"/>
      <c r="BE10" s="1075"/>
      <c r="BF10" s="1075"/>
      <c r="BG10" s="1075"/>
      <c r="BH10" s="1075"/>
      <c r="BI10" s="1075"/>
      <c r="BJ10" s="1075"/>
      <c r="BK10" s="1075"/>
      <c r="BL10" s="1075"/>
    </row>
    <row r="11" spans="1:64" ht="14.25" customHeight="1" x14ac:dyDescent="0.2">
      <c r="B11" s="1076"/>
      <c r="C11" s="1076"/>
      <c r="D11" s="1076"/>
      <c r="E11" s="1076"/>
      <c r="F11" s="1076"/>
      <c r="G11" s="1076"/>
      <c r="H11" s="1075"/>
      <c r="I11" s="1076"/>
      <c r="J11" s="1076"/>
      <c r="K11" s="1076"/>
      <c r="L11" s="1080"/>
      <c r="M11" s="1080"/>
      <c r="N11" s="1075"/>
      <c r="O11" s="1075"/>
      <c r="P11" s="1075"/>
      <c r="Q11" s="1075"/>
      <c r="R11" s="1075"/>
      <c r="S11" s="1075"/>
      <c r="T11" s="1075"/>
      <c r="U11" s="1075"/>
      <c r="V11" s="1075"/>
      <c r="W11" s="1075"/>
      <c r="X11" s="1075"/>
      <c r="Y11" s="1075"/>
      <c r="Z11" s="1075"/>
      <c r="AA11" s="1075"/>
      <c r="AB11" s="1075"/>
      <c r="AC11" s="1075"/>
      <c r="AD11" s="1075"/>
      <c r="AE11" s="1075"/>
      <c r="AF11" s="1075"/>
      <c r="AG11" s="1075"/>
      <c r="AH11" s="1075"/>
      <c r="AI11" s="1075"/>
      <c r="AJ11" s="1075"/>
      <c r="AK11" s="1075"/>
      <c r="AL11" s="1075"/>
      <c r="AM11" s="1075"/>
      <c r="AN11" s="1075"/>
      <c r="AO11" s="1075"/>
      <c r="AP11" s="1075"/>
      <c r="AQ11" s="1075"/>
      <c r="AR11" s="1075"/>
      <c r="AS11" s="1075"/>
      <c r="AT11" s="1075"/>
      <c r="AU11" s="1075"/>
      <c r="AV11" s="1075"/>
      <c r="AW11" s="1075"/>
      <c r="AX11" s="1075"/>
      <c r="AY11" s="1075"/>
      <c r="AZ11" s="1075"/>
      <c r="BA11" s="1075"/>
      <c r="BB11" s="1075"/>
      <c r="BC11" s="1075"/>
      <c r="BD11" s="1075"/>
      <c r="BE11" s="1075"/>
      <c r="BF11" s="1075"/>
      <c r="BG11" s="1075"/>
      <c r="BH11" s="1075"/>
      <c r="BI11" s="1075"/>
      <c r="BJ11" s="1075"/>
      <c r="BK11" s="1075"/>
      <c r="BL11" s="1075"/>
    </row>
    <row r="12" spans="1:64" ht="14.25" customHeight="1" x14ac:dyDescent="0.2">
      <c r="B12" s="1076"/>
      <c r="C12" s="1076"/>
      <c r="D12" s="1076"/>
      <c r="E12" s="1076"/>
      <c r="F12" s="1076"/>
      <c r="G12" s="1076"/>
      <c r="H12" s="1076"/>
      <c r="I12" s="1076"/>
      <c r="J12" s="1076"/>
      <c r="K12" s="1076"/>
      <c r="L12" s="1081"/>
      <c r="M12" s="1081"/>
      <c r="N12" s="1076"/>
      <c r="O12" s="1076"/>
      <c r="P12" s="1076"/>
      <c r="Q12" s="1076"/>
      <c r="R12" s="1076"/>
      <c r="S12" s="1076"/>
      <c r="T12" s="1076"/>
      <c r="U12" s="1076"/>
      <c r="V12" s="1076"/>
      <c r="W12" s="1076"/>
      <c r="X12" s="1076"/>
      <c r="Y12" s="1076"/>
      <c r="Z12" s="1076"/>
      <c r="AA12" s="1076"/>
      <c r="AB12" s="1076"/>
      <c r="AC12" s="1076"/>
      <c r="AD12" s="1076"/>
      <c r="AE12" s="1076"/>
      <c r="AF12" s="1076"/>
      <c r="AG12" s="1076"/>
      <c r="AH12" s="1076"/>
      <c r="AI12" s="1076"/>
      <c r="AJ12" s="1076"/>
      <c r="AK12" s="1076"/>
      <c r="AL12" s="1076"/>
      <c r="AM12" s="1076"/>
      <c r="AN12" s="1076"/>
      <c r="AO12" s="1076"/>
      <c r="AP12" s="1076"/>
      <c r="AQ12" s="1076"/>
      <c r="AR12" s="1076"/>
      <c r="AS12" s="1076"/>
      <c r="AT12" s="1076"/>
      <c r="AU12" s="1076"/>
      <c r="AV12" s="1076"/>
      <c r="AW12" s="1076"/>
      <c r="AX12" s="1076"/>
      <c r="AY12" s="1076"/>
      <c r="AZ12" s="1076"/>
      <c r="BA12" s="1076"/>
      <c r="BB12" s="1076"/>
      <c r="BC12" s="1076"/>
      <c r="BD12" s="1076"/>
      <c r="BE12" s="1076"/>
      <c r="BF12" s="1076"/>
      <c r="BG12" s="1076"/>
      <c r="BH12" s="1076"/>
      <c r="BI12" s="1076"/>
      <c r="BJ12" s="1076"/>
      <c r="BK12" s="1076"/>
      <c r="BL12" s="1076"/>
    </row>
    <row r="13" spans="1:64" ht="14.25" customHeight="1" x14ac:dyDescent="0.2">
      <c r="B13" s="1076"/>
      <c r="C13" s="1076"/>
      <c r="D13" s="1076"/>
      <c r="E13" s="1076"/>
      <c r="F13" s="1076"/>
      <c r="G13" s="1076"/>
      <c r="H13" s="1076"/>
      <c r="I13" s="1076"/>
      <c r="J13" s="1076"/>
      <c r="K13" s="1076"/>
      <c r="L13" s="1081"/>
      <c r="M13" s="1081"/>
      <c r="N13" s="1076"/>
      <c r="O13" s="1076"/>
      <c r="P13" s="1076"/>
      <c r="Q13" s="1076"/>
      <c r="R13" s="1076"/>
      <c r="S13" s="1076"/>
      <c r="T13" s="1076"/>
      <c r="U13" s="1076"/>
      <c r="V13" s="1076"/>
      <c r="W13" s="1076"/>
      <c r="X13" s="1076"/>
      <c r="Y13" s="1076"/>
      <c r="Z13" s="1076"/>
      <c r="AA13" s="1076"/>
      <c r="AB13" s="1076"/>
      <c r="AC13" s="1076"/>
      <c r="AD13" s="1076"/>
      <c r="AE13" s="1076"/>
      <c r="AF13" s="1076"/>
      <c r="AG13" s="1076"/>
      <c r="AH13" s="1076"/>
      <c r="AI13" s="1076"/>
      <c r="AJ13" s="1076"/>
      <c r="AK13" s="1076"/>
      <c r="AL13" s="1076"/>
      <c r="AM13" s="1076"/>
      <c r="AN13" s="1076"/>
      <c r="AO13" s="1076"/>
      <c r="AP13" s="1076"/>
      <c r="AQ13" s="1076"/>
      <c r="AR13" s="1076"/>
      <c r="AS13" s="1076"/>
      <c r="AT13" s="1076"/>
      <c r="AU13" s="1076"/>
      <c r="AV13" s="1076"/>
      <c r="AW13" s="1076"/>
      <c r="AX13" s="1076"/>
      <c r="AY13" s="1076"/>
      <c r="AZ13" s="1076"/>
      <c r="BA13" s="1076"/>
      <c r="BB13" s="1076"/>
      <c r="BC13" s="1076"/>
      <c r="BD13" s="1076"/>
      <c r="BE13" s="1076"/>
      <c r="BF13" s="1076"/>
      <c r="BG13" s="1076"/>
      <c r="BH13" s="1076"/>
      <c r="BI13" s="1076"/>
      <c r="BJ13" s="1076"/>
      <c r="BK13" s="1076"/>
      <c r="BL13" s="1076"/>
    </row>
    <row r="14" spans="1:64" ht="14.25" customHeight="1" x14ac:dyDescent="0.2">
      <c r="B14" s="1076"/>
      <c r="C14" s="1076"/>
      <c r="D14" s="1076"/>
      <c r="E14" s="1076"/>
      <c r="F14" s="1076"/>
      <c r="G14" s="1076"/>
      <c r="H14" s="1076"/>
      <c r="I14" s="1076"/>
      <c r="J14" s="1076"/>
      <c r="K14" s="1076"/>
      <c r="L14" s="1081"/>
      <c r="M14" s="1081"/>
      <c r="N14" s="1076"/>
      <c r="O14" s="1076"/>
      <c r="P14" s="1076"/>
      <c r="Q14" s="1076"/>
      <c r="R14" s="1076"/>
      <c r="S14" s="1076"/>
      <c r="T14" s="1076"/>
      <c r="U14" s="1076"/>
      <c r="V14" s="1076"/>
      <c r="W14" s="1076"/>
      <c r="X14" s="1076"/>
      <c r="Y14" s="1076"/>
      <c r="Z14" s="1076"/>
      <c r="AA14" s="1076"/>
      <c r="AB14" s="1076"/>
      <c r="AC14" s="1076"/>
      <c r="AD14" s="1076"/>
      <c r="AE14" s="1076"/>
      <c r="AF14" s="1076"/>
      <c r="AG14" s="1076"/>
      <c r="AH14" s="1076"/>
      <c r="AI14" s="1076"/>
      <c r="AJ14" s="1076"/>
      <c r="AK14" s="1076"/>
      <c r="AL14" s="1076"/>
      <c r="AM14" s="1076"/>
      <c r="AN14" s="1076"/>
      <c r="AO14" s="1076"/>
      <c r="AP14" s="1076"/>
      <c r="AQ14" s="1076"/>
      <c r="AR14" s="1076"/>
      <c r="AS14" s="1076"/>
      <c r="AT14" s="1076"/>
      <c r="AU14" s="1076"/>
      <c r="AV14" s="1076"/>
      <c r="AW14" s="1076"/>
      <c r="AX14" s="1076"/>
      <c r="AY14" s="1076"/>
      <c r="AZ14" s="1076"/>
      <c r="BA14" s="1076"/>
      <c r="BB14" s="1076"/>
      <c r="BC14" s="1076"/>
      <c r="BD14" s="1076"/>
      <c r="BE14" s="1076"/>
      <c r="BF14" s="1076"/>
      <c r="BG14" s="1076"/>
      <c r="BH14" s="1076"/>
      <c r="BI14" s="1076"/>
      <c r="BJ14" s="1076"/>
      <c r="BK14" s="1076"/>
      <c r="BL14" s="1076"/>
    </row>
    <row r="15" spans="1:64" ht="14.25" customHeight="1" x14ac:dyDescent="0.2">
      <c r="B15" s="1076"/>
      <c r="C15" s="1076"/>
      <c r="D15" s="1076"/>
      <c r="E15" s="1076"/>
      <c r="F15" s="1076"/>
      <c r="G15" s="1076"/>
      <c r="H15" s="1076"/>
      <c r="I15" s="1076"/>
      <c r="J15" s="1076"/>
      <c r="K15" s="1076"/>
      <c r="L15" s="1081"/>
      <c r="M15" s="1081"/>
      <c r="N15" s="1076"/>
      <c r="O15" s="1076"/>
      <c r="P15" s="1076"/>
      <c r="Q15" s="1076"/>
      <c r="R15" s="1076"/>
      <c r="S15" s="1076"/>
      <c r="T15" s="1076"/>
      <c r="U15" s="1076"/>
      <c r="V15" s="1076"/>
      <c r="W15" s="1076"/>
      <c r="X15" s="1076"/>
      <c r="Y15" s="1076"/>
      <c r="Z15" s="1076"/>
      <c r="AA15" s="1076"/>
      <c r="AB15" s="1076"/>
      <c r="AC15" s="1076"/>
      <c r="AD15" s="1076"/>
      <c r="AE15" s="1076"/>
      <c r="AF15" s="1076"/>
      <c r="AG15" s="1076"/>
      <c r="AH15" s="1076"/>
      <c r="AI15" s="1076"/>
      <c r="AJ15" s="1076"/>
      <c r="AK15" s="1076"/>
      <c r="AL15" s="1076"/>
      <c r="AM15" s="1076"/>
      <c r="AN15" s="1076"/>
      <c r="AO15" s="1076"/>
      <c r="AP15" s="1076"/>
      <c r="AQ15" s="1076"/>
      <c r="AR15" s="1076"/>
      <c r="AS15" s="1076"/>
      <c r="AT15" s="1076"/>
      <c r="AU15" s="1076"/>
      <c r="AV15" s="1076"/>
      <c r="AW15" s="1076"/>
      <c r="AX15" s="1076"/>
      <c r="AY15" s="1076"/>
      <c r="AZ15" s="1076"/>
      <c r="BA15" s="1076"/>
      <c r="BB15" s="1076"/>
      <c r="BC15" s="1076"/>
      <c r="BD15" s="1076"/>
      <c r="BE15" s="1076"/>
      <c r="BF15" s="1076"/>
      <c r="BG15" s="1076"/>
      <c r="BH15" s="1076"/>
      <c r="BI15" s="1076"/>
      <c r="BJ15" s="1076"/>
      <c r="BK15" s="1076"/>
      <c r="BL15" s="1076"/>
    </row>
    <row r="16" spans="1:64" ht="14.25" customHeight="1" x14ac:dyDescent="0.2">
      <c r="B16" s="1076"/>
      <c r="C16" s="1076"/>
      <c r="D16" s="1076"/>
      <c r="E16" s="1076"/>
      <c r="F16" s="1076"/>
      <c r="G16" s="1076"/>
      <c r="H16" s="1076"/>
      <c r="I16" s="1076"/>
      <c r="J16" s="1076"/>
      <c r="K16" s="1076"/>
      <c r="L16" s="1081"/>
      <c r="M16" s="1081"/>
      <c r="N16" s="1076"/>
      <c r="O16" s="1076"/>
      <c r="P16" s="1076"/>
      <c r="Q16" s="1076"/>
      <c r="R16" s="1076"/>
      <c r="S16" s="1076"/>
      <c r="T16" s="1076"/>
      <c r="U16" s="1076"/>
      <c r="V16" s="1076"/>
      <c r="W16" s="1076"/>
      <c r="X16" s="1076"/>
      <c r="Y16" s="1076"/>
      <c r="Z16" s="1076"/>
      <c r="AA16" s="1076"/>
      <c r="AB16" s="1076"/>
      <c r="AC16" s="1076"/>
      <c r="AD16" s="1076"/>
      <c r="AE16" s="1076"/>
      <c r="AF16" s="1076"/>
      <c r="AG16" s="1076"/>
      <c r="AH16" s="1076"/>
      <c r="AI16" s="1076"/>
      <c r="AJ16" s="1076"/>
      <c r="AK16" s="1076"/>
      <c r="AL16" s="1076"/>
      <c r="AM16" s="1076"/>
      <c r="AN16" s="1076"/>
      <c r="AO16" s="1076"/>
      <c r="AP16" s="1076"/>
      <c r="AQ16" s="1076"/>
      <c r="AR16" s="1076"/>
      <c r="AS16" s="1076"/>
      <c r="AT16" s="1076"/>
      <c r="AU16" s="1076"/>
      <c r="AV16" s="1076"/>
      <c r="AW16" s="1076"/>
      <c r="AX16" s="1076"/>
      <c r="AY16" s="1076"/>
      <c r="AZ16" s="1076"/>
      <c r="BA16" s="1076"/>
      <c r="BB16" s="1076"/>
      <c r="BC16" s="1076"/>
      <c r="BD16" s="1076"/>
      <c r="BE16" s="1076"/>
      <c r="BF16" s="1076"/>
      <c r="BG16" s="1076"/>
      <c r="BH16" s="1076"/>
      <c r="BI16" s="1076"/>
      <c r="BJ16" s="1076"/>
      <c r="BK16" s="1076"/>
      <c r="BL16" s="1076"/>
    </row>
    <row r="17" spans="2:64" ht="14.25" customHeight="1" x14ac:dyDescent="0.2">
      <c r="B17" s="1076"/>
      <c r="C17" s="1076"/>
      <c r="D17" s="1076"/>
      <c r="E17" s="1076"/>
      <c r="F17" s="1076"/>
      <c r="G17" s="1076"/>
      <c r="H17" s="1076"/>
      <c r="I17" s="1076"/>
      <c r="J17" s="1076"/>
      <c r="K17" s="1076"/>
      <c r="L17" s="1081"/>
      <c r="M17" s="1081"/>
      <c r="N17" s="1076"/>
      <c r="O17" s="1076"/>
      <c r="P17" s="1076"/>
      <c r="Q17" s="1076"/>
      <c r="R17" s="1076"/>
      <c r="S17" s="1076"/>
      <c r="T17" s="1076"/>
      <c r="U17" s="1076"/>
      <c r="V17" s="1076"/>
      <c r="W17" s="1076"/>
      <c r="X17" s="1076"/>
      <c r="Y17" s="1076"/>
      <c r="Z17" s="1076"/>
      <c r="AA17" s="1076"/>
      <c r="AB17" s="1076"/>
      <c r="AC17" s="1076"/>
      <c r="AD17" s="1076"/>
      <c r="AE17" s="1076"/>
      <c r="AF17" s="1076"/>
      <c r="AG17" s="1076"/>
      <c r="AH17" s="1076"/>
      <c r="AI17" s="1076"/>
      <c r="AJ17" s="1076"/>
      <c r="AK17" s="1076"/>
      <c r="AL17" s="1076"/>
      <c r="AM17" s="1076"/>
      <c r="AN17" s="1076"/>
      <c r="AO17" s="1076"/>
      <c r="AP17" s="1076"/>
      <c r="AQ17" s="1076"/>
      <c r="AR17" s="1076"/>
      <c r="AS17" s="1076"/>
      <c r="AT17" s="1076"/>
      <c r="AU17" s="1076"/>
      <c r="AV17" s="1076"/>
      <c r="AW17" s="1076"/>
      <c r="AX17" s="1076"/>
      <c r="AY17" s="1076"/>
      <c r="AZ17" s="1076"/>
      <c r="BA17" s="1076"/>
      <c r="BB17" s="1076"/>
      <c r="BC17" s="1076"/>
      <c r="BD17" s="1076"/>
      <c r="BE17" s="1076"/>
      <c r="BF17" s="1076"/>
      <c r="BG17" s="1076"/>
      <c r="BH17" s="1076"/>
      <c r="BI17" s="1076"/>
      <c r="BJ17" s="1076"/>
      <c r="BK17" s="1076"/>
      <c r="BL17" s="1076"/>
    </row>
    <row r="18" spans="2:64" ht="14.25" customHeight="1" x14ac:dyDescent="0.2">
      <c r="B18" s="1076"/>
      <c r="C18" s="1076"/>
      <c r="D18" s="1076"/>
      <c r="E18" s="1076"/>
      <c r="F18" s="1076"/>
      <c r="G18" s="1076"/>
      <c r="H18" s="1076"/>
      <c r="I18" s="1076"/>
      <c r="J18" s="1076"/>
      <c r="K18" s="1076"/>
      <c r="L18" s="1081"/>
      <c r="M18" s="1081"/>
      <c r="N18" s="1076"/>
      <c r="O18" s="1076"/>
      <c r="P18" s="1076"/>
      <c r="Q18" s="1076"/>
      <c r="R18" s="1076"/>
      <c r="S18" s="1076"/>
      <c r="T18" s="1076"/>
      <c r="U18" s="1076"/>
      <c r="V18" s="1076"/>
      <c r="W18" s="1076"/>
      <c r="X18" s="1076"/>
      <c r="Y18" s="1076"/>
      <c r="Z18" s="1076"/>
      <c r="AA18" s="1076"/>
      <c r="AB18" s="1076"/>
      <c r="AC18" s="1076"/>
      <c r="AD18" s="1076"/>
      <c r="AE18" s="1076"/>
      <c r="AF18" s="1076"/>
      <c r="AG18" s="1076"/>
      <c r="AH18" s="1076"/>
      <c r="AI18" s="1076"/>
      <c r="AJ18" s="1076"/>
      <c r="AK18" s="1076"/>
      <c r="AL18" s="1076"/>
      <c r="AM18" s="1076"/>
      <c r="AN18" s="1076"/>
      <c r="AO18" s="1076"/>
      <c r="AP18" s="1076"/>
      <c r="AQ18" s="1076"/>
      <c r="AR18" s="1076"/>
      <c r="AS18" s="1076"/>
      <c r="AT18" s="1076"/>
      <c r="AU18" s="1076"/>
      <c r="AV18" s="1076"/>
      <c r="AW18" s="1076"/>
      <c r="AX18" s="1076"/>
      <c r="AY18" s="1076"/>
      <c r="AZ18" s="1076"/>
      <c r="BA18" s="1076"/>
      <c r="BB18" s="1076"/>
      <c r="BC18" s="1076"/>
      <c r="BD18" s="1076"/>
      <c r="BE18" s="1076"/>
      <c r="BF18" s="1076"/>
      <c r="BG18" s="1076"/>
      <c r="BH18" s="1076"/>
      <c r="BI18" s="1076"/>
      <c r="BJ18" s="1076"/>
      <c r="BK18" s="1076"/>
      <c r="BL18" s="1076"/>
    </row>
    <row r="19" spans="2:64" ht="14.25" customHeight="1" x14ac:dyDescent="0.2">
      <c r="B19" s="1076"/>
      <c r="C19" s="1076"/>
      <c r="D19" s="1076"/>
      <c r="E19" s="1076"/>
      <c r="F19" s="1076"/>
      <c r="G19" s="1076"/>
      <c r="H19" s="1076"/>
      <c r="I19" s="1076"/>
      <c r="J19" s="1076"/>
      <c r="K19" s="1076"/>
      <c r="L19" s="1081"/>
      <c r="M19" s="1081"/>
      <c r="N19" s="1076"/>
      <c r="O19" s="1076"/>
      <c r="P19" s="1076"/>
      <c r="Q19" s="1076"/>
      <c r="R19" s="1076"/>
      <c r="S19" s="1076"/>
      <c r="T19" s="1076"/>
      <c r="U19" s="1076"/>
      <c r="V19" s="1076"/>
      <c r="W19" s="1076"/>
      <c r="X19" s="1076"/>
      <c r="Y19" s="1076"/>
      <c r="Z19" s="1076"/>
      <c r="AA19" s="1076"/>
      <c r="AB19" s="1076"/>
      <c r="AC19" s="1076"/>
      <c r="AD19" s="1076"/>
      <c r="AE19" s="1076"/>
      <c r="AF19" s="1076"/>
      <c r="AG19" s="1076"/>
      <c r="AH19" s="1076"/>
      <c r="AI19" s="1076"/>
      <c r="AJ19" s="1076"/>
      <c r="AK19" s="1076"/>
      <c r="AL19" s="1076"/>
      <c r="AM19" s="1076"/>
      <c r="AN19" s="1076"/>
      <c r="AO19" s="1076"/>
      <c r="AP19" s="1076"/>
      <c r="AQ19" s="1076"/>
      <c r="AR19" s="1076"/>
      <c r="AS19" s="1076"/>
      <c r="AT19" s="1076"/>
      <c r="AU19" s="1076"/>
      <c r="AV19" s="1076"/>
      <c r="AW19" s="1076"/>
      <c r="AX19" s="1076"/>
      <c r="AY19" s="1076"/>
      <c r="AZ19" s="1076"/>
      <c r="BA19" s="1076"/>
      <c r="BB19" s="1076"/>
      <c r="BC19" s="1076"/>
      <c r="BD19" s="1076"/>
      <c r="BE19" s="1076"/>
      <c r="BF19" s="1076"/>
      <c r="BG19" s="1076"/>
      <c r="BH19" s="1076"/>
      <c r="BI19" s="1076"/>
      <c r="BJ19" s="1076"/>
      <c r="BK19" s="1076"/>
      <c r="BL19" s="1076"/>
    </row>
    <row r="20" spans="2:64" ht="14.25" customHeight="1" x14ac:dyDescent="0.2">
      <c r="B20" s="1076"/>
      <c r="C20" s="1076"/>
      <c r="D20" s="1076"/>
      <c r="E20" s="1076"/>
      <c r="F20" s="1076"/>
      <c r="G20" s="1076"/>
      <c r="H20" s="1076"/>
      <c r="I20" s="1076"/>
      <c r="J20" s="1076"/>
      <c r="K20" s="1076"/>
      <c r="L20" s="1081"/>
      <c r="M20" s="1081"/>
      <c r="N20" s="1076"/>
      <c r="O20" s="1076"/>
      <c r="P20" s="1076"/>
      <c r="Q20" s="1076"/>
      <c r="R20" s="1076"/>
      <c r="S20" s="1076"/>
      <c r="T20" s="1076"/>
      <c r="U20" s="1076"/>
      <c r="V20" s="1076"/>
      <c r="W20" s="1076"/>
      <c r="X20" s="1076"/>
      <c r="Y20" s="1076"/>
      <c r="Z20" s="1076"/>
      <c r="AA20" s="1076"/>
      <c r="AB20" s="1076"/>
      <c r="AC20" s="1076"/>
      <c r="AD20" s="1076"/>
      <c r="AE20" s="1076"/>
      <c r="AF20" s="1076"/>
      <c r="AG20" s="1076"/>
      <c r="AH20" s="1076"/>
      <c r="AI20" s="1076"/>
      <c r="AJ20" s="1076"/>
      <c r="AK20" s="1076"/>
      <c r="AL20" s="1076"/>
      <c r="AM20" s="1076"/>
      <c r="AN20" s="1076"/>
      <c r="AO20" s="1076"/>
      <c r="AP20" s="1076"/>
      <c r="AQ20" s="1076"/>
      <c r="AR20" s="1076"/>
      <c r="AS20" s="1076"/>
      <c r="AT20" s="1076"/>
      <c r="AU20" s="1076"/>
      <c r="AV20" s="1076"/>
      <c r="AW20" s="1076"/>
      <c r="AX20" s="1076"/>
      <c r="AY20" s="1076"/>
      <c r="AZ20" s="1076"/>
      <c r="BA20" s="1076"/>
      <c r="BB20" s="1076"/>
      <c r="BC20" s="1076"/>
      <c r="BD20" s="1076"/>
      <c r="BE20" s="1076"/>
      <c r="BF20" s="1076"/>
      <c r="BG20" s="1076"/>
      <c r="BH20" s="1076"/>
      <c r="BI20" s="1076"/>
      <c r="BJ20" s="1076"/>
      <c r="BK20" s="1076"/>
      <c r="BL20" s="1076"/>
    </row>
    <row r="21" spans="2:64" ht="14.25" customHeight="1" x14ac:dyDescent="0.2">
      <c r="B21" s="1076"/>
      <c r="C21" s="1076"/>
      <c r="D21" s="1076"/>
      <c r="E21" s="1076"/>
      <c r="F21" s="1076"/>
      <c r="G21" s="1076"/>
      <c r="H21" s="1076"/>
      <c r="I21" s="1076"/>
      <c r="J21" s="1076"/>
      <c r="K21" s="1076"/>
      <c r="L21" s="1081"/>
      <c r="M21" s="1081"/>
      <c r="N21" s="1076"/>
      <c r="O21" s="1076"/>
      <c r="P21" s="1076"/>
      <c r="Q21" s="1076"/>
      <c r="R21" s="1076"/>
      <c r="S21" s="1076"/>
      <c r="T21" s="1076"/>
      <c r="U21" s="1076"/>
      <c r="V21" s="1076"/>
      <c r="W21" s="1076"/>
      <c r="X21" s="1076"/>
      <c r="Y21" s="1076"/>
      <c r="Z21" s="1076"/>
      <c r="AA21" s="1076"/>
      <c r="AB21" s="1076"/>
      <c r="AC21" s="1076"/>
      <c r="AD21" s="1076"/>
      <c r="AE21" s="1076"/>
      <c r="AF21" s="1076"/>
      <c r="AG21" s="1076"/>
      <c r="AH21" s="1076"/>
      <c r="AI21" s="1076"/>
      <c r="AJ21" s="1076"/>
      <c r="AK21" s="1076"/>
      <c r="AL21" s="1076"/>
      <c r="AM21" s="1076"/>
      <c r="AN21" s="1076"/>
      <c r="AO21" s="1076"/>
      <c r="AP21" s="1076"/>
      <c r="AQ21" s="1076"/>
      <c r="AR21" s="1076"/>
      <c r="AS21" s="1076"/>
      <c r="AT21" s="1076"/>
      <c r="AU21" s="1076"/>
      <c r="AV21" s="1076"/>
      <c r="AW21" s="1076"/>
      <c r="AX21" s="1076"/>
      <c r="AY21" s="1076"/>
      <c r="AZ21" s="1076"/>
      <c r="BA21" s="1076"/>
      <c r="BB21" s="1076"/>
      <c r="BC21" s="1076"/>
      <c r="BD21" s="1076"/>
      <c r="BE21" s="1076"/>
      <c r="BF21" s="1076"/>
      <c r="BG21" s="1076"/>
      <c r="BH21" s="1076"/>
      <c r="BI21" s="1076"/>
      <c r="BJ21" s="1076"/>
      <c r="BK21" s="1076"/>
      <c r="BL21" s="1076"/>
    </row>
    <row r="22" spans="2:64" ht="14.25" customHeight="1" x14ac:dyDescent="0.2">
      <c r="B22" s="1076"/>
      <c r="C22" s="1076"/>
      <c r="D22" s="1076"/>
      <c r="E22" s="1076"/>
      <c r="F22" s="1076"/>
      <c r="G22" s="1076"/>
      <c r="H22" s="1076"/>
      <c r="I22" s="1076"/>
      <c r="J22" s="1076"/>
      <c r="K22" s="1076"/>
      <c r="L22" s="1081"/>
      <c r="M22" s="1081"/>
      <c r="N22" s="1076"/>
      <c r="O22" s="1076"/>
      <c r="P22" s="1076"/>
      <c r="Q22" s="1076"/>
      <c r="R22" s="1076"/>
      <c r="S22" s="1076"/>
      <c r="T22" s="1076"/>
      <c r="U22" s="1076"/>
      <c r="V22" s="1076"/>
      <c r="W22" s="1076"/>
      <c r="X22" s="1076"/>
      <c r="Y22" s="1076"/>
      <c r="Z22" s="1076"/>
      <c r="AA22" s="1076"/>
      <c r="AB22" s="1076"/>
      <c r="AC22" s="1076"/>
      <c r="AD22" s="1076"/>
      <c r="AE22" s="1076"/>
      <c r="AF22" s="1076"/>
      <c r="AG22" s="1076"/>
      <c r="AH22" s="1076"/>
      <c r="AI22" s="1076"/>
      <c r="AJ22" s="1076"/>
      <c r="AK22" s="1076"/>
      <c r="AL22" s="1076"/>
      <c r="AM22" s="1076"/>
      <c r="AN22" s="1076"/>
      <c r="AO22" s="1076"/>
      <c r="AP22" s="1076"/>
      <c r="AQ22" s="1076"/>
      <c r="AR22" s="1076"/>
      <c r="AS22" s="1076"/>
      <c r="AT22" s="1076"/>
      <c r="AU22" s="1076"/>
      <c r="AV22" s="1076"/>
      <c r="AW22" s="1076"/>
      <c r="AX22" s="1076"/>
      <c r="AY22" s="1076"/>
      <c r="AZ22" s="1076"/>
      <c r="BA22" s="1076"/>
      <c r="BB22" s="1076"/>
      <c r="BC22" s="1076"/>
      <c r="BD22" s="1076"/>
      <c r="BE22" s="1076"/>
      <c r="BF22" s="1076"/>
      <c r="BG22" s="1076"/>
      <c r="BH22" s="1076"/>
      <c r="BI22" s="1076"/>
      <c r="BJ22" s="1076"/>
      <c r="BK22" s="1076"/>
      <c r="BL22" s="1076"/>
    </row>
    <row r="23" spans="2:64" ht="14.25" customHeight="1" x14ac:dyDescent="0.2">
      <c r="B23" s="1076"/>
      <c r="C23" s="1076"/>
      <c r="D23" s="1076"/>
      <c r="E23" s="1076"/>
      <c r="F23" s="1076"/>
      <c r="G23" s="1076"/>
      <c r="H23" s="1076"/>
      <c r="I23" s="1076"/>
      <c r="J23" s="1076"/>
      <c r="K23" s="1076"/>
      <c r="L23" s="1081"/>
      <c r="M23" s="1081"/>
      <c r="N23" s="1076"/>
      <c r="O23" s="1076"/>
      <c r="P23" s="1076"/>
      <c r="Q23" s="1076"/>
      <c r="R23" s="1076"/>
      <c r="S23" s="1076"/>
      <c r="T23" s="1076"/>
      <c r="U23" s="1076"/>
      <c r="V23" s="1076"/>
      <c r="W23" s="1076"/>
      <c r="X23" s="1076"/>
      <c r="Y23" s="1076"/>
      <c r="Z23" s="1076"/>
      <c r="AA23" s="1076"/>
      <c r="AB23" s="1076"/>
      <c r="AC23" s="1076"/>
      <c r="AD23" s="1076"/>
      <c r="AE23" s="1076"/>
      <c r="AF23" s="1076"/>
      <c r="AG23" s="1076"/>
      <c r="AH23" s="1076"/>
      <c r="AI23" s="1076"/>
      <c r="AJ23" s="1076"/>
      <c r="AK23" s="1076"/>
      <c r="AL23" s="1076"/>
      <c r="AM23" s="1076"/>
      <c r="AN23" s="1076"/>
      <c r="AO23" s="1076"/>
      <c r="AP23" s="1076"/>
      <c r="AQ23" s="1076"/>
      <c r="AR23" s="1076"/>
      <c r="AS23" s="1076"/>
      <c r="AT23" s="1076"/>
      <c r="AU23" s="1076"/>
      <c r="AV23" s="1076"/>
      <c r="AW23" s="1076"/>
      <c r="AX23" s="1076"/>
      <c r="AY23" s="1076"/>
      <c r="AZ23" s="1076"/>
      <c r="BA23" s="1076"/>
      <c r="BB23" s="1076"/>
      <c r="BC23" s="1076"/>
      <c r="BD23" s="1076"/>
      <c r="BE23" s="1076"/>
      <c r="BF23" s="1076"/>
      <c r="BG23" s="1076"/>
      <c r="BH23" s="1076"/>
      <c r="BI23" s="1076"/>
      <c r="BJ23" s="1076"/>
      <c r="BK23" s="1076"/>
      <c r="BL23" s="1076"/>
    </row>
    <row r="24" spans="2:64" ht="14.25" customHeight="1" x14ac:dyDescent="0.2">
      <c r="B24" s="1076"/>
      <c r="C24" s="1076"/>
      <c r="D24" s="1076"/>
      <c r="E24" s="1076"/>
      <c r="F24" s="1076"/>
      <c r="G24" s="1076"/>
      <c r="H24" s="1076"/>
      <c r="I24" s="1076"/>
      <c r="J24" s="1076"/>
      <c r="K24" s="1076"/>
      <c r="L24" s="1081"/>
      <c r="M24" s="1081"/>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1076"/>
      <c r="BA24" s="1076"/>
      <c r="BB24" s="1076"/>
      <c r="BC24" s="1076"/>
      <c r="BD24" s="1076"/>
      <c r="BE24" s="1076"/>
      <c r="BF24" s="1076"/>
      <c r="BG24" s="1076"/>
      <c r="BH24" s="1076"/>
      <c r="BI24" s="1076"/>
      <c r="BJ24" s="1076"/>
      <c r="BK24" s="1076"/>
      <c r="BL24" s="1076"/>
    </row>
    <row r="25" spans="2:64" ht="14.25" customHeight="1" x14ac:dyDescent="0.2">
      <c r="B25" s="1076"/>
      <c r="C25" s="1076"/>
      <c r="D25" s="1076"/>
      <c r="E25" s="1076"/>
      <c r="F25" s="1076"/>
      <c r="G25" s="1076"/>
      <c r="H25" s="1076"/>
      <c r="I25" s="1076"/>
      <c r="J25" s="1076"/>
      <c r="K25" s="1076"/>
      <c r="L25" s="1081"/>
      <c r="M25" s="1081"/>
      <c r="N25" s="1076"/>
      <c r="O25" s="1076"/>
      <c r="P25" s="1076"/>
      <c r="Q25" s="1076"/>
      <c r="R25" s="1076"/>
      <c r="S25" s="1076"/>
      <c r="T25" s="1076"/>
      <c r="U25" s="1076"/>
      <c r="V25" s="1076"/>
      <c r="W25" s="1076"/>
      <c r="X25" s="1076"/>
      <c r="Y25" s="1076"/>
      <c r="Z25" s="1076"/>
      <c r="AA25" s="1076"/>
      <c r="AB25" s="1076"/>
      <c r="AC25" s="1076"/>
      <c r="AD25" s="1076"/>
      <c r="AE25" s="1076"/>
      <c r="AF25" s="1076"/>
      <c r="AG25" s="1076"/>
      <c r="AH25" s="1076"/>
      <c r="AI25" s="1076"/>
      <c r="AJ25" s="1076"/>
      <c r="AK25" s="1076"/>
      <c r="AL25" s="1076"/>
      <c r="AM25" s="1076"/>
      <c r="AN25" s="1076"/>
      <c r="AO25" s="1076"/>
      <c r="AP25" s="1076"/>
      <c r="AQ25" s="1076"/>
      <c r="AR25" s="1076"/>
      <c r="AS25" s="1076"/>
      <c r="AT25" s="1076"/>
      <c r="AU25" s="1076"/>
      <c r="AV25" s="1076"/>
      <c r="AW25" s="1076"/>
      <c r="AX25" s="1076"/>
      <c r="AY25" s="1076"/>
      <c r="AZ25" s="1076"/>
      <c r="BA25" s="1076"/>
      <c r="BB25" s="1076"/>
      <c r="BC25" s="1076"/>
      <c r="BD25" s="1076"/>
      <c r="BE25" s="1076"/>
      <c r="BF25" s="1076"/>
      <c r="BG25" s="1076"/>
      <c r="BH25" s="1076"/>
      <c r="BI25" s="1076"/>
      <c r="BJ25" s="1076"/>
      <c r="BK25" s="1076"/>
      <c r="BL25" s="1076"/>
    </row>
    <row r="26" spans="2:64" ht="14.25" customHeight="1" x14ac:dyDescent="0.2">
      <c r="B26" s="1076"/>
      <c r="C26" s="1076"/>
      <c r="D26" s="1076"/>
      <c r="E26" s="1076"/>
      <c r="F26" s="1076"/>
      <c r="G26" s="1076"/>
      <c r="H26" s="1076"/>
      <c r="I26" s="1076"/>
      <c r="J26" s="1076"/>
      <c r="K26" s="1076"/>
      <c r="L26" s="1081"/>
      <c r="M26" s="1081"/>
      <c r="N26" s="1076"/>
      <c r="O26" s="1076"/>
      <c r="P26" s="1076"/>
      <c r="Q26" s="1076"/>
      <c r="R26" s="1076"/>
      <c r="S26" s="1076"/>
      <c r="T26" s="1076"/>
      <c r="U26" s="1076"/>
      <c r="V26" s="1076"/>
      <c r="W26" s="1076"/>
      <c r="X26" s="1076"/>
      <c r="Y26" s="1076"/>
      <c r="Z26" s="1076"/>
      <c r="AA26" s="1076"/>
      <c r="AB26" s="1076"/>
      <c r="AC26" s="1076"/>
      <c r="AD26" s="1076"/>
      <c r="AE26" s="1076"/>
      <c r="AF26" s="1076"/>
      <c r="AG26" s="1076"/>
      <c r="AH26" s="1076"/>
      <c r="AI26" s="1076"/>
      <c r="AJ26" s="1076"/>
      <c r="AK26" s="1076"/>
      <c r="AL26" s="1076"/>
      <c r="AM26" s="1076"/>
      <c r="AN26" s="1076"/>
      <c r="AO26" s="1076"/>
      <c r="AP26" s="1076"/>
      <c r="AQ26" s="1076"/>
      <c r="AR26" s="1076"/>
      <c r="AS26" s="1076"/>
      <c r="AT26" s="1076"/>
      <c r="AU26" s="1076"/>
      <c r="AV26" s="1076"/>
      <c r="AW26" s="1076"/>
      <c r="AX26" s="1076"/>
      <c r="AY26" s="1076"/>
      <c r="AZ26" s="1076"/>
      <c r="BA26" s="1076"/>
      <c r="BB26" s="1076"/>
      <c r="BC26" s="1076"/>
      <c r="BD26" s="1076"/>
      <c r="BE26" s="1076"/>
      <c r="BF26" s="1076"/>
      <c r="BG26" s="1076"/>
      <c r="BH26" s="1076"/>
      <c r="BI26" s="1076"/>
      <c r="BJ26" s="1076"/>
      <c r="BK26" s="1076"/>
      <c r="BL26" s="1076"/>
    </row>
    <row r="27" spans="2:64" ht="14.25" customHeight="1" x14ac:dyDescent="0.2">
      <c r="B27" s="1076"/>
      <c r="C27" s="1076"/>
      <c r="D27" s="1076"/>
      <c r="E27" s="1076"/>
      <c r="F27" s="1076"/>
      <c r="G27" s="1076"/>
      <c r="H27" s="1076"/>
      <c r="I27" s="1076"/>
      <c r="J27" s="1076"/>
      <c r="K27" s="1076"/>
      <c r="L27" s="1081"/>
      <c r="M27" s="1081"/>
      <c r="N27" s="1076"/>
      <c r="O27" s="1076"/>
      <c r="P27" s="1076"/>
      <c r="Q27" s="1076"/>
      <c r="R27" s="1076"/>
      <c r="S27" s="1076"/>
      <c r="T27" s="1076"/>
      <c r="U27" s="1076"/>
      <c r="V27" s="1076"/>
      <c r="W27" s="1076"/>
      <c r="X27" s="1076"/>
      <c r="Y27" s="1076"/>
      <c r="Z27" s="1076"/>
      <c r="AA27" s="1076"/>
      <c r="AB27" s="1076"/>
      <c r="AC27" s="1076"/>
      <c r="AD27" s="1076"/>
      <c r="AE27" s="1076"/>
      <c r="AF27" s="1076"/>
      <c r="AG27" s="1076"/>
      <c r="AH27" s="1076"/>
      <c r="AI27" s="1076"/>
      <c r="AJ27" s="1076"/>
      <c r="AK27" s="1076"/>
      <c r="AL27" s="1076"/>
      <c r="AM27" s="1076"/>
      <c r="AN27" s="1076"/>
      <c r="AO27" s="1076"/>
      <c r="AP27" s="1076"/>
      <c r="AQ27" s="1076"/>
      <c r="AR27" s="1076"/>
      <c r="AS27" s="1076"/>
      <c r="AT27" s="1076"/>
      <c r="AU27" s="1076"/>
      <c r="AV27" s="1076"/>
      <c r="AW27" s="1076"/>
      <c r="AX27" s="1076"/>
      <c r="AY27" s="1076"/>
      <c r="AZ27" s="1076"/>
      <c r="BA27" s="1076"/>
      <c r="BB27" s="1076"/>
      <c r="BC27" s="1076"/>
      <c r="BD27" s="1076"/>
      <c r="BE27" s="1076"/>
      <c r="BF27" s="1076"/>
      <c r="BG27" s="1076"/>
      <c r="BH27" s="1076"/>
      <c r="BI27" s="1076"/>
      <c r="BJ27" s="1076"/>
      <c r="BK27" s="1076"/>
      <c r="BL27" s="1076"/>
    </row>
    <row r="28" spans="2:64" ht="14.25" customHeight="1" x14ac:dyDescent="0.2">
      <c r="B28" s="1076"/>
      <c r="C28" s="1076"/>
      <c r="D28" s="1076"/>
      <c r="E28" s="1076"/>
      <c r="F28" s="1076"/>
      <c r="G28" s="1076"/>
      <c r="H28" s="1076"/>
      <c r="I28" s="1076"/>
      <c r="J28" s="1076"/>
      <c r="K28" s="1076"/>
      <c r="L28" s="1081"/>
      <c r="M28" s="1081"/>
      <c r="N28" s="1076"/>
      <c r="O28" s="1076"/>
      <c r="P28" s="1076"/>
      <c r="Q28" s="1076"/>
      <c r="R28" s="1076"/>
      <c r="S28" s="1076"/>
      <c r="T28" s="1076"/>
      <c r="U28" s="1076"/>
      <c r="V28" s="1076"/>
      <c r="W28" s="1076"/>
      <c r="X28" s="1076"/>
      <c r="Y28" s="1076"/>
      <c r="Z28" s="1076"/>
      <c r="AA28" s="1076"/>
      <c r="AB28" s="1076"/>
      <c r="AC28" s="1076"/>
      <c r="AD28" s="1076"/>
      <c r="AE28" s="1076"/>
      <c r="AF28" s="1076"/>
      <c r="AG28" s="1076"/>
      <c r="AH28" s="1076"/>
      <c r="AI28" s="1076"/>
      <c r="AJ28" s="1076"/>
      <c r="AK28" s="1076"/>
      <c r="AL28" s="1076"/>
      <c r="AM28" s="1076"/>
      <c r="AN28" s="1076"/>
      <c r="AO28" s="1076"/>
      <c r="AP28" s="1076"/>
      <c r="AQ28" s="1076"/>
      <c r="AR28" s="1076"/>
      <c r="AS28" s="1076"/>
      <c r="AT28" s="1076"/>
      <c r="AU28" s="1076"/>
      <c r="AV28" s="1076"/>
      <c r="AW28" s="1076"/>
      <c r="AX28" s="1076"/>
      <c r="AY28" s="1076"/>
      <c r="AZ28" s="1076"/>
      <c r="BA28" s="1076"/>
      <c r="BB28" s="1076"/>
      <c r="BC28" s="1076"/>
      <c r="BD28" s="1076"/>
      <c r="BE28" s="1076"/>
      <c r="BF28" s="1076"/>
      <c r="BG28" s="1076"/>
      <c r="BH28" s="1076"/>
      <c r="BI28" s="1076"/>
      <c r="BJ28" s="1076"/>
      <c r="BK28" s="1076"/>
      <c r="BL28" s="1076"/>
    </row>
    <row r="29" spans="2:64" ht="14.25" customHeight="1" x14ac:dyDescent="0.2">
      <c r="B29" s="1076"/>
      <c r="C29" s="1076"/>
      <c r="D29" s="1076"/>
      <c r="E29" s="1076"/>
      <c r="F29" s="1076"/>
      <c r="G29" s="1076"/>
      <c r="H29" s="1076"/>
      <c r="I29" s="1076"/>
      <c r="J29" s="1076"/>
      <c r="K29" s="1076"/>
      <c r="L29" s="1081"/>
      <c r="M29" s="1081"/>
      <c r="N29" s="1076"/>
      <c r="O29" s="1076"/>
      <c r="P29" s="1076"/>
      <c r="Q29" s="1076"/>
      <c r="R29" s="1076"/>
      <c r="S29" s="1076"/>
      <c r="T29" s="1076"/>
      <c r="U29" s="1076"/>
      <c r="V29" s="1076"/>
      <c r="W29" s="1076"/>
      <c r="X29" s="1076"/>
      <c r="Y29" s="1076"/>
      <c r="Z29" s="1076"/>
      <c r="AA29" s="1076"/>
      <c r="AB29" s="1076"/>
      <c r="AC29" s="1076"/>
      <c r="AD29" s="1076"/>
      <c r="AE29" s="1076"/>
      <c r="AF29" s="1076"/>
      <c r="AG29" s="1076"/>
      <c r="AH29" s="1076"/>
      <c r="AI29" s="1076"/>
      <c r="AJ29" s="1076"/>
      <c r="AK29" s="1076"/>
      <c r="AL29" s="1076"/>
      <c r="AM29" s="1076"/>
      <c r="AN29" s="1076"/>
      <c r="AO29" s="1076"/>
      <c r="AP29" s="1076"/>
      <c r="AQ29" s="1076"/>
      <c r="AR29" s="1076"/>
      <c r="AS29" s="1076"/>
      <c r="AT29" s="1076"/>
      <c r="AU29" s="1076"/>
      <c r="AV29" s="1076"/>
      <c r="AW29" s="1076"/>
      <c r="AX29" s="1076"/>
      <c r="AY29" s="1076"/>
      <c r="AZ29" s="1076"/>
      <c r="BA29" s="1076"/>
      <c r="BB29" s="1076"/>
      <c r="BC29" s="1076"/>
      <c r="BD29" s="1076"/>
      <c r="BE29" s="1076"/>
      <c r="BF29" s="1076"/>
      <c r="BG29" s="1076"/>
      <c r="BH29" s="1076"/>
      <c r="BI29" s="1076"/>
      <c r="BJ29" s="1076"/>
      <c r="BK29" s="1076"/>
      <c r="BL29" s="1076"/>
    </row>
    <row r="30" spans="2:64" ht="14.25" customHeight="1" x14ac:dyDescent="0.2">
      <c r="B30" s="1076"/>
      <c r="C30" s="1076"/>
      <c r="D30" s="1076"/>
      <c r="E30" s="1076"/>
      <c r="F30" s="1076"/>
      <c r="G30" s="1076"/>
      <c r="H30" s="1076"/>
      <c r="I30" s="1076"/>
      <c r="J30" s="1076"/>
      <c r="K30" s="1076"/>
      <c r="L30" s="1081"/>
      <c r="M30" s="1081"/>
      <c r="N30" s="1076"/>
      <c r="O30" s="1076"/>
      <c r="P30" s="1076"/>
      <c r="Q30" s="1076"/>
      <c r="R30" s="1076"/>
      <c r="S30" s="1076"/>
      <c r="T30" s="1076"/>
      <c r="U30" s="1076"/>
      <c r="V30" s="1076"/>
      <c r="W30" s="1076"/>
      <c r="X30" s="1076"/>
      <c r="Y30" s="1076"/>
      <c r="Z30" s="1076"/>
      <c r="AA30" s="1076"/>
      <c r="AB30" s="1076"/>
      <c r="AC30" s="1076"/>
      <c r="AD30" s="1076"/>
      <c r="AE30" s="1076"/>
      <c r="AF30" s="1076"/>
      <c r="AG30" s="1076"/>
      <c r="AH30" s="1076"/>
      <c r="AI30" s="1076"/>
      <c r="AJ30" s="1076"/>
      <c r="AK30" s="1076"/>
      <c r="AL30" s="1076"/>
      <c r="AM30" s="1076"/>
      <c r="AN30" s="1076"/>
      <c r="AO30" s="1076"/>
      <c r="AP30" s="1076"/>
      <c r="AQ30" s="1076"/>
      <c r="AR30" s="1076"/>
      <c r="AS30" s="1076"/>
      <c r="AT30" s="1076"/>
      <c r="AU30" s="1076"/>
      <c r="AV30" s="1076"/>
      <c r="AW30" s="1076"/>
      <c r="AX30" s="1076"/>
      <c r="AY30" s="1076"/>
      <c r="AZ30" s="1076"/>
      <c r="BA30" s="1076"/>
      <c r="BB30" s="1076"/>
      <c r="BC30" s="1076"/>
      <c r="BD30" s="1076"/>
      <c r="BE30" s="1076"/>
      <c r="BF30" s="1076"/>
      <c r="BG30" s="1076"/>
      <c r="BH30" s="1076"/>
      <c r="BI30" s="1076"/>
      <c r="BJ30" s="1076"/>
      <c r="BK30" s="1076"/>
      <c r="BL30" s="1076"/>
    </row>
    <row r="31" spans="2:64" ht="14.25" customHeight="1" x14ac:dyDescent="0.2">
      <c r="B31" s="1076"/>
      <c r="C31" s="1076"/>
      <c r="D31" s="1076"/>
      <c r="E31" s="1076"/>
      <c r="F31" s="1076"/>
      <c r="G31" s="1076"/>
      <c r="H31" s="1076"/>
      <c r="I31" s="1076"/>
      <c r="J31" s="1076"/>
      <c r="K31" s="1076"/>
      <c r="L31" s="1081"/>
      <c r="M31" s="1081"/>
      <c r="N31" s="1076"/>
      <c r="O31" s="1076"/>
      <c r="P31" s="1076"/>
      <c r="Q31" s="1076"/>
      <c r="R31" s="1076"/>
      <c r="S31" s="1076"/>
      <c r="T31" s="1076"/>
      <c r="U31" s="1076"/>
      <c r="V31" s="1076"/>
      <c r="W31" s="1076"/>
      <c r="X31" s="1076"/>
      <c r="Y31" s="1076"/>
      <c r="Z31" s="1076"/>
      <c r="AA31" s="1076"/>
      <c r="AB31" s="1076"/>
      <c r="AC31" s="1076"/>
      <c r="AD31" s="1076"/>
      <c r="AE31" s="1076"/>
      <c r="AF31" s="1076"/>
      <c r="AG31" s="1076"/>
      <c r="AH31" s="1076"/>
      <c r="AI31" s="1076"/>
      <c r="AJ31" s="1076"/>
      <c r="AK31" s="1076"/>
      <c r="AL31" s="1076"/>
      <c r="AM31" s="1076"/>
      <c r="AN31" s="1076"/>
      <c r="AO31" s="1076"/>
      <c r="AP31" s="1076"/>
      <c r="AQ31" s="1076"/>
      <c r="AR31" s="1076"/>
      <c r="AS31" s="1076"/>
      <c r="AT31" s="1076"/>
      <c r="AU31" s="1076"/>
      <c r="AV31" s="1076"/>
      <c r="AW31" s="1076"/>
      <c r="AX31" s="1076"/>
      <c r="AY31" s="1076"/>
      <c r="AZ31" s="1076"/>
      <c r="BA31" s="1076"/>
      <c r="BB31" s="1076"/>
      <c r="BC31" s="1076"/>
      <c r="BD31" s="1076"/>
      <c r="BE31" s="1076"/>
      <c r="BF31" s="1076"/>
      <c r="BG31" s="1076"/>
      <c r="BH31" s="1076"/>
      <c r="BI31" s="1076"/>
      <c r="BJ31" s="1076"/>
      <c r="BK31" s="1076"/>
      <c r="BL31" s="1076"/>
    </row>
    <row r="32" spans="2:64" ht="14.25" customHeight="1" x14ac:dyDescent="0.2">
      <c r="B32" s="1076"/>
      <c r="C32" s="1076"/>
      <c r="D32" s="1076"/>
      <c r="E32" s="1076"/>
      <c r="F32" s="1076"/>
      <c r="G32" s="1076"/>
      <c r="H32" s="1076"/>
      <c r="I32" s="1076"/>
      <c r="J32" s="1076"/>
      <c r="K32" s="1076"/>
      <c r="L32" s="1081"/>
      <c r="M32" s="1081"/>
      <c r="N32" s="1076"/>
      <c r="O32" s="1076"/>
      <c r="P32" s="1076"/>
      <c r="Q32" s="1076"/>
      <c r="R32" s="1076"/>
      <c r="S32" s="1076"/>
      <c r="T32" s="1076"/>
      <c r="U32" s="1076"/>
      <c r="V32" s="1076"/>
      <c r="W32" s="1076"/>
      <c r="X32" s="1076"/>
      <c r="Y32" s="1076"/>
      <c r="Z32" s="1076"/>
      <c r="AA32" s="1076"/>
      <c r="AB32" s="1076"/>
      <c r="AC32" s="1076"/>
      <c r="AD32" s="1076"/>
      <c r="AE32" s="1076"/>
      <c r="AF32" s="1076"/>
      <c r="AG32" s="1076"/>
      <c r="AH32" s="1076"/>
      <c r="AI32" s="1076"/>
      <c r="AJ32" s="1076"/>
      <c r="AK32" s="1076"/>
      <c r="AL32" s="1076"/>
      <c r="AM32" s="1076"/>
      <c r="AN32" s="1076"/>
      <c r="AO32" s="1076"/>
      <c r="AP32" s="1076"/>
      <c r="AQ32" s="1076"/>
      <c r="AR32" s="1076"/>
      <c r="AS32" s="1076"/>
      <c r="AT32" s="1076"/>
      <c r="AU32" s="1076"/>
      <c r="AV32" s="1076"/>
      <c r="AW32" s="1076"/>
      <c r="AX32" s="1076"/>
      <c r="AY32" s="1076"/>
      <c r="AZ32" s="1076"/>
      <c r="BA32" s="1076"/>
      <c r="BB32" s="1076"/>
      <c r="BC32" s="1076"/>
      <c r="BD32" s="1076"/>
      <c r="BE32" s="1076"/>
      <c r="BF32" s="1076"/>
      <c r="BG32" s="1076"/>
      <c r="BH32" s="1076"/>
      <c r="BI32" s="1076"/>
      <c r="BJ32" s="1076"/>
      <c r="BK32" s="1076"/>
      <c r="BL32" s="1076"/>
    </row>
    <row r="33" spans="2:64" ht="14.25" customHeight="1" x14ac:dyDescent="0.2">
      <c r="B33" s="1076"/>
      <c r="C33" s="1076"/>
      <c r="D33" s="1076"/>
      <c r="E33" s="1076"/>
      <c r="F33" s="1076"/>
      <c r="G33" s="1076"/>
      <c r="H33" s="1076"/>
      <c r="I33" s="1076"/>
      <c r="J33" s="1076"/>
      <c r="K33" s="1076"/>
      <c r="L33" s="1081"/>
      <c r="M33" s="1081"/>
      <c r="N33" s="1076"/>
      <c r="O33" s="1076"/>
      <c r="P33" s="1076"/>
      <c r="Q33" s="1076"/>
      <c r="R33" s="1076"/>
      <c r="S33" s="1076"/>
      <c r="T33" s="1076"/>
      <c r="U33" s="1076"/>
      <c r="V33" s="1076"/>
      <c r="W33" s="1076"/>
      <c r="X33" s="1076"/>
      <c r="Y33" s="1076"/>
      <c r="Z33" s="1076"/>
      <c r="AA33" s="1076"/>
      <c r="AB33" s="1076"/>
      <c r="AC33" s="1076"/>
      <c r="AD33" s="1076"/>
      <c r="AE33" s="1076"/>
      <c r="AF33" s="1076"/>
      <c r="AG33" s="1076"/>
      <c r="AH33" s="1076"/>
      <c r="AI33" s="1076"/>
      <c r="AJ33" s="1076"/>
      <c r="AK33" s="1076"/>
      <c r="AL33" s="1076"/>
      <c r="AM33" s="1076"/>
      <c r="AN33" s="1076"/>
      <c r="AO33" s="1076"/>
      <c r="AP33" s="1076"/>
      <c r="AQ33" s="1076"/>
      <c r="AR33" s="1076"/>
      <c r="AS33" s="1076"/>
      <c r="AT33" s="1076"/>
      <c r="AU33" s="1076"/>
      <c r="AV33" s="1076"/>
      <c r="AW33" s="1076"/>
      <c r="AX33" s="1076"/>
      <c r="AY33" s="1076"/>
      <c r="AZ33" s="1076"/>
      <c r="BA33" s="1076"/>
      <c r="BB33" s="1076"/>
      <c r="BC33" s="1076"/>
      <c r="BD33" s="1076"/>
      <c r="BE33" s="1076"/>
      <c r="BF33" s="1076"/>
      <c r="BG33" s="1076"/>
      <c r="BH33" s="1076"/>
      <c r="BI33" s="1076"/>
      <c r="BJ33" s="1076"/>
      <c r="BK33" s="1076"/>
      <c r="BL33" s="1076"/>
    </row>
    <row r="34" spans="2:64" ht="14.25" customHeight="1" x14ac:dyDescent="0.2">
      <c r="B34" s="1076"/>
      <c r="C34" s="1076"/>
      <c r="D34" s="1076"/>
      <c r="E34" s="1076"/>
      <c r="F34" s="1076"/>
      <c r="G34" s="1076"/>
      <c r="H34" s="1076"/>
      <c r="I34" s="1076"/>
      <c r="J34" s="1076"/>
      <c r="K34" s="1076"/>
      <c r="L34" s="1081"/>
      <c r="M34" s="1081"/>
      <c r="N34" s="1076"/>
      <c r="O34" s="1076"/>
      <c r="P34" s="1076"/>
      <c r="Q34" s="1076"/>
      <c r="R34" s="1076"/>
      <c r="S34" s="1076"/>
      <c r="T34" s="1076"/>
      <c r="U34" s="1076"/>
      <c r="V34" s="1076"/>
      <c r="W34" s="1076"/>
      <c r="X34" s="1076"/>
      <c r="Y34" s="1076"/>
      <c r="Z34" s="1076"/>
      <c r="AA34" s="1076"/>
      <c r="AB34" s="1076"/>
      <c r="AC34" s="1076"/>
      <c r="AD34" s="1076"/>
      <c r="AE34" s="1076"/>
      <c r="AF34" s="1076"/>
      <c r="AG34" s="1076"/>
      <c r="AH34" s="1076"/>
      <c r="AI34" s="1076"/>
      <c r="AJ34" s="1076"/>
      <c r="AK34" s="1076"/>
      <c r="AL34" s="1076"/>
      <c r="AM34" s="1076"/>
      <c r="AN34" s="1076"/>
      <c r="AO34" s="1076"/>
      <c r="AP34" s="1076"/>
      <c r="AQ34" s="1076"/>
      <c r="AR34" s="1076"/>
      <c r="AS34" s="1076"/>
      <c r="AT34" s="1076"/>
      <c r="AU34" s="1076"/>
      <c r="AV34" s="1076"/>
      <c r="AW34" s="1076"/>
      <c r="AX34" s="1076"/>
      <c r="AY34" s="1076"/>
      <c r="AZ34" s="1076"/>
      <c r="BA34" s="1076"/>
      <c r="BB34" s="1076"/>
      <c r="BC34" s="1076"/>
      <c r="BD34" s="1076"/>
      <c r="BE34" s="1076"/>
      <c r="BF34" s="1076"/>
      <c r="BG34" s="1076"/>
      <c r="BH34" s="1076"/>
      <c r="BI34" s="1076"/>
      <c r="BJ34" s="1076"/>
      <c r="BK34" s="1076"/>
      <c r="BL34" s="1076"/>
    </row>
    <row r="35" spans="2:64" ht="14.25" customHeight="1" x14ac:dyDescent="0.2">
      <c r="B35" s="1076"/>
      <c r="C35" s="1076"/>
      <c r="D35" s="1076"/>
      <c r="E35" s="1076"/>
      <c r="F35" s="1076"/>
      <c r="G35" s="1076"/>
      <c r="H35" s="1076"/>
      <c r="I35" s="1076"/>
      <c r="J35" s="1076"/>
      <c r="K35" s="1076"/>
      <c r="L35" s="1081"/>
      <c r="M35" s="1081"/>
      <c r="N35" s="1076"/>
      <c r="O35" s="1076"/>
      <c r="P35" s="1076"/>
      <c r="Q35" s="1076"/>
      <c r="R35" s="1076"/>
      <c r="S35" s="1076"/>
      <c r="T35" s="1076"/>
      <c r="U35" s="1076"/>
      <c r="V35" s="1076"/>
      <c r="W35" s="1076"/>
      <c r="X35" s="1076"/>
      <c r="Y35" s="1076"/>
      <c r="Z35" s="1076"/>
      <c r="AA35" s="1076"/>
      <c r="AB35" s="1076"/>
      <c r="AC35" s="1076"/>
      <c r="AD35" s="1076"/>
      <c r="AE35" s="1076"/>
      <c r="AF35" s="1076"/>
      <c r="AG35" s="1076"/>
      <c r="AH35" s="1076"/>
      <c r="AI35" s="1076"/>
      <c r="AJ35" s="1076"/>
      <c r="AK35" s="1076"/>
      <c r="AL35" s="1076"/>
      <c r="AM35" s="1076"/>
      <c r="AN35" s="1076"/>
      <c r="AO35" s="1076"/>
      <c r="AP35" s="1076"/>
      <c r="AQ35" s="1076"/>
      <c r="AR35" s="1076"/>
      <c r="AS35" s="1076"/>
      <c r="AT35" s="1076"/>
      <c r="AU35" s="1076"/>
      <c r="AV35" s="1076"/>
      <c r="AW35" s="1076"/>
      <c r="AX35" s="1076"/>
      <c r="AY35" s="1076"/>
      <c r="AZ35" s="1076"/>
      <c r="BA35" s="1076"/>
      <c r="BB35" s="1076"/>
      <c r="BC35" s="1076"/>
      <c r="BD35" s="1076"/>
      <c r="BE35" s="1076"/>
      <c r="BF35" s="1076"/>
      <c r="BG35" s="1076"/>
      <c r="BH35" s="1076"/>
      <c r="BI35" s="1076"/>
      <c r="BJ35" s="1076"/>
      <c r="BK35" s="1076"/>
      <c r="BL35" s="1076"/>
    </row>
    <row r="36" spans="2:64" ht="14.25" customHeight="1" x14ac:dyDescent="0.2">
      <c r="B36" s="1076"/>
      <c r="C36" s="1076"/>
      <c r="D36" s="1076"/>
      <c r="E36" s="1076"/>
      <c r="F36" s="1076"/>
      <c r="G36" s="1076"/>
      <c r="H36" s="1076"/>
      <c r="I36" s="1076"/>
      <c r="J36" s="1076"/>
      <c r="K36" s="1076"/>
      <c r="L36" s="1081"/>
      <c r="M36" s="1081"/>
      <c r="N36" s="1076"/>
      <c r="O36" s="1076"/>
      <c r="P36" s="1076"/>
      <c r="Q36" s="1076"/>
      <c r="R36" s="1076"/>
      <c r="S36" s="1076"/>
      <c r="T36" s="1076"/>
      <c r="U36" s="1076"/>
      <c r="V36" s="1076"/>
      <c r="W36" s="1076"/>
      <c r="X36" s="1076"/>
      <c r="Y36" s="1076"/>
      <c r="Z36" s="1076"/>
      <c r="AA36" s="1076"/>
      <c r="AB36" s="1076"/>
      <c r="AC36" s="1076"/>
      <c r="AD36" s="1076"/>
      <c r="AE36" s="1076"/>
      <c r="AF36" s="1076"/>
      <c r="AG36" s="1076"/>
      <c r="AH36" s="1076"/>
      <c r="AI36" s="1076"/>
      <c r="AJ36" s="1076"/>
      <c r="AK36" s="1076"/>
      <c r="AL36" s="1076"/>
      <c r="AM36" s="1076"/>
      <c r="AN36" s="1076"/>
      <c r="AO36" s="1076"/>
      <c r="AP36" s="1076"/>
      <c r="AQ36" s="1076"/>
      <c r="AR36" s="1076"/>
      <c r="AS36" s="1076"/>
      <c r="AT36" s="1076"/>
      <c r="AU36" s="1076"/>
      <c r="AV36" s="1076"/>
      <c r="AW36" s="1076"/>
      <c r="AX36" s="1076"/>
      <c r="AY36" s="1076"/>
      <c r="AZ36" s="1076"/>
      <c r="BA36" s="1076"/>
      <c r="BB36" s="1076"/>
      <c r="BC36" s="1076"/>
      <c r="BD36" s="1076"/>
      <c r="BE36" s="1076"/>
      <c r="BF36" s="1076"/>
      <c r="BG36" s="1076"/>
      <c r="BH36" s="1076"/>
      <c r="BI36" s="1076"/>
      <c r="BJ36" s="1076"/>
      <c r="BK36" s="1076"/>
      <c r="BL36" s="1076"/>
    </row>
    <row r="37" spans="2:64" ht="14.25" customHeight="1" x14ac:dyDescent="0.2">
      <c r="B37" s="1076"/>
      <c r="C37" s="1076"/>
      <c r="D37" s="1076"/>
      <c r="E37" s="1076"/>
      <c r="F37" s="1076"/>
      <c r="G37" s="1076"/>
      <c r="H37" s="1076"/>
      <c r="I37" s="1076"/>
      <c r="J37" s="1076"/>
      <c r="K37" s="1076"/>
      <c r="L37" s="1081"/>
      <c r="M37" s="1081"/>
      <c r="N37" s="1076"/>
      <c r="O37" s="1076"/>
      <c r="P37" s="1076"/>
      <c r="Q37" s="1076"/>
      <c r="R37" s="1076"/>
      <c r="S37" s="1076"/>
      <c r="T37" s="1076"/>
      <c r="U37" s="1076"/>
      <c r="V37" s="1076"/>
      <c r="W37" s="1076"/>
      <c r="X37" s="1076"/>
      <c r="Y37" s="1076"/>
      <c r="Z37" s="1076"/>
      <c r="AA37" s="1076"/>
      <c r="AB37" s="1076"/>
      <c r="AC37" s="1076"/>
      <c r="AD37" s="1076"/>
      <c r="AE37" s="1076"/>
      <c r="AF37" s="1076"/>
      <c r="AG37" s="1076"/>
      <c r="AH37" s="1076"/>
      <c r="AI37" s="1076"/>
      <c r="AJ37" s="1076"/>
      <c r="AK37" s="1076"/>
      <c r="AL37" s="1076"/>
      <c r="AM37" s="1076"/>
      <c r="AN37" s="1076"/>
      <c r="AO37" s="1076"/>
      <c r="AP37" s="1076"/>
      <c r="AQ37" s="1076"/>
      <c r="AR37" s="1076"/>
      <c r="AS37" s="1076"/>
      <c r="AT37" s="1076"/>
      <c r="AU37" s="1076"/>
      <c r="AV37" s="1076"/>
      <c r="AW37" s="1076"/>
      <c r="AX37" s="1076"/>
      <c r="AY37" s="1076"/>
      <c r="AZ37" s="1076"/>
      <c r="BA37" s="1076"/>
      <c r="BB37" s="1076"/>
      <c r="BC37" s="1076"/>
      <c r="BD37" s="1076"/>
      <c r="BE37" s="1076"/>
      <c r="BF37" s="1076"/>
      <c r="BG37" s="1076"/>
      <c r="BH37" s="1076"/>
      <c r="BI37" s="1076"/>
      <c r="BJ37" s="1076"/>
      <c r="BK37" s="1076"/>
      <c r="BL37" s="1076"/>
    </row>
    <row r="38" spans="2:64" ht="14.25" customHeight="1" x14ac:dyDescent="0.2">
      <c r="B38" s="1077"/>
      <c r="C38" s="1077"/>
      <c r="D38" s="1077"/>
      <c r="E38" s="1077"/>
      <c r="F38" s="1077"/>
      <c r="G38" s="1077"/>
      <c r="H38" s="1077"/>
      <c r="I38" s="1077"/>
      <c r="J38" s="1077"/>
      <c r="K38" s="1077"/>
      <c r="L38" s="1082"/>
      <c r="M38" s="1082"/>
      <c r="N38" s="1077"/>
      <c r="O38" s="1077"/>
      <c r="P38" s="1077"/>
      <c r="Q38" s="1077"/>
      <c r="R38" s="1077"/>
      <c r="S38" s="1077"/>
      <c r="T38" s="1077"/>
      <c r="U38" s="1077"/>
      <c r="V38" s="1077"/>
      <c r="W38" s="1077"/>
      <c r="X38" s="1077"/>
      <c r="Y38" s="1077"/>
      <c r="Z38" s="1077"/>
      <c r="AA38" s="1077"/>
      <c r="AB38" s="1077"/>
      <c r="AC38" s="1077"/>
      <c r="AD38" s="1077"/>
      <c r="AE38" s="1077"/>
      <c r="AF38" s="1077"/>
      <c r="AG38" s="1077"/>
      <c r="AH38" s="1077"/>
      <c r="AI38" s="1077"/>
      <c r="AJ38" s="1077"/>
      <c r="AK38" s="1077"/>
      <c r="AL38" s="1077"/>
      <c r="AM38" s="1077"/>
      <c r="AN38" s="1077"/>
      <c r="AO38" s="1077"/>
      <c r="AP38" s="1077"/>
      <c r="AQ38" s="1077"/>
      <c r="AR38" s="1077"/>
      <c r="AS38" s="1077"/>
      <c r="AT38" s="1077"/>
      <c r="AU38" s="1077"/>
      <c r="AV38" s="1077"/>
      <c r="AW38" s="1077"/>
      <c r="AX38" s="1077"/>
      <c r="AY38" s="1077"/>
      <c r="AZ38" s="1077"/>
      <c r="BA38" s="1077"/>
      <c r="BB38" s="1077"/>
      <c r="BC38" s="1077"/>
      <c r="BD38" s="1077"/>
      <c r="BE38" s="1077"/>
      <c r="BF38" s="1077"/>
      <c r="BG38" s="1077"/>
      <c r="BH38" s="1077"/>
      <c r="BI38" s="1077"/>
      <c r="BJ38" s="1077"/>
      <c r="BK38" s="1077"/>
      <c r="BL38" s="1077"/>
    </row>
  </sheetData>
  <mergeCells count="1">
    <mergeCell ref="O4:BL4"/>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tabColor rgb="FFD4ECF9"/>
  </sheetPr>
  <dimension ref="A1:O179"/>
  <sheetViews>
    <sheetView showGridLines="0" zoomScale="90" zoomScaleNormal="90" workbookViewId="0"/>
  </sheetViews>
  <sheetFormatPr baseColWidth="10" defaultColWidth="8.5703125" defaultRowHeight="12.75" customHeight="1" x14ac:dyDescent="0.2"/>
  <cols>
    <col min="1" max="2" width="5.5703125" style="678" customWidth="1"/>
    <col min="3" max="3" width="47.5703125" style="678" customWidth="1"/>
    <col min="4" max="4" width="8.5703125" style="678" customWidth="1"/>
    <col min="5" max="5" width="75.5703125" style="678" customWidth="1"/>
    <col min="6" max="7" width="15.5703125" style="678" customWidth="1"/>
    <col min="8" max="8" width="14.42578125" style="793" customWidth="1"/>
    <col min="9" max="12" width="20.5703125" style="678" customWidth="1"/>
    <col min="13" max="13" width="8.5703125" style="678"/>
    <col min="14" max="14" width="42.42578125" style="678" customWidth="1"/>
    <col min="15" max="15" width="20" style="678" customWidth="1"/>
    <col min="16" max="16384" width="8.5703125" style="678"/>
  </cols>
  <sheetData>
    <row r="1" spans="1:15" ht="20.100000000000001" customHeight="1" x14ac:dyDescent="0.2">
      <c r="A1" s="679">
        <v>16</v>
      </c>
      <c r="B1" s="680" t="str">
        <f>VLOOKUP("T.16.01",Translation,LanguageNo+1,FALSE)</f>
        <v>Kreditrisiko gemäss Standardansatz Basel III</v>
      </c>
    </row>
    <row r="2" spans="1:15" ht="14.25" customHeight="1" x14ac:dyDescent="0.2">
      <c r="A2" s="679"/>
      <c r="B2" s="679"/>
      <c r="C2" s="680"/>
    </row>
    <row r="3" spans="1:15" ht="14.25" customHeight="1" x14ac:dyDescent="0.2"/>
    <row r="4" spans="1:15" ht="27.75" customHeight="1" x14ac:dyDescent="0.2">
      <c r="B4" s="794"/>
      <c r="C4" s="1294" t="str">
        <f>VLOOKUP("T.16.02",Translation,LanguageNo+1,FALSE)</f>
        <v>Positionsklasse SA-BIZ</v>
      </c>
      <c r="D4" s="1295"/>
      <c r="E4" s="1296"/>
      <c r="F4" s="795" t="str">
        <f>VLOOKUP("T.16.03",Translation,LanguageNo+1,FALSE)</f>
        <v>Erläuterungen</v>
      </c>
      <c r="G4" s="796" t="str">
        <f>VLOOKUP("T.16.04",Translation,LanguageNo+1,FALSE)</f>
        <v>Rating / Instrument</v>
      </c>
      <c r="H4" s="795" t="str">
        <f>VLOOKUP("T.16.05",Translation,LanguageNo+1,FALSE)</f>
        <v>Risikogewicht</v>
      </c>
      <c r="I4" s="797" t="str">
        <f>VLOOKUP("T.16.06",Translation,LanguageNo+1,FALSE)</f>
        <v>Exposure ohne Kreditrisikominderung (CRM)</v>
      </c>
      <c r="J4" s="797" t="str">
        <f>VLOOKUP("T.16.07",Translation,LanguageNo+1,FALSE)</f>
        <v>Besicherte Positionen</v>
      </c>
      <c r="K4" s="797" t="str">
        <f>VLOOKUP("T.16.08",Translation,LanguageNo+1,FALSE)</f>
        <v>Garantien und Kreditderivate</v>
      </c>
      <c r="L4" s="797" t="str">
        <f>VLOOKUP("T.16.09",Translation,LanguageNo+1,FALSE)</f>
        <v>Risikogewichtete Positionen nach CRM</v>
      </c>
      <c r="N4" s="789" t="str">
        <f>VLOOKUP("T.16.55",Translation,LanguageNo+1,FALSE)</f>
        <v>Total Rückversicherung / Retrozession</v>
      </c>
      <c r="O4" s="791" t="str">
        <f>VLOOKUP("T.16.56",Translation,LanguageNo+1,FALSE)</f>
        <v>Gesamttotal</v>
      </c>
    </row>
    <row r="5" spans="1:15" ht="14.25" x14ac:dyDescent="0.2">
      <c r="B5" s="798"/>
      <c r="C5" s="1297"/>
      <c r="D5" s="1298"/>
      <c r="E5" s="1299"/>
      <c r="F5" s="799"/>
      <c r="G5" s="797"/>
      <c r="H5" s="440"/>
      <c r="I5" s="797" t="str">
        <f>Unit &amp; SST_Currency</f>
        <v>in Mio. CHF</v>
      </c>
      <c r="J5" s="797" t="str">
        <f>Unit &amp; SST_Currency</f>
        <v>in Mio. CHF</v>
      </c>
      <c r="K5" s="797" t="str">
        <f>Unit &amp; SST_Currency</f>
        <v>in Mio. CHF</v>
      </c>
      <c r="L5" s="797" t="str">
        <f>Unit &amp; SST_Currency</f>
        <v>in Mio. CHF</v>
      </c>
      <c r="N5" s="1002" t="str">
        <f>Unit &amp; SST_Currency</f>
        <v>in Mio. CHF</v>
      </c>
      <c r="O5" s="1002" t="str">
        <f>Unit &amp; SST_Currency</f>
        <v>in Mio. CHF</v>
      </c>
    </row>
    <row r="6" spans="1:15" ht="14.25" customHeight="1" x14ac:dyDescent="0.2">
      <c r="B6" s="1001" t="s">
        <v>600</v>
      </c>
      <c r="C6" s="1040" t="str">
        <f>VLOOKUP("T.16.11",Translation,LanguageNo+1,FALSE)</f>
        <v>Positionsklassen (SA-BIZ) bei Verwendung externer Ratings</v>
      </c>
      <c r="D6" s="1038"/>
      <c r="E6" s="1038"/>
      <c r="F6" s="1038"/>
      <c r="G6" s="1038"/>
      <c r="H6" s="1038"/>
      <c r="I6" s="1038"/>
      <c r="J6" s="1038"/>
      <c r="K6" s="1038"/>
      <c r="L6" s="1039"/>
      <c r="N6" s="1003">
        <f>SUM(L78:L85)</f>
        <v>0</v>
      </c>
      <c r="O6" s="1003">
        <f>SUM(L7:L131)-N6</f>
        <v>0</v>
      </c>
    </row>
    <row r="7" spans="1:15" ht="14.25" customHeight="1" x14ac:dyDescent="0.2">
      <c r="B7" s="998" t="s">
        <v>602</v>
      </c>
      <c r="C7" s="998" t="str">
        <f>VLOOKUP("T.16.12",Translation,LanguageNo+1,FALSE)</f>
        <v>Zentralregierungen und Zentralbanken</v>
      </c>
      <c r="D7" s="998" t="s">
        <v>125</v>
      </c>
      <c r="E7" s="998" t="str">
        <f>VLOOKUP("T.16.12",Translation,LanguageNo+1,FALSE)</f>
        <v>Zentralregierungen und Zentralbanken</v>
      </c>
      <c r="F7" s="999"/>
      <c r="G7" s="998" t="s">
        <v>35</v>
      </c>
      <c r="H7" s="1000">
        <v>0</v>
      </c>
      <c r="I7" s="819"/>
      <c r="J7" s="819"/>
      <c r="K7" s="819"/>
      <c r="L7" s="820">
        <f>H7*(I7-J7-K7)</f>
        <v>0</v>
      </c>
    </row>
    <row r="8" spans="1:15" ht="14.25" customHeight="1" x14ac:dyDescent="0.2">
      <c r="B8" s="803"/>
      <c r="C8" s="803"/>
      <c r="D8" s="803"/>
      <c r="E8" s="803"/>
      <c r="F8" s="803"/>
      <c r="G8" s="803" t="s">
        <v>36</v>
      </c>
      <c r="H8" s="804">
        <v>0</v>
      </c>
      <c r="I8" s="801"/>
      <c r="J8" s="801"/>
      <c r="K8" s="801"/>
      <c r="L8" s="802">
        <f t="shared" ref="L8:L71" si="0">H8*(I8-J8-K8)</f>
        <v>0</v>
      </c>
    </row>
    <row r="9" spans="1:15" ht="14.25" customHeight="1" x14ac:dyDescent="0.2">
      <c r="B9" s="803"/>
      <c r="C9" s="803"/>
      <c r="D9" s="803"/>
      <c r="E9" s="803"/>
      <c r="F9" s="803"/>
      <c r="G9" s="803" t="s">
        <v>37</v>
      </c>
      <c r="H9" s="804">
        <v>0.2</v>
      </c>
      <c r="I9" s="801"/>
      <c r="J9" s="801"/>
      <c r="K9" s="801"/>
      <c r="L9" s="802">
        <f t="shared" si="0"/>
        <v>0</v>
      </c>
    </row>
    <row r="10" spans="1:15" ht="14.25" customHeight="1" x14ac:dyDescent="0.2">
      <c r="B10" s="803"/>
      <c r="C10" s="803"/>
      <c r="D10" s="803"/>
      <c r="E10" s="803"/>
      <c r="F10" s="803"/>
      <c r="G10" s="803" t="s">
        <v>38</v>
      </c>
      <c r="H10" s="804">
        <v>0.5</v>
      </c>
      <c r="I10" s="801"/>
      <c r="J10" s="801"/>
      <c r="K10" s="801"/>
      <c r="L10" s="802">
        <f t="shared" si="0"/>
        <v>0</v>
      </c>
    </row>
    <row r="11" spans="1:15" ht="14.25" customHeight="1" x14ac:dyDescent="0.2">
      <c r="B11" s="803"/>
      <c r="C11" s="803"/>
      <c r="D11" s="803"/>
      <c r="E11" s="803"/>
      <c r="F11" s="803"/>
      <c r="G11" s="803" t="s">
        <v>39</v>
      </c>
      <c r="H11" s="804">
        <v>1</v>
      </c>
      <c r="I11" s="801"/>
      <c r="J11" s="801"/>
      <c r="K11" s="801"/>
      <c r="L11" s="802">
        <f t="shared" si="0"/>
        <v>0</v>
      </c>
    </row>
    <row r="12" spans="1:15" ht="14.25" customHeight="1" x14ac:dyDescent="0.2">
      <c r="B12" s="803"/>
      <c r="C12" s="803"/>
      <c r="D12" s="803"/>
      <c r="E12" s="803"/>
      <c r="F12" s="803"/>
      <c r="G12" s="803" t="s">
        <v>127</v>
      </c>
      <c r="H12" s="804">
        <v>1</v>
      </c>
      <c r="I12" s="801"/>
      <c r="J12" s="801"/>
      <c r="K12" s="801"/>
      <c r="L12" s="802">
        <f t="shared" si="0"/>
        <v>0</v>
      </c>
    </row>
    <row r="13" spans="1:15" ht="14.25" customHeight="1" x14ac:dyDescent="0.2">
      <c r="B13" s="803"/>
      <c r="C13" s="803"/>
      <c r="D13" s="803"/>
      <c r="E13" s="803"/>
      <c r="F13" s="803"/>
      <c r="G13" s="803" t="s">
        <v>128</v>
      </c>
      <c r="H13" s="804">
        <v>1.5</v>
      </c>
      <c r="I13" s="801"/>
      <c r="J13" s="801"/>
      <c r="K13" s="801"/>
      <c r="L13" s="802">
        <f t="shared" si="0"/>
        <v>0</v>
      </c>
    </row>
    <row r="14" spans="1:15" ht="14.25" customHeight="1" x14ac:dyDescent="0.2">
      <c r="B14" s="803"/>
      <c r="C14" s="803"/>
      <c r="D14" s="803"/>
      <c r="E14" s="803"/>
      <c r="F14" s="803"/>
      <c r="G14" s="803" t="str">
        <f>VLOOKUP("T.16.10",Translation,LanguageNo+1,FALSE)</f>
        <v>Nicht geratet</v>
      </c>
      <c r="H14" s="804">
        <v>1</v>
      </c>
      <c r="I14" s="801"/>
      <c r="J14" s="801"/>
      <c r="K14" s="801"/>
      <c r="L14" s="802">
        <f t="shared" si="0"/>
        <v>0</v>
      </c>
    </row>
    <row r="15" spans="1:15" ht="26.1" customHeight="1" x14ac:dyDescent="0.2">
      <c r="B15" s="803"/>
      <c r="C15" s="803"/>
      <c r="D15" s="803" t="s">
        <v>129</v>
      </c>
      <c r="E15" s="805" t="str">
        <f>VLOOKUP("T.16.13",Translation,LanguageNo+1,FALSE)</f>
        <v>Eidgenossenschaft und Schweizerische Nationalbank, sofern die Forderung auf Landeswährung lautet und in dieser refinanziert ist.</v>
      </c>
      <c r="F15" s="805"/>
      <c r="G15" s="803" t="s">
        <v>130</v>
      </c>
      <c r="H15" s="804">
        <v>0</v>
      </c>
      <c r="I15" s="801"/>
      <c r="J15" s="801"/>
      <c r="K15" s="801"/>
      <c r="L15" s="802">
        <f t="shared" si="0"/>
        <v>0</v>
      </c>
    </row>
    <row r="16" spans="1:15" ht="14.25" customHeight="1" x14ac:dyDescent="0.2">
      <c r="B16" s="803" t="s">
        <v>604</v>
      </c>
      <c r="C16" s="803" t="str">
        <f>VLOOKUP("T.16.14",Translation,LanguageNo+1,FALSE)</f>
        <v>Öffentlichrechtliche Körperschaften</v>
      </c>
      <c r="D16" s="803" t="s">
        <v>131</v>
      </c>
      <c r="E16" s="803" t="str">
        <f>VLOOKUP("T.16.14",Translation,LanguageNo+1,FALSE)</f>
        <v>Öffentlichrechtliche Körperschaften</v>
      </c>
      <c r="F16" s="803"/>
      <c r="G16" s="803" t="s">
        <v>35</v>
      </c>
      <c r="H16" s="804">
        <v>0.2</v>
      </c>
      <c r="I16" s="801"/>
      <c r="J16" s="801"/>
      <c r="K16" s="801"/>
      <c r="L16" s="802">
        <f t="shared" si="0"/>
        <v>0</v>
      </c>
    </row>
    <row r="17" spans="2:12" ht="14.25" customHeight="1" x14ac:dyDescent="0.2">
      <c r="B17" s="803"/>
      <c r="C17" s="803"/>
      <c r="D17" s="803"/>
      <c r="E17" s="803"/>
      <c r="F17" s="803"/>
      <c r="G17" s="803" t="s">
        <v>36</v>
      </c>
      <c r="H17" s="804">
        <v>0.2</v>
      </c>
      <c r="I17" s="801"/>
      <c r="J17" s="801"/>
      <c r="K17" s="801"/>
      <c r="L17" s="802">
        <f t="shared" si="0"/>
        <v>0</v>
      </c>
    </row>
    <row r="18" spans="2:12" ht="14.25" customHeight="1" x14ac:dyDescent="0.2">
      <c r="B18" s="803"/>
      <c r="C18" s="803"/>
      <c r="D18" s="803"/>
      <c r="E18" s="803"/>
      <c r="F18" s="803"/>
      <c r="G18" s="803" t="s">
        <v>37</v>
      </c>
      <c r="H18" s="804">
        <v>0.5</v>
      </c>
      <c r="I18" s="801"/>
      <c r="J18" s="801"/>
      <c r="K18" s="801"/>
      <c r="L18" s="802">
        <f t="shared" si="0"/>
        <v>0</v>
      </c>
    </row>
    <row r="19" spans="2:12" ht="14.25" customHeight="1" x14ac:dyDescent="0.2">
      <c r="B19" s="803"/>
      <c r="C19" s="803"/>
      <c r="D19" s="803"/>
      <c r="E19" s="803"/>
      <c r="F19" s="803"/>
      <c r="G19" s="803" t="s">
        <v>38</v>
      </c>
      <c r="H19" s="804">
        <v>1</v>
      </c>
      <c r="I19" s="801"/>
      <c r="J19" s="801"/>
      <c r="K19" s="801"/>
      <c r="L19" s="802">
        <f t="shared" si="0"/>
        <v>0</v>
      </c>
    </row>
    <row r="20" spans="2:12" ht="14.25" customHeight="1" x14ac:dyDescent="0.2">
      <c r="B20" s="803"/>
      <c r="C20" s="803"/>
      <c r="D20" s="803"/>
      <c r="E20" s="803"/>
      <c r="F20" s="803"/>
      <c r="G20" s="803" t="s">
        <v>39</v>
      </c>
      <c r="H20" s="804">
        <v>1</v>
      </c>
      <c r="I20" s="801"/>
      <c r="J20" s="801"/>
      <c r="K20" s="801"/>
      <c r="L20" s="802">
        <f t="shared" si="0"/>
        <v>0</v>
      </c>
    </row>
    <row r="21" spans="2:12" ht="14.25" customHeight="1" x14ac:dyDescent="0.2">
      <c r="B21" s="803"/>
      <c r="C21" s="803"/>
      <c r="D21" s="803"/>
      <c r="E21" s="803"/>
      <c r="F21" s="803"/>
      <c r="G21" s="803" t="s">
        <v>127</v>
      </c>
      <c r="H21" s="804">
        <v>1.5</v>
      </c>
      <c r="I21" s="801"/>
      <c r="J21" s="801"/>
      <c r="K21" s="801"/>
      <c r="L21" s="802">
        <f t="shared" si="0"/>
        <v>0</v>
      </c>
    </row>
    <row r="22" spans="2:12" ht="14.25" customHeight="1" x14ac:dyDescent="0.2">
      <c r="B22" s="803"/>
      <c r="C22" s="803"/>
      <c r="D22" s="803"/>
      <c r="E22" s="803"/>
      <c r="F22" s="803"/>
      <c r="G22" s="803" t="s">
        <v>128</v>
      </c>
      <c r="H22" s="804">
        <v>1.5</v>
      </c>
      <c r="I22" s="801"/>
      <c r="J22" s="801"/>
      <c r="K22" s="801"/>
      <c r="L22" s="802">
        <f t="shared" si="0"/>
        <v>0</v>
      </c>
    </row>
    <row r="23" spans="2:12" ht="14.25" customHeight="1" x14ac:dyDescent="0.2">
      <c r="B23" s="803"/>
      <c r="C23" s="803"/>
      <c r="D23" s="803"/>
      <c r="E23" s="803"/>
      <c r="F23" s="803"/>
      <c r="G23" s="803" t="str">
        <f>VLOOKUP("T.16.10",Translation,LanguageNo+1,FALSE)</f>
        <v>Nicht geratet</v>
      </c>
      <c r="H23" s="804">
        <v>1</v>
      </c>
      <c r="I23" s="801"/>
      <c r="J23" s="801"/>
      <c r="K23" s="801"/>
      <c r="L23" s="802">
        <f t="shared" si="0"/>
        <v>0</v>
      </c>
    </row>
    <row r="24" spans="2:12" ht="42" customHeight="1" x14ac:dyDescent="0.2">
      <c r="B24" s="803"/>
      <c r="C24" s="803"/>
      <c r="D24" s="803" t="s">
        <v>133</v>
      </c>
      <c r="E24" s="806" t="str">
        <f>VLOOKUP("T.16.15",Translation,LanguageNo+1,FALSE)</f>
        <v>Öffentlichrechtliche Körperschaften ohne Rating, sofern diese über das Recht zur Erhebung von Steuern verfügen oder sofern deren Verpflichtungen vollständig und unbegrenzt durch ein öffentliches Gemeinwesen garantiert sind.</v>
      </c>
      <c r="F24" s="805"/>
      <c r="G24" s="803" t="s">
        <v>130</v>
      </c>
      <c r="H24" s="804">
        <v>0.5</v>
      </c>
      <c r="I24" s="801"/>
      <c r="J24" s="801"/>
      <c r="K24" s="801"/>
      <c r="L24" s="802">
        <f t="shared" si="0"/>
        <v>0</v>
      </c>
    </row>
    <row r="25" spans="2:12" ht="14.25" customHeight="1" x14ac:dyDescent="0.2">
      <c r="B25" s="803"/>
      <c r="C25" s="803"/>
      <c r="D25" s="803" t="s">
        <v>134</v>
      </c>
      <c r="E25" s="803" t="str">
        <f>VLOOKUP("T.16.16",Translation,LanguageNo+1,FALSE)</f>
        <v>Kantone ohne Rating</v>
      </c>
      <c r="F25" s="803"/>
      <c r="G25" s="803" t="s">
        <v>130</v>
      </c>
      <c r="H25" s="804">
        <v>0.2</v>
      </c>
      <c r="I25" s="801"/>
      <c r="J25" s="801"/>
      <c r="K25" s="801"/>
      <c r="L25" s="802">
        <f t="shared" si="0"/>
        <v>0</v>
      </c>
    </row>
    <row r="26" spans="2:12" ht="14.25" customHeight="1" x14ac:dyDescent="0.2">
      <c r="B26" s="803" t="s">
        <v>605</v>
      </c>
      <c r="C26" s="803" t="str">
        <f>VLOOKUP("T.16.17",Translation,LanguageNo+1,FALSE)</f>
        <v>BIZ, IWF und multilaterale Entwicklungsbanken</v>
      </c>
      <c r="D26" s="803" t="s">
        <v>136</v>
      </c>
      <c r="E26" s="803" t="str">
        <f>VLOOKUP("T.16.18",Translation,LanguageNo+1,FALSE)</f>
        <v>Multilaterale Entwicklungsbanken</v>
      </c>
      <c r="F26" s="803"/>
      <c r="G26" s="803" t="s">
        <v>35</v>
      </c>
      <c r="H26" s="804">
        <v>0.2</v>
      </c>
      <c r="I26" s="801"/>
      <c r="J26" s="801"/>
      <c r="K26" s="801"/>
      <c r="L26" s="802">
        <f t="shared" si="0"/>
        <v>0</v>
      </c>
    </row>
    <row r="27" spans="2:12" ht="14.25" customHeight="1" x14ac:dyDescent="0.2">
      <c r="B27" s="803"/>
      <c r="C27" s="803"/>
      <c r="D27" s="803"/>
      <c r="E27" s="803"/>
      <c r="F27" s="803"/>
      <c r="G27" s="803" t="s">
        <v>36</v>
      </c>
      <c r="H27" s="804">
        <v>0.2</v>
      </c>
      <c r="I27" s="801"/>
      <c r="J27" s="801"/>
      <c r="K27" s="801"/>
      <c r="L27" s="802">
        <f t="shared" si="0"/>
        <v>0</v>
      </c>
    </row>
    <row r="28" spans="2:12" ht="14.25" customHeight="1" x14ac:dyDescent="0.2">
      <c r="B28" s="803"/>
      <c r="C28" s="803"/>
      <c r="D28" s="803"/>
      <c r="E28" s="803"/>
      <c r="F28" s="803"/>
      <c r="G28" s="803" t="s">
        <v>37</v>
      </c>
      <c r="H28" s="804">
        <v>0.5</v>
      </c>
      <c r="I28" s="801"/>
      <c r="J28" s="801"/>
      <c r="K28" s="801"/>
      <c r="L28" s="802">
        <f t="shared" si="0"/>
        <v>0</v>
      </c>
    </row>
    <row r="29" spans="2:12" ht="14.25" customHeight="1" x14ac:dyDescent="0.2">
      <c r="B29" s="803"/>
      <c r="C29" s="803"/>
      <c r="D29" s="803"/>
      <c r="E29" s="803"/>
      <c r="F29" s="803"/>
      <c r="G29" s="803" t="s">
        <v>38</v>
      </c>
      <c r="H29" s="804">
        <v>0.5</v>
      </c>
      <c r="I29" s="801"/>
      <c r="J29" s="801"/>
      <c r="K29" s="801"/>
      <c r="L29" s="802">
        <f t="shared" si="0"/>
        <v>0</v>
      </c>
    </row>
    <row r="30" spans="2:12" ht="14.25" customHeight="1" x14ac:dyDescent="0.2">
      <c r="B30" s="803"/>
      <c r="C30" s="803"/>
      <c r="D30" s="803"/>
      <c r="E30" s="803"/>
      <c r="F30" s="803"/>
      <c r="G30" s="803" t="s">
        <v>39</v>
      </c>
      <c r="H30" s="804">
        <v>1</v>
      </c>
      <c r="I30" s="801"/>
      <c r="J30" s="801"/>
      <c r="K30" s="801"/>
      <c r="L30" s="802">
        <f t="shared" si="0"/>
        <v>0</v>
      </c>
    </row>
    <row r="31" spans="2:12" ht="14.25" customHeight="1" x14ac:dyDescent="0.2">
      <c r="B31" s="803"/>
      <c r="C31" s="803"/>
      <c r="D31" s="803"/>
      <c r="E31" s="803"/>
      <c r="F31" s="803"/>
      <c r="G31" s="803" t="s">
        <v>127</v>
      </c>
      <c r="H31" s="804">
        <v>1</v>
      </c>
      <c r="I31" s="801"/>
      <c r="J31" s="801"/>
      <c r="K31" s="801"/>
      <c r="L31" s="802">
        <f t="shared" si="0"/>
        <v>0</v>
      </c>
    </row>
    <row r="32" spans="2:12" ht="14.25" customHeight="1" x14ac:dyDescent="0.2">
      <c r="B32" s="803"/>
      <c r="C32" s="803"/>
      <c r="D32" s="803"/>
      <c r="E32" s="803"/>
      <c r="F32" s="803"/>
      <c r="G32" s="803" t="s">
        <v>128</v>
      </c>
      <c r="H32" s="804">
        <v>1.5</v>
      </c>
      <c r="I32" s="801"/>
      <c r="J32" s="801"/>
      <c r="K32" s="801"/>
      <c r="L32" s="802">
        <f t="shared" si="0"/>
        <v>0</v>
      </c>
    </row>
    <row r="33" spans="2:12" ht="14.25" customHeight="1" x14ac:dyDescent="0.2">
      <c r="B33" s="803"/>
      <c r="C33" s="803"/>
      <c r="D33" s="803"/>
      <c r="E33" s="803"/>
      <c r="F33" s="803"/>
      <c r="G33" s="803" t="str">
        <f>VLOOKUP("T.16.10",Translation,LanguageNo+1,FALSE)</f>
        <v>Nicht geratet</v>
      </c>
      <c r="H33" s="804">
        <v>0.5</v>
      </c>
      <c r="I33" s="801"/>
      <c r="J33" s="801"/>
      <c r="K33" s="801"/>
      <c r="L33" s="802">
        <f t="shared" si="0"/>
        <v>0</v>
      </c>
    </row>
    <row r="34" spans="2:12" ht="28.5" customHeight="1" x14ac:dyDescent="0.2">
      <c r="B34" s="803"/>
      <c r="C34" s="803"/>
      <c r="D34" s="803" t="s">
        <v>138</v>
      </c>
      <c r="E34" s="805" t="str">
        <f>VLOOKUP("T.16.19",Translation,LanguageNo+1,FALSE)</f>
        <v>Bank für Internationalen Zahlungsausgleich (BIZ), Internationaler Währungsfonds (IWF), bestimmte von der FINMA bezeichnete multilaterale Entwicklungsbanken</v>
      </c>
      <c r="F34" s="805"/>
      <c r="G34" s="803" t="s">
        <v>130</v>
      </c>
      <c r="H34" s="804">
        <v>0</v>
      </c>
      <c r="I34" s="801"/>
      <c r="J34" s="801"/>
      <c r="K34" s="801"/>
      <c r="L34" s="802">
        <f t="shared" si="0"/>
        <v>0</v>
      </c>
    </row>
    <row r="35" spans="2:12" ht="14.25" customHeight="1" x14ac:dyDescent="0.2">
      <c r="B35" s="803" t="s">
        <v>606</v>
      </c>
      <c r="C35" s="803" t="str">
        <f>VLOOKUP("T.16.20",Translation,LanguageNo+1,FALSE)</f>
        <v>Banken und Effektenhändler</v>
      </c>
      <c r="D35" s="803" t="s">
        <v>139</v>
      </c>
      <c r="E35" s="805" t="str">
        <f>VLOOKUP("T.16.21",Translation,LanguageNo+1,FALSE)</f>
        <v>Banken und Effektenhändler, Ursprungslaufzeit der Forderung ≤ 3 Monate</v>
      </c>
      <c r="F35" s="805"/>
      <c r="G35" s="803" t="s">
        <v>35</v>
      </c>
      <c r="H35" s="804">
        <v>0.2</v>
      </c>
      <c r="I35" s="801"/>
      <c r="J35" s="801"/>
      <c r="K35" s="801"/>
      <c r="L35" s="802">
        <f t="shared" si="0"/>
        <v>0</v>
      </c>
    </row>
    <row r="36" spans="2:12" ht="14.25" customHeight="1" x14ac:dyDescent="0.2">
      <c r="B36" s="803"/>
      <c r="C36" s="803"/>
      <c r="D36" s="803"/>
      <c r="E36" s="803"/>
      <c r="F36" s="803"/>
      <c r="G36" s="803" t="s">
        <v>36</v>
      </c>
      <c r="H36" s="804">
        <v>0.2</v>
      </c>
      <c r="I36" s="801"/>
      <c r="J36" s="801"/>
      <c r="K36" s="801"/>
      <c r="L36" s="802">
        <f t="shared" si="0"/>
        <v>0</v>
      </c>
    </row>
    <row r="37" spans="2:12" ht="14.25" customHeight="1" x14ac:dyDescent="0.2">
      <c r="B37" s="803"/>
      <c r="C37" s="803"/>
      <c r="D37" s="803"/>
      <c r="E37" s="803"/>
      <c r="F37" s="803"/>
      <c r="G37" s="803" t="s">
        <v>37</v>
      </c>
      <c r="H37" s="804">
        <v>0.2</v>
      </c>
      <c r="I37" s="801"/>
      <c r="J37" s="801"/>
      <c r="K37" s="801"/>
      <c r="L37" s="802">
        <f t="shared" si="0"/>
        <v>0</v>
      </c>
    </row>
    <row r="38" spans="2:12" ht="14.25" customHeight="1" x14ac:dyDescent="0.2">
      <c r="B38" s="803"/>
      <c r="C38" s="803"/>
      <c r="D38" s="803"/>
      <c r="E38" s="803"/>
      <c r="F38" s="803"/>
      <c r="G38" s="803" t="s">
        <v>38</v>
      </c>
      <c r="H38" s="804">
        <v>0.2</v>
      </c>
      <c r="I38" s="801"/>
      <c r="J38" s="801"/>
      <c r="K38" s="801"/>
      <c r="L38" s="802">
        <f t="shared" si="0"/>
        <v>0</v>
      </c>
    </row>
    <row r="39" spans="2:12" ht="14.25" customHeight="1" x14ac:dyDescent="0.2">
      <c r="B39" s="803"/>
      <c r="C39" s="803"/>
      <c r="D39" s="803"/>
      <c r="E39" s="803"/>
      <c r="F39" s="803"/>
      <c r="G39" s="803" t="s">
        <v>39</v>
      </c>
      <c r="H39" s="804">
        <v>0.5</v>
      </c>
      <c r="I39" s="801"/>
      <c r="J39" s="801"/>
      <c r="K39" s="801"/>
      <c r="L39" s="802">
        <f t="shared" si="0"/>
        <v>0</v>
      </c>
    </row>
    <row r="40" spans="2:12" ht="14.25" customHeight="1" x14ac:dyDescent="0.2">
      <c r="B40" s="803"/>
      <c r="C40" s="803"/>
      <c r="D40" s="803"/>
      <c r="E40" s="803"/>
      <c r="F40" s="803"/>
      <c r="G40" s="803" t="s">
        <v>127</v>
      </c>
      <c r="H40" s="804">
        <v>0.5</v>
      </c>
      <c r="I40" s="801"/>
      <c r="J40" s="801"/>
      <c r="K40" s="801"/>
      <c r="L40" s="802">
        <f t="shared" si="0"/>
        <v>0</v>
      </c>
    </row>
    <row r="41" spans="2:12" ht="14.25" customHeight="1" x14ac:dyDescent="0.2">
      <c r="B41" s="803"/>
      <c r="C41" s="803"/>
      <c r="D41" s="803"/>
      <c r="E41" s="803"/>
      <c r="F41" s="803"/>
      <c r="G41" s="803" t="s">
        <v>128</v>
      </c>
      <c r="H41" s="804">
        <v>1.5</v>
      </c>
      <c r="I41" s="801"/>
      <c r="J41" s="801"/>
      <c r="K41" s="801"/>
      <c r="L41" s="802">
        <f t="shared" si="0"/>
        <v>0</v>
      </c>
    </row>
    <row r="42" spans="2:12" ht="14.25" customHeight="1" x14ac:dyDescent="0.2">
      <c r="B42" s="803"/>
      <c r="C42" s="803"/>
      <c r="D42" s="803"/>
      <c r="E42" s="803"/>
      <c r="F42" s="803"/>
      <c r="G42" s="803" t="str">
        <f>VLOOKUP("T.16.10",Translation,LanguageNo+1,FALSE)</f>
        <v>Nicht geratet</v>
      </c>
      <c r="H42" s="804">
        <v>0.2</v>
      </c>
      <c r="I42" s="801"/>
      <c r="J42" s="801"/>
      <c r="K42" s="801"/>
      <c r="L42" s="802">
        <f t="shared" si="0"/>
        <v>0</v>
      </c>
    </row>
    <row r="43" spans="2:12" ht="14.25" customHeight="1" x14ac:dyDescent="0.2">
      <c r="B43" s="803"/>
      <c r="C43" s="803"/>
      <c r="D43" s="803" t="s">
        <v>140</v>
      </c>
      <c r="E43" s="803" t="str">
        <f>VLOOKUP("T.16.22",Translation,LanguageNo+1,FALSE)</f>
        <v>Banken und Effektenhändler, Ursprungslaufzeit der Forderung &gt; 3 Monate</v>
      </c>
      <c r="F43" s="803"/>
      <c r="G43" s="803" t="s">
        <v>35</v>
      </c>
      <c r="H43" s="804">
        <v>0.2</v>
      </c>
      <c r="I43" s="801"/>
      <c r="J43" s="801"/>
      <c r="K43" s="801"/>
      <c r="L43" s="802">
        <f t="shared" si="0"/>
        <v>0</v>
      </c>
    </row>
    <row r="44" spans="2:12" ht="14.25" customHeight="1" x14ac:dyDescent="0.2">
      <c r="B44" s="803"/>
      <c r="C44" s="803"/>
      <c r="D44" s="803"/>
      <c r="E44" s="803"/>
      <c r="F44" s="803"/>
      <c r="G44" s="803" t="s">
        <v>36</v>
      </c>
      <c r="H44" s="804">
        <v>0.2</v>
      </c>
      <c r="I44" s="801"/>
      <c r="J44" s="801"/>
      <c r="K44" s="801"/>
      <c r="L44" s="802">
        <f t="shared" si="0"/>
        <v>0</v>
      </c>
    </row>
    <row r="45" spans="2:12" ht="14.25" customHeight="1" x14ac:dyDescent="0.2">
      <c r="B45" s="803"/>
      <c r="C45" s="803"/>
      <c r="D45" s="803"/>
      <c r="E45" s="803"/>
      <c r="F45" s="803"/>
      <c r="G45" s="803" t="s">
        <v>37</v>
      </c>
      <c r="H45" s="804">
        <v>0.5</v>
      </c>
      <c r="I45" s="801"/>
      <c r="J45" s="801"/>
      <c r="K45" s="801"/>
      <c r="L45" s="802">
        <f t="shared" si="0"/>
        <v>0</v>
      </c>
    </row>
    <row r="46" spans="2:12" ht="14.25" customHeight="1" x14ac:dyDescent="0.2">
      <c r="B46" s="803"/>
      <c r="C46" s="803"/>
      <c r="D46" s="803"/>
      <c r="E46" s="803"/>
      <c r="F46" s="803"/>
      <c r="G46" s="803" t="s">
        <v>38</v>
      </c>
      <c r="H46" s="804">
        <v>0.5</v>
      </c>
      <c r="I46" s="801"/>
      <c r="J46" s="801"/>
      <c r="K46" s="801"/>
      <c r="L46" s="802">
        <f t="shared" si="0"/>
        <v>0</v>
      </c>
    </row>
    <row r="47" spans="2:12" ht="14.25" customHeight="1" x14ac:dyDescent="0.2">
      <c r="B47" s="803"/>
      <c r="C47" s="803"/>
      <c r="D47" s="803"/>
      <c r="E47" s="803"/>
      <c r="F47" s="803"/>
      <c r="G47" s="803" t="s">
        <v>39</v>
      </c>
      <c r="H47" s="804">
        <v>1</v>
      </c>
      <c r="I47" s="801"/>
      <c r="J47" s="801"/>
      <c r="K47" s="801"/>
      <c r="L47" s="802">
        <f t="shared" si="0"/>
        <v>0</v>
      </c>
    </row>
    <row r="48" spans="2:12" ht="14.25" customHeight="1" x14ac:dyDescent="0.2">
      <c r="B48" s="803"/>
      <c r="C48" s="803"/>
      <c r="D48" s="803"/>
      <c r="E48" s="803"/>
      <c r="F48" s="803"/>
      <c r="G48" s="803" t="s">
        <v>127</v>
      </c>
      <c r="H48" s="804">
        <v>1</v>
      </c>
      <c r="I48" s="801"/>
      <c r="J48" s="801"/>
      <c r="K48" s="801"/>
      <c r="L48" s="802">
        <f t="shared" si="0"/>
        <v>0</v>
      </c>
    </row>
    <row r="49" spans="2:12" ht="14.25" customHeight="1" x14ac:dyDescent="0.2">
      <c r="B49" s="803"/>
      <c r="C49" s="803"/>
      <c r="D49" s="803"/>
      <c r="E49" s="803"/>
      <c r="F49" s="803"/>
      <c r="G49" s="803" t="s">
        <v>128</v>
      </c>
      <c r="H49" s="804">
        <v>1.5</v>
      </c>
      <c r="I49" s="801"/>
      <c r="J49" s="801"/>
      <c r="K49" s="801"/>
      <c r="L49" s="802">
        <f t="shared" si="0"/>
        <v>0</v>
      </c>
    </row>
    <row r="50" spans="2:12" ht="14.25" customHeight="1" x14ac:dyDescent="0.2">
      <c r="B50" s="803"/>
      <c r="C50" s="803"/>
      <c r="D50" s="803"/>
      <c r="E50" s="803"/>
      <c r="F50" s="803"/>
      <c r="G50" s="803" t="str">
        <f>VLOOKUP("T.16.10",Translation,LanguageNo+1,FALSE)</f>
        <v>Nicht geratet</v>
      </c>
      <c r="H50" s="804">
        <v>0.5</v>
      </c>
      <c r="I50" s="801"/>
      <c r="J50" s="801"/>
      <c r="K50" s="801"/>
      <c r="L50" s="802">
        <f t="shared" si="0"/>
        <v>0</v>
      </c>
    </row>
    <row r="51" spans="2:12" ht="14.25" customHeight="1" x14ac:dyDescent="0.2">
      <c r="B51" s="803" t="s">
        <v>607</v>
      </c>
      <c r="C51" s="803" t="str">
        <f>VLOOKUP("T.16.23",Translation,LanguageNo+1,FALSE)</f>
        <v>Gemeinschaftseinrichtungen</v>
      </c>
      <c r="D51" s="803" t="s">
        <v>142</v>
      </c>
      <c r="E51" s="803" t="str">
        <f>VLOOKUP("T.16.24",Translation,LanguageNo+1,FALSE)</f>
        <v>Von der FINMA anerkannte Gemeinschaftseinrichtungen der Banken</v>
      </c>
      <c r="F51" s="803"/>
      <c r="G51" s="803" t="s">
        <v>35</v>
      </c>
      <c r="H51" s="804">
        <v>0.2</v>
      </c>
      <c r="I51" s="801"/>
      <c r="J51" s="801"/>
      <c r="K51" s="801"/>
      <c r="L51" s="802">
        <f t="shared" si="0"/>
        <v>0</v>
      </c>
    </row>
    <row r="52" spans="2:12" ht="14.25" customHeight="1" x14ac:dyDescent="0.2">
      <c r="B52" s="803"/>
      <c r="C52" s="803"/>
      <c r="D52" s="803"/>
      <c r="E52" s="803"/>
      <c r="F52" s="803"/>
      <c r="G52" s="803" t="s">
        <v>36</v>
      </c>
      <c r="H52" s="804">
        <v>0.2</v>
      </c>
      <c r="I52" s="801"/>
      <c r="J52" s="801"/>
      <c r="K52" s="801"/>
      <c r="L52" s="802">
        <f t="shared" si="0"/>
        <v>0</v>
      </c>
    </row>
    <row r="53" spans="2:12" ht="14.25" customHeight="1" x14ac:dyDescent="0.2">
      <c r="B53" s="803"/>
      <c r="C53" s="803"/>
      <c r="D53" s="803"/>
      <c r="E53" s="803"/>
      <c r="F53" s="803"/>
      <c r="G53" s="803" t="s">
        <v>37</v>
      </c>
      <c r="H53" s="804">
        <v>0.5</v>
      </c>
      <c r="I53" s="801"/>
      <c r="J53" s="801"/>
      <c r="K53" s="801"/>
      <c r="L53" s="802">
        <f t="shared" si="0"/>
        <v>0</v>
      </c>
    </row>
    <row r="54" spans="2:12" ht="14.25" customHeight="1" x14ac:dyDescent="0.2">
      <c r="B54" s="803"/>
      <c r="C54" s="803"/>
      <c r="D54" s="803"/>
      <c r="E54" s="803"/>
      <c r="F54" s="803"/>
      <c r="G54" s="803" t="s">
        <v>38</v>
      </c>
      <c r="H54" s="804">
        <v>1</v>
      </c>
      <c r="I54" s="801"/>
      <c r="J54" s="801"/>
      <c r="K54" s="801"/>
      <c r="L54" s="802">
        <f t="shared" si="0"/>
        <v>0</v>
      </c>
    </row>
    <row r="55" spans="2:12" ht="14.25" customHeight="1" x14ac:dyDescent="0.2">
      <c r="B55" s="803"/>
      <c r="C55" s="803"/>
      <c r="D55" s="803"/>
      <c r="E55" s="803"/>
      <c r="F55" s="803"/>
      <c r="G55" s="803" t="s">
        <v>39</v>
      </c>
      <c r="H55" s="804">
        <v>1</v>
      </c>
      <c r="I55" s="801"/>
      <c r="J55" s="801"/>
      <c r="K55" s="801"/>
      <c r="L55" s="802">
        <f t="shared" si="0"/>
        <v>0</v>
      </c>
    </row>
    <row r="56" spans="2:12" ht="14.25" customHeight="1" x14ac:dyDescent="0.2">
      <c r="B56" s="803"/>
      <c r="C56" s="803"/>
      <c r="D56" s="803"/>
      <c r="E56" s="803"/>
      <c r="F56" s="803"/>
      <c r="G56" s="803" t="s">
        <v>127</v>
      </c>
      <c r="H56" s="804">
        <v>1.5</v>
      </c>
      <c r="I56" s="801"/>
      <c r="J56" s="801"/>
      <c r="K56" s="801"/>
      <c r="L56" s="802">
        <f t="shared" si="0"/>
        <v>0</v>
      </c>
    </row>
    <row r="57" spans="2:12" ht="14.25" customHeight="1" x14ac:dyDescent="0.2">
      <c r="B57" s="803"/>
      <c r="C57" s="803"/>
      <c r="D57" s="803"/>
      <c r="E57" s="803"/>
      <c r="F57" s="803"/>
      <c r="G57" s="803" t="s">
        <v>128</v>
      </c>
      <c r="H57" s="804">
        <v>1.5</v>
      </c>
      <c r="I57" s="801"/>
      <c r="J57" s="801"/>
      <c r="K57" s="801"/>
      <c r="L57" s="802">
        <f t="shared" si="0"/>
        <v>0</v>
      </c>
    </row>
    <row r="58" spans="2:12" ht="14.25" customHeight="1" x14ac:dyDescent="0.2">
      <c r="B58" s="803"/>
      <c r="C58" s="803"/>
      <c r="D58" s="803"/>
      <c r="E58" s="803"/>
      <c r="F58" s="803"/>
      <c r="G58" s="803" t="str">
        <f>VLOOKUP("T.16.10",Translation,LanguageNo+1,FALSE)</f>
        <v>Nicht geratet</v>
      </c>
      <c r="H58" s="804">
        <v>1</v>
      </c>
      <c r="I58" s="801"/>
      <c r="J58" s="801"/>
      <c r="K58" s="801"/>
      <c r="L58" s="802">
        <f t="shared" si="0"/>
        <v>0</v>
      </c>
    </row>
    <row r="59" spans="2:12" ht="14.25" customHeight="1" x14ac:dyDescent="0.2">
      <c r="B59" s="803"/>
      <c r="C59" s="803"/>
      <c r="D59" s="803" t="s">
        <v>143</v>
      </c>
      <c r="E59" s="803" t="str">
        <f>VLOOKUP("T.16.25",Translation,LanguageNo+1,FALSE)</f>
        <v>Einzahlungsverpflichtungen gegenüber dem Träger der Einlagensicherung</v>
      </c>
      <c r="F59" s="803"/>
      <c r="G59" s="803" t="s">
        <v>130</v>
      </c>
      <c r="H59" s="804">
        <v>0.2</v>
      </c>
      <c r="I59" s="801"/>
      <c r="J59" s="801"/>
      <c r="K59" s="801"/>
      <c r="L59" s="802">
        <f t="shared" si="0"/>
        <v>0</v>
      </c>
    </row>
    <row r="60" spans="2:12" ht="14.25" customHeight="1" x14ac:dyDescent="0.2">
      <c r="B60" s="803" t="s">
        <v>613</v>
      </c>
      <c r="C60" s="803" t="str">
        <f>VLOOKUP("T.16.26",Translation,LanguageNo+1,FALSE)</f>
        <v>Börsen und Clearinghäuser und zentrale Gegenparteien</v>
      </c>
      <c r="D60" s="803" t="s">
        <v>145</v>
      </c>
      <c r="E60" s="807" t="str">
        <f>VLOOKUP("T.16.26",Translation,LanguageNo+1,FALSE)</f>
        <v>Börsen und Clearinghäuser und zentrale Gegenparteien</v>
      </c>
      <c r="F60" s="803"/>
      <c r="G60" s="803" t="s">
        <v>35</v>
      </c>
      <c r="H60" s="804">
        <v>0.2</v>
      </c>
      <c r="I60" s="801"/>
      <c r="J60" s="801"/>
      <c r="K60" s="801"/>
      <c r="L60" s="802">
        <f t="shared" si="0"/>
        <v>0</v>
      </c>
    </row>
    <row r="61" spans="2:12" ht="14.25" customHeight="1" x14ac:dyDescent="0.2">
      <c r="B61" s="803"/>
      <c r="C61" s="803"/>
      <c r="D61" s="803"/>
      <c r="E61" s="803"/>
      <c r="F61" s="803"/>
      <c r="G61" s="803" t="s">
        <v>36</v>
      </c>
      <c r="H61" s="804">
        <v>0.2</v>
      </c>
      <c r="I61" s="801"/>
      <c r="J61" s="801"/>
      <c r="K61" s="801"/>
      <c r="L61" s="802">
        <f t="shared" si="0"/>
        <v>0</v>
      </c>
    </row>
    <row r="62" spans="2:12" ht="14.25" customHeight="1" x14ac:dyDescent="0.2">
      <c r="B62" s="803"/>
      <c r="C62" s="803"/>
      <c r="D62" s="803"/>
      <c r="E62" s="803"/>
      <c r="F62" s="803"/>
      <c r="G62" s="803" t="s">
        <v>37</v>
      </c>
      <c r="H62" s="804">
        <v>0.5</v>
      </c>
      <c r="I62" s="801"/>
      <c r="J62" s="801"/>
      <c r="K62" s="801"/>
      <c r="L62" s="802">
        <f t="shared" si="0"/>
        <v>0</v>
      </c>
    </row>
    <row r="63" spans="2:12" ht="14.25" customHeight="1" x14ac:dyDescent="0.2">
      <c r="B63" s="803"/>
      <c r="C63" s="803"/>
      <c r="D63" s="803"/>
      <c r="E63" s="803"/>
      <c r="F63" s="803"/>
      <c r="G63" s="803" t="s">
        <v>38</v>
      </c>
      <c r="H63" s="804">
        <v>1</v>
      </c>
      <c r="I63" s="801"/>
      <c r="J63" s="801"/>
      <c r="K63" s="801"/>
      <c r="L63" s="802">
        <f t="shared" si="0"/>
        <v>0</v>
      </c>
    </row>
    <row r="64" spans="2:12" ht="14.25" customHeight="1" x14ac:dyDescent="0.2">
      <c r="B64" s="803"/>
      <c r="C64" s="803"/>
      <c r="D64" s="803"/>
      <c r="E64" s="803"/>
      <c r="F64" s="803"/>
      <c r="G64" s="803" t="s">
        <v>39</v>
      </c>
      <c r="H64" s="804">
        <v>1</v>
      </c>
      <c r="I64" s="801"/>
      <c r="J64" s="801"/>
      <c r="K64" s="801"/>
      <c r="L64" s="802">
        <f t="shared" si="0"/>
        <v>0</v>
      </c>
    </row>
    <row r="65" spans="2:12" ht="14.25" customHeight="1" x14ac:dyDescent="0.2">
      <c r="B65" s="803"/>
      <c r="C65" s="803"/>
      <c r="D65" s="803"/>
      <c r="E65" s="803"/>
      <c r="F65" s="803"/>
      <c r="G65" s="803" t="s">
        <v>127</v>
      </c>
      <c r="H65" s="804">
        <v>1.5</v>
      </c>
      <c r="I65" s="801"/>
      <c r="J65" s="801"/>
      <c r="K65" s="801"/>
      <c r="L65" s="802">
        <f t="shared" si="0"/>
        <v>0</v>
      </c>
    </row>
    <row r="66" spans="2:12" ht="14.25" customHeight="1" x14ac:dyDescent="0.2">
      <c r="B66" s="803"/>
      <c r="C66" s="803"/>
      <c r="D66" s="803"/>
      <c r="E66" s="803"/>
      <c r="F66" s="803"/>
      <c r="G66" s="803" t="s">
        <v>128</v>
      </c>
      <c r="H66" s="804">
        <v>1.5</v>
      </c>
      <c r="I66" s="801"/>
      <c r="J66" s="801"/>
      <c r="K66" s="801"/>
      <c r="L66" s="802">
        <f t="shared" si="0"/>
        <v>0</v>
      </c>
    </row>
    <row r="67" spans="2:12" ht="14.25" customHeight="1" x14ac:dyDescent="0.2">
      <c r="B67" s="803"/>
      <c r="C67" s="803"/>
      <c r="D67" s="803"/>
      <c r="E67" s="803"/>
      <c r="F67" s="803"/>
      <c r="G67" s="803" t="str">
        <f>VLOOKUP("T.16.10",Translation,LanguageNo+1,FALSE)</f>
        <v>Nicht geratet</v>
      </c>
      <c r="H67" s="804">
        <v>1</v>
      </c>
      <c r="I67" s="801"/>
      <c r="J67" s="801"/>
      <c r="K67" s="801"/>
      <c r="L67" s="802">
        <f t="shared" si="0"/>
        <v>0</v>
      </c>
    </row>
    <row r="68" spans="2:12" ht="65.099999999999994" customHeight="1" x14ac:dyDescent="0.2">
      <c r="B68" s="803"/>
      <c r="C68" s="803"/>
      <c r="D68" s="803" t="s">
        <v>147</v>
      </c>
      <c r="E68" s="43" t="str">
        <f>VLOOKUP("T.16.27",Translation,LanguageNo+1,FALSE)</f>
        <v>Zentrale Gegenparteien, sofern Kreditrisiken in direktem Zusammenhang mit der durch die zentrale Gegenpartei garantierten Leistungserfüllung börslich oder ausserbörslich gehandelter Kontrakte stehen (insbesondere Derivate, Repo oder repoähnliche Geschäfte, wo die zentrale Gegenpartei die Pflichterfüllung über die gesamte Laufzeit garantiert).</v>
      </c>
      <c r="F68" s="44"/>
      <c r="G68" s="803" t="s">
        <v>130</v>
      </c>
      <c r="H68" s="804">
        <v>0.02</v>
      </c>
      <c r="I68" s="801"/>
      <c r="J68" s="801"/>
      <c r="K68" s="801"/>
      <c r="L68" s="802">
        <f t="shared" si="0"/>
        <v>0</v>
      </c>
    </row>
    <row r="69" spans="2:12" ht="54" customHeight="1" x14ac:dyDescent="0.2">
      <c r="B69" s="803"/>
      <c r="C69" s="803"/>
      <c r="D69" s="803" t="s">
        <v>148</v>
      </c>
      <c r="E69" s="805" t="str">
        <f>VLOOKUP("T.16.28",Translation,LanguageNo+1,FALSE)</f>
        <v>Börsen und Clearinghäuser, sofern Kreditrisiken in direktem Zusammenhang mit der durch eine zentrale Gegenpartei garantierten Leistungserfüllung von Geschäften stehen, wo die zentrale Gegenpartei lediglich die Abwicklung garantiert (insbesondere Kassageschäfte).</v>
      </c>
      <c r="F69" s="805"/>
      <c r="G69" s="803" t="s">
        <v>130</v>
      </c>
      <c r="H69" s="804">
        <v>0</v>
      </c>
      <c r="I69" s="801"/>
      <c r="J69" s="801"/>
      <c r="K69" s="801"/>
      <c r="L69" s="802">
        <f t="shared" si="0"/>
        <v>0</v>
      </c>
    </row>
    <row r="70" spans="2:12" ht="14.25" customHeight="1" x14ac:dyDescent="0.2">
      <c r="B70" s="803" t="s">
        <v>608</v>
      </c>
      <c r="C70" s="803" t="str">
        <f>VLOOKUP("T.16.29",Translation,LanguageNo+1,FALSE)</f>
        <v>Unternehmen</v>
      </c>
      <c r="D70" s="803" t="s">
        <v>150</v>
      </c>
      <c r="E70" s="803" t="str">
        <f>VLOOKUP("T.16.29",Translation,LanguageNo+1,FALSE)</f>
        <v>Unternehmen</v>
      </c>
      <c r="F70" s="803"/>
      <c r="G70" s="803" t="s">
        <v>35</v>
      </c>
      <c r="H70" s="804">
        <v>0.2</v>
      </c>
      <c r="I70" s="801"/>
      <c r="J70" s="801"/>
      <c r="K70" s="801"/>
      <c r="L70" s="802">
        <f t="shared" si="0"/>
        <v>0</v>
      </c>
    </row>
    <row r="71" spans="2:12" ht="14.25" customHeight="1" x14ac:dyDescent="0.2">
      <c r="B71" s="803"/>
      <c r="C71" s="803"/>
      <c r="D71" s="803"/>
      <c r="E71" s="803"/>
      <c r="F71" s="803"/>
      <c r="G71" s="803" t="s">
        <v>36</v>
      </c>
      <c r="H71" s="804">
        <v>0.2</v>
      </c>
      <c r="I71" s="801"/>
      <c r="J71" s="801"/>
      <c r="K71" s="801"/>
      <c r="L71" s="802">
        <f t="shared" si="0"/>
        <v>0</v>
      </c>
    </row>
    <row r="72" spans="2:12" ht="14.25" customHeight="1" x14ac:dyDescent="0.2">
      <c r="B72" s="803"/>
      <c r="C72" s="803"/>
      <c r="D72" s="803"/>
      <c r="E72" s="803"/>
      <c r="F72" s="803"/>
      <c r="G72" s="803" t="s">
        <v>37</v>
      </c>
      <c r="H72" s="804">
        <v>0.5</v>
      </c>
      <c r="I72" s="801"/>
      <c r="J72" s="801"/>
      <c r="K72" s="801"/>
      <c r="L72" s="802">
        <f t="shared" ref="L72:L115" si="1">H72*(I72-J72-K72)</f>
        <v>0</v>
      </c>
    </row>
    <row r="73" spans="2:12" ht="14.25" customHeight="1" x14ac:dyDescent="0.2">
      <c r="B73" s="803"/>
      <c r="C73" s="803"/>
      <c r="D73" s="803"/>
      <c r="E73" s="803"/>
      <c r="F73" s="803"/>
      <c r="G73" s="803" t="s">
        <v>38</v>
      </c>
      <c r="H73" s="804">
        <v>1</v>
      </c>
      <c r="I73" s="801"/>
      <c r="J73" s="801"/>
      <c r="K73" s="801"/>
      <c r="L73" s="802">
        <f t="shared" si="1"/>
        <v>0</v>
      </c>
    </row>
    <row r="74" spans="2:12" ht="14.25" customHeight="1" x14ac:dyDescent="0.2">
      <c r="B74" s="803"/>
      <c r="C74" s="803"/>
      <c r="D74" s="803"/>
      <c r="E74" s="803"/>
      <c r="F74" s="803"/>
      <c r="G74" s="803" t="s">
        <v>39</v>
      </c>
      <c r="H74" s="804">
        <v>1</v>
      </c>
      <c r="I74" s="801"/>
      <c r="J74" s="801"/>
      <c r="K74" s="801"/>
      <c r="L74" s="802">
        <f t="shared" si="1"/>
        <v>0</v>
      </c>
    </row>
    <row r="75" spans="2:12" ht="14.25" customHeight="1" x14ac:dyDescent="0.2">
      <c r="B75" s="803"/>
      <c r="C75" s="803"/>
      <c r="D75" s="803"/>
      <c r="E75" s="803"/>
      <c r="F75" s="803"/>
      <c r="G75" s="803" t="s">
        <v>127</v>
      </c>
      <c r="H75" s="804">
        <v>1.5</v>
      </c>
      <c r="I75" s="801"/>
      <c r="J75" s="801"/>
      <c r="K75" s="801"/>
      <c r="L75" s="802">
        <f t="shared" si="1"/>
        <v>0</v>
      </c>
    </row>
    <row r="76" spans="2:12" ht="14.25" customHeight="1" x14ac:dyDescent="0.2">
      <c r="B76" s="803"/>
      <c r="C76" s="803"/>
      <c r="D76" s="803"/>
      <c r="E76" s="803"/>
      <c r="F76" s="803"/>
      <c r="G76" s="803" t="s">
        <v>128</v>
      </c>
      <c r="H76" s="804">
        <v>1.5</v>
      </c>
      <c r="I76" s="801"/>
      <c r="J76" s="801"/>
      <c r="K76" s="801"/>
      <c r="L76" s="802">
        <f t="shared" si="1"/>
        <v>0</v>
      </c>
    </row>
    <row r="77" spans="2:12" ht="14.25" customHeight="1" x14ac:dyDescent="0.2">
      <c r="B77" s="803"/>
      <c r="C77" s="803"/>
      <c r="D77" s="803"/>
      <c r="E77" s="803"/>
      <c r="F77" s="803"/>
      <c r="G77" s="803" t="str">
        <f>VLOOKUP("T.16.10",Translation,LanguageNo+1,FALSE)</f>
        <v>Nicht geratet</v>
      </c>
      <c r="H77" s="808">
        <v>1</v>
      </c>
      <c r="I77" s="801"/>
      <c r="J77" s="801"/>
      <c r="K77" s="801"/>
      <c r="L77" s="802">
        <f t="shared" si="1"/>
        <v>0</v>
      </c>
    </row>
    <row r="78" spans="2:12" ht="14.25" customHeight="1" x14ac:dyDescent="0.2">
      <c r="B78" s="543" t="s">
        <v>1714</v>
      </c>
      <c r="C78" s="543" t="str">
        <f>VLOOKUP("T.16.30",Translation,LanguageNo+1,FALSE)</f>
        <v>davon Rückversicherung / Retrozession</v>
      </c>
      <c r="D78" s="543" t="s">
        <v>1932</v>
      </c>
      <c r="E78" s="543" t="str">
        <f>VLOOKUP("T.16.30",Translation,LanguageNo+1,FALSE)</f>
        <v>davon Rückversicherung / Retrozession</v>
      </c>
      <c r="F78" s="803"/>
      <c r="G78" s="803" t="s">
        <v>35</v>
      </c>
      <c r="H78" s="804">
        <v>0.2</v>
      </c>
      <c r="I78" s="801"/>
      <c r="J78" s="801"/>
      <c r="K78" s="801"/>
      <c r="L78" s="802">
        <f t="shared" si="1"/>
        <v>0</v>
      </c>
    </row>
    <row r="79" spans="2:12" ht="14.25" customHeight="1" x14ac:dyDescent="0.2">
      <c r="B79" s="803"/>
      <c r="C79" s="803"/>
      <c r="D79" s="803"/>
      <c r="E79" s="803"/>
      <c r="F79" s="803"/>
      <c r="G79" s="803" t="s">
        <v>36</v>
      </c>
      <c r="H79" s="804">
        <v>0.2</v>
      </c>
      <c r="I79" s="801"/>
      <c r="J79" s="801"/>
      <c r="K79" s="801"/>
      <c r="L79" s="802">
        <f t="shared" si="1"/>
        <v>0</v>
      </c>
    </row>
    <row r="80" spans="2:12" ht="14.25" customHeight="1" x14ac:dyDescent="0.2">
      <c r="B80" s="803"/>
      <c r="C80" s="803"/>
      <c r="D80" s="803"/>
      <c r="E80" s="803"/>
      <c r="F80" s="803"/>
      <c r="G80" s="803" t="s">
        <v>37</v>
      </c>
      <c r="H80" s="804">
        <v>0.5</v>
      </c>
      <c r="I80" s="801"/>
      <c r="J80" s="801"/>
      <c r="K80" s="801"/>
      <c r="L80" s="802">
        <f t="shared" ref="L80:L85" si="2">H80*(I80-J80-K80)</f>
        <v>0</v>
      </c>
    </row>
    <row r="81" spans="2:12" ht="14.25" customHeight="1" x14ac:dyDescent="0.2">
      <c r="B81" s="803"/>
      <c r="C81" s="803"/>
      <c r="D81" s="803"/>
      <c r="E81" s="803"/>
      <c r="F81" s="803"/>
      <c r="G81" s="803" t="s">
        <v>38</v>
      </c>
      <c r="H81" s="804">
        <v>1</v>
      </c>
      <c r="I81" s="801"/>
      <c r="J81" s="801"/>
      <c r="K81" s="801"/>
      <c r="L81" s="802">
        <f t="shared" si="2"/>
        <v>0</v>
      </c>
    </row>
    <row r="82" spans="2:12" ht="14.25" customHeight="1" x14ac:dyDescent="0.2">
      <c r="B82" s="803"/>
      <c r="C82" s="803"/>
      <c r="D82" s="803"/>
      <c r="E82" s="803"/>
      <c r="F82" s="803"/>
      <c r="G82" s="803" t="s">
        <v>39</v>
      </c>
      <c r="H82" s="804">
        <v>1</v>
      </c>
      <c r="I82" s="801"/>
      <c r="J82" s="801"/>
      <c r="K82" s="801"/>
      <c r="L82" s="802">
        <f t="shared" si="2"/>
        <v>0</v>
      </c>
    </row>
    <row r="83" spans="2:12" ht="14.25" customHeight="1" x14ac:dyDescent="0.2">
      <c r="B83" s="803"/>
      <c r="C83" s="803"/>
      <c r="D83" s="803"/>
      <c r="E83" s="803"/>
      <c r="F83" s="803"/>
      <c r="G83" s="803" t="s">
        <v>127</v>
      </c>
      <c r="H83" s="804">
        <v>1.5</v>
      </c>
      <c r="I83" s="801"/>
      <c r="J83" s="801"/>
      <c r="K83" s="801"/>
      <c r="L83" s="802">
        <f t="shared" si="2"/>
        <v>0</v>
      </c>
    </row>
    <row r="84" spans="2:12" ht="14.25" customHeight="1" x14ac:dyDescent="0.2">
      <c r="B84" s="803"/>
      <c r="C84" s="803"/>
      <c r="D84" s="803"/>
      <c r="E84" s="803"/>
      <c r="F84" s="803"/>
      <c r="G84" s="803" t="s">
        <v>128</v>
      </c>
      <c r="H84" s="804">
        <v>1.5</v>
      </c>
      <c r="I84" s="801"/>
      <c r="J84" s="801"/>
      <c r="K84" s="801"/>
      <c r="L84" s="802">
        <f t="shared" si="2"/>
        <v>0</v>
      </c>
    </row>
    <row r="85" spans="2:12" ht="14.25" customHeight="1" x14ac:dyDescent="0.2">
      <c r="B85" s="803"/>
      <c r="C85" s="803"/>
      <c r="D85" s="803"/>
      <c r="E85" s="803"/>
      <c r="F85" s="803"/>
      <c r="G85" s="803" t="str">
        <f>VLOOKUP("T.16.10",Translation,LanguageNo+1,FALSE)</f>
        <v>Nicht geratet</v>
      </c>
      <c r="H85" s="808">
        <v>1</v>
      </c>
      <c r="I85" s="801"/>
      <c r="J85" s="801"/>
      <c r="K85" s="801"/>
      <c r="L85" s="802">
        <f t="shared" si="2"/>
        <v>0</v>
      </c>
    </row>
    <row r="86" spans="2:12" ht="14.25" customHeight="1" x14ac:dyDescent="0.2">
      <c r="B86" s="45" t="s">
        <v>609</v>
      </c>
      <c r="C86" s="803" t="str">
        <f>VLOOKUP("T.16.31",Translation,LanguageNo+1,FALSE)</f>
        <v>Verbriefungen</v>
      </c>
      <c r="D86" s="45" t="s">
        <v>152</v>
      </c>
      <c r="E86" s="45" t="str">
        <f>VLOOKUP("T.16.31",Translation,LanguageNo+1,FALSE)</f>
        <v>Verbriefungen</v>
      </c>
      <c r="F86" s="45"/>
      <c r="G86" s="46" t="s">
        <v>154</v>
      </c>
      <c r="H86" s="809"/>
      <c r="I86" s="801"/>
      <c r="J86" s="801"/>
      <c r="K86" s="801"/>
      <c r="L86" s="802">
        <f t="shared" si="1"/>
        <v>0</v>
      </c>
    </row>
    <row r="87" spans="2:12" ht="14.25" customHeight="1" x14ac:dyDescent="0.2">
      <c r="B87" s="810"/>
      <c r="C87" s="811"/>
      <c r="D87" s="810"/>
      <c r="E87" s="810"/>
      <c r="F87" s="810"/>
      <c r="G87" s="46" t="s">
        <v>154</v>
      </c>
      <c r="H87" s="812"/>
      <c r="I87" s="801"/>
      <c r="J87" s="801"/>
      <c r="K87" s="801"/>
      <c r="L87" s="802">
        <f t="shared" si="1"/>
        <v>0</v>
      </c>
    </row>
    <row r="88" spans="2:12" ht="14.25" customHeight="1" x14ac:dyDescent="0.2">
      <c r="B88" s="810"/>
      <c r="C88" s="811"/>
      <c r="D88" s="810"/>
      <c r="E88" s="810"/>
      <c r="F88" s="810"/>
      <c r="G88" s="46" t="s">
        <v>154</v>
      </c>
      <c r="H88" s="812"/>
      <c r="I88" s="801"/>
      <c r="J88" s="801"/>
      <c r="K88" s="801"/>
      <c r="L88" s="802">
        <f t="shared" si="1"/>
        <v>0</v>
      </c>
    </row>
    <row r="89" spans="2:12" ht="14.25" customHeight="1" x14ac:dyDescent="0.2">
      <c r="B89" s="810"/>
      <c r="C89" s="811"/>
      <c r="D89" s="810"/>
      <c r="E89" s="810"/>
      <c r="F89" s="810"/>
      <c r="G89" s="46" t="s">
        <v>154</v>
      </c>
      <c r="H89" s="812"/>
      <c r="I89" s="801"/>
      <c r="J89" s="801"/>
      <c r="K89" s="801"/>
      <c r="L89" s="802">
        <f t="shared" si="1"/>
        <v>0</v>
      </c>
    </row>
    <row r="90" spans="2:12" ht="14.25" customHeight="1" x14ac:dyDescent="0.2">
      <c r="B90" s="810"/>
      <c r="C90" s="811"/>
      <c r="D90" s="810"/>
      <c r="E90" s="810"/>
      <c r="F90" s="810"/>
      <c r="G90" s="46" t="s">
        <v>154</v>
      </c>
      <c r="H90" s="812"/>
      <c r="I90" s="801"/>
      <c r="J90" s="801"/>
      <c r="K90" s="801"/>
      <c r="L90" s="802">
        <f t="shared" si="1"/>
        <v>0</v>
      </c>
    </row>
    <row r="91" spans="2:12" ht="14.25" customHeight="1" x14ac:dyDescent="0.2">
      <c r="B91" s="810"/>
      <c r="C91" s="811"/>
      <c r="D91" s="810"/>
      <c r="E91" s="810"/>
      <c r="F91" s="810"/>
      <c r="G91" s="46" t="s">
        <v>154</v>
      </c>
      <c r="H91" s="812"/>
      <c r="I91" s="801"/>
      <c r="J91" s="801"/>
      <c r="K91" s="801"/>
      <c r="L91" s="802">
        <f t="shared" si="1"/>
        <v>0</v>
      </c>
    </row>
    <row r="92" spans="2:12" ht="14.25" customHeight="1" x14ac:dyDescent="0.2">
      <c r="B92" s="810"/>
      <c r="C92" s="811"/>
      <c r="D92" s="810"/>
      <c r="E92" s="810"/>
      <c r="F92" s="810"/>
      <c r="G92" s="46" t="s">
        <v>154</v>
      </c>
      <c r="H92" s="812"/>
      <c r="I92" s="801"/>
      <c r="J92" s="801"/>
      <c r="K92" s="801"/>
      <c r="L92" s="802">
        <f t="shared" si="1"/>
        <v>0</v>
      </c>
    </row>
    <row r="93" spans="2:12" ht="14.25" customHeight="1" x14ac:dyDescent="0.2">
      <c r="B93" s="810"/>
      <c r="C93" s="811"/>
      <c r="D93" s="810"/>
      <c r="E93" s="810"/>
      <c r="F93" s="810"/>
      <c r="G93" s="46" t="s">
        <v>154</v>
      </c>
      <c r="H93" s="812"/>
      <c r="I93" s="801"/>
      <c r="J93" s="801"/>
      <c r="K93" s="801"/>
      <c r="L93" s="802">
        <f t="shared" si="1"/>
        <v>0</v>
      </c>
    </row>
    <row r="94" spans="2:12" ht="14.25" customHeight="1" x14ac:dyDescent="0.2">
      <c r="B94" s="810"/>
      <c r="C94" s="811"/>
      <c r="D94" s="810"/>
      <c r="E94" s="810"/>
      <c r="F94" s="810"/>
      <c r="G94" s="46" t="s">
        <v>154</v>
      </c>
      <c r="H94" s="812"/>
      <c r="I94" s="801"/>
      <c r="J94" s="801"/>
      <c r="K94" s="801"/>
      <c r="L94" s="802">
        <f t="shared" si="1"/>
        <v>0</v>
      </c>
    </row>
    <row r="95" spans="2:12" ht="14.25" customHeight="1" x14ac:dyDescent="0.2">
      <c r="B95" s="810"/>
      <c r="C95" s="811"/>
      <c r="D95" s="810"/>
      <c r="E95" s="810"/>
      <c r="F95" s="810"/>
      <c r="G95" s="46" t="s">
        <v>154</v>
      </c>
      <c r="H95" s="812"/>
      <c r="I95" s="801"/>
      <c r="J95" s="801"/>
      <c r="K95" s="801"/>
      <c r="L95" s="802">
        <f t="shared" si="1"/>
        <v>0</v>
      </c>
    </row>
    <row r="96" spans="2:12" ht="14.25" customHeight="1" x14ac:dyDescent="0.2">
      <c r="B96" s="810"/>
      <c r="C96" s="811"/>
      <c r="D96" s="810"/>
      <c r="E96" s="810"/>
      <c r="F96" s="810"/>
      <c r="G96" s="46" t="s">
        <v>154</v>
      </c>
      <c r="H96" s="812"/>
      <c r="I96" s="801"/>
      <c r="J96" s="801"/>
      <c r="K96" s="801"/>
      <c r="L96" s="802">
        <f t="shared" si="1"/>
        <v>0</v>
      </c>
    </row>
    <row r="97" spans="2:12" ht="14.25" customHeight="1" x14ac:dyDescent="0.2">
      <c r="B97" s="810"/>
      <c r="C97" s="811"/>
      <c r="D97" s="810"/>
      <c r="E97" s="810"/>
      <c r="F97" s="810"/>
      <c r="G97" s="46" t="s">
        <v>154</v>
      </c>
      <c r="H97" s="812"/>
      <c r="I97" s="801"/>
      <c r="J97" s="801"/>
      <c r="K97" s="801"/>
      <c r="L97" s="802">
        <f t="shared" si="1"/>
        <v>0</v>
      </c>
    </row>
    <row r="98" spans="2:12" ht="14.25" customHeight="1" x14ac:dyDescent="0.2">
      <c r="B98" s="810"/>
      <c r="C98" s="811"/>
      <c r="D98" s="810"/>
      <c r="E98" s="810"/>
      <c r="F98" s="810"/>
      <c r="G98" s="46" t="s">
        <v>154</v>
      </c>
      <c r="H98" s="812"/>
      <c r="I98" s="801"/>
      <c r="J98" s="801"/>
      <c r="K98" s="801"/>
      <c r="L98" s="802">
        <f t="shared" si="1"/>
        <v>0</v>
      </c>
    </row>
    <row r="99" spans="2:12" ht="14.25" customHeight="1" x14ac:dyDescent="0.2">
      <c r="B99" s="810"/>
      <c r="C99" s="811"/>
      <c r="D99" s="810"/>
      <c r="E99" s="810"/>
      <c r="F99" s="810"/>
      <c r="G99" s="46" t="s">
        <v>154</v>
      </c>
      <c r="H99" s="812"/>
      <c r="I99" s="801"/>
      <c r="J99" s="801"/>
      <c r="K99" s="801"/>
      <c r="L99" s="802">
        <f t="shared" si="1"/>
        <v>0</v>
      </c>
    </row>
    <row r="100" spans="2:12" ht="14.25" customHeight="1" x14ac:dyDescent="0.2">
      <c r="B100" s="810"/>
      <c r="C100" s="811"/>
      <c r="D100" s="810"/>
      <c r="E100" s="810"/>
      <c r="F100" s="810"/>
      <c r="G100" s="46" t="s">
        <v>154</v>
      </c>
      <c r="H100" s="812"/>
      <c r="I100" s="801"/>
      <c r="J100" s="801"/>
      <c r="K100" s="801"/>
      <c r="L100" s="802">
        <f t="shared" si="1"/>
        <v>0</v>
      </c>
    </row>
    <row r="101" spans="2:12" ht="14.25" customHeight="1" x14ac:dyDescent="0.2">
      <c r="B101" s="45"/>
      <c r="C101" s="811"/>
      <c r="D101" s="45" t="s">
        <v>155</v>
      </c>
      <c r="E101" s="45" t="str">
        <f>VLOOKUP("T.16.32",Translation,LanguageNo+1,FALSE)</f>
        <v>Wiederverbriefungen</v>
      </c>
      <c r="F101" s="45"/>
      <c r="G101" s="46" t="s">
        <v>154</v>
      </c>
      <c r="H101" s="812"/>
      <c r="I101" s="801"/>
      <c r="J101" s="801"/>
      <c r="K101" s="801"/>
      <c r="L101" s="802">
        <f t="shared" si="1"/>
        <v>0</v>
      </c>
    </row>
    <row r="102" spans="2:12" ht="14.25" customHeight="1" x14ac:dyDescent="0.2">
      <c r="B102" s="810"/>
      <c r="C102" s="811"/>
      <c r="D102" s="810"/>
      <c r="E102" s="810"/>
      <c r="F102" s="810"/>
      <c r="G102" s="46" t="s">
        <v>154</v>
      </c>
      <c r="H102" s="812"/>
      <c r="I102" s="801"/>
      <c r="J102" s="801"/>
      <c r="K102" s="801"/>
      <c r="L102" s="802">
        <f t="shared" si="1"/>
        <v>0</v>
      </c>
    </row>
    <row r="103" spans="2:12" ht="14.25" customHeight="1" x14ac:dyDescent="0.2">
      <c r="B103" s="810"/>
      <c r="C103" s="811"/>
      <c r="D103" s="810"/>
      <c r="E103" s="810"/>
      <c r="F103" s="810"/>
      <c r="G103" s="46" t="s">
        <v>154</v>
      </c>
      <c r="H103" s="812"/>
      <c r="I103" s="801"/>
      <c r="J103" s="801"/>
      <c r="K103" s="801"/>
      <c r="L103" s="802">
        <f t="shared" si="1"/>
        <v>0</v>
      </c>
    </row>
    <row r="104" spans="2:12" ht="14.25" customHeight="1" x14ac:dyDescent="0.2">
      <c r="B104" s="810"/>
      <c r="C104" s="811"/>
      <c r="D104" s="810"/>
      <c r="E104" s="810"/>
      <c r="F104" s="810"/>
      <c r="G104" s="46" t="s">
        <v>154</v>
      </c>
      <c r="H104" s="812"/>
      <c r="I104" s="801"/>
      <c r="J104" s="801"/>
      <c r="K104" s="801"/>
      <c r="L104" s="802">
        <f t="shared" si="1"/>
        <v>0</v>
      </c>
    </row>
    <row r="105" spans="2:12" ht="14.25" customHeight="1" x14ac:dyDescent="0.2">
      <c r="B105" s="810"/>
      <c r="C105" s="811"/>
      <c r="D105" s="810"/>
      <c r="E105" s="810"/>
      <c r="F105" s="810"/>
      <c r="G105" s="46" t="s">
        <v>154</v>
      </c>
      <c r="H105" s="812"/>
      <c r="I105" s="801"/>
      <c r="J105" s="801"/>
      <c r="K105" s="801"/>
      <c r="L105" s="802">
        <f t="shared" si="1"/>
        <v>0</v>
      </c>
    </row>
    <row r="106" spans="2:12" ht="14.25" customHeight="1" x14ac:dyDescent="0.2">
      <c r="B106" s="810"/>
      <c r="C106" s="811"/>
      <c r="D106" s="810"/>
      <c r="E106" s="810"/>
      <c r="F106" s="810"/>
      <c r="G106" s="46" t="s">
        <v>154</v>
      </c>
      <c r="H106" s="812"/>
      <c r="I106" s="801"/>
      <c r="J106" s="801"/>
      <c r="K106" s="801"/>
      <c r="L106" s="802">
        <f t="shared" si="1"/>
        <v>0</v>
      </c>
    </row>
    <row r="107" spans="2:12" ht="14.25" customHeight="1" x14ac:dyDescent="0.2">
      <c r="B107" s="810"/>
      <c r="C107" s="811"/>
      <c r="D107" s="810"/>
      <c r="E107" s="810"/>
      <c r="F107" s="810"/>
      <c r="G107" s="46" t="s">
        <v>154</v>
      </c>
      <c r="H107" s="812"/>
      <c r="I107" s="801"/>
      <c r="J107" s="801"/>
      <c r="K107" s="801"/>
      <c r="L107" s="802">
        <f t="shared" si="1"/>
        <v>0</v>
      </c>
    </row>
    <row r="108" spans="2:12" ht="14.25" customHeight="1" x14ac:dyDescent="0.2">
      <c r="B108" s="810"/>
      <c r="C108" s="811"/>
      <c r="D108" s="810"/>
      <c r="E108" s="810"/>
      <c r="F108" s="810"/>
      <c r="G108" s="46" t="s">
        <v>154</v>
      </c>
      <c r="H108" s="812"/>
      <c r="I108" s="801"/>
      <c r="J108" s="801"/>
      <c r="K108" s="801"/>
      <c r="L108" s="802">
        <f t="shared" si="1"/>
        <v>0</v>
      </c>
    </row>
    <row r="109" spans="2:12" ht="14.25" customHeight="1" x14ac:dyDescent="0.2">
      <c r="B109" s="810"/>
      <c r="C109" s="811"/>
      <c r="D109" s="810"/>
      <c r="E109" s="810"/>
      <c r="F109" s="810"/>
      <c r="G109" s="46" t="s">
        <v>154</v>
      </c>
      <c r="H109" s="812"/>
      <c r="I109" s="801"/>
      <c r="J109" s="801"/>
      <c r="K109" s="801"/>
      <c r="L109" s="802">
        <f t="shared" si="1"/>
        <v>0</v>
      </c>
    </row>
    <row r="110" spans="2:12" ht="14.25" customHeight="1" x14ac:dyDescent="0.2">
      <c r="B110" s="810"/>
      <c r="C110" s="811"/>
      <c r="D110" s="810"/>
      <c r="E110" s="810"/>
      <c r="F110" s="810"/>
      <c r="G110" s="46" t="s">
        <v>154</v>
      </c>
      <c r="H110" s="812"/>
      <c r="I110" s="801"/>
      <c r="J110" s="801"/>
      <c r="K110" s="801"/>
      <c r="L110" s="802">
        <f t="shared" si="1"/>
        <v>0</v>
      </c>
    </row>
    <row r="111" spans="2:12" ht="14.25" customHeight="1" x14ac:dyDescent="0.2">
      <c r="B111" s="810"/>
      <c r="C111" s="811"/>
      <c r="D111" s="810"/>
      <c r="E111" s="810"/>
      <c r="F111" s="810"/>
      <c r="G111" s="46" t="s">
        <v>154</v>
      </c>
      <c r="H111" s="812"/>
      <c r="I111" s="801"/>
      <c r="J111" s="801"/>
      <c r="K111" s="801"/>
      <c r="L111" s="802">
        <f t="shared" si="1"/>
        <v>0</v>
      </c>
    </row>
    <row r="112" spans="2:12" ht="14.25" customHeight="1" x14ac:dyDescent="0.2">
      <c r="B112" s="810"/>
      <c r="C112" s="811"/>
      <c r="D112" s="810"/>
      <c r="E112" s="810"/>
      <c r="F112" s="810"/>
      <c r="G112" s="46" t="s">
        <v>154</v>
      </c>
      <c r="H112" s="812"/>
      <c r="I112" s="801"/>
      <c r="J112" s="801"/>
      <c r="K112" s="801"/>
      <c r="L112" s="802">
        <f t="shared" si="1"/>
        <v>0</v>
      </c>
    </row>
    <row r="113" spans="2:12" ht="14.25" customHeight="1" x14ac:dyDescent="0.2">
      <c r="B113" s="810"/>
      <c r="C113" s="811"/>
      <c r="D113" s="810"/>
      <c r="E113" s="810"/>
      <c r="F113" s="810"/>
      <c r="G113" s="46" t="s">
        <v>154</v>
      </c>
      <c r="H113" s="812"/>
      <c r="I113" s="801"/>
      <c r="J113" s="801"/>
      <c r="K113" s="801"/>
      <c r="L113" s="802">
        <f t="shared" si="1"/>
        <v>0</v>
      </c>
    </row>
    <row r="114" spans="2:12" ht="14.25" customHeight="1" x14ac:dyDescent="0.2">
      <c r="B114" s="810"/>
      <c r="C114" s="811"/>
      <c r="D114" s="810"/>
      <c r="E114" s="810"/>
      <c r="F114" s="810"/>
      <c r="G114" s="46" t="s">
        <v>154</v>
      </c>
      <c r="H114" s="812"/>
      <c r="I114" s="801"/>
      <c r="J114" s="801"/>
      <c r="K114" s="801"/>
      <c r="L114" s="802">
        <f t="shared" si="1"/>
        <v>0</v>
      </c>
    </row>
    <row r="115" spans="2:12" ht="14.25" customHeight="1" x14ac:dyDescent="0.2">
      <c r="B115" s="813"/>
      <c r="C115" s="814"/>
      <c r="D115" s="813"/>
      <c r="E115" s="813"/>
      <c r="F115" s="813"/>
      <c r="G115" s="47" t="s">
        <v>154</v>
      </c>
      <c r="H115" s="812"/>
      <c r="I115" s="815"/>
      <c r="J115" s="815"/>
      <c r="K115" s="815"/>
      <c r="L115" s="802">
        <f t="shared" si="1"/>
        <v>0</v>
      </c>
    </row>
    <row r="116" spans="2:12" ht="14.25" customHeight="1" x14ac:dyDescent="0.2">
      <c r="B116" s="800" t="s">
        <v>601</v>
      </c>
      <c r="C116" s="1036" t="str">
        <f>VLOOKUP("T.16.33",Translation,LanguageNo+1,FALSE)</f>
        <v>Positionsklassen SA-BIZ ohne Verwendung externer Ratings</v>
      </c>
      <c r="D116" s="1036"/>
      <c r="E116" s="1036"/>
      <c r="F116" s="1036"/>
      <c r="G116" s="1036"/>
      <c r="H116" s="1036"/>
      <c r="I116" s="1037"/>
      <c r="J116" s="1037"/>
      <c r="K116" s="1037"/>
      <c r="L116" s="816"/>
    </row>
    <row r="117" spans="2:12" ht="42" customHeight="1" x14ac:dyDescent="0.2">
      <c r="B117" s="48" t="s">
        <v>603</v>
      </c>
      <c r="C117" s="817" t="str">
        <f>VLOOKUP("T.16.34",Translation,LanguageNo+1,FALSE)</f>
        <v>Natürliche Personen und Kleinunternehmer (Retail)</v>
      </c>
      <c r="D117" s="48" t="s">
        <v>157</v>
      </c>
      <c r="E117" s="49" t="str">
        <f>VLOOKUP("T.16.35",Translation,LanguageNo+1,FALSE)</f>
        <v>Retailpositionen, wenn der Gesamtwert der Positionen nach Art. 49 Abs. 1, ohne grundpfandrechtliche Sicherung durch Wohnliegenschaften, gegenüber einer Gegenpartei 1,5 Mio. CHF und 1 % aller Retailpositionen nicht übersteigt.</v>
      </c>
      <c r="F117" s="49"/>
      <c r="G117" s="818" t="s">
        <v>130</v>
      </c>
      <c r="H117" s="441">
        <v>0.75</v>
      </c>
      <c r="I117" s="819"/>
      <c r="J117" s="819"/>
      <c r="K117" s="819"/>
      <c r="L117" s="820">
        <f>H117*(I117-J117-K117)</f>
        <v>0</v>
      </c>
    </row>
    <row r="118" spans="2:12" ht="14.25" customHeight="1" x14ac:dyDescent="0.2">
      <c r="B118" s="51"/>
      <c r="C118" s="821"/>
      <c r="D118" s="51" t="s">
        <v>158</v>
      </c>
      <c r="E118" s="51" t="str">
        <f>VLOOKUP("T.16.36",Translation,LanguageNo+1,FALSE)</f>
        <v>Übrige Retailpositionen</v>
      </c>
      <c r="F118" s="51"/>
      <c r="G118" s="822" t="s">
        <v>130</v>
      </c>
      <c r="H118" s="442">
        <v>1</v>
      </c>
      <c r="I118" s="801"/>
      <c r="J118" s="801"/>
      <c r="K118" s="801"/>
      <c r="L118" s="820">
        <f t="shared" ref="L118:L131" si="3">H118*(I118-J118-K118)</f>
        <v>0</v>
      </c>
    </row>
    <row r="119" spans="2:12" ht="14.25" customHeight="1" x14ac:dyDescent="0.2">
      <c r="B119" s="51" t="s">
        <v>614</v>
      </c>
      <c r="C119" s="823" t="str">
        <f>VLOOKUP("T.16.37",Translation,LanguageNo+1,FALSE)</f>
        <v>Pfandbriefe</v>
      </c>
      <c r="D119" s="51" t="s">
        <v>159</v>
      </c>
      <c r="E119" s="51" t="str">
        <f>VLOOKUP("T.16.38",Translation,LanguageNo+1,FALSE)</f>
        <v>Inländische Pfandbriefe</v>
      </c>
      <c r="F119" s="51"/>
      <c r="G119" s="822" t="s">
        <v>130</v>
      </c>
      <c r="H119" s="443">
        <v>0.2</v>
      </c>
      <c r="I119" s="801"/>
      <c r="J119" s="801"/>
      <c r="K119" s="801"/>
      <c r="L119" s="820">
        <f t="shared" si="3"/>
        <v>0</v>
      </c>
    </row>
    <row r="120" spans="2:12" ht="44.25" customHeight="1" x14ac:dyDescent="0.2">
      <c r="B120" s="51" t="s">
        <v>615</v>
      </c>
      <c r="C120" s="823" t="str">
        <f>VLOOKUP("T.16.39",Translation,LanguageNo+1,FALSE)</f>
        <v>Direkt und indirekt grundpfandgesicherte Positionen</v>
      </c>
      <c r="D120" s="51" t="s">
        <v>161</v>
      </c>
      <c r="E120" s="50" t="str">
        <f>VLOOKUP("T.16.40",Translation,LanguageNo+1,FALSE)</f>
        <v>Wohnliegenschaften in der Schweiz und im Ausland, bis zu zwei Drittel des Verkehrswertes, welche die „Richtlinie betreffend Mindestanforderungen bei Hypothekarfinanzierung“ der Schweizerischen Bankiervereinigung einhalten.</v>
      </c>
      <c r="F120" s="50"/>
      <c r="G120" s="822" t="s">
        <v>130</v>
      </c>
      <c r="H120" s="443">
        <v>0.35</v>
      </c>
      <c r="I120" s="801"/>
      <c r="J120" s="801"/>
      <c r="K120" s="801"/>
      <c r="L120" s="820">
        <f t="shared" si="3"/>
        <v>0</v>
      </c>
    </row>
    <row r="121" spans="2:12" ht="45.75" customHeight="1" x14ac:dyDescent="0.2">
      <c r="B121" s="51"/>
      <c r="C121" s="821"/>
      <c r="D121" s="51" t="s">
        <v>163</v>
      </c>
      <c r="E121" s="50" t="str">
        <f>VLOOKUP("T.16.41",Translation,LanguageNo+1,FALSE)</f>
        <v>Wohnliegenschaften in der Schweiz und im Ausland, über zwei Drittel und bis und mit 80% des Verkehrswertes, welche die „Richtlinie betreffend Mindestanforderungen bei Hypothekarfinanzierung“ der Schweizerischen Bankiervereinigung einhalten.</v>
      </c>
      <c r="F121" s="50"/>
      <c r="G121" s="822" t="s">
        <v>130</v>
      </c>
      <c r="H121" s="443">
        <v>0.75</v>
      </c>
      <c r="I121" s="801"/>
      <c r="J121" s="801"/>
      <c r="K121" s="801"/>
      <c r="L121" s="820">
        <f t="shared" si="3"/>
        <v>0</v>
      </c>
    </row>
    <row r="122" spans="2:12" ht="14.25" customHeight="1" x14ac:dyDescent="0.2">
      <c r="B122" s="51"/>
      <c r="C122" s="821"/>
      <c r="D122" s="51" t="s">
        <v>164</v>
      </c>
      <c r="E122" s="50" t="str">
        <f>VLOOKUP("T.16.42",Translation,LanguageNo+1,FALSE)</f>
        <v>Wohnliegenschaften in der Schweiz und im Ausland, über 80% des Verkehrswertes</v>
      </c>
      <c r="F122" s="50"/>
      <c r="G122" s="822" t="s">
        <v>130</v>
      </c>
      <c r="H122" s="443">
        <v>1</v>
      </c>
      <c r="I122" s="801"/>
      <c r="J122" s="801"/>
      <c r="K122" s="801"/>
      <c r="L122" s="820">
        <f t="shared" si="3"/>
        <v>0</v>
      </c>
    </row>
    <row r="123" spans="2:12" ht="14.25" customHeight="1" x14ac:dyDescent="0.2">
      <c r="B123" s="821"/>
      <c r="C123" s="821"/>
      <c r="D123" s="823" t="s">
        <v>165</v>
      </c>
      <c r="E123" s="51" t="str">
        <f>VLOOKUP("T.16.43",Translation,LanguageNo+1,FALSE)</f>
        <v>Übrige Liegenschaften</v>
      </c>
      <c r="F123" s="51"/>
      <c r="G123" s="822" t="s">
        <v>130</v>
      </c>
      <c r="H123" s="444">
        <v>1</v>
      </c>
      <c r="I123" s="801"/>
      <c r="J123" s="801"/>
      <c r="K123" s="801"/>
      <c r="L123" s="820">
        <f t="shared" si="3"/>
        <v>0</v>
      </c>
    </row>
    <row r="124" spans="2:12" ht="29.25" customHeight="1" x14ac:dyDescent="0.2">
      <c r="B124" s="51" t="s">
        <v>616</v>
      </c>
      <c r="C124" s="823" t="str">
        <f>VLOOKUP("T.16.44",Translation,LanguageNo+1,FALSE)</f>
        <v>Nachrangige Positionen</v>
      </c>
      <c r="D124" s="51" t="s">
        <v>167</v>
      </c>
      <c r="E124" s="833" t="str">
        <f>VLOOKUP("T.16.45",Translation,LanguageNo+1,FALSE)</f>
        <v>Nachrangige Positionen gegenüber öffentlich-rechtlichen Körperschaften, deren Risikogewicht nach Anhang Ziff. 2 (SA-BIZ) höchstens 50% beträgt.</v>
      </c>
      <c r="F124" s="824"/>
      <c r="G124" s="822" t="s">
        <v>130</v>
      </c>
      <c r="H124" s="809"/>
      <c r="I124" s="801"/>
      <c r="J124" s="801"/>
      <c r="K124" s="801"/>
      <c r="L124" s="820">
        <f t="shared" si="3"/>
        <v>0</v>
      </c>
    </row>
    <row r="125" spans="2:12" ht="14.25" customHeight="1" x14ac:dyDescent="0.2">
      <c r="B125" s="51"/>
      <c r="C125" s="821"/>
      <c r="D125" s="51" t="s">
        <v>168</v>
      </c>
      <c r="E125" s="51" t="str">
        <f>VLOOKUP("T.16.46",Translation,LanguageNo+1,FALSE)</f>
        <v>Übrige nachrangige Positionen</v>
      </c>
      <c r="F125" s="51"/>
      <c r="G125" s="822" t="s">
        <v>130</v>
      </c>
      <c r="H125" s="825"/>
      <c r="I125" s="801"/>
      <c r="J125" s="801"/>
      <c r="K125" s="801"/>
      <c r="L125" s="820">
        <f t="shared" si="3"/>
        <v>0</v>
      </c>
    </row>
    <row r="126" spans="2:12" ht="30.75" customHeight="1" x14ac:dyDescent="0.2">
      <c r="B126" s="51" t="s">
        <v>617</v>
      </c>
      <c r="C126" s="823" t="str">
        <f>VLOOKUP("T.16.47",Translation,LanguageNo+1,FALSE)</f>
        <v>Überfällige Positionen</v>
      </c>
      <c r="D126" s="51" t="s">
        <v>169</v>
      </c>
      <c r="E126" s="834" t="str">
        <f>VLOOKUP("T.16.48",Translation,LanguageNo+1,FALSE)</f>
        <v>Die um Einzelwertberichtigungen korrigierten Positionen nach Ziffer 3.1, wobei grundpfandgesicherte Positionen nach den Ziffern 3.2–3.4 als unbesichert gelten.</v>
      </c>
      <c r="F126" s="826"/>
      <c r="G126" s="822" t="s">
        <v>130</v>
      </c>
      <c r="H126" s="445">
        <v>1</v>
      </c>
      <c r="I126" s="801"/>
      <c r="J126" s="801"/>
      <c r="K126" s="801"/>
      <c r="L126" s="820">
        <f t="shared" si="3"/>
        <v>0</v>
      </c>
    </row>
    <row r="127" spans="2:12" ht="41.25" customHeight="1" x14ac:dyDescent="0.2">
      <c r="B127" s="51"/>
      <c r="C127" s="821"/>
      <c r="D127" s="51" t="s">
        <v>170</v>
      </c>
      <c r="E127" s="50" t="str">
        <f>VLOOKUP("T.16.49",Translation,LanguageNo+1,FALSE)</f>
        <v>Die um Einzelwertberichtigungen korrigierten unbesicherten Positionsanteile, sofern die Einzelwertberichtigungen mindestens 20 % des ausstehenden Betrags ausmachen.</v>
      </c>
      <c r="F127" s="50"/>
      <c r="G127" s="822" t="s">
        <v>130</v>
      </c>
      <c r="H127" s="443">
        <v>1</v>
      </c>
      <c r="I127" s="801"/>
      <c r="J127" s="801"/>
      <c r="K127" s="801"/>
      <c r="L127" s="820">
        <f t="shared" si="3"/>
        <v>0</v>
      </c>
    </row>
    <row r="128" spans="2:12" ht="44.25" customHeight="1" x14ac:dyDescent="0.2">
      <c r="B128" s="51"/>
      <c r="C128" s="821"/>
      <c r="D128" s="51" t="s">
        <v>171</v>
      </c>
      <c r="E128" s="50" t="str">
        <f>VLOOKUP("T.16.50",Translation,LanguageNo+1,FALSE)</f>
        <v>Die um die Einzelwertberichtigungen korrigierten unbesicherten Positionsanteile, sofern die Einzelwertberichtigungen weniger als 20 % des ausstehenden Betrags ausmachen.</v>
      </c>
      <c r="F128" s="50"/>
      <c r="G128" s="822" t="s">
        <v>130</v>
      </c>
      <c r="H128" s="443">
        <v>1.5</v>
      </c>
      <c r="I128" s="801"/>
      <c r="J128" s="801"/>
      <c r="K128" s="801"/>
      <c r="L128" s="820">
        <f t="shared" si="3"/>
        <v>0</v>
      </c>
    </row>
    <row r="129" spans="2:12" ht="14.25" customHeight="1" x14ac:dyDescent="0.2">
      <c r="B129" s="51" t="s">
        <v>618</v>
      </c>
      <c r="C129" s="823" t="str">
        <f>VLOOKUP("T.16.51",Translation,LanguageNo+1,FALSE)</f>
        <v>Übrige Positionen</v>
      </c>
      <c r="D129" s="51" t="s">
        <v>172</v>
      </c>
      <c r="E129" s="823" t="str">
        <f>VLOOKUP("T.16.52",Translation,LanguageNo+1,FALSE)</f>
        <v>Flüssige Mittel, jedoch ohne Positionen, die unter Anhang 2, Punkt 6.2 fallen.</v>
      </c>
      <c r="F129" s="821"/>
      <c r="G129" s="822" t="s">
        <v>130</v>
      </c>
      <c r="H129" s="443"/>
      <c r="I129" s="801"/>
      <c r="J129" s="801"/>
      <c r="K129" s="801"/>
      <c r="L129" s="820">
        <f t="shared" si="3"/>
        <v>0</v>
      </c>
    </row>
    <row r="130" spans="2:12" ht="14.25" customHeight="1" x14ac:dyDescent="0.2">
      <c r="B130" s="51"/>
      <c r="C130" s="821"/>
      <c r="D130" s="51" t="s">
        <v>173</v>
      </c>
      <c r="E130" s="50" t="str">
        <f>VLOOKUP("T.16.53",Translation,LanguageNo+1,FALSE)</f>
        <v>Kreditäquivalente aus Einzahlungs- und Nachschussverpflichtungen</v>
      </c>
      <c r="F130" s="50"/>
      <c r="G130" s="822" t="s">
        <v>130</v>
      </c>
      <c r="H130" s="443">
        <v>1</v>
      </c>
      <c r="I130" s="801"/>
      <c r="J130" s="801"/>
      <c r="K130" s="801"/>
      <c r="L130" s="820">
        <f t="shared" si="3"/>
        <v>0</v>
      </c>
    </row>
    <row r="131" spans="2:12" ht="14.25" customHeight="1" x14ac:dyDescent="0.2">
      <c r="B131" s="827"/>
      <c r="C131" s="827"/>
      <c r="D131" s="835" t="s">
        <v>175</v>
      </c>
      <c r="E131" s="835" t="str">
        <f>VLOOKUP("T.16.54",Translation,LanguageNo+1,FALSE)</f>
        <v>Übrige Positionen (inkl. Rechnungsbegrenzungsposten)</v>
      </c>
      <c r="F131" s="827"/>
      <c r="G131" s="828" t="s">
        <v>130</v>
      </c>
      <c r="H131" s="790">
        <v>1</v>
      </c>
      <c r="I131" s="829"/>
      <c r="J131" s="829"/>
      <c r="K131" s="829"/>
      <c r="L131" s="830">
        <f t="shared" si="3"/>
        <v>0</v>
      </c>
    </row>
    <row r="132" spans="2:12" ht="14.25" customHeight="1" x14ac:dyDescent="0.2">
      <c r="H132" s="678"/>
    </row>
    <row r="133" spans="2:12" ht="12.75" customHeight="1" x14ac:dyDescent="0.2">
      <c r="H133" s="678"/>
    </row>
    <row r="134" spans="2:12" ht="12.75" customHeight="1" x14ac:dyDescent="0.2">
      <c r="H134" s="678"/>
    </row>
    <row r="135" spans="2:12" ht="12.75" customHeight="1" x14ac:dyDescent="0.2">
      <c r="H135" s="678"/>
    </row>
    <row r="136" spans="2:12" ht="12.75" customHeight="1" x14ac:dyDescent="0.2">
      <c r="C136" s="831"/>
      <c r="D136" s="831"/>
      <c r="E136" s="831"/>
      <c r="F136" s="831"/>
      <c r="G136" s="831"/>
      <c r="H136" s="832"/>
      <c r="I136" s="831"/>
      <c r="J136" s="831"/>
      <c r="K136" s="831"/>
    </row>
    <row r="137" spans="2:12" ht="12.75" customHeight="1" x14ac:dyDescent="0.2">
      <c r="C137" s="831"/>
      <c r="D137" s="831"/>
      <c r="E137" s="831"/>
      <c r="F137" s="831"/>
      <c r="G137" s="831"/>
      <c r="H137" s="832"/>
      <c r="I137" s="831"/>
      <c r="J137" s="831"/>
      <c r="K137" s="831"/>
    </row>
    <row r="138" spans="2:12" ht="12.75" customHeight="1" x14ac:dyDescent="0.2">
      <c r="C138" s="831"/>
      <c r="D138" s="831"/>
      <c r="E138" s="831"/>
      <c r="F138" s="831"/>
      <c r="G138" s="831"/>
      <c r="H138" s="832"/>
      <c r="I138" s="831"/>
      <c r="J138" s="831"/>
      <c r="K138" s="831"/>
    </row>
    <row r="139" spans="2:12" ht="12.75" customHeight="1" x14ac:dyDescent="0.2">
      <c r="C139" s="831"/>
      <c r="D139" s="831"/>
      <c r="E139" s="831"/>
      <c r="F139" s="831"/>
      <c r="G139" s="831"/>
      <c r="H139" s="832"/>
      <c r="I139" s="831"/>
      <c r="J139" s="831"/>
      <c r="K139" s="831"/>
    </row>
    <row r="140" spans="2:12" ht="12.75" customHeight="1" x14ac:dyDescent="0.2">
      <c r="C140" s="831"/>
      <c r="D140" s="831"/>
      <c r="E140" s="831"/>
      <c r="F140" s="831"/>
      <c r="G140" s="831"/>
      <c r="H140" s="832"/>
      <c r="I140" s="831"/>
      <c r="J140" s="831"/>
      <c r="K140" s="831"/>
    </row>
    <row r="141" spans="2:12" ht="12.75" customHeight="1" x14ac:dyDescent="0.2">
      <c r="C141" s="831"/>
      <c r="D141" s="831"/>
      <c r="E141" s="831"/>
      <c r="F141" s="831"/>
      <c r="G141" s="831"/>
      <c r="H141" s="832"/>
      <c r="I141" s="831"/>
      <c r="J141" s="831"/>
      <c r="K141" s="831"/>
    </row>
    <row r="142" spans="2:12" ht="12.75" customHeight="1" x14ac:dyDescent="0.2">
      <c r="C142" s="831"/>
      <c r="D142" s="831"/>
      <c r="E142" s="831"/>
      <c r="F142" s="831"/>
      <c r="G142" s="831"/>
      <c r="H142" s="832"/>
      <c r="I142" s="831"/>
      <c r="J142" s="831"/>
      <c r="K142" s="831"/>
    </row>
    <row r="143" spans="2:12" ht="12.75" customHeight="1" x14ac:dyDescent="0.2">
      <c r="C143" s="831"/>
      <c r="D143" s="831"/>
      <c r="E143" s="831"/>
      <c r="F143" s="831"/>
      <c r="G143" s="831"/>
      <c r="H143" s="832"/>
      <c r="I143" s="831"/>
      <c r="J143" s="831"/>
      <c r="K143" s="831"/>
    </row>
    <row r="144" spans="2:12" ht="12.75" customHeight="1" x14ac:dyDescent="0.2">
      <c r="C144" s="831"/>
      <c r="D144" s="831"/>
      <c r="E144" s="831"/>
      <c r="F144" s="831"/>
      <c r="G144" s="831"/>
      <c r="H144" s="832"/>
      <c r="I144" s="831"/>
      <c r="J144" s="831"/>
      <c r="K144" s="831"/>
    </row>
    <row r="145" spans="3:11" ht="12.75" customHeight="1" x14ac:dyDescent="0.2">
      <c r="C145" s="831"/>
      <c r="D145" s="831"/>
      <c r="E145" s="831"/>
      <c r="F145" s="831"/>
      <c r="G145" s="831"/>
      <c r="H145" s="832"/>
      <c r="I145" s="831"/>
      <c r="J145" s="831"/>
      <c r="K145" s="831"/>
    </row>
    <row r="146" spans="3:11" ht="12.75" customHeight="1" x14ac:dyDescent="0.2">
      <c r="C146" s="831"/>
      <c r="D146" s="831"/>
      <c r="E146" s="831"/>
      <c r="F146" s="831"/>
      <c r="G146" s="831"/>
      <c r="H146" s="832"/>
      <c r="I146" s="831"/>
      <c r="J146" s="831"/>
      <c r="K146" s="831"/>
    </row>
    <row r="147" spans="3:11" ht="12.75" customHeight="1" x14ac:dyDescent="0.2">
      <c r="C147" s="831"/>
      <c r="D147" s="831"/>
      <c r="E147" s="831"/>
      <c r="F147" s="831"/>
      <c r="G147" s="831"/>
      <c r="H147" s="832"/>
      <c r="I147" s="831"/>
      <c r="J147" s="831"/>
      <c r="K147" s="831"/>
    </row>
    <row r="148" spans="3:11" ht="12.75" customHeight="1" x14ac:dyDescent="0.2">
      <c r="C148" s="831"/>
      <c r="D148" s="831"/>
      <c r="E148" s="831"/>
      <c r="F148" s="831"/>
      <c r="G148" s="831"/>
      <c r="H148" s="832"/>
      <c r="I148" s="831"/>
      <c r="J148" s="831"/>
      <c r="K148" s="831"/>
    </row>
    <row r="149" spans="3:11" ht="12.75" customHeight="1" x14ac:dyDescent="0.2">
      <c r="C149" s="831"/>
      <c r="D149" s="831"/>
      <c r="E149" s="831"/>
      <c r="F149" s="831"/>
      <c r="G149" s="831"/>
      <c r="H149" s="832"/>
      <c r="I149" s="831"/>
      <c r="J149" s="831"/>
      <c r="K149" s="831"/>
    </row>
    <row r="150" spans="3:11" ht="12.75" customHeight="1" x14ac:dyDescent="0.2">
      <c r="C150" s="831"/>
      <c r="D150" s="831"/>
      <c r="E150" s="831"/>
      <c r="F150" s="831"/>
      <c r="G150" s="831"/>
      <c r="H150" s="832"/>
      <c r="I150" s="831"/>
      <c r="J150" s="831"/>
      <c r="K150" s="831"/>
    </row>
    <row r="151" spans="3:11" ht="12.75" customHeight="1" x14ac:dyDescent="0.2">
      <c r="C151" s="831"/>
      <c r="D151" s="831"/>
      <c r="E151" s="831"/>
      <c r="F151" s="831"/>
      <c r="G151" s="831"/>
      <c r="H151" s="832"/>
      <c r="I151" s="831"/>
      <c r="J151" s="831"/>
      <c r="K151" s="831"/>
    </row>
    <row r="152" spans="3:11" ht="12.75" customHeight="1" x14ac:dyDescent="0.2">
      <c r="C152" s="831"/>
      <c r="D152" s="831"/>
      <c r="E152" s="831"/>
      <c r="F152" s="831"/>
      <c r="G152" s="831"/>
      <c r="H152" s="832"/>
      <c r="I152" s="831"/>
      <c r="J152" s="831"/>
      <c r="K152" s="831"/>
    </row>
    <row r="153" spans="3:11" ht="12.75" customHeight="1" x14ac:dyDescent="0.2">
      <c r="C153" s="831"/>
      <c r="D153" s="831"/>
      <c r="E153" s="831"/>
      <c r="F153" s="831"/>
      <c r="G153" s="831"/>
      <c r="H153" s="832"/>
      <c r="I153" s="831"/>
      <c r="J153" s="831"/>
      <c r="K153" s="831"/>
    </row>
    <row r="154" spans="3:11" ht="12.75" customHeight="1" x14ac:dyDescent="0.2">
      <c r="C154" s="831"/>
      <c r="D154" s="831"/>
      <c r="E154" s="831"/>
      <c r="F154" s="831"/>
      <c r="G154" s="831"/>
      <c r="H154" s="832"/>
      <c r="I154" s="831"/>
      <c r="J154" s="831"/>
      <c r="K154" s="831"/>
    </row>
    <row r="155" spans="3:11" ht="12.75" customHeight="1" x14ac:dyDescent="0.2">
      <c r="C155" s="831"/>
      <c r="D155" s="831"/>
      <c r="E155" s="831"/>
      <c r="F155" s="831"/>
      <c r="G155" s="831"/>
      <c r="H155" s="832"/>
      <c r="I155" s="831"/>
      <c r="J155" s="831"/>
      <c r="K155" s="831"/>
    </row>
    <row r="156" spans="3:11" ht="12.75" customHeight="1" x14ac:dyDescent="0.2">
      <c r="C156" s="831"/>
      <c r="D156" s="831"/>
      <c r="E156" s="831"/>
      <c r="F156" s="831"/>
      <c r="G156" s="831"/>
      <c r="H156" s="832"/>
      <c r="I156" s="831"/>
      <c r="J156" s="831"/>
      <c r="K156" s="831"/>
    </row>
    <row r="157" spans="3:11" ht="12.75" customHeight="1" x14ac:dyDescent="0.2">
      <c r="C157" s="831"/>
      <c r="D157" s="831"/>
      <c r="E157" s="831"/>
      <c r="F157" s="831"/>
      <c r="G157" s="831"/>
      <c r="H157" s="832"/>
      <c r="I157" s="831"/>
      <c r="J157" s="831"/>
      <c r="K157" s="831"/>
    </row>
    <row r="158" spans="3:11" ht="12.75" customHeight="1" x14ac:dyDescent="0.2">
      <c r="C158" s="831"/>
      <c r="D158" s="831"/>
      <c r="E158" s="831"/>
      <c r="F158" s="831"/>
      <c r="G158" s="831"/>
      <c r="H158" s="832"/>
      <c r="I158" s="831"/>
      <c r="J158" s="831"/>
      <c r="K158" s="831"/>
    </row>
    <row r="159" spans="3:11" ht="12.75" customHeight="1" x14ac:dyDescent="0.2">
      <c r="C159" s="831"/>
      <c r="D159" s="831"/>
      <c r="E159" s="831"/>
      <c r="F159" s="831"/>
      <c r="G159" s="831"/>
      <c r="H159" s="832"/>
      <c r="I159" s="831"/>
      <c r="J159" s="831"/>
      <c r="K159" s="831"/>
    </row>
    <row r="160" spans="3:11" ht="12.75" customHeight="1" x14ac:dyDescent="0.2">
      <c r="C160" s="831"/>
      <c r="D160" s="831"/>
      <c r="E160" s="831"/>
      <c r="F160" s="831"/>
      <c r="G160" s="831"/>
      <c r="H160" s="832"/>
      <c r="I160" s="831"/>
      <c r="J160" s="831"/>
      <c r="K160" s="831"/>
    </row>
    <row r="161" spans="3:11" ht="12.75" customHeight="1" x14ac:dyDescent="0.2">
      <c r="C161" s="831"/>
      <c r="D161" s="831"/>
      <c r="E161" s="831"/>
      <c r="F161" s="831"/>
      <c r="G161" s="831"/>
      <c r="H161" s="832"/>
      <c r="I161" s="831"/>
      <c r="J161" s="831"/>
      <c r="K161" s="831"/>
    </row>
    <row r="162" spans="3:11" ht="12.75" customHeight="1" x14ac:dyDescent="0.2">
      <c r="C162" s="831"/>
      <c r="D162" s="831"/>
      <c r="E162" s="831"/>
      <c r="F162" s="831"/>
      <c r="G162" s="831"/>
      <c r="H162" s="832"/>
      <c r="I162" s="831"/>
      <c r="J162" s="831"/>
      <c r="K162" s="831"/>
    </row>
    <row r="163" spans="3:11" ht="12.75" customHeight="1" x14ac:dyDescent="0.2">
      <c r="C163" s="831"/>
      <c r="D163" s="831"/>
      <c r="E163" s="831"/>
      <c r="F163" s="831"/>
      <c r="G163" s="831"/>
      <c r="H163" s="832"/>
      <c r="I163" s="831"/>
      <c r="J163" s="831"/>
      <c r="K163" s="831"/>
    </row>
    <row r="164" spans="3:11" ht="12.75" customHeight="1" x14ac:dyDescent="0.2">
      <c r="C164" s="831"/>
      <c r="D164" s="831"/>
      <c r="E164" s="831"/>
      <c r="F164" s="831"/>
      <c r="G164" s="831"/>
      <c r="H164" s="832"/>
      <c r="I164" s="831"/>
      <c r="J164" s="831"/>
      <c r="K164" s="831"/>
    </row>
    <row r="165" spans="3:11" ht="12.75" customHeight="1" x14ac:dyDescent="0.2">
      <c r="C165" s="831"/>
      <c r="D165" s="831"/>
      <c r="E165" s="831"/>
      <c r="F165" s="831"/>
      <c r="G165" s="831"/>
      <c r="H165" s="832"/>
      <c r="I165" s="831"/>
      <c r="J165" s="831"/>
      <c r="K165" s="831"/>
    </row>
    <row r="166" spans="3:11" ht="12.75" customHeight="1" x14ac:dyDescent="0.2">
      <c r="C166" s="831"/>
      <c r="D166" s="831"/>
      <c r="E166" s="831"/>
      <c r="F166" s="831"/>
      <c r="G166" s="831"/>
      <c r="H166" s="832"/>
      <c r="I166" s="831"/>
      <c r="J166" s="831"/>
      <c r="K166" s="831"/>
    </row>
    <row r="167" spans="3:11" ht="12.75" customHeight="1" x14ac:dyDescent="0.2">
      <c r="C167" s="831"/>
      <c r="D167" s="831"/>
      <c r="E167" s="831"/>
      <c r="F167" s="831"/>
      <c r="G167" s="831"/>
      <c r="H167" s="832"/>
      <c r="I167" s="831"/>
      <c r="J167" s="831"/>
      <c r="K167" s="831"/>
    </row>
    <row r="168" spans="3:11" ht="12.75" customHeight="1" x14ac:dyDescent="0.2">
      <c r="C168" s="831"/>
      <c r="D168" s="831"/>
      <c r="E168" s="831"/>
      <c r="F168" s="831"/>
      <c r="G168" s="831"/>
      <c r="H168" s="832"/>
      <c r="I168" s="831"/>
      <c r="J168" s="831"/>
      <c r="K168" s="831"/>
    </row>
    <row r="169" spans="3:11" ht="12.75" customHeight="1" x14ac:dyDescent="0.2">
      <c r="C169" s="831"/>
      <c r="D169" s="831"/>
      <c r="E169" s="831"/>
      <c r="F169" s="831"/>
      <c r="G169" s="831"/>
      <c r="H169" s="832"/>
      <c r="I169" s="831"/>
      <c r="J169" s="831"/>
      <c r="K169" s="831"/>
    </row>
    <row r="170" spans="3:11" ht="12.75" customHeight="1" x14ac:dyDescent="0.2">
      <c r="C170" s="831"/>
      <c r="D170" s="831"/>
      <c r="E170" s="831"/>
      <c r="F170" s="831"/>
      <c r="G170" s="831"/>
      <c r="H170" s="832"/>
      <c r="I170" s="831"/>
      <c r="J170" s="831"/>
      <c r="K170" s="831"/>
    </row>
    <row r="171" spans="3:11" ht="12.75" customHeight="1" x14ac:dyDescent="0.2">
      <c r="C171" s="831"/>
      <c r="D171" s="831"/>
      <c r="E171" s="831"/>
      <c r="F171" s="831"/>
      <c r="G171" s="831"/>
      <c r="H171" s="832"/>
      <c r="I171" s="831"/>
      <c r="J171" s="831"/>
      <c r="K171" s="831"/>
    </row>
    <row r="172" spans="3:11" ht="12.75" customHeight="1" x14ac:dyDescent="0.2">
      <c r="C172" s="831"/>
      <c r="D172" s="831"/>
      <c r="E172" s="831"/>
      <c r="F172" s="831"/>
      <c r="G172" s="831"/>
      <c r="H172" s="832"/>
      <c r="I172" s="831"/>
      <c r="J172" s="831"/>
      <c r="K172" s="831"/>
    </row>
    <row r="173" spans="3:11" ht="12.75" customHeight="1" x14ac:dyDescent="0.2">
      <c r="C173" s="831"/>
      <c r="D173" s="831"/>
      <c r="E173" s="831"/>
      <c r="F173" s="831"/>
      <c r="G173" s="831"/>
      <c r="H173" s="832"/>
      <c r="I173" s="831"/>
      <c r="J173" s="831"/>
      <c r="K173" s="831"/>
    </row>
    <row r="174" spans="3:11" ht="12.75" customHeight="1" x14ac:dyDescent="0.2">
      <c r="C174" s="831"/>
      <c r="D174" s="831"/>
      <c r="E174" s="831"/>
      <c r="F174" s="831"/>
      <c r="G174" s="831"/>
      <c r="H174" s="832"/>
      <c r="I174" s="831"/>
      <c r="J174" s="831"/>
      <c r="K174" s="831"/>
    </row>
    <row r="175" spans="3:11" ht="12.75" customHeight="1" x14ac:dyDescent="0.2">
      <c r="C175" s="831"/>
      <c r="D175" s="831"/>
      <c r="E175" s="831"/>
      <c r="F175" s="831"/>
      <c r="G175" s="831"/>
      <c r="H175" s="832"/>
      <c r="I175" s="831"/>
      <c r="J175" s="831"/>
      <c r="K175" s="831"/>
    </row>
    <row r="176" spans="3:11" ht="12.75" customHeight="1" x14ac:dyDescent="0.2">
      <c r="C176" s="831"/>
      <c r="D176" s="831"/>
      <c r="E176" s="831"/>
      <c r="F176" s="831"/>
      <c r="G176" s="831"/>
      <c r="H176" s="832"/>
      <c r="I176" s="831"/>
      <c r="J176" s="831"/>
      <c r="K176" s="831"/>
    </row>
    <row r="177" spans="3:11" ht="12.75" customHeight="1" x14ac:dyDescent="0.2">
      <c r="C177" s="831"/>
      <c r="D177" s="831"/>
      <c r="E177" s="831"/>
      <c r="F177" s="831"/>
      <c r="G177" s="831"/>
      <c r="H177" s="832"/>
      <c r="I177" s="831"/>
      <c r="J177" s="831"/>
      <c r="K177" s="831"/>
    </row>
    <row r="178" spans="3:11" ht="12.75" customHeight="1" x14ac:dyDescent="0.2">
      <c r="C178" s="831"/>
      <c r="D178" s="831"/>
      <c r="E178" s="831"/>
      <c r="F178" s="831"/>
      <c r="G178" s="831"/>
      <c r="H178" s="832"/>
      <c r="I178" s="831"/>
      <c r="J178" s="831"/>
      <c r="K178" s="831"/>
    </row>
    <row r="179" spans="3:11" ht="12.75" customHeight="1" x14ac:dyDescent="0.2">
      <c r="C179" s="831"/>
      <c r="D179" s="831"/>
      <c r="E179" s="831"/>
      <c r="F179" s="831"/>
      <c r="G179" s="831"/>
      <c r="H179" s="832"/>
      <c r="I179" s="831"/>
      <c r="J179" s="831"/>
      <c r="K179" s="831"/>
    </row>
  </sheetData>
  <mergeCells count="1">
    <mergeCell ref="C4:E5"/>
  </mergeCells>
  <pageMargins left="0.70866141732283472" right="0.70866141732283472" top="0.74803149606299213" bottom="0.74803149606299213" header="0.31496062992125984" footer="0.31496062992125984"/>
  <pageSetup paperSize="8" scale="70" fitToHeight="4"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Tabelle4">
    <tabColor rgb="FFD4ECF9"/>
  </sheetPr>
  <dimension ref="A1:K37"/>
  <sheetViews>
    <sheetView showGridLines="0" zoomScale="90" zoomScaleNormal="90" workbookViewId="0"/>
  </sheetViews>
  <sheetFormatPr baseColWidth="10" defaultColWidth="8.5703125" defaultRowHeight="12.75" customHeight="1" x14ac:dyDescent="0.25"/>
  <cols>
    <col min="1" max="1" width="5.5703125" customWidth="1"/>
    <col min="2" max="2" width="8.5703125" customWidth="1"/>
    <col min="3" max="3" width="38" customWidth="1"/>
    <col min="4" max="4" width="122" customWidth="1"/>
    <col min="5" max="8" width="15.5703125" customWidth="1"/>
    <col min="9" max="9" width="17" style="439" customWidth="1"/>
  </cols>
  <sheetData>
    <row r="1" spans="1:11" ht="20.100000000000001" customHeight="1" x14ac:dyDescent="0.25">
      <c r="A1" s="21">
        <v>17</v>
      </c>
      <c r="B1" s="680" t="str">
        <f>VLOOKUP("T.17.01",Translation,LanguageNo+1,FALSE)</f>
        <v>Szenarien</v>
      </c>
      <c r="D1" s="1"/>
    </row>
    <row r="2" spans="1:11" ht="14.25" customHeight="1" x14ac:dyDescent="0.25">
      <c r="A2" s="21"/>
      <c r="B2" s="22"/>
      <c r="D2" s="1"/>
    </row>
    <row r="3" spans="1:11" ht="14.25" customHeight="1" x14ac:dyDescent="0.25">
      <c r="A3" s="67"/>
      <c r="B3" s="67"/>
      <c r="C3" s="67"/>
      <c r="D3" s="67"/>
      <c r="E3" s="67"/>
      <c r="F3" s="67"/>
      <c r="G3" s="67"/>
      <c r="H3" s="67"/>
      <c r="I3" s="446"/>
      <c r="J3" s="67"/>
      <c r="K3" s="67"/>
    </row>
    <row r="4" spans="1:11" ht="14.25" customHeight="1" x14ac:dyDescent="0.25">
      <c r="A4" s="67"/>
      <c r="B4" s="67"/>
      <c r="C4" s="67"/>
      <c r="D4" s="67"/>
      <c r="E4" s="67"/>
      <c r="F4" s="67"/>
      <c r="G4" s="67"/>
      <c r="H4" s="67"/>
      <c r="I4" s="446"/>
      <c r="J4" s="67"/>
      <c r="K4" s="67"/>
    </row>
    <row r="5" spans="1:11" ht="51.75" customHeight="1" x14ac:dyDescent="0.25">
      <c r="A5" s="67"/>
      <c r="B5" s="85" t="str">
        <f>VLOOKUP("T.17.02",Translation,LanguageNo+1,FALSE)</f>
        <v>Signatur</v>
      </c>
      <c r="C5" s="85" t="str">
        <f>VLOOKUP("T.17.03",Translation,LanguageNo+1,FALSE)</f>
        <v>Szenarioname</v>
      </c>
      <c r="D5" s="73" t="s">
        <v>585</v>
      </c>
      <c r="E5" s="84" t="str">
        <f>VLOOKUP("T.17.04",Translation,LanguageNo+1,FALSE)</f>
        <v>Auswirkung auf die Aktiven</v>
      </c>
      <c r="F5" s="84" t="str">
        <f>VLOOKUP("T.17.05",Translation,LanguageNo+1,FALSE)</f>
        <v>Auswirkung auf die Passiven</v>
      </c>
      <c r="G5" s="84" t="str">
        <f>VLOOKUP("T.17.06",Translation,LanguageNo+1,FALSE)</f>
        <v>Auswirkung (Verlust) aufgrund des Szenarios</v>
      </c>
      <c r="H5" s="1302" t="str">
        <f>VLOOKUP("T.17.07",Translation,LanguageNo+1,FALSE)</f>
        <v>Wahrscheinlichkeit des Szenarios in %</v>
      </c>
      <c r="I5" s="1300" t="str">
        <f>VLOOKUP("T.17.08",Translation,LanguageNo+1,FALSE)</f>
        <v>Standardeintrittswahrscheinlichkeit der FINMA in %</v>
      </c>
      <c r="J5" s="67"/>
      <c r="K5" s="67"/>
    </row>
    <row r="6" spans="1:11" ht="38.25" x14ac:dyDescent="0.25">
      <c r="A6" s="67"/>
      <c r="B6" s="950"/>
      <c r="C6" s="950"/>
      <c r="D6" s="951" t="str">
        <f>VLOOKUP("T.17.24",Translation,LanguageNo+1,FALSE)</f>
        <v>Ist ein Szenario zu aggregieren, ist in der vorgesehenen Spalte die Eintrittswahrscheinlichkeit anzugeben (bei fehlenden Angaben wird das Szenario nicht aggregiert). In dieser Spalte müssen alle unternehmenseigenen Szenarien kurz kommentiert/beschrieben werden.</v>
      </c>
      <c r="E6" s="952" t="str">
        <f>Unit &amp; SST_Currency</f>
        <v>in Mio. CHF</v>
      </c>
      <c r="F6" s="952" t="str">
        <f>Unit &amp; SST_Currency</f>
        <v>in Mio. CHF</v>
      </c>
      <c r="G6" s="952" t="str">
        <f>Unit &amp; SST_Currency</f>
        <v>in Mio. CHF</v>
      </c>
      <c r="H6" s="1288"/>
      <c r="I6" s="1301"/>
      <c r="J6" s="67"/>
      <c r="K6" s="67"/>
    </row>
    <row r="7" spans="1:11" s="480" customFormat="1" ht="15" customHeight="1" x14ac:dyDescent="0.25">
      <c r="A7" s="479"/>
      <c r="B7" s="944" t="s">
        <v>623</v>
      </c>
      <c r="C7" s="944" t="str">
        <f>VLOOKUP("T.17.09",Translation,LanguageNo+1,FALSE)</f>
        <v xml:space="preserve">Ausfall der Rückversicherer </v>
      </c>
      <c r="D7" s="945"/>
      <c r="E7" s="946"/>
      <c r="F7" s="946"/>
      <c r="G7" s="947">
        <f>E7-F7</f>
        <v>0</v>
      </c>
      <c r="H7" s="948"/>
      <c r="I7" s="949">
        <v>5.0000000000000001E-3</v>
      </c>
      <c r="J7" s="590"/>
      <c r="K7" s="479"/>
    </row>
    <row r="8" spans="1:11" s="480" customFormat="1" ht="15" customHeight="1" x14ac:dyDescent="0.25">
      <c r="A8" s="479"/>
      <c r="B8" s="587" t="s">
        <v>624</v>
      </c>
      <c r="C8" s="587" t="str">
        <f>VLOOKUP("T.17.10",Translation,LanguageNo+1,FALSE)</f>
        <v xml:space="preserve">Langlebigkeit </v>
      </c>
      <c r="D8" s="588"/>
      <c r="E8" s="589"/>
      <c r="F8" s="589"/>
      <c r="G8" s="649">
        <f>E8-F8</f>
        <v>0</v>
      </c>
      <c r="H8" s="785"/>
      <c r="I8" s="659">
        <v>5.0000000000000001E-3</v>
      </c>
      <c r="J8" s="590"/>
      <c r="K8" s="479"/>
    </row>
    <row r="9" spans="1:11" s="480" customFormat="1" ht="15" customHeight="1" x14ac:dyDescent="0.25">
      <c r="A9" s="479"/>
      <c r="B9" s="587" t="s">
        <v>625</v>
      </c>
      <c r="C9" s="587" t="str">
        <f>VLOOKUP("T.17.11",Translation,LanguageNo+1,FALSE)</f>
        <v xml:space="preserve">Invalidität </v>
      </c>
      <c r="D9" s="591"/>
      <c r="E9" s="589"/>
      <c r="F9" s="589"/>
      <c r="G9" s="649">
        <f t="shared" ref="G9:G32" si="0">E9-F9</f>
        <v>0</v>
      </c>
      <c r="H9" s="785"/>
      <c r="I9" s="659">
        <v>5.0000000000000001E-3</v>
      </c>
      <c r="J9" s="590"/>
      <c r="K9" s="479"/>
    </row>
    <row r="10" spans="1:11" s="480" customFormat="1" ht="15" customHeight="1" x14ac:dyDescent="0.25">
      <c r="A10" s="479"/>
      <c r="B10" s="587" t="s">
        <v>626</v>
      </c>
      <c r="C10" s="587" t="str">
        <f>VLOOKUP("T.17.12",Translation,LanguageNo+1,FALSE)</f>
        <v>Storno</v>
      </c>
      <c r="D10" s="588"/>
      <c r="E10" s="589"/>
      <c r="F10" s="589"/>
      <c r="G10" s="649">
        <f t="shared" si="0"/>
        <v>0</v>
      </c>
      <c r="H10" s="785"/>
      <c r="I10" s="659">
        <v>1E-3</v>
      </c>
      <c r="J10" s="592"/>
      <c r="K10" s="479"/>
    </row>
    <row r="11" spans="1:11" s="480" customFormat="1" ht="15" customHeight="1" x14ac:dyDescent="0.25">
      <c r="A11" s="479"/>
      <c r="B11" s="587" t="s">
        <v>759</v>
      </c>
      <c r="C11" s="587" t="str">
        <f>VLOOKUP("T.17.13",Translation,LanguageNo+1,FALSE)</f>
        <v xml:space="preserve">Panik im Stadion </v>
      </c>
      <c r="D11" s="588"/>
      <c r="E11" s="589"/>
      <c r="F11" s="589"/>
      <c r="G11" s="649">
        <f t="shared" si="0"/>
        <v>0</v>
      </c>
      <c r="H11" s="785"/>
      <c r="I11" s="659">
        <v>5.0000000000000001E-3</v>
      </c>
      <c r="J11" s="592"/>
      <c r="K11" s="479"/>
    </row>
    <row r="12" spans="1:11" s="480" customFormat="1" ht="15" customHeight="1" x14ac:dyDescent="0.25">
      <c r="A12" s="479"/>
      <c r="B12" s="587" t="s">
        <v>627</v>
      </c>
      <c r="C12" s="587" t="str">
        <f>VLOOKUP("T.17.14",Translation,LanguageNo+1,FALSE)</f>
        <v xml:space="preserve">Industrieunfall </v>
      </c>
      <c r="D12" s="588"/>
      <c r="E12" s="589"/>
      <c r="F12" s="589"/>
      <c r="G12" s="649">
        <f t="shared" si="0"/>
        <v>0</v>
      </c>
      <c r="H12" s="785"/>
      <c r="I12" s="659">
        <v>5.0000000000000001E-3</v>
      </c>
      <c r="J12" s="592"/>
      <c r="K12" s="479"/>
    </row>
    <row r="13" spans="1:11" s="480" customFormat="1" ht="15" customHeight="1" x14ac:dyDescent="0.25">
      <c r="A13" s="479"/>
      <c r="B13" s="905" t="s">
        <v>3163</v>
      </c>
      <c r="C13" s="587" t="str">
        <f>VLOOKUP("T.17.15",Translation,LanguageNo+1,FALSE)</f>
        <v>Betriebsausflug</v>
      </c>
      <c r="D13" s="588"/>
      <c r="E13" s="589"/>
      <c r="F13" s="604"/>
      <c r="G13" s="649">
        <f t="shared" si="0"/>
        <v>0</v>
      </c>
      <c r="H13" s="785"/>
      <c r="I13" s="659">
        <v>5.0000000000000001E-3</v>
      </c>
      <c r="J13" s="592"/>
      <c r="K13" s="479"/>
    </row>
    <row r="14" spans="1:11" s="480" customFormat="1" ht="15" customHeight="1" x14ac:dyDescent="0.25">
      <c r="A14" s="479"/>
      <c r="B14" s="905" t="s">
        <v>628</v>
      </c>
      <c r="C14" s="587" t="str">
        <f>VLOOKUP("T.17.16",Translation,LanguageNo+1,FALSE)</f>
        <v>Unterreservierung</v>
      </c>
      <c r="D14" s="588"/>
      <c r="E14" s="589"/>
      <c r="F14" s="589"/>
      <c r="G14" s="649">
        <f t="shared" si="0"/>
        <v>0</v>
      </c>
      <c r="H14" s="785"/>
      <c r="I14" s="659">
        <v>5.0000000000000001E-3</v>
      </c>
      <c r="J14" s="592"/>
      <c r="K14" s="479"/>
    </row>
    <row r="15" spans="1:11" s="480" customFormat="1" ht="15" customHeight="1" x14ac:dyDescent="0.25">
      <c r="A15" s="479"/>
      <c r="B15" s="595" t="s">
        <v>1965</v>
      </c>
      <c r="C15" s="587" t="str">
        <f>VLOOKUP("T.17.17",Translation,LanguageNo+1,FALSE)</f>
        <v>Financial Distress (Versicherungsteil)</v>
      </c>
      <c r="D15" s="594" t="str">
        <f>VLOOKUP("T.17.25",Translation,LanguageNo+1,FALSE)</f>
        <v>Das Marktrisiko ist im Blatt Macroeconomic Scenarios definiert und wird automatisch ausgewertet.</v>
      </c>
      <c r="E15" s="589"/>
      <c r="F15" s="589"/>
      <c r="G15" s="649">
        <f t="shared" si="0"/>
        <v>0</v>
      </c>
      <c r="H15" s="785"/>
      <c r="I15" s="659">
        <v>5.0000000000000001E-3</v>
      </c>
      <c r="J15" s="592"/>
      <c r="K15" s="479"/>
    </row>
    <row r="16" spans="1:11" s="480" customFormat="1" ht="15" customHeight="1" x14ac:dyDescent="0.25">
      <c r="A16" s="479"/>
      <c r="B16" s="595" t="s">
        <v>1966</v>
      </c>
      <c r="C16" s="587" t="str">
        <f>VLOOKUP("T.17.18",Translation,LanguageNo+1,FALSE)</f>
        <v>Pandemie (Versicherungsteil)</v>
      </c>
      <c r="D16" s="594" t="str">
        <f>VLOOKUP("T.17.25",Translation,LanguageNo+1,FALSE)</f>
        <v>Das Marktrisiko ist im Blatt Macroeconomic Scenarios definiert und wird automatisch ausgewertet.</v>
      </c>
      <c r="E16" s="589"/>
      <c r="F16" s="589"/>
      <c r="G16" s="649">
        <f t="shared" si="0"/>
        <v>0</v>
      </c>
      <c r="H16" s="785"/>
      <c r="I16" s="659">
        <v>0.01</v>
      </c>
      <c r="J16" s="592"/>
      <c r="K16" s="479"/>
    </row>
    <row r="17" spans="1:11" s="480" customFormat="1" ht="15" customHeight="1" x14ac:dyDescent="0.25">
      <c r="A17" s="479"/>
      <c r="B17" s="587" t="s">
        <v>629</v>
      </c>
      <c r="C17" s="587" t="str">
        <f>VLOOKUP("T.17.19",Translation,LanguageNo+1,FALSE)</f>
        <v xml:space="preserve">Terrorismus </v>
      </c>
      <c r="D17" s="588"/>
      <c r="E17" s="589"/>
      <c r="F17" s="589"/>
      <c r="G17" s="649">
        <f t="shared" si="0"/>
        <v>0</v>
      </c>
      <c r="H17" s="785"/>
      <c r="I17" s="659">
        <v>5.0000000000000001E-3</v>
      </c>
      <c r="J17" s="592"/>
      <c r="K17" s="479"/>
    </row>
    <row r="18" spans="1:11" s="480" customFormat="1" ht="15" customHeight="1" x14ac:dyDescent="0.25">
      <c r="A18" s="479"/>
      <c r="B18" s="587" t="s">
        <v>630</v>
      </c>
      <c r="C18" s="587" t="str">
        <f>VLOOKUP("T.17.20",Translation,LanguageNo+1,FALSE)</f>
        <v>Immobilienkonzentration</v>
      </c>
      <c r="D18" s="588"/>
      <c r="E18" s="589"/>
      <c r="F18" s="589"/>
      <c r="G18" s="649">
        <f t="shared" si="0"/>
        <v>0</v>
      </c>
      <c r="H18" s="785"/>
      <c r="I18" s="659">
        <v>0.01</v>
      </c>
      <c r="J18" s="592"/>
      <c r="K18" s="479"/>
    </row>
    <row r="19" spans="1:11" s="480" customFormat="1" ht="15" customHeight="1" x14ac:dyDescent="0.25">
      <c r="A19" s="479"/>
      <c r="B19" s="587" t="s">
        <v>631</v>
      </c>
      <c r="C19" s="587" t="str">
        <f>VLOOKUP("T.17.21",Translation,LanguageNo+1,FALSE)</f>
        <v>Konzentrationsszenario</v>
      </c>
      <c r="D19" s="589"/>
      <c r="E19" s="589"/>
      <c r="F19" s="589"/>
      <c r="G19" s="649">
        <f t="shared" si="0"/>
        <v>0</v>
      </c>
      <c r="H19" s="785"/>
      <c r="I19" s="659">
        <v>5.0000000000000001E-3</v>
      </c>
      <c r="J19" s="592"/>
      <c r="K19" s="479"/>
    </row>
    <row r="20" spans="1:11" s="480" customFormat="1" ht="15" customHeight="1" x14ac:dyDescent="0.25">
      <c r="A20" s="479"/>
      <c r="B20" s="587" t="s">
        <v>760</v>
      </c>
      <c r="C20" s="587" t="str">
        <f>VLOOKUP("T.17.21",Translation,LanguageNo+1,FALSE)</f>
        <v>Konzentrationsszenario</v>
      </c>
      <c r="D20" s="589"/>
      <c r="E20" s="589"/>
      <c r="F20" s="589"/>
      <c r="G20" s="649">
        <f t="shared" si="0"/>
        <v>0</v>
      </c>
      <c r="H20" s="785"/>
      <c r="I20" s="659">
        <v>5.0000000000000001E-3</v>
      </c>
      <c r="J20" s="592"/>
      <c r="K20" s="479"/>
    </row>
    <row r="21" spans="1:11" s="480" customFormat="1" ht="15" customHeight="1" x14ac:dyDescent="0.25">
      <c r="A21" s="479"/>
      <c r="B21" s="587" t="s">
        <v>761</v>
      </c>
      <c r="C21" s="587" t="str">
        <f>VLOOKUP("T.17.21",Translation,LanguageNo+1,FALSE)</f>
        <v>Konzentrationsszenario</v>
      </c>
      <c r="D21" s="589"/>
      <c r="E21" s="589"/>
      <c r="F21" s="589"/>
      <c r="G21" s="649">
        <f t="shared" si="0"/>
        <v>0</v>
      </c>
      <c r="H21" s="785"/>
      <c r="I21" s="659">
        <v>5.0000000000000001E-3</v>
      </c>
      <c r="J21" s="592"/>
      <c r="K21" s="479"/>
    </row>
    <row r="22" spans="1:11" s="480" customFormat="1" ht="15" customHeight="1" x14ac:dyDescent="0.25">
      <c r="A22" s="479"/>
      <c r="B22" s="587" t="s">
        <v>762</v>
      </c>
      <c r="C22" s="587" t="str">
        <f>VLOOKUP("T.17.21",Translation,LanguageNo+1,FALSE)</f>
        <v>Konzentrationsszenario</v>
      </c>
      <c r="D22" s="589"/>
      <c r="E22" s="589"/>
      <c r="F22" s="589"/>
      <c r="G22" s="649">
        <f t="shared" si="0"/>
        <v>0</v>
      </c>
      <c r="H22" s="785"/>
      <c r="I22" s="659">
        <v>5.0000000000000001E-3</v>
      </c>
      <c r="J22" s="592"/>
      <c r="K22" s="479"/>
    </row>
    <row r="23" spans="1:11" s="480" customFormat="1" ht="15" customHeight="1" x14ac:dyDescent="0.25">
      <c r="A23" s="479"/>
      <c r="B23" s="1186" t="s">
        <v>4131</v>
      </c>
      <c r="C23" s="593" t="str">
        <f>VLOOKUP("T.17.22",Translation,LanguageNo+1,FALSE)</f>
        <v>Von der FINMA vorgegebenes Szenario</v>
      </c>
      <c r="D23" s="589"/>
      <c r="E23" s="589"/>
      <c r="F23" s="589"/>
      <c r="G23" s="649">
        <f t="shared" si="0"/>
        <v>0</v>
      </c>
      <c r="H23" s="785"/>
      <c r="I23" s="659">
        <v>5.0000000000000001E-3</v>
      </c>
      <c r="J23" s="592"/>
      <c r="K23" s="479"/>
    </row>
    <row r="24" spans="1:11" s="480" customFormat="1" ht="15" customHeight="1" x14ac:dyDescent="0.25">
      <c r="A24" s="479"/>
      <c r="B24" s="1186" t="s">
        <v>4132</v>
      </c>
      <c r="C24" s="593" t="str">
        <f t="shared" ref="C24:C32" si="1">VLOOKUP("T.17.23",Translation,LanguageNo+1,FALSE)</f>
        <v>Selbst definiertes Szenario</v>
      </c>
      <c r="D24" s="1117"/>
      <c r="E24" s="589"/>
      <c r="F24" s="589"/>
      <c r="G24" s="649">
        <f t="shared" si="0"/>
        <v>0</v>
      </c>
      <c r="H24" s="785"/>
      <c r="I24" s="659">
        <v>5.0000000000000001E-3</v>
      </c>
      <c r="J24" s="592"/>
      <c r="K24" s="479"/>
    </row>
    <row r="25" spans="1:11" s="480" customFormat="1" ht="15" customHeight="1" x14ac:dyDescent="0.25">
      <c r="A25" s="479"/>
      <c r="B25" s="1186" t="s">
        <v>632</v>
      </c>
      <c r="C25" s="593" t="str">
        <f t="shared" si="1"/>
        <v>Selbst definiertes Szenario</v>
      </c>
      <c r="D25" s="589"/>
      <c r="E25" s="589"/>
      <c r="F25" s="589"/>
      <c r="G25" s="649">
        <f t="shared" si="0"/>
        <v>0</v>
      </c>
      <c r="H25" s="785"/>
      <c r="I25" s="659">
        <v>5.0000000000000001E-3</v>
      </c>
      <c r="J25" s="592"/>
      <c r="K25" s="479"/>
    </row>
    <row r="26" spans="1:11" s="480" customFormat="1" ht="15" customHeight="1" x14ac:dyDescent="0.25">
      <c r="A26" s="479"/>
      <c r="B26" s="1186" t="s">
        <v>752</v>
      </c>
      <c r="C26" s="593" t="str">
        <f t="shared" si="1"/>
        <v>Selbst definiertes Szenario</v>
      </c>
      <c r="D26" s="589"/>
      <c r="E26" s="589"/>
      <c r="F26" s="589"/>
      <c r="G26" s="649">
        <f t="shared" si="0"/>
        <v>0</v>
      </c>
      <c r="H26" s="785"/>
      <c r="I26" s="659">
        <v>5.0000000000000001E-3</v>
      </c>
      <c r="J26" s="592"/>
      <c r="K26" s="479"/>
    </row>
    <row r="27" spans="1:11" s="480" customFormat="1" ht="15" customHeight="1" x14ac:dyDescent="0.25">
      <c r="A27" s="479"/>
      <c r="B27" s="1186" t="s">
        <v>753</v>
      </c>
      <c r="C27" s="593" t="str">
        <f t="shared" si="1"/>
        <v>Selbst definiertes Szenario</v>
      </c>
      <c r="D27" s="589"/>
      <c r="E27" s="589"/>
      <c r="F27" s="589"/>
      <c r="G27" s="649">
        <f t="shared" si="0"/>
        <v>0</v>
      </c>
      <c r="H27" s="785"/>
      <c r="I27" s="659">
        <v>5.0000000000000001E-3</v>
      </c>
      <c r="J27" s="592"/>
      <c r="K27" s="479"/>
    </row>
    <row r="28" spans="1:11" s="480" customFormat="1" ht="15" customHeight="1" x14ac:dyDescent="0.25">
      <c r="A28" s="479"/>
      <c r="B28" s="1186" t="s">
        <v>754</v>
      </c>
      <c r="C28" s="593" t="str">
        <f t="shared" si="1"/>
        <v>Selbst definiertes Szenario</v>
      </c>
      <c r="D28" s="589"/>
      <c r="E28" s="589"/>
      <c r="F28" s="589"/>
      <c r="G28" s="649">
        <f t="shared" si="0"/>
        <v>0</v>
      </c>
      <c r="H28" s="785"/>
      <c r="I28" s="659">
        <v>5.0000000000000001E-3</v>
      </c>
      <c r="J28" s="592"/>
      <c r="K28" s="479"/>
    </row>
    <row r="29" spans="1:11" s="480" customFormat="1" ht="15" customHeight="1" x14ac:dyDescent="0.25">
      <c r="A29" s="479"/>
      <c r="B29" s="1186" t="s">
        <v>755</v>
      </c>
      <c r="C29" s="593" t="str">
        <f t="shared" si="1"/>
        <v>Selbst definiertes Szenario</v>
      </c>
      <c r="D29" s="589"/>
      <c r="E29" s="589"/>
      <c r="F29" s="589"/>
      <c r="G29" s="649">
        <f t="shared" si="0"/>
        <v>0</v>
      </c>
      <c r="H29" s="785"/>
      <c r="I29" s="659">
        <v>5.0000000000000001E-3</v>
      </c>
      <c r="J29" s="592"/>
      <c r="K29" s="479"/>
    </row>
    <row r="30" spans="1:11" s="480" customFormat="1" ht="15" customHeight="1" x14ac:dyDescent="0.25">
      <c r="A30" s="479"/>
      <c r="B30" s="1186" t="s">
        <v>756</v>
      </c>
      <c r="C30" s="593" t="str">
        <f t="shared" si="1"/>
        <v>Selbst definiertes Szenario</v>
      </c>
      <c r="D30" s="589"/>
      <c r="E30" s="589"/>
      <c r="F30" s="589"/>
      <c r="G30" s="649">
        <f t="shared" si="0"/>
        <v>0</v>
      </c>
      <c r="H30" s="785"/>
      <c r="I30" s="659">
        <v>5.0000000000000001E-3</v>
      </c>
      <c r="J30" s="592"/>
      <c r="K30" s="479"/>
    </row>
    <row r="31" spans="1:11" s="480" customFormat="1" ht="15" customHeight="1" x14ac:dyDescent="0.25">
      <c r="A31" s="479"/>
      <c r="B31" s="1186" t="s">
        <v>757</v>
      </c>
      <c r="C31" s="593" t="str">
        <f t="shared" si="1"/>
        <v>Selbst definiertes Szenario</v>
      </c>
      <c r="D31" s="589"/>
      <c r="E31" s="589"/>
      <c r="F31" s="589"/>
      <c r="G31" s="649">
        <f t="shared" si="0"/>
        <v>0</v>
      </c>
      <c r="H31" s="785"/>
      <c r="I31" s="659">
        <v>5.0000000000000001E-3</v>
      </c>
      <c r="J31" s="592"/>
      <c r="K31" s="479"/>
    </row>
    <row r="32" spans="1:11" s="480" customFormat="1" ht="15" customHeight="1" x14ac:dyDescent="0.25">
      <c r="A32" s="479"/>
      <c r="B32" s="596" t="s">
        <v>758</v>
      </c>
      <c r="C32" s="596" t="str">
        <f t="shared" si="1"/>
        <v>Selbst definiertes Szenario</v>
      </c>
      <c r="D32" s="597"/>
      <c r="E32" s="597"/>
      <c r="F32" s="597"/>
      <c r="G32" s="650">
        <f t="shared" si="0"/>
        <v>0</v>
      </c>
      <c r="H32" s="786"/>
      <c r="I32" s="660">
        <v>5.0000000000000001E-3</v>
      </c>
      <c r="J32" s="592"/>
      <c r="K32" s="479"/>
    </row>
    <row r="33" spans="1:11" ht="15" customHeight="1" x14ac:dyDescent="0.25">
      <c r="A33" s="67"/>
      <c r="B33" s="67"/>
      <c r="C33" s="67"/>
      <c r="D33" s="67"/>
      <c r="E33" s="67"/>
      <c r="F33" s="67"/>
      <c r="G33" s="67"/>
      <c r="H33" s="67"/>
      <c r="I33" s="446"/>
      <c r="J33" s="67"/>
      <c r="K33" s="67"/>
    </row>
    <row r="34" spans="1:11" ht="15" customHeight="1" x14ac:dyDescent="0.25">
      <c r="A34" s="67"/>
      <c r="B34" s="67"/>
      <c r="C34" s="67"/>
      <c r="D34" s="67"/>
      <c r="E34" s="67"/>
      <c r="F34" s="67"/>
      <c r="G34" s="67"/>
      <c r="H34" s="67"/>
      <c r="I34" s="446"/>
      <c r="J34" s="67"/>
      <c r="K34" s="67"/>
    </row>
    <row r="35" spans="1:11" ht="15" customHeight="1" x14ac:dyDescent="0.25">
      <c r="A35" s="67"/>
      <c r="B35" s="67"/>
      <c r="C35" s="67"/>
      <c r="D35" s="67"/>
      <c r="E35" s="67"/>
      <c r="F35" s="67"/>
      <c r="G35" s="67"/>
      <c r="H35" s="67"/>
      <c r="I35" s="446"/>
      <c r="J35" s="67"/>
      <c r="K35" s="67"/>
    </row>
    <row r="36" spans="1:11" ht="15" customHeight="1" x14ac:dyDescent="0.25"/>
    <row r="37" spans="1:11" ht="15" customHeight="1" x14ac:dyDescent="0.25"/>
  </sheetData>
  <mergeCells count="2">
    <mergeCell ref="I5:I6"/>
    <mergeCell ref="H5:H6"/>
  </mergeCells>
  <phoneticPr fontId="197" type="noConversion"/>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Tabelle5">
    <tabColor rgb="FFD4ECF9"/>
  </sheetPr>
  <dimension ref="A1:L18"/>
  <sheetViews>
    <sheetView showGridLines="0" zoomScale="90" zoomScaleNormal="90" workbookViewId="0"/>
  </sheetViews>
  <sheetFormatPr baseColWidth="10" defaultColWidth="8.5703125" defaultRowHeight="12.75" customHeight="1" x14ac:dyDescent="0.25"/>
  <cols>
    <col min="1" max="1" width="5.5703125" customWidth="1"/>
    <col min="2" max="3" width="16.42578125" customWidth="1"/>
    <col min="4" max="4" width="94" customWidth="1"/>
    <col min="5" max="5" width="20.5703125" bestFit="1" customWidth="1"/>
    <col min="7" max="12" width="15.42578125" customWidth="1"/>
  </cols>
  <sheetData>
    <row r="1" spans="1:12" ht="20.100000000000001" customHeight="1" x14ac:dyDescent="0.25">
      <c r="A1" s="21">
        <v>18</v>
      </c>
      <c r="B1" s="680" t="str">
        <f>VLOOKUP("T.18.01",Translation,LanguageNo+1,FALSE)</f>
        <v>Sensitivitäten des Risikofaktors aus der Lebensversicherung</v>
      </c>
      <c r="C1" s="22"/>
      <c r="D1" s="1"/>
    </row>
    <row r="2" spans="1:12" ht="14.25" customHeight="1" x14ac:dyDescent="0.25">
      <c r="A2" s="67"/>
      <c r="B2" s="67"/>
      <c r="C2" s="67"/>
      <c r="D2" s="67"/>
      <c r="E2" s="67"/>
      <c r="F2" s="67"/>
    </row>
    <row r="3" spans="1:12" ht="14.25" customHeight="1" x14ac:dyDescent="0.25">
      <c r="A3" s="67"/>
      <c r="B3" s="67"/>
      <c r="C3" s="67"/>
      <c r="D3" s="67"/>
      <c r="E3" s="67"/>
      <c r="F3" s="67"/>
    </row>
    <row r="4" spans="1:12" ht="14.25" customHeight="1" x14ac:dyDescent="0.25">
      <c r="A4" s="67"/>
      <c r="B4" s="67"/>
      <c r="C4" s="67"/>
      <c r="D4" s="67"/>
      <c r="E4" s="67"/>
      <c r="F4" s="67"/>
    </row>
    <row r="5" spans="1:12" ht="15" x14ac:dyDescent="0.25">
      <c r="A5" s="67"/>
      <c r="B5" s="567" t="s">
        <v>1594</v>
      </c>
      <c r="C5" s="74" t="str">
        <f>VLOOKUP("T.18.02",Translation,LanguageNo+1,FALSE)</f>
        <v>Risikofaktor</v>
      </c>
      <c r="D5" s="74" t="s">
        <v>585</v>
      </c>
      <c r="E5" s="74" t="str">
        <f>VLOOKUP("T.18.03",Translation,LanguageNo+1,FALSE)</f>
        <v>Veränderung des RTK</v>
      </c>
      <c r="F5" s="67"/>
    </row>
    <row r="6" spans="1:12" ht="38.25" customHeight="1" x14ac:dyDescent="0.25">
      <c r="A6" s="67"/>
      <c r="B6" s="74"/>
      <c r="C6" s="74"/>
      <c r="D6" s="173" t="str">
        <f>VLOOKUP("T.18.22",Translation,LanguageNo+1,FALSE)</f>
        <v>Gemäss Dokument Technische Beschreibung für das SST-Standardmodell Lebensversicherung</v>
      </c>
      <c r="E6" s="122" t="str">
        <f>Unit &amp; SST_Currency</f>
        <v>in Mio. CHF</v>
      </c>
      <c r="F6" s="67"/>
      <c r="G6" s="85" t="str">
        <f>VLOOKUP("T.18.23",Translation,LanguageNo+1,FALSE)</f>
        <v>Schweiz</v>
      </c>
      <c r="H6" s="85" t="str">
        <f>VLOOKUP("T.18.24",Translation,LanguageNo+1,FALSE)</f>
        <v>Deutschland</v>
      </c>
      <c r="I6" s="85" t="str">
        <f>VLOOKUP("T.18.25",Translation,LanguageNo+1,FALSE)</f>
        <v>Frankreich</v>
      </c>
      <c r="J6" s="85" t="str">
        <f>VLOOKUP("T.18.26",Translation,LanguageNo+1,FALSE)</f>
        <v>Italien</v>
      </c>
      <c r="K6" s="85" t="str">
        <f>VLOOKUP("T.18.27",Translation,LanguageNo+1,FALSE)</f>
        <v>Andere europäische Länder</v>
      </c>
      <c r="L6" s="85" t="str">
        <f>VLOOKUP("T.18.28",Translation,LanguageNo+1,FALSE)</f>
        <v>Andere Länder</v>
      </c>
    </row>
    <row r="7" spans="1:12" s="11" customFormat="1" ht="40.35" customHeight="1" x14ac:dyDescent="0.25">
      <c r="A7" s="128"/>
      <c r="B7" s="123" t="s">
        <v>501</v>
      </c>
      <c r="C7" s="123" t="str">
        <f>VLOOKUP("T.18.04",Translation,LanguageNo+1,FALSE)</f>
        <v>Sterblichkeit</v>
      </c>
      <c r="D7" s="109" t="str">
        <f>VLOOKUP("T.18.13",Translation,LanguageNo+1,FALSE)</f>
        <v>Erhöhung der Sterblichkeiten für all jene Policen, bei denen eine Erhöhung der Sterblichkeit zu einer Verminderung des risikotragenden Kapitals führt. Für diese ist die Sterblichkeit relativ um 15 % zu erhöhen.</v>
      </c>
      <c r="E7" s="891">
        <f t="shared" ref="E7:E11" si="0">SUM(G7:L7)</f>
        <v>0</v>
      </c>
      <c r="F7" s="128"/>
      <c r="G7" s="124"/>
      <c r="H7" s="124"/>
      <c r="I7" s="124"/>
      <c r="J7" s="124"/>
      <c r="K7" s="124"/>
      <c r="L7" s="124"/>
    </row>
    <row r="8" spans="1:12" s="11" customFormat="1" ht="40.35" customHeight="1" x14ac:dyDescent="0.25">
      <c r="A8" s="128"/>
      <c r="B8" s="125" t="s">
        <v>473</v>
      </c>
      <c r="C8" s="125" t="str">
        <f>VLOOKUP("T.18.05",Translation,LanguageNo+1,FALSE)</f>
        <v>Langlebigkeit</v>
      </c>
      <c r="D8" s="113" t="str">
        <f>VLOOKUP("T.18.14",Translation,LanguageNo+1,FALSE)</f>
        <v>Permanente Reduktion der Sterblichkeiten um 15 % für all jene Policen, bei denen eine Reduktion der Sterblichkeit zu einer Verminderung des risikotragenden Kapitals führt.</v>
      </c>
      <c r="E8" s="891">
        <f t="shared" si="0"/>
        <v>0</v>
      </c>
      <c r="F8" s="128"/>
      <c r="G8" s="124"/>
      <c r="H8" s="124"/>
      <c r="I8" s="124"/>
      <c r="J8" s="124"/>
      <c r="K8" s="124"/>
      <c r="L8" s="124"/>
    </row>
    <row r="9" spans="1:12" s="11" customFormat="1" ht="40.35" customHeight="1" x14ac:dyDescent="0.25">
      <c r="A9" s="128"/>
      <c r="B9" s="125" t="s">
        <v>475</v>
      </c>
      <c r="C9" s="125" t="str">
        <f>VLOOKUP("T.18.06",Translation,LanguageNo+1,FALSE)</f>
        <v>Invalidität</v>
      </c>
      <c r="D9" s="113" t="str">
        <f>VLOOKUP("T.18.15",Translation,LanguageNo+1,FALSE)</f>
        <v>Relative Erhöhung der Invalidisierungswahrscheinlichkeiten um 25 %.</v>
      </c>
      <c r="E9" s="891">
        <f t="shared" si="0"/>
        <v>0</v>
      </c>
      <c r="F9" s="128"/>
      <c r="G9" s="124"/>
      <c r="H9" s="124"/>
      <c r="I9" s="124"/>
      <c r="J9" s="124"/>
      <c r="K9" s="124"/>
      <c r="L9" s="124"/>
    </row>
    <row r="10" spans="1:12" s="11" customFormat="1" ht="40.35" customHeight="1" x14ac:dyDescent="0.25">
      <c r="A10" s="128"/>
      <c r="B10" s="125" t="s">
        <v>559</v>
      </c>
      <c r="C10" s="125" t="str">
        <f>VLOOKUP("T.18.07",Translation,LanguageNo+1,FALSE)</f>
        <v>Reaktivierung</v>
      </c>
      <c r="D10" s="113" t="str">
        <f>VLOOKUP("T.18.16",Translation,LanguageNo+1,FALSE)</f>
        <v>Relative Verminderung der Reaktivierungswahrscheinlichkeiten um 40 %.</v>
      </c>
      <c r="E10" s="891">
        <f t="shared" si="0"/>
        <v>0</v>
      </c>
      <c r="F10" s="128"/>
      <c r="G10" s="124"/>
      <c r="H10" s="124"/>
      <c r="I10" s="124"/>
      <c r="J10" s="124"/>
      <c r="K10" s="124"/>
      <c r="L10" s="124"/>
    </row>
    <row r="11" spans="1:12" s="11" customFormat="1" ht="40.35" customHeight="1" x14ac:dyDescent="0.25">
      <c r="A11" s="128"/>
      <c r="B11" s="125" t="s">
        <v>497</v>
      </c>
      <c r="C11" s="125" t="str">
        <f>VLOOKUP("T.18.08",Translation,LanguageNo+1,FALSE)</f>
        <v>Kosten</v>
      </c>
      <c r="D11" s="113" t="str">
        <f>VLOOKUP("T.18.17",Translation,LanguageNo+1,FALSE)</f>
        <v>Permanente Erhöhung sämtlicher Kosten des übrigen Geschäfts um 25 %. 
Dieser Risikotreiber gilt nur für das übrige Geschäft.</v>
      </c>
      <c r="E11" s="891">
        <f t="shared" si="0"/>
        <v>0</v>
      </c>
      <c r="F11" s="128"/>
      <c r="G11" s="124"/>
      <c r="H11" s="124"/>
      <c r="I11" s="124"/>
      <c r="J11" s="124"/>
      <c r="K11" s="124"/>
      <c r="L11" s="124"/>
    </row>
    <row r="12" spans="1:12" s="11" customFormat="1" ht="40.35" customHeight="1" x14ac:dyDescent="0.25">
      <c r="A12" s="128"/>
      <c r="B12" s="125" t="s">
        <v>477</v>
      </c>
      <c r="C12" s="125" t="str">
        <f>VLOOKUP("T.18.09",Translation,LanguageNo+1,FALSE)</f>
        <v>Storno</v>
      </c>
      <c r="D12" s="113" t="str">
        <f>VLOOKUP("T.18.18",Translation,LanguageNo+1,FALSE)</f>
        <v>Permanente relative Erhöhung der Stornoraten des übrigen Geschäfts um 15 % für Schweizer Geschäft, um 25 % für ausländisches Geschäft. 
Dieser Risikotreiber gilt nur für das übrige Geschäft.</v>
      </c>
      <c r="E12" s="891">
        <f>SUM(G12:L12)</f>
        <v>0</v>
      </c>
      <c r="F12" s="128"/>
      <c r="G12" s="124"/>
      <c r="H12" s="124"/>
      <c r="I12" s="124"/>
      <c r="J12" s="124"/>
      <c r="K12" s="124"/>
      <c r="L12" s="124"/>
    </row>
    <row r="13" spans="1:12" s="11" customFormat="1" ht="40.35" customHeight="1" x14ac:dyDescent="0.25">
      <c r="A13" s="128"/>
      <c r="B13" s="125" t="s">
        <v>498</v>
      </c>
      <c r="C13" s="125" t="str">
        <f>VLOOKUP("T.18.10",Translation,LanguageNo+1,FALSE)</f>
        <v>Kapitaloption</v>
      </c>
      <c r="D13" s="113" t="str">
        <f>VLOOKUP("T.18.19",Translation,LanguageNo+1,FALSE)</f>
        <v>Permanente relative Reduktion / Erhöhung der Kapitalbezugsquote um 10 %. 
Hinweis: Grundsätzlich ist die Auslenkung zu wählen, welche (auf Bestandesebene) risikoerhöhend wirkt.</v>
      </c>
      <c r="E13" s="891">
        <f t="shared" ref="E13" si="1">SUM(G13:L13)</f>
        <v>0</v>
      </c>
      <c r="F13" s="128"/>
      <c r="G13" s="124"/>
      <c r="H13" s="124"/>
      <c r="I13" s="124"/>
      <c r="J13" s="124"/>
      <c r="K13" s="124"/>
      <c r="L13" s="124"/>
    </row>
    <row r="14" spans="1:12" s="11" customFormat="1" ht="40.35" customHeight="1" x14ac:dyDescent="0.25">
      <c r="A14" s="128"/>
      <c r="B14" s="125" t="s">
        <v>499</v>
      </c>
      <c r="C14" s="125" t="str">
        <f>VLOOKUP("T.18.11",Translation,LanguageNo+1,FALSE)</f>
        <v>Kosten BVG</v>
      </c>
      <c r="D14" s="113" t="str">
        <f>VLOOKUP("T.18.20",Translation,LanguageNo+1,FALSE)</f>
        <v>Permanente Erhöhung sämtlicher Kosten des BVG Geschäfts um 25 %.
Dieser Risikotreiber gilt nur für das BVG Geschäft.</v>
      </c>
      <c r="E14" s="891">
        <f>G14</f>
        <v>0</v>
      </c>
      <c r="F14" s="128"/>
      <c r="G14" s="124"/>
      <c r="H14"/>
      <c r="I14"/>
      <c r="J14"/>
      <c r="K14"/>
      <c r="L14"/>
    </row>
    <row r="15" spans="1:12" s="11" customFormat="1" ht="40.35" customHeight="1" x14ac:dyDescent="0.25">
      <c r="A15" s="128"/>
      <c r="B15" s="126" t="s">
        <v>500</v>
      </c>
      <c r="C15" s="126" t="str">
        <f>VLOOKUP("T.18.12",Translation,LanguageNo+1,FALSE)</f>
        <v>Storno BVG</v>
      </c>
      <c r="D15" s="116" t="str">
        <f>VLOOKUP("T.18.21",Translation,LanguageNo+1,FALSE)</f>
        <v>Permanente relative Erhöhung der Stornoraten des BVG Geschäfts um 40%. 
Dieser Risikotreiber gilt nur für das BVG Geschäft.</v>
      </c>
      <c r="E15" s="930">
        <f>G15</f>
        <v>0</v>
      </c>
      <c r="F15" s="128"/>
      <c r="G15" s="127"/>
      <c r="H15" s="1013"/>
      <c r="I15" s="1013"/>
      <c r="J15" s="1013"/>
      <c r="K15" s="1013"/>
      <c r="L15" s="1013"/>
    </row>
    <row r="16" spans="1:12" ht="12.75" customHeight="1" x14ac:dyDescent="0.25">
      <c r="A16" s="67"/>
      <c r="B16" s="67"/>
      <c r="C16" s="67"/>
      <c r="D16" s="67"/>
      <c r="E16" s="67"/>
      <c r="F16" s="67"/>
    </row>
    <row r="17" spans="1:6" ht="12.75" customHeight="1" x14ac:dyDescent="0.25">
      <c r="A17" s="67"/>
      <c r="B17" s="67"/>
      <c r="C17" s="67"/>
      <c r="D17" s="67"/>
      <c r="E17" s="67"/>
      <c r="F17" s="67"/>
    </row>
    <row r="18" spans="1:6" ht="12.75" customHeight="1" x14ac:dyDescent="0.25">
      <c r="A18" s="67"/>
      <c r="B18" s="67"/>
      <c r="C18" s="67"/>
      <c r="D18" s="67"/>
      <c r="E18" s="67"/>
      <c r="F18" s="67"/>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D8D2AA-FAF1-4A3A-8F3D-96847CBCEE6F}">
  <sheetPr>
    <tabColor rgb="FFD4ECF7"/>
  </sheetPr>
  <dimension ref="A1:E11"/>
  <sheetViews>
    <sheetView showGridLines="0" zoomScale="90" zoomScaleNormal="90" workbookViewId="0"/>
  </sheetViews>
  <sheetFormatPr baseColWidth="10" defaultColWidth="10.85546875" defaultRowHeight="12.75" x14ac:dyDescent="0.2"/>
  <cols>
    <col min="1" max="1" width="5.5703125" style="1217" customWidth="1"/>
    <col min="2" max="2" width="67.5703125" style="1217" bestFit="1" customWidth="1"/>
    <col min="3" max="3" width="53.5703125" style="1217" bestFit="1" customWidth="1"/>
    <col min="4" max="5" width="16.140625" style="1217" customWidth="1"/>
    <col min="6" max="16384" width="10.85546875" style="1217"/>
  </cols>
  <sheetData>
    <row r="1" spans="1:5" ht="20.25" x14ac:dyDescent="0.2">
      <c r="A1" s="679" t="s">
        <v>4226</v>
      </c>
      <c r="B1" s="680" t="s">
        <v>4917</v>
      </c>
      <c r="C1" s="1223"/>
    </row>
    <row r="2" spans="1:5" ht="14.25" customHeight="1" x14ac:dyDescent="0.2">
      <c r="B2" s="23"/>
      <c r="C2" s="1223"/>
    </row>
    <row r="3" spans="1:5" ht="14.25" customHeight="1" x14ac:dyDescent="0.2">
      <c r="B3" s="23"/>
      <c r="C3" s="1223"/>
    </row>
    <row r="4" spans="1:5" ht="14.25" customHeight="1" x14ac:dyDescent="0.2">
      <c r="B4" s="23"/>
      <c r="C4" s="1223"/>
    </row>
    <row r="5" spans="1:5" ht="14.25" customHeight="1" x14ac:dyDescent="0.2"/>
    <row r="6" spans="1:5" s="1218" customFormat="1" ht="46.5" customHeight="1" x14ac:dyDescent="0.25">
      <c r="B6" s="1246" t="s">
        <v>4924</v>
      </c>
      <c r="C6" s="1246" t="s">
        <v>26</v>
      </c>
      <c r="D6" s="1216" t="s">
        <v>4923</v>
      </c>
      <c r="E6" s="1216" t="s">
        <v>4921</v>
      </c>
    </row>
    <row r="7" spans="1:5" x14ac:dyDescent="0.2">
      <c r="B7" s="1245" t="s">
        <v>4918</v>
      </c>
      <c r="C7" s="1219" t="s">
        <v>4224</v>
      </c>
      <c r="D7" s="1213"/>
      <c r="E7" s="1220">
        <f>D7-E9</f>
        <v>0</v>
      </c>
    </row>
    <row r="8" spans="1:5" x14ac:dyDescent="0.2">
      <c r="B8" s="1244" t="s">
        <v>4919</v>
      </c>
      <c r="C8" s="1219" t="s">
        <v>4224</v>
      </c>
      <c r="D8" s="1214"/>
      <c r="E8" s="1222">
        <f>D8-E9</f>
        <v>0</v>
      </c>
    </row>
    <row r="9" spans="1:5" x14ac:dyDescent="0.2">
      <c r="B9" s="1242" t="s">
        <v>2391</v>
      </c>
      <c r="C9" s="1219" t="s">
        <v>4224</v>
      </c>
      <c r="D9" s="1214"/>
      <c r="E9" s="1222">
        <f>D9+D10</f>
        <v>0</v>
      </c>
    </row>
    <row r="10" spans="1:5" x14ac:dyDescent="0.2">
      <c r="B10" s="1244" t="s">
        <v>4920</v>
      </c>
      <c r="C10" s="1221" t="s">
        <v>4916</v>
      </c>
      <c r="D10" s="1214"/>
      <c r="E10" s="1222"/>
    </row>
    <row r="11" spans="1:5" ht="13.5" thickBot="1" x14ac:dyDescent="0.25">
      <c r="B11" s="1215" t="s">
        <v>4225</v>
      </c>
      <c r="C11" s="1215" t="s">
        <v>4922</v>
      </c>
      <c r="D11" s="1224" t="e">
        <f>(D7-D9)/(D8-D9)</f>
        <v>#DIV/0!</v>
      </c>
      <c r="E11" s="1224" t="e">
        <f>E7/E8</f>
        <v>#DIV/0!</v>
      </c>
    </row>
  </sheetData>
  <pageMargins left="0.7" right="0.7" top="0.78740157499999996" bottom="0.78740157499999996" header="0.3" footer="0.3"/>
  <pageSetup paperSize="9" orientation="portrait"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Tabelle8">
    <tabColor rgb="FFD4ECF9"/>
  </sheetPr>
  <dimension ref="A1:BL200"/>
  <sheetViews>
    <sheetView showGridLines="0" zoomScale="90" zoomScaleNormal="90" workbookViewId="0"/>
  </sheetViews>
  <sheetFormatPr baseColWidth="10" defaultColWidth="8.5703125" defaultRowHeight="12.75" customHeight="1" x14ac:dyDescent="0.25"/>
  <cols>
    <col min="1" max="1" width="5.5703125" customWidth="1"/>
    <col min="2" max="2" width="15.5703125" customWidth="1"/>
    <col min="3" max="3" width="20.5703125" customWidth="1"/>
    <col min="4" max="4" width="41.5703125" customWidth="1"/>
    <col min="5" max="5" width="41" customWidth="1"/>
    <col min="6" max="55" width="10.5703125" customWidth="1"/>
  </cols>
  <sheetData>
    <row r="1" spans="1:64" ht="20.100000000000001" customHeight="1" x14ac:dyDescent="0.25">
      <c r="A1" s="21">
        <v>19</v>
      </c>
      <c r="B1" s="680" t="str">
        <f>VLOOKUP("T.19.01",Translation,LanguageNo+1,FALSE)</f>
        <v>Mindestbetrag Lebensversicherung</v>
      </c>
      <c r="C1" s="22"/>
    </row>
    <row r="2" spans="1:64" ht="14.25" customHeight="1" x14ac:dyDescent="0.25">
      <c r="A2" s="67"/>
      <c r="B2" s="67"/>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row>
    <row r="3" spans="1:64" ht="14.25" customHeight="1" x14ac:dyDescent="0.25">
      <c r="A3" s="67"/>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row>
    <row r="4" spans="1:64" ht="14.25" customHeight="1" x14ac:dyDescent="0.25">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row>
    <row r="5" spans="1:64" ht="14.25" customHeight="1" x14ac:dyDescent="0.25">
      <c r="A5" s="67"/>
      <c r="B5" s="565" t="s">
        <v>1594</v>
      </c>
      <c r="C5" s="494" t="str">
        <f>VLOOKUP("T.19.02",Translation,LanguageNo+1,FALSE)</f>
        <v>Risikofaktor</v>
      </c>
      <c r="D5" s="82" t="str">
        <f>VLOOKUP("T.19.03",Translation,LanguageNo+1,FALSE)</f>
        <v>Erwartete Cashflows c(n,tau)</v>
      </c>
      <c r="E5" s="82" t="s">
        <v>585</v>
      </c>
      <c r="F5" s="82" t="s">
        <v>247</v>
      </c>
      <c r="G5" s="82" t="s">
        <v>180</v>
      </c>
      <c r="H5" s="82" t="s">
        <v>181</v>
      </c>
      <c r="I5" s="82" t="s">
        <v>182</v>
      </c>
      <c r="J5" s="82" t="s">
        <v>183</v>
      </c>
      <c r="K5" s="82" t="s">
        <v>184</v>
      </c>
      <c r="L5" s="82" t="s">
        <v>185</v>
      </c>
      <c r="M5" s="82" t="s">
        <v>186</v>
      </c>
      <c r="N5" s="82" t="s">
        <v>187</v>
      </c>
      <c r="O5" s="82" t="s">
        <v>188</v>
      </c>
      <c r="P5" s="82" t="s">
        <v>189</v>
      </c>
      <c r="Q5" s="82" t="s">
        <v>190</v>
      </c>
      <c r="R5" s="82" t="s">
        <v>191</v>
      </c>
      <c r="S5" s="82" t="s">
        <v>192</v>
      </c>
      <c r="T5" s="82" t="s">
        <v>193</v>
      </c>
      <c r="U5" s="82" t="s">
        <v>194</v>
      </c>
      <c r="V5" s="82" t="s">
        <v>195</v>
      </c>
      <c r="W5" s="82" t="s">
        <v>196</v>
      </c>
      <c r="X5" s="82" t="s">
        <v>197</v>
      </c>
      <c r="Y5" s="82" t="s">
        <v>198</v>
      </c>
      <c r="Z5" s="82" t="s">
        <v>199</v>
      </c>
      <c r="AA5" s="82" t="s">
        <v>200</v>
      </c>
      <c r="AB5" s="82" t="s">
        <v>201</v>
      </c>
      <c r="AC5" s="82" t="s">
        <v>202</v>
      </c>
      <c r="AD5" s="82" t="s">
        <v>203</v>
      </c>
      <c r="AE5" s="82" t="s">
        <v>204</v>
      </c>
      <c r="AF5" s="82" t="s">
        <v>205</v>
      </c>
      <c r="AG5" s="82" t="s">
        <v>206</v>
      </c>
      <c r="AH5" s="82" t="s">
        <v>207</v>
      </c>
      <c r="AI5" s="82" t="s">
        <v>208</v>
      </c>
      <c r="AJ5" s="82" t="s">
        <v>209</v>
      </c>
      <c r="AK5" s="82" t="s">
        <v>210</v>
      </c>
      <c r="AL5" s="82" t="s">
        <v>211</v>
      </c>
      <c r="AM5" s="82" t="s">
        <v>212</v>
      </c>
      <c r="AN5" s="82" t="s">
        <v>213</v>
      </c>
      <c r="AO5" s="82" t="s">
        <v>214</v>
      </c>
      <c r="AP5" s="82" t="s">
        <v>215</v>
      </c>
      <c r="AQ5" s="82" t="s">
        <v>216</v>
      </c>
      <c r="AR5" s="82" t="s">
        <v>217</v>
      </c>
      <c r="AS5" s="82" t="s">
        <v>218</v>
      </c>
      <c r="AT5" s="82" t="s">
        <v>219</v>
      </c>
      <c r="AU5" s="82" t="s">
        <v>220</v>
      </c>
      <c r="AV5" s="82" t="s">
        <v>221</v>
      </c>
      <c r="AW5" s="82" t="s">
        <v>222</v>
      </c>
      <c r="AX5" s="82" t="s">
        <v>223</v>
      </c>
      <c r="AY5" s="82" t="s">
        <v>224</v>
      </c>
      <c r="AZ5" s="82" t="s">
        <v>225</v>
      </c>
      <c r="BA5" s="82" t="s">
        <v>226</v>
      </c>
      <c r="BB5" s="82" t="s">
        <v>227</v>
      </c>
      <c r="BC5" s="82" t="s">
        <v>228</v>
      </c>
      <c r="BD5" s="67"/>
      <c r="BE5" s="67"/>
      <c r="BF5" s="67"/>
      <c r="BG5" s="2"/>
      <c r="BH5" s="2"/>
    </row>
    <row r="6" spans="1:64" ht="28.5" customHeight="1" x14ac:dyDescent="0.25">
      <c r="A6" s="67"/>
      <c r="B6" s="565"/>
      <c r="C6" s="82"/>
      <c r="D6" s="169" t="str">
        <f>Unit&amp;SST_Currency</f>
        <v>in Mio. CHF</v>
      </c>
      <c r="E6" s="169" t="str">
        <f>VLOOKUP("T.19.22",Translation,LanguageNo+1,FALSE)</f>
        <v>Gemäss Dokument Technische Beschreibung für das SST-Standardmodell Lebensversicherung</v>
      </c>
      <c r="F6" s="106" t="str">
        <f>"31.12."&amp;Year</f>
        <v>31.12.2024</v>
      </c>
      <c r="G6" s="106" t="str">
        <f>"31.12."&amp;Year+1</f>
        <v>31.12.2025</v>
      </c>
      <c r="H6" s="106" t="str">
        <f>"31.12."&amp;Year+2</f>
        <v>31.12.2026</v>
      </c>
      <c r="I6" s="106" t="str">
        <f>"31.12."&amp;Year+3</f>
        <v>31.12.2027</v>
      </c>
      <c r="J6" s="106" t="str">
        <f>"31.12."&amp;Year+4</f>
        <v>31.12.2028</v>
      </c>
      <c r="K6" s="106" t="str">
        <f>"31.12."&amp;Year+5</f>
        <v>31.12.2029</v>
      </c>
      <c r="L6" s="106" t="str">
        <f>"31.12."&amp;Year+6</f>
        <v>31.12.2030</v>
      </c>
      <c r="M6" s="106" t="str">
        <f>"31.12."&amp;Year+7</f>
        <v>31.12.2031</v>
      </c>
      <c r="N6" s="106" t="str">
        <f>"31.12."&amp;Year+8</f>
        <v>31.12.2032</v>
      </c>
      <c r="O6" s="106" t="str">
        <f>"31.12."&amp;Year+9</f>
        <v>31.12.2033</v>
      </c>
      <c r="P6" s="106" t="str">
        <f>"31.12."&amp;Year+10</f>
        <v>31.12.2034</v>
      </c>
      <c r="Q6" s="106" t="str">
        <f>"31.12."&amp;Year+11</f>
        <v>31.12.2035</v>
      </c>
      <c r="R6" s="106" t="str">
        <f>"31.12."&amp;Year+12</f>
        <v>31.12.2036</v>
      </c>
      <c r="S6" s="106" t="str">
        <f>"31.12."&amp;Year+13</f>
        <v>31.12.2037</v>
      </c>
      <c r="T6" s="106" t="str">
        <f>"31.12."&amp;Year+14</f>
        <v>31.12.2038</v>
      </c>
      <c r="U6" s="106" t="str">
        <f>"31.12."&amp;Year+15</f>
        <v>31.12.2039</v>
      </c>
      <c r="V6" s="106" t="str">
        <f>"31.12."&amp;Year+16</f>
        <v>31.12.2040</v>
      </c>
      <c r="W6" s="106" t="str">
        <f>"31.12."&amp;Year+17</f>
        <v>31.12.2041</v>
      </c>
      <c r="X6" s="106" t="str">
        <f>"31.12."&amp;Year+18</f>
        <v>31.12.2042</v>
      </c>
      <c r="Y6" s="106" t="str">
        <f>"31.12."&amp;Year+19</f>
        <v>31.12.2043</v>
      </c>
      <c r="Z6" s="106" t="str">
        <f>"31.12."&amp;Year+20</f>
        <v>31.12.2044</v>
      </c>
      <c r="AA6" s="106" t="str">
        <f>"31.12."&amp;Year+21</f>
        <v>31.12.2045</v>
      </c>
      <c r="AB6" s="106" t="str">
        <f>"31.12."&amp;Year+22</f>
        <v>31.12.2046</v>
      </c>
      <c r="AC6" s="106" t="str">
        <f>"31.12."&amp;Year+23</f>
        <v>31.12.2047</v>
      </c>
      <c r="AD6" s="106" t="str">
        <f>"31.12."&amp;Year+24</f>
        <v>31.12.2048</v>
      </c>
      <c r="AE6" s="106" t="str">
        <f>"31.12."&amp;Year+25</f>
        <v>31.12.2049</v>
      </c>
      <c r="AF6" s="106" t="str">
        <f>"31.12."&amp;Year+26</f>
        <v>31.12.2050</v>
      </c>
      <c r="AG6" s="106" t="str">
        <f>"31.12."&amp;Year+27</f>
        <v>31.12.2051</v>
      </c>
      <c r="AH6" s="106" t="str">
        <f>"31.12."&amp;Year+28</f>
        <v>31.12.2052</v>
      </c>
      <c r="AI6" s="106" t="str">
        <f>"31.12."&amp;Year+29</f>
        <v>31.12.2053</v>
      </c>
      <c r="AJ6" s="106" t="str">
        <f>"31.12."&amp;Year+30</f>
        <v>31.12.2054</v>
      </c>
      <c r="AK6" s="106" t="str">
        <f>"31.12."&amp;Year+31</f>
        <v>31.12.2055</v>
      </c>
      <c r="AL6" s="106" t="str">
        <f>"31.12."&amp;Year+32</f>
        <v>31.12.2056</v>
      </c>
      <c r="AM6" s="106" t="str">
        <f>"31.12."&amp;Year+33</f>
        <v>31.12.2057</v>
      </c>
      <c r="AN6" s="106" t="str">
        <f>"31.12."&amp;Year+34</f>
        <v>31.12.2058</v>
      </c>
      <c r="AO6" s="106" t="str">
        <f>"31.12."&amp;Year+35</f>
        <v>31.12.2059</v>
      </c>
      <c r="AP6" s="106" t="str">
        <f>"31.12."&amp;Year+36</f>
        <v>31.12.2060</v>
      </c>
      <c r="AQ6" s="106" t="str">
        <f>"31.12."&amp;Year+37</f>
        <v>31.12.2061</v>
      </c>
      <c r="AR6" s="106" t="str">
        <f>"31.12."&amp;Year+38</f>
        <v>31.12.2062</v>
      </c>
      <c r="AS6" s="106" t="str">
        <f>"31.12."&amp;Year+39</f>
        <v>31.12.2063</v>
      </c>
      <c r="AT6" s="106" t="str">
        <f>"31.12."&amp;Year+40</f>
        <v>31.12.2064</v>
      </c>
      <c r="AU6" s="106" t="str">
        <f>"31.12."&amp;Year+41</f>
        <v>31.12.2065</v>
      </c>
      <c r="AV6" s="106" t="str">
        <f>"31.12."&amp;Year+42</f>
        <v>31.12.2066</v>
      </c>
      <c r="AW6" s="106" t="str">
        <f>"31.12."&amp;Year+43</f>
        <v>31.12.2067</v>
      </c>
      <c r="AX6" s="106" t="str">
        <f>"31.12."&amp;Year+44</f>
        <v>31.12.2068</v>
      </c>
      <c r="AY6" s="106" t="str">
        <f>"31.12."&amp;Year+45</f>
        <v>31.12.2069</v>
      </c>
      <c r="AZ6" s="106" t="str">
        <f>"31.12."&amp;Year+46</f>
        <v>31.12.2070</v>
      </c>
      <c r="BA6" s="106" t="str">
        <f>"31.12."&amp;Year+47</f>
        <v>31.12.2071</v>
      </c>
      <c r="BB6" s="106" t="str">
        <f>"31.12."&amp;Year+48</f>
        <v>31.12.2072</v>
      </c>
      <c r="BC6" s="106" t="str">
        <f>"31.12."&amp;Year+49</f>
        <v>31.12.2073</v>
      </c>
      <c r="BD6" s="67"/>
      <c r="BE6" s="67"/>
      <c r="BF6" s="67"/>
      <c r="BG6" s="2"/>
      <c r="BH6" s="2"/>
    </row>
    <row r="7" spans="1:64" ht="40.35" customHeight="1" x14ac:dyDescent="0.25">
      <c r="A7" s="67"/>
      <c r="B7" s="107" t="s">
        <v>501</v>
      </c>
      <c r="C7" s="107" t="str">
        <f>VLOOKUP("T.19.04",Translation,LanguageNo+1,FALSE)</f>
        <v>Sterblichkeit</v>
      </c>
      <c r="D7" s="108" t="str">
        <f>VLOOKUP("T.19.13",Translation,LanguageNo+1,FALSE)</f>
        <v>Riskiertes Kapital</v>
      </c>
      <c r="E7" s="109"/>
      <c r="F7" s="110"/>
      <c r="G7" s="110"/>
      <c r="H7" s="110"/>
      <c r="I7" s="110"/>
      <c r="J7" s="110"/>
      <c r="K7" s="110"/>
      <c r="L7" s="110"/>
      <c r="M7" s="110"/>
      <c r="N7" s="110"/>
      <c r="O7" s="110"/>
      <c r="P7" s="110"/>
      <c r="Q7" s="110"/>
      <c r="R7" s="110"/>
      <c r="S7" s="110"/>
      <c r="T7" s="110"/>
      <c r="U7" s="110"/>
      <c r="V7" s="110"/>
      <c r="W7" s="110"/>
      <c r="X7" s="110"/>
      <c r="Y7" s="110"/>
      <c r="Z7" s="110"/>
      <c r="AA7" s="110"/>
      <c r="AB7" s="110"/>
      <c r="AC7" s="110"/>
      <c r="AD7" s="110"/>
      <c r="AE7" s="110"/>
      <c r="AF7" s="110"/>
      <c r="AG7" s="110"/>
      <c r="AH7" s="110"/>
      <c r="AI7" s="110"/>
      <c r="AJ7" s="110"/>
      <c r="AK7" s="110"/>
      <c r="AL7" s="110"/>
      <c r="AM7" s="110"/>
      <c r="AN7" s="110"/>
      <c r="AO7" s="110"/>
      <c r="AP7" s="110"/>
      <c r="AQ7" s="110"/>
      <c r="AR7" s="110"/>
      <c r="AS7" s="110"/>
      <c r="AT7" s="110"/>
      <c r="AU7" s="110"/>
      <c r="AV7" s="110"/>
      <c r="AW7" s="110"/>
      <c r="AX7" s="110"/>
      <c r="AY7" s="110"/>
      <c r="AZ7" s="110"/>
      <c r="BA7" s="110"/>
      <c r="BB7" s="110"/>
      <c r="BC7" s="110"/>
      <c r="BD7" s="67"/>
      <c r="BE7" s="67"/>
      <c r="BF7" s="67"/>
      <c r="BG7" s="2"/>
      <c r="BH7" s="2"/>
    </row>
    <row r="8" spans="1:64" ht="40.35" customHeight="1" x14ac:dyDescent="0.25">
      <c r="A8" s="67"/>
      <c r="B8" s="111" t="s">
        <v>473</v>
      </c>
      <c r="C8" s="111" t="str">
        <f>VLOOKUP("T.19.05",Translation,LanguageNo+1,FALSE)</f>
        <v>Langlebigkeit</v>
      </c>
      <c r="D8" s="112" t="str">
        <f>VLOOKUP("T.19.14",Translation,LanguageNo+1,FALSE)</f>
        <v>Altersrentenzahlungen</v>
      </c>
      <c r="E8" s="113"/>
      <c r="F8" s="110"/>
      <c r="G8" s="110"/>
      <c r="H8" s="110"/>
      <c r="I8" s="110"/>
      <c r="J8" s="110"/>
      <c r="K8" s="110"/>
      <c r="L8" s="110"/>
      <c r="M8" s="110"/>
      <c r="N8" s="110"/>
      <c r="O8" s="110"/>
      <c r="P8" s="110"/>
      <c r="Q8" s="110"/>
      <c r="R8" s="110"/>
      <c r="S8" s="110"/>
      <c r="T8" s="110"/>
      <c r="U8" s="110"/>
      <c r="V8" s="110"/>
      <c r="W8" s="110"/>
      <c r="X8" s="110"/>
      <c r="Y8" s="110"/>
      <c r="Z8" s="110"/>
      <c r="AA8" s="110"/>
      <c r="AB8" s="110"/>
      <c r="AC8" s="110"/>
      <c r="AD8" s="110"/>
      <c r="AE8" s="110"/>
      <c r="AF8" s="110"/>
      <c r="AG8" s="110"/>
      <c r="AH8" s="110"/>
      <c r="AI8" s="110"/>
      <c r="AJ8" s="110"/>
      <c r="AK8" s="110"/>
      <c r="AL8" s="110"/>
      <c r="AM8" s="110"/>
      <c r="AN8" s="110"/>
      <c r="AO8" s="110"/>
      <c r="AP8" s="110"/>
      <c r="AQ8" s="110"/>
      <c r="AR8" s="110"/>
      <c r="AS8" s="110"/>
      <c r="AT8" s="110"/>
      <c r="AU8" s="110"/>
      <c r="AV8" s="110"/>
      <c r="AW8" s="110"/>
      <c r="AX8" s="110"/>
      <c r="AY8" s="110"/>
      <c r="AZ8" s="110"/>
      <c r="BA8" s="110"/>
      <c r="BB8" s="110"/>
      <c r="BC8" s="110"/>
      <c r="BD8" s="67"/>
      <c r="BE8" s="67"/>
      <c r="BF8" s="67"/>
      <c r="BG8" s="2"/>
      <c r="BH8" s="2"/>
    </row>
    <row r="9" spans="1:64" ht="40.35" customHeight="1" x14ac:dyDescent="0.25">
      <c r="A9" s="67"/>
      <c r="B9" s="111" t="s">
        <v>475</v>
      </c>
      <c r="C9" s="111" t="str">
        <f>VLOOKUP("T.19.06",Translation,LanguageNo+1,FALSE)</f>
        <v>Invalidität</v>
      </c>
      <c r="D9" s="420" t="str">
        <f>VLOOKUP("T.19.15",Translation,LanguageNo+1,FALSE)</f>
        <v>Invaliditätsrisikoprämien</v>
      </c>
      <c r="E9" s="113"/>
      <c r="F9" s="110"/>
      <c r="G9" s="110"/>
      <c r="H9" s="110"/>
      <c r="I9" s="110"/>
      <c r="J9" s="110"/>
      <c r="K9" s="110"/>
      <c r="L9" s="110"/>
      <c r="M9" s="110"/>
      <c r="N9" s="110"/>
      <c r="O9" s="110"/>
      <c r="P9" s="110"/>
      <c r="Q9" s="110"/>
      <c r="R9" s="110"/>
      <c r="S9" s="110"/>
      <c r="T9" s="110"/>
      <c r="U9" s="110"/>
      <c r="V9" s="110"/>
      <c r="W9" s="110"/>
      <c r="X9" s="110"/>
      <c r="Y9" s="110"/>
      <c r="Z9" s="110"/>
      <c r="AA9" s="110"/>
      <c r="AB9" s="110"/>
      <c r="AC9" s="110"/>
      <c r="AD9" s="110"/>
      <c r="AE9" s="110"/>
      <c r="AF9" s="110"/>
      <c r="AG9" s="110"/>
      <c r="AH9" s="110"/>
      <c r="AI9" s="110"/>
      <c r="AJ9" s="110"/>
      <c r="AK9" s="110"/>
      <c r="AL9" s="110"/>
      <c r="AM9" s="110"/>
      <c r="AN9" s="110"/>
      <c r="AO9" s="110"/>
      <c r="AP9" s="110"/>
      <c r="AQ9" s="110"/>
      <c r="AR9" s="110"/>
      <c r="AS9" s="110"/>
      <c r="AT9" s="110"/>
      <c r="AU9" s="110"/>
      <c r="AV9" s="110"/>
      <c r="AW9" s="110"/>
      <c r="AX9" s="110"/>
      <c r="AY9" s="110"/>
      <c r="AZ9" s="110"/>
      <c r="BA9" s="110"/>
      <c r="BB9" s="110"/>
      <c r="BC9" s="110"/>
      <c r="BD9" s="67"/>
      <c r="BE9" s="67"/>
      <c r="BF9" s="67"/>
      <c r="BG9" s="2"/>
      <c r="BH9" s="2"/>
    </row>
    <row r="10" spans="1:64" ht="40.35" customHeight="1" x14ac:dyDescent="0.25">
      <c r="A10" s="67"/>
      <c r="B10" s="111" t="s">
        <v>559</v>
      </c>
      <c r="C10" s="111" t="str">
        <f>VLOOKUP("T.19.07",Translation,LanguageNo+1,FALSE)</f>
        <v>Reaktivierung</v>
      </c>
      <c r="D10" s="112" t="str">
        <f>VLOOKUP("T.19.16",Translation,LanguageNo+1,FALSE)</f>
        <v>Laufende Invalidenrentenzahlungen</v>
      </c>
      <c r="E10" s="113"/>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67"/>
      <c r="BE10" s="67"/>
      <c r="BF10" s="67"/>
      <c r="BG10" s="2"/>
      <c r="BH10" s="2"/>
    </row>
    <row r="11" spans="1:64" ht="40.35" customHeight="1" x14ac:dyDescent="0.25">
      <c r="A11" s="67"/>
      <c r="B11" s="111" t="s">
        <v>497</v>
      </c>
      <c r="C11" s="111" t="str">
        <f>VLOOKUP("T.19.08",Translation,LanguageNo+1,FALSE)</f>
        <v>Kosten</v>
      </c>
      <c r="D11" s="112" t="str">
        <f>VLOOKUP("T.19.17",Translation,LanguageNo+1,FALSE)</f>
        <v>Kostencashflow</v>
      </c>
      <c r="E11" s="113"/>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67"/>
      <c r="BE11" s="67"/>
      <c r="BF11" s="67"/>
      <c r="BG11" s="2"/>
      <c r="BH11" s="2"/>
      <c r="BI11" s="2"/>
      <c r="BJ11" s="2"/>
      <c r="BK11" s="2"/>
      <c r="BL11" s="2"/>
    </row>
    <row r="12" spans="1:64" ht="40.35" customHeight="1" x14ac:dyDescent="0.25">
      <c r="A12" s="67"/>
      <c r="B12" s="111" t="s">
        <v>477</v>
      </c>
      <c r="C12" s="111" t="str">
        <f>VLOOKUP("T.19.09",Translation,LanguageNo+1,FALSE)</f>
        <v>Storno</v>
      </c>
      <c r="D12" s="112" t="str">
        <f>VLOOKUP("T.19.18",Translation,LanguageNo+1,FALSE)</f>
        <v>Stornozahlung (Rückzahlung des Altersguthaben bzw. Rückkaufswert)</v>
      </c>
      <c r="E12" s="113"/>
      <c r="F12" s="110"/>
      <c r="G12" s="110"/>
      <c r="H12" s="110"/>
      <c r="I12" s="110"/>
      <c r="J12" s="110"/>
      <c r="K12" s="110"/>
      <c r="L12" s="110"/>
      <c r="M12" s="110"/>
      <c r="N12" s="110"/>
      <c r="O12" s="110"/>
      <c r="P12" s="110"/>
      <c r="Q12" s="110"/>
      <c r="R12" s="110"/>
      <c r="S12" s="110"/>
      <c r="T12" s="110"/>
      <c r="U12" s="110"/>
      <c r="V12" s="110"/>
      <c r="W12" s="110"/>
      <c r="X12" s="110"/>
      <c r="Y12" s="110"/>
      <c r="Z12" s="110"/>
      <c r="AA12" s="110"/>
      <c r="AB12" s="110"/>
      <c r="AC12" s="110"/>
      <c r="AD12" s="110"/>
      <c r="AE12" s="110"/>
      <c r="AF12" s="110"/>
      <c r="AG12" s="110"/>
      <c r="AH12" s="110"/>
      <c r="AI12" s="110"/>
      <c r="AJ12" s="110"/>
      <c r="AK12" s="110"/>
      <c r="AL12" s="110"/>
      <c r="AM12" s="110"/>
      <c r="AN12" s="110"/>
      <c r="AO12" s="110"/>
      <c r="AP12" s="110"/>
      <c r="AQ12" s="110"/>
      <c r="AR12" s="110"/>
      <c r="AS12" s="110"/>
      <c r="AT12" s="110"/>
      <c r="AU12" s="110"/>
      <c r="AV12" s="110"/>
      <c r="AW12" s="110"/>
      <c r="AX12" s="110"/>
      <c r="AY12" s="110"/>
      <c r="AZ12" s="110"/>
      <c r="BA12" s="110"/>
      <c r="BB12" s="110"/>
      <c r="BC12" s="110"/>
      <c r="BD12" s="67"/>
      <c r="BE12" s="67"/>
      <c r="BF12" s="67"/>
      <c r="BG12" s="2"/>
      <c r="BH12" s="2"/>
      <c r="BI12" s="2"/>
      <c r="BJ12" s="2"/>
      <c r="BK12" s="2"/>
      <c r="BL12" s="2"/>
    </row>
    <row r="13" spans="1:64" ht="40.35" customHeight="1" x14ac:dyDescent="0.25">
      <c r="A13" s="67"/>
      <c r="B13" s="111" t="s">
        <v>498</v>
      </c>
      <c r="C13" s="111" t="str">
        <f>VLOOKUP("T.19.10",Translation,LanguageNo+1,FALSE)</f>
        <v>Kapitaloption</v>
      </c>
      <c r="D13" s="112" t="str">
        <f>VLOOKUP("T.19.19",Translation,LanguageNo+1,FALSE)</f>
        <v>Kapitalzahlung bei Erleben des Pensionsalters  </v>
      </c>
      <c r="E13" s="113"/>
      <c r="F13" s="110"/>
      <c r="G13" s="110"/>
      <c r="H13" s="110"/>
      <c r="I13" s="110"/>
      <c r="J13" s="110"/>
      <c r="K13" s="110"/>
      <c r="L13" s="110"/>
      <c r="M13" s="110"/>
      <c r="N13" s="110"/>
      <c r="O13" s="110"/>
      <c r="P13" s="110"/>
      <c r="Q13" s="110"/>
      <c r="R13" s="110"/>
      <c r="S13" s="110"/>
      <c r="T13" s="110"/>
      <c r="U13" s="110"/>
      <c r="V13" s="110"/>
      <c r="W13" s="110"/>
      <c r="X13" s="110"/>
      <c r="Y13" s="110"/>
      <c r="Z13" s="110"/>
      <c r="AA13" s="110"/>
      <c r="AB13" s="110"/>
      <c r="AC13" s="110"/>
      <c r="AD13" s="110"/>
      <c r="AE13" s="110"/>
      <c r="AF13" s="110"/>
      <c r="AG13" s="110"/>
      <c r="AH13" s="110"/>
      <c r="AI13" s="110"/>
      <c r="AJ13" s="110"/>
      <c r="AK13" s="110"/>
      <c r="AL13" s="110"/>
      <c r="AM13" s="110"/>
      <c r="AN13" s="110"/>
      <c r="AO13" s="110"/>
      <c r="AP13" s="110"/>
      <c r="AQ13" s="110"/>
      <c r="AR13" s="110"/>
      <c r="AS13" s="110"/>
      <c r="AT13" s="110"/>
      <c r="AU13" s="110"/>
      <c r="AV13" s="110"/>
      <c r="AW13" s="110"/>
      <c r="AX13" s="110"/>
      <c r="AY13" s="110"/>
      <c r="AZ13" s="110"/>
      <c r="BA13" s="110"/>
      <c r="BB13" s="110"/>
      <c r="BC13" s="110"/>
      <c r="BD13" s="67"/>
      <c r="BE13" s="67"/>
      <c r="BF13" s="67"/>
      <c r="BG13" s="2"/>
      <c r="BH13" s="2"/>
      <c r="BI13" s="2"/>
      <c r="BJ13" s="2"/>
      <c r="BK13" s="2"/>
      <c r="BL13" s="2"/>
    </row>
    <row r="14" spans="1:64" ht="40.35" customHeight="1" x14ac:dyDescent="0.25">
      <c r="A14" s="67"/>
      <c r="B14" s="111" t="s">
        <v>499</v>
      </c>
      <c r="C14" s="111" t="str">
        <f>VLOOKUP("T.19.11",Translation,LanguageNo+1,FALSE)</f>
        <v>Kosten BVG</v>
      </c>
      <c r="D14" s="112" t="str">
        <f>VLOOKUP("T.19.20",Translation,LanguageNo+1,FALSE)</f>
        <v>Kostencashflow</v>
      </c>
      <c r="E14" s="113"/>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110"/>
      <c r="AT14" s="110"/>
      <c r="AU14" s="110"/>
      <c r="AV14" s="110"/>
      <c r="AW14" s="110"/>
      <c r="AX14" s="110"/>
      <c r="AY14" s="110"/>
      <c r="AZ14" s="110"/>
      <c r="BA14" s="110"/>
      <c r="BB14" s="110"/>
      <c r="BC14" s="110"/>
      <c r="BD14" s="67"/>
      <c r="BE14" s="67"/>
      <c r="BF14" s="67"/>
      <c r="BG14" s="2"/>
      <c r="BH14" s="2"/>
      <c r="BI14" s="2"/>
      <c r="BJ14" s="2"/>
      <c r="BK14" s="2"/>
      <c r="BL14" s="2"/>
    </row>
    <row r="15" spans="1:64" ht="40.35" customHeight="1" x14ac:dyDescent="0.25">
      <c r="A15" s="67"/>
      <c r="B15" s="114" t="s">
        <v>500</v>
      </c>
      <c r="C15" s="114" t="str">
        <f>VLOOKUP("T.19.12",Translation,LanguageNo+1,FALSE)</f>
        <v>Storno BVG</v>
      </c>
      <c r="D15" s="115" t="str">
        <f>VLOOKUP("T.19.21",Translation,LanguageNo+1,FALSE)</f>
        <v>Stornozahlung (Rückzahlung des Altersguthaben bzw. Rückkaufswert)</v>
      </c>
      <c r="E15" s="116"/>
      <c r="F15" s="117"/>
      <c r="G15" s="117"/>
      <c r="H15" s="117"/>
      <c r="I15" s="117"/>
      <c r="J15" s="117"/>
      <c r="K15" s="117"/>
      <c r="L15" s="117"/>
      <c r="M15" s="117"/>
      <c r="N15" s="117"/>
      <c r="O15" s="117"/>
      <c r="P15" s="117"/>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67"/>
      <c r="BE15" s="67"/>
      <c r="BF15" s="67"/>
      <c r="BG15" s="2"/>
      <c r="BH15" s="2"/>
      <c r="BI15" s="2"/>
      <c r="BJ15" s="2"/>
      <c r="BK15" s="2"/>
      <c r="BL15" s="2"/>
    </row>
    <row r="16" spans="1:64" ht="12.75" customHeight="1" x14ac:dyDescent="0.25">
      <c r="A16" s="67"/>
      <c r="B16" s="118"/>
      <c r="C16" s="118"/>
      <c r="D16" s="119"/>
      <c r="E16" s="120"/>
      <c r="F16" s="121"/>
      <c r="G16" s="121"/>
      <c r="H16" s="121"/>
      <c r="I16" s="121"/>
      <c r="J16" s="121"/>
      <c r="K16" s="121"/>
      <c r="L16" s="121"/>
      <c r="M16" s="121"/>
      <c r="N16" s="121"/>
      <c r="O16" s="121"/>
      <c r="P16" s="121"/>
      <c r="Q16" s="121"/>
      <c r="R16" s="121"/>
      <c r="S16" s="121"/>
      <c r="T16" s="121"/>
      <c r="U16" s="121"/>
      <c r="V16" s="121"/>
      <c r="W16" s="121"/>
      <c r="X16" s="121"/>
      <c r="Y16" s="121"/>
      <c r="Z16" s="121"/>
      <c r="AA16" s="121"/>
      <c r="AB16" s="121"/>
      <c r="AC16" s="121"/>
      <c r="AD16" s="121"/>
      <c r="AE16" s="121"/>
      <c r="AF16" s="121"/>
      <c r="AG16" s="121"/>
      <c r="AH16" s="121"/>
      <c r="AI16" s="121"/>
      <c r="AJ16" s="121"/>
      <c r="AK16" s="121"/>
      <c r="AL16" s="121"/>
      <c r="AM16" s="121"/>
      <c r="AN16" s="121"/>
      <c r="AO16" s="121"/>
      <c r="AP16" s="121"/>
      <c r="AQ16" s="121"/>
      <c r="AR16" s="121"/>
      <c r="AS16" s="121"/>
      <c r="AT16" s="121"/>
      <c r="AU16" s="121"/>
      <c r="AV16" s="121"/>
      <c r="AW16" s="121"/>
      <c r="AX16" s="121"/>
      <c r="AY16" s="121"/>
      <c r="AZ16" s="121"/>
      <c r="BA16" s="121"/>
      <c r="BB16" s="121"/>
      <c r="BC16" s="121"/>
      <c r="BD16" s="67"/>
      <c r="BE16" s="67"/>
      <c r="BF16" s="67"/>
      <c r="BG16" s="2"/>
      <c r="BH16" s="2"/>
      <c r="BI16" s="2"/>
      <c r="BJ16" s="2"/>
      <c r="BK16" s="2"/>
      <c r="BL16" s="2"/>
    </row>
    <row r="17" spans="1:64" ht="12.75" customHeight="1" x14ac:dyDescent="0.25">
      <c r="A17" s="67"/>
      <c r="B17" s="118"/>
      <c r="C17" s="118"/>
      <c r="D17" s="119"/>
      <c r="BE17" s="67"/>
      <c r="BF17" s="67"/>
      <c r="BG17" s="2"/>
      <c r="BH17" s="2"/>
      <c r="BI17" s="2"/>
      <c r="BJ17" s="2"/>
      <c r="BK17" s="2"/>
      <c r="BL17" s="2"/>
    </row>
    <row r="18" spans="1:64" ht="12.75" customHeight="1" x14ac:dyDescent="0.25">
      <c r="B18" s="2"/>
      <c r="C18" s="1019"/>
      <c r="D18" s="2"/>
      <c r="BE18" s="2"/>
      <c r="BF18" s="2"/>
      <c r="BG18" s="2"/>
      <c r="BH18" s="2"/>
      <c r="BI18" s="2"/>
      <c r="BJ18" s="2"/>
      <c r="BK18" s="2"/>
      <c r="BL18" s="2"/>
    </row>
    <row r="19" spans="1:64" ht="12.75" customHeight="1" x14ac:dyDescent="0.25">
      <c r="B19" s="2"/>
      <c r="C19" s="2"/>
      <c r="D19" s="2"/>
      <c r="BE19" s="2"/>
      <c r="BF19" s="2"/>
      <c r="BG19" s="2"/>
      <c r="BH19" s="2"/>
      <c r="BI19" s="2"/>
      <c r="BJ19" s="2"/>
      <c r="BK19" s="2"/>
      <c r="BL19" s="2"/>
    </row>
    <row r="20" spans="1:64" ht="12.75" customHeight="1" x14ac:dyDescent="0.25">
      <c r="B20" s="2"/>
      <c r="C20" s="2"/>
      <c r="D20" s="2"/>
      <c r="BE20" s="2"/>
      <c r="BF20" s="2"/>
      <c r="BG20" s="2"/>
      <c r="BH20" s="2"/>
      <c r="BI20" s="2"/>
      <c r="BJ20" s="2"/>
      <c r="BK20" s="2"/>
      <c r="BL20" s="2"/>
    </row>
    <row r="21" spans="1:64" ht="12.75" customHeight="1" x14ac:dyDescent="0.25">
      <c r="B21" s="2"/>
      <c r="C21" s="2"/>
      <c r="D21" s="2"/>
      <c r="BE21" s="2"/>
      <c r="BF21" s="2"/>
      <c r="BG21" s="2"/>
      <c r="BH21" s="2"/>
      <c r="BI21" s="2"/>
      <c r="BJ21" s="2"/>
      <c r="BK21" s="2"/>
      <c r="BL21" s="2"/>
    </row>
    <row r="22" spans="1:64" ht="12.75" customHeight="1" x14ac:dyDescent="0.25">
      <c r="B22" s="2"/>
      <c r="C22" s="2"/>
      <c r="D22" s="2"/>
      <c r="BE22" s="2"/>
      <c r="BF22" s="2"/>
      <c r="BG22" s="2"/>
      <c r="BH22" s="2"/>
      <c r="BI22" s="2"/>
      <c r="BJ22" s="2"/>
      <c r="BK22" s="2"/>
      <c r="BL22" s="2"/>
    </row>
    <row r="23" spans="1:64" ht="12.75" customHeight="1" x14ac:dyDescent="0.25">
      <c r="B23" s="2"/>
      <c r="C23" s="2"/>
      <c r="D23" s="2"/>
      <c r="BE23" s="2"/>
      <c r="BF23" s="2"/>
      <c r="BG23" s="2"/>
      <c r="BH23" s="2"/>
      <c r="BI23" s="2"/>
      <c r="BJ23" s="2"/>
      <c r="BK23" s="2"/>
      <c r="BL23" s="2"/>
    </row>
    <row r="24" spans="1:64" ht="12.75" customHeight="1" x14ac:dyDescent="0.25">
      <c r="B24" s="2"/>
      <c r="C24" s="2"/>
      <c r="D24" s="2"/>
      <c r="BE24" s="2"/>
      <c r="BF24" s="2"/>
      <c r="BG24" s="2"/>
      <c r="BH24" s="2"/>
      <c r="BI24" s="2"/>
      <c r="BJ24" s="2"/>
      <c r="BK24" s="2"/>
      <c r="BL24" s="2"/>
    </row>
    <row r="25" spans="1:64" ht="12.75" customHeight="1" x14ac:dyDescent="0.25">
      <c r="B25" s="2"/>
      <c r="C25" s="2"/>
      <c r="D25" s="2"/>
      <c r="BE25" s="2"/>
      <c r="BF25" s="2"/>
      <c r="BG25" s="2"/>
      <c r="BH25" s="2"/>
      <c r="BI25" s="2"/>
      <c r="BJ25" s="2"/>
      <c r="BK25" s="2"/>
      <c r="BL25" s="2"/>
    </row>
    <row r="26" spans="1:64" ht="12.75" customHeight="1" x14ac:dyDescent="0.25">
      <c r="B26" s="2"/>
      <c r="C26" s="2"/>
      <c r="D26" s="2"/>
      <c r="BE26" s="2"/>
      <c r="BF26" s="2"/>
      <c r="BG26" s="2"/>
      <c r="BH26" s="2"/>
      <c r="BI26" s="2"/>
      <c r="BJ26" s="2"/>
      <c r="BK26" s="2"/>
      <c r="BL26" s="2"/>
    </row>
    <row r="27" spans="1:64" ht="12.75" customHeight="1" x14ac:dyDescent="0.25">
      <c r="B27" s="2"/>
      <c r="C27" s="2"/>
      <c r="D27" s="2"/>
      <c r="BE27" s="2"/>
      <c r="BF27" s="2"/>
      <c r="BG27" s="2"/>
      <c r="BH27" s="2"/>
      <c r="BI27" s="2"/>
      <c r="BJ27" s="2"/>
      <c r="BK27" s="2"/>
      <c r="BL27" s="2"/>
    </row>
    <row r="28" spans="1:64" ht="12.75" customHeight="1" x14ac:dyDescent="0.25">
      <c r="B28" s="2"/>
      <c r="C28" s="2"/>
      <c r="D28" s="2"/>
      <c r="BE28" s="2"/>
      <c r="BF28" s="2"/>
      <c r="BG28" s="2"/>
      <c r="BH28" s="2"/>
      <c r="BI28" s="2"/>
      <c r="BJ28" s="2"/>
      <c r="BK28" s="2"/>
      <c r="BL28" s="2"/>
    </row>
    <row r="29" spans="1:64" ht="12.75" customHeight="1" x14ac:dyDescent="0.25">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row>
    <row r="30" spans="1:64" ht="12.75" customHeight="1" x14ac:dyDescent="0.25">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row>
    <row r="31" spans="1:64" ht="12.75" customHeight="1" x14ac:dyDescent="0.25">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row>
    <row r="32" spans="1:64" ht="12.75" customHeight="1" x14ac:dyDescent="0.25">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row>
    <row r="33" spans="2:64" ht="12.75" customHeight="1" x14ac:dyDescent="0.25">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row>
    <row r="34" spans="2:64" ht="12.75" customHeight="1" x14ac:dyDescent="0.25">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row>
    <row r="35" spans="2:64" ht="12.75" customHeight="1" x14ac:dyDescent="0.25">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row>
    <row r="36" spans="2:64" ht="12.75" customHeight="1" x14ac:dyDescent="0.25">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row>
    <row r="37" spans="2:64" ht="12.75" customHeight="1" x14ac:dyDescent="0.25">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row>
    <row r="38" spans="2:64" ht="12.75" customHeight="1" x14ac:dyDescent="0.25">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row>
    <row r="39" spans="2:64" ht="12.75" customHeight="1" x14ac:dyDescent="0.25">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row>
    <row r="40" spans="2:64" ht="12.75" customHeight="1" x14ac:dyDescent="0.25">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row>
    <row r="41" spans="2:64" ht="12.75" customHeight="1" x14ac:dyDescent="0.25">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row>
    <row r="42" spans="2:64" ht="12.75" customHeight="1" x14ac:dyDescent="0.25">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row>
    <row r="43" spans="2:64" ht="12.75" customHeight="1" x14ac:dyDescent="0.25">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row>
    <row r="44" spans="2:64" ht="12.75" customHeight="1" x14ac:dyDescent="0.25">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row>
    <row r="45" spans="2:64" ht="12.75" customHeight="1" x14ac:dyDescent="0.25">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row>
    <row r="46" spans="2:64" ht="12.75" customHeight="1" x14ac:dyDescent="0.25">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row>
    <row r="47" spans="2:64" ht="12.75" customHeight="1" x14ac:dyDescent="0.25">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row>
    <row r="48" spans="2:64" ht="12.75" customHeight="1" x14ac:dyDescent="0.25">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row>
    <row r="49" spans="2:64" ht="12.75" customHeight="1" x14ac:dyDescent="0.25">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row>
    <row r="50" spans="2:64" ht="12.75" customHeight="1" x14ac:dyDescent="0.25">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row>
    <row r="51" spans="2:64" ht="12.75" customHeight="1" x14ac:dyDescent="0.25">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row>
    <row r="52" spans="2:64" ht="12.75" customHeight="1" x14ac:dyDescent="0.25">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row>
    <row r="53" spans="2:64" ht="12.75" customHeight="1" x14ac:dyDescent="0.25">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row>
    <row r="54" spans="2:64" ht="12.75" customHeight="1" x14ac:dyDescent="0.25">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row>
    <row r="55" spans="2:64" ht="12.75" customHeight="1" x14ac:dyDescent="0.25">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row>
    <row r="56" spans="2:64" ht="12.75" customHeight="1" x14ac:dyDescent="0.25">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row>
    <row r="57" spans="2:64" ht="12.75" customHeight="1" x14ac:dyDescent="0.25">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row>
    <row r="58" spans="2:64" ht="12.75" customHeight="1" x14ac:dyDescent="0.25">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row>
    <row r="59" spans="2:64" ht="12.75" customHeight="1" x14ac:dyDescent="0.25">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row>
    <row r="60" spans="2:64" ht="12.75" customHeight="1" x14ac:dyDescent="0.25">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row>
    <row r="61" spans="2:64" ht="12.75" customHeight="1" x14ac:dyDescent="0.2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row>
    <row r="62" spans="2:64" ht="12.75" customHeight="1" x14ac:dyDescent="0.2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row>
    <row r="63" spans="2:64" ht="12.75" customHeight="1" x14ac:dyDescent="0.2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row>
    <row r="64" spans="2:64" ht="12.75" customHeight="1" x14ac:dyDescent="0.2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row>
    <row r="65" spans="2:64" ht="12.75" customHeight="1" x14ac:dyDescent="0.2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row>
    <row r="66" spans="2:64" ht="12.75" customHeight="1" x14ac:dyDescent="0.2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row>
    <row r="67" spans="2:64" ht="12.75" customHeight="1" x14ac:dyDescent="0.2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row>
    <row r="68" spans="2:64" ht="12.75" customHeight="1" x14ac:dyDescent="0.2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row>
    <row r="69" spans="2:64" ht="12.75" customHeight="1" x14ac:dyDescent="0.2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row>
    <row r="70" spans="2:64" ht="12.75" customHeight="1" x14ac:dyDescent="0.2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row>
    <row r="71" spans="2:64" ht="12.75" customHeight="1" x14ac:dyDescent="0.2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row>
    <row r="72" spans="2:64" ht="12.75" customHeight="1" x14ac:dyDescent="0.2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row>
    <row r="73" spans="2:64" ht="12.75" customHeight="1" x14ac:dyDescent="0.2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row>
    <row r="74" spans="2:64" ht="12.75" customHeight="1" x14ac:dyDescent="0.2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row>
    <row r="75" spans="2:64" ht="12.75" customHeight="1" x14ac:dyDescent="0.2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row>
    <row r="76" spans="2:64" ht="12.75" customHeight="1" x14ac:dyDescent="0.2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row>
    <row r="77" spans="2:64" ht="12.75" customHeight="1" x14ac:dyDescent="0.2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row>
    <row r="78" spans="2:64" ht="12.75" customHeight="1" x14ac:dyDescent="0.2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row>
    <row r="79" spans="2:64" ht="12.75" customHeight="1" x14ac:dyDescent="0.2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row>
    <row r="80" spans="2:64" ht="12.75" customHeight="1" x14ac:dyDescent="0.2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row>
    <row r="81" spans="2:64" ht="12.75" customHeight="1" x14ac:dyDescent="0.2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row>
    <row r="82" spans="2:64" ht="12.75" customHeight="1" x14ac:dyDescent="0.2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row>
    <row r="83" spans="2:64" ht="12.75" customHeight="1" x14ac:dyDescent="0.2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row>
    <row r="84" spans="2:64" ht="12.75" customHeight="1" x14ac:dyDescent="0.2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row>
    <row r="85" spans="2:64" ht="12.75" customHeight="1" x14ac:dyDescent="0.2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row>
    <row r="86" spans="2:64" ht="12.75" customHeight="1" x14ac:dyDescent="0.2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row>
    <row r="87" spans="2:64" ht="12.75" customHeight="1" x14ac:dyDescent="0.2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row>
    <row r="88" spans="2:64" ht="12.75" customHeight="1" x14ac:dyDescent="0.2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row>
    <row r="89" spans="2:64" ht="12.75" customHeight="1" x14ac:dyDescent="0.2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row>
    <row r="90" spans="2:64" ht="12.75" customHeight="1" x14ac:dyDescent="0.2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row>
    <row r="91" spans="2:64" ht="12.75" customHeight="1" x14ac:dyDescent="0.2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row>
    <row r="92" spans="2:64" ht="12.75" customHeight="1" x14ac:dyDescent="0.2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row>
    <row r="93" spans="2:64" ht="12.75" customHeight="1" x14ac:dyDescent="0.2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row>
    <row r="94" spans="2:64" ht="12.75" customHeight="1" x14ac:dyDescent="0.2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row>
    <row r="95" spans="2:64" ht="12.75" customHeight="1" x14ac:dyDescent="0.2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row>
    <row r="96" spans="2:64" ht="12.75" customHeight="1" x14ac:dyDescent="0.2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row>
    <row r="97" spans="2:64" ht="12.75" customHeight="1" x14ac:dyDescent="0.2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row>
    <row r="98" spans="2:64" ht="12.75" customHeight="1" x14ac:dyDescent="0.2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row>
    <row r="99" spans="2:64" ht="12.75" customHeight="1" x14ac:dyDescent="0.2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row>
    <row r="100" spans="2:64" ht="12.75" customHeight="1" x14ac:dyDescent="0.2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row>
    <row r="101" spans="2:64" ht="12.75" customHeight="1" x14ac:dyDescent="0.2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row>
    <row r="102" spans="2:64" ht="12.75" customHeight="1" x14ac:dyDescent="0.2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row>
    <row r="103" spans="2:64" ht="12.75" customHeight="1" x14ac:dyDescent="0.2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row>
    <row r="104" spans="2:64" ht="12.75" customHeight="1" x14ac:dyDescent="0.2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row>
    <row r="105" spans="2:64" ht="12.75" customHeight="1" x14ac:dyDescent="0.2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row>
    <row r="106" spans="2:64" ht="12.75" customHeight="1" x14ac:dyDescent="0.2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row>
    <row r="107" spans="2:64" ht="12.75" customHeight="1" x14ac:dyDescent="0.2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row>
    <row r="108" spans="2:64" ht="12.75" customHeight="1" x14ac:dyDescent="0.2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row>
    <row r="109" spans="2:64" ht="12.75" customHeight="1" x14ac:dyDescent="0.2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row>
    <row r="110" spans="2:64" ht="12.75" customHeight="1" x14ac:dyDescent="0.2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row>
    <row r="111" spans="2:64" ht="12.75" customHeight="1" x14ac:dyDescent="0.2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row>
    <row r="112" spans="2:64" ht="12.75" customHeight="1" x14ac:dyDescent="0.2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row>
    <row r="113" spans="2:64" ht="12.75" customHeight="1" x14ac:dyDescent="0.2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row>
    <row r="114" spans="2:64" ht="12.75" customHeight="1" x14ac:dyDescent="0.2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row>
    <row r="115" spans="2:64" ht="12.75" customHeight="1" x14ac:dyDescent="0.2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row>
    <row r="116" spans="2:64" ht="12.75" customHeight="1" x14ac:dyDescent="0.2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row>
    <row r="117" spans="2:64" ht="12.75" customHeight="1" x14ac:dyDescent="0.2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row>
    <row r="118" spans="2:64" ht="12.75" customHeight="1" x14ac:dyDescent="0.2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row>
    <row r="119" spans="2:64" ht="12.75" customHeight="1" x14ac:dyDescent="0.2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row>
    <row r="120" spans="2:64" ht="12.75" customHeight="1" x14ac:dyDescent="0.2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row>
    <row r="121" spans="2:64" ht="12.75" customHeight="1" x14ac:dyDescent="0.2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row>
    <row r="122" spans="2:64" ht="12.75" customHeight="1" x14ac:dyDescent="0.2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row>
    <row r="123" spans="2:64" ht="12.75" customHeight="1" x14ac:dyDescent="0.2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row>
    <row r="124" spans="2:64" ht="12.75" customHeight="1" x14ac:dyDescent="0.2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row>
    <row r="125" spans="2:64" ht="12.75" customHeight="1" x14ac:dyDescent="0.2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row>
    <row r="126" spans="2:64" ht="12.75" customHeight="1" x14ac:dyDescent="0.2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row>
    <row r="127" spans="2:64" ht="12.75" customHeight="1" x14ac:dyDescent="0.2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row>
    <row r="128" spans="2:64" ht="12.75" customHeight="1" x14ac:dyDescent="0.2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row>
    <row r="129" spans="2:64" ht="12.75" customHeight="1" x14ac:dyDescent="0.2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row>
    <row r="130" spans="2:64" ht="12.75" customHeight="1" x14ac:dyDescent="0.2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row>
    <row r="131" spans="2:64" ht="12.75" customHeight="1" x14ac:dyDescent="0.2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row>
    <row r="132" spans="2:64" ht="12.75" customHeight="1" x14ac:dyDescent="0.2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row>
    <row r="133" spans="2:64" ht="12.75" customHeight="1" x14ac:dyDescent="0.2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2"/>
      <c r="AR133" s="2"/>
      <c r="AS133" s="2"/>
      <c r="AT133" s="2"/>
      <c r="AU133" s="2"/>
      <c r="AV133" s="2"/>
      <c r="AW133" s="2"/>
      <c r="AX133" s="2"/>
      <c r="AY133" s="2"/>
      <c r="AZ133" s="2"/>
      <c r="BA133" s="2"/>
      <c r="BB133" s="2"/>
      <c r="BC133" s="2"/>
      <c r="BD133" s="2"/>
      <c r="BE133" s="2"/>
      <c r="BF133" s="2"/>
      <c r="BG133" s="2"/>
      <c r="BH133" s="2"/>
      <c r="BI133" s="2"/>
      <c r="BJ133" s="2"/>
      <c r="BK133" s="2"/>
      <c r="BL133" s="2"/>
    </row>
    <row r="134" spans="2:64" ht="12.75" customHeight="1" x14ac:dyDescent="0.2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2"/>
      <c r="AR134" s="2"/>
      <c r="AS134" s="2"/>
      <c r="AT134" s="2"/>
      <c r="AU134" s="2"/>
      <c r="AV134" s="2"/>
      <c r="AW134" s="2"/>
      <c r="AX134" s="2"/>
      <c r="AY134" s="2"/>
      <c r="AZ134" s="2"/>
      <c r="BA134" s="2"/>
      <c r="BB134" s="2"/>
      <c r="BC134" s="2"/>
      <c r="BD134" s="2"/>
      <c r="BE134" s="2"/>
      <c r="BF134" s="2"/>
      <c r="BG134" s="2"/>
      <c r="BH134" s="2"/>
      <c r="BI134" s="2"/>
      <c r="BJ134" s="2"/>
      <c r="BK134" s="2"/>
      <c r="BL134" s="2"/>
    </row>
    <row r="135" spans="2:64" ht="12.75" customHeight="1" x14ac:dyDescent="0.2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2"/>
      <c r="AR135" s="2"/>
      <c r="AS135" s="2"/>
      <c r="AT135" s="2"/>
      <c r="AU135" s="2"/>
      <c r="AV135" s="2"/>
      <c r="AW135" s="2"/>
      <c r="AX135" s="2"/>
      <c r="AY135" s="2"/>
      <c r="AZ135" s="2"/>
      <c r="BA135" s="2"/>
      <c r="BB135" s="2"/>
      <c r="BC135" s="2"/>
      <c r="BD135" s="2"/>
      <c r="BE135" s="2"/>
      <c r="BF135" s="2"/>
      <c r="BG135" s="2"/>
      <c r="BH135" s="2"/>
      <c r="BI135" s="2"/>
      <c r="BJ135" s="2"/>
      <c r="BK135" s="2"/>
      <c r="BL135" s="2"/>
    </row>
    <row r="136" spans="2:64" ht="12.75" customHeight="1" x14ac:dyDescent="0.2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2"/>
      <c r="AR136" s="2"/>
      <c r="AS136" s="2"/>
      <c r="AT136" s="2"/>
      <c r="AU136" s="2"/>
      <c r="AV136" s="2"/>
      <c r="AW136" s="2"/>
      <c r="AX136" s="2"/>
      <c r="AY136" s="2"/>
      <c r="AZ136" s="2"/>
      <c r="BA136" s="2"/>
      <c r="BB136" s="2"/>
      <c r="BC136" s="2"/>
      <c r="BD136" s="2"/>
      <c r="BE136" s="2"/>
      <c r="BF136" s="2"/>
      <c r="BG136" s="2"/>
      <c r="BH136" s="2"/>
      <c r="BI136" s="2"/>
      <c r="BJ136" s="2"/>
      <c r="BK136" s="2"/>
      <c r="BL136" s="2"/>
    </row>
    <row r="137" spans="2:64" ht="12.75" customHeight="1" x14ac:dyDescent="0.2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2"/>
      <c r="AR137" s="2"/>
      <c r="AS137" s="2"/>
      <c r="AT137" s="2"/>
      <c r="AU137" s="2"/>
      <c r="AV137" s="2"/>
      <c r="AW137" s="2"/>
      <c r="AX137" s="2"/>
      <c r="AY137" s="2"/>
      <c r="AZ137" s="2"/>
      <c r="BA137" s="2"/>
      <c r="BB137" s="2"/>
      <c r="BC137" s="2"/>
      <c r="BD137" s="2"/>
      <c r="BE137" s="2"/>
      <c r="BF137" s="2"/>
      <c r="BG137" s="2"/>
      <c r="BH137" s="2"/>
      <c r="BI137" s="2"/>
      <c r="BJ137" s="2"/>
      <c r="BK137" s="2"/>
      <c r="BL137" s="2"/>
    </row>
    <row r="138" spans="2:64" ht="12.75" customHeight="1" x14ac:dyDescent="0.2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2"/>
      <c r="AR138" s="2"/>
      <c r="AS138" s="2"/>
      <c r="AT138" s="2"/>
      <c r="AU138" s="2"/>
      <c r="AV138" s="2"/>
      <c r="AW138" s="2"/>
      <c r="AX138" s="2"/>
      <c r="AY138" s="2"/>
      <c r="AZ138" s="2"/>
      <c r="BA138" s="2"/>
      <c r="BB138" s="2"/>
      <c r="BC138" s="2"/>
      <c r="BD138" s="2"/>
      <c r="BE138" s="2"/>
      <c r="BF138" s="2"/>
      <c r="BG138" s="2"/>
      <c r="BH138" s="2"/>
      <c r="BI138" s="2"/>
      <c r="BJ138" s="2"/>
      <c r="BK138" s="2"/>
      <c r="BL138" s="2"/>
    </row>
    <row r="139" spans="2:64" ht="12.75" customHeight="1" x14ac:dyDescent="0.2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row>
    <row r="140" spans="2:64" ht="12.75" customHeight="1" x14ac:dyDescent="0.2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row>
    <row r="141" spans="2:64" ht="12.75" customHeight="1" x14ac:dyDescent="0.2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row>
    <row r="142" spans="2:64" ht="12.75" customHeight="1" x14ac:dyDescent="0.2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row>
    <row r="143" spans="2:64" ht="12.75" customHeight="1" x14ac:dyDescent="0.2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row>
    <row r="144" spans="2:64" ht="12.75" customHeight="1" x14ac:dyDescent="0.2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row>
    <row r="145" spans="2:64" ht="12.75" customHeight="1" x14ac:dyDescent="0.2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row>
    <row r="146" spans="2:64" ht="12.75" customHeight="1" x14ac:dyDescent="0.2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row>
    <row r="147" spans="2:64" ht="12.75" customHeight="1" x14ac:dyDescent="0.2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row>
    <row r="148" spans="2:64" ht="12.75" customHeight="1" x14ac:dyDescent="0.2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row>
    <row r="149" spans="2:64" ht="12.75" customHeight="1" x14ac:dyDescent="0.2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row>
    <row r="150" spans="2:64" ht="12.75" customHeight="1" x14ac:dyDescent="0.2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row>
    <row r="151" spans="2:64" ht="12.75" customHeight="1" x14ac:dyDescent="0.2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row>
    <row r="152" spans="2:64" ht="12.75" customHeight="1" x14ac:dyDescent="0.2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row>
    <row r="153" spans="2:64" ht="12.75" customHeight="1" x14ac:dyDescent="0.2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row>
    <row r="154" spans="2:64" ht="12.75" customHeight="1" x14ac:dyDescent="0.2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row>
    <row r="155" spans="2:64" ht="12.75" customHeight="1" x14ac:dyDescent="0.2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row>
    <row r="156" spans="2:64" ht="12.75" customHeight="1" x14ac:dyDescent="0.2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row>
    <row r="157" spans="2:64" ht="12.75" customHeight="1" x14ac:dyDescent="0.2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row>
    <row r="158" spans="2:64" ht="12.75" customHeight="1" x14ac:dyDescent="0.2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row>
    <row r="159" spans="2:64" ht="12.75" customHeight="1" x14ac:dyDescent="0.2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row>
    <row r="160" spans="2:64" ht="12.75" customHeight="1" x14ac:dyDescent="0.2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row>
    <row r="161" spans="2:64" ht="12.75" customHeight="1" x14ac:dyDescent="0.2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row>
    <row r="162" spans="2:64" ht="12.75" customHeight="1" x14ac:dyDescent="0.2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row>
    <row r="163" spans="2:64" ht="12.75" customHeight="1" x14ac:dyDescent="0.2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row>
    <row r="164" spans="2:64" ht="12.75" customHeight="1" x14ac:dyDescent="0.2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row>
    <row r="165" spans="2:64" ht="12.75" customHeight="1" x14ac:dyDescent="0.2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row>
    <row r="166" spans="2:64" ht="12.75" customHeight="1" x14ac:dyDescent="0.2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row>
    <row r="167" spans="2:64" ht="12.75" customHeight="1" x14ac:dyDescent="0.2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row>
    <row r="168" spans="2:64" ht="12.75" customHeight="1" x14ac:dyDescent="0.2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row>
    <row r="169" spans="2:64" ht="12.75" customHeight="1" x14ac:dyDescent="0.2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row>
    <row r="170" spans="2:64" ht="12.75" customHeight="1" x14ac:dyDescent="0.2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row>
    <row r="171" spans="2:64" ht="12.75" customHeight="1" x14ac:dyDescent="0.2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row>
    <row r="172" spans="2:64" ht="12.75" customHeight="1" x14ac:dyDescent="0.2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row>
    <row r="173" spans="2:64" ht="12.75" customHeight="1" x14ac:dyDescent="0.2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row>
    <row r="174" spans="2:64" ht="12.75" customHeight="1" x14ac:dyDescent="0.2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row>
    <row r="175" spans="2:64" ht="12.75" customHeight="1" x14ac:dyDescent="0.2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row>
    <row r="176" spans="2:64" ht="12.75" customHeight="1" x14ac:dyDescent="0.2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row>
    <row r="177" spans="2:64" ht="12.75" customHeight="1" x14ac:dyDescent="0.2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row>
    <row r="178" spans="2:64" ht="12.75" customHeight="1" x14ac:dyDescent="0.2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row>
    <row r="179" spans="2:64" ht="12.75" customHeight="1" x14ac:dyDescent="0.2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row>
    <row r="180" spans="2:64" ht="12.75" customHeight="1" x14ac:dyDescent="0.2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row>
    <row r="181" spans="2:64" ht="12.75" customHeight="1" x14ac:dyDescent="0.2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row>
    <row r="182" spans="2:64" ht="12.75" customHeight="1" x14ac:dyDescent="0.2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row>
    <row r="183" spans="2:64" ht="12.75" customHeight="1" x14ac:dyDescent="0.2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row>
    <row r="184" spans="2:64" ht="12.75" customHeight="1" x14ac:dyDescent="0.2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row>
    <row r="185" spans="2:64" ht="12.75" customHeight="1" x14ac:dyDescent="0.2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row>
    <row r="186" spans="2:64" ht="12.75" customHeight="1" x14ac:dyDescent="0.2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row>
    <row r="187" spans="2:64" ht="12.75" customHeight="1" x14ac:dyDescent="0.2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row>
    <row r="188" spans="2:64" ht="12.75" customHeight="1" x14ac:dyDescent="0.2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row>
    <row r="189" spans="2:64" ht="12.75" customHeight="1" x14ac:dyDescent="0.2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row>
    <row r="190" spans="2:64" ht="12.75" customHeight="1" x14ac:dyDescent="0.2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row>
    <row r="191" spans="2:64" ht="12.75" customHeight="1" x14ac:dyDescent="0.2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row>
    <row r="192" spans="2:64" ht="12.75" customHeight="1" x14ac:dyDescent="0.2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row>
    <row r="193" spans="2:64" ht="12.75" customHeight="1" x14ac:dyDescent="0.2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row>
    <row r="194" spans="2:64" ht="12.75" customHeight="1" x14ac:dyDescent="0.2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row>
    <row r="195" spans="2:64" ht="12.75" customHeight="1" x14ac:dyDescent="0.2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row>
    <row r="196" spans="2:64" ht="12.75" customHeight="1" x14ac:dyDescent="0.2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row>
    <row r="197" spans="2:64" ht="12.75" customHeight="1" x14ac:dyDescent="0.2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row>
    <row r="198" spans="2:64" ht="12.75" customHeight="1" x14ac:dyDescent="0.2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row>
    <row r="199" spans="2:64" ht="12.75" customHeight="1" x14ac:dyDescent="0.2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row>
    <row r="200" spans="2:64" ht="12.75" customHeight="1" x14ac:dyDescent="0.2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row>
  </sheetData>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Tabelle7">
    <tabColor rgb="FFD4ECF9"/>
  </sheetPr>
  <dimension ref="A1:AG9998"/>
  <sheetViews>
    <sheetView showGridLines="0" zoomScale="90" zoomScaleNormal="90" workbookViewId="0"/>
  </sheetViews>
  <sheetFormatPr baseColWidth="10" defaultColWidth="8.5703125" defaultRowHeight="12.75" customHeight="1" x14ac:dyDescent="0.25"/>
  <cols>
    <col min="1" max="1" width="5.5703125" style="67" customWidth="1"/>
    <col min="2" max="2" width="28.42578125" style="67" customWidth="1"/>
    <col min="3" max="3" width="6.5703125" style="67" customWidth="1"/>
    <col min="4" max="4" width="25.42578125" style="67" customWidth="1"/>
    <col min="5" max="5" width="48" style="67" bestFit="1" customWidth="1"/>
    <col min="6" max="6" width="6.5703125" style="67" customWidth="1"/>
    <col min="7" max="7" width="14.5703125" style="67" customWidth="1"/>
    <col min="8" max="8" width="16.5703125" style="67" customWidth="1"/>
    <col min="9" max="9" width="6.5703125" style="67" customWidth="1"/>
    <col min="10" max="10" width="28.42578125" customWidth="1"/>
    <col min="11" max="11" width="21.5703125" customWidth="1"/>
    <col min="12" max="12" width="12.42578125" style="1089" customWidth="1"/>
    <col min="13" max="13" width="13" style="1089" customWidth="1"/>
    <col min="14" max="14" width="11.5703125" style="1089" customWidth="1"/>
    <col min="15" max="15" width="12.5703125" style="1089" customWidth="1"/>
    <col min="16" max="16" width="12.140625" style="1089" customWidth="1"/>
    <col min="17" max="17" width="11.85546875" style="1089" customWidth="1"/>
    <col min="18" max="18" width="12.140625" style="1089" customWidth="1"/>
    <col min="19" max="19" width="11.5703125" style="1089" customWidth="1"/>
    <col min="20" max="21" width="12.140625" style="1089" customWidth="1"/>
    <col min="22" max="22" width="12.85546875" style="1089" customWidth="1"/>
    <col min="23" max="23" width="12.140625" style="1089" customWidth="1"/>
    <col min="24" max="24" width="11.5703125" style="1089" customWidth="1"/>
    <col min="26" max="28" width="16" style="1089" customWidth="1"/>
    <col min="30" max="33" width="24" style="172" customWidth="1"/>
  </cols>
  <sheetData>
    <row r="1" spans="1:32" ht="20.100000000000001" customHeight="1" x14ac:dyDescent="0.25">
      <c r="A1" s="21">
        <v>20</v>
      </c>
      <c r="B1" s="680" t="str">
        <f>VLOOKUP("T.20.01",Translation,LanguageNo+1,FALSE)</f>
        <v>Simulation der Schadenversicherungsrisiken</v>
      </c>
      <c r="C1" s="1"/>
      <c r="D1"/>
      <c r="E1"/>
      <c r="F1"/>
      <c r="G1"/>
      <c r="H1"/>
      <c r="I1"/>
    </row>
    <row r="2" spans="1:32" ht="14.25" customHeight="1" x14ac:dyDescent="0.25">
      <c r="D2"/>
      <c r="E2"/>
      <c r="F2"/>
      <c r="G2"/>
    </row>
    <row r="3" spans="1:32" ht="14.25" customHeight="1" x14ac:dyDescent="0.25">
      <c r="D3" s="99" t="s">
        <v>79</v>
      </c>
      <c r="E3" s="673" t="str">
        <f>Unit&amp;SST_Currency</f>
        <v>in Mio. CHF</v>
      </c>
      <c r="F3"/>
      <c r="G3"/>
    </row>
    <row r="4" spans="1:32" s="172" customFormat="1" ht="43.5" customHeight="1" x14ac:dyDescent="0.25">
      <c r="A4" s="170"/>
      <c r="D4" s="171" t="s">
        <v>26</v>
      </c>
      <c r="E4" s="730" t="str">
        <f>VLOOKUP("T.20.03",Translation,LanguageNo+1,FALSE)</f>
        <v>Gemäss Dokument Technische Beschreibung SST-Standardmodell Schadenversicherung / Technical description of the SST standard model reinsurance (StandRe) / Technical description of the SST standard model captives</v>
      </c>
      <c r="F4"/>
      <c r="G4"/>
      <c r="H4" s="170"/>
      <c r="I4" s="170"/>
    </row>
    <row r="5" spans="1:32" ht="21" customHeight="1" x14ac:dyDescent="0.25">
      <c r="D5" s="100" t="s">
        <v>292</v>
      </c>
      <c r="E5" s="756" t="s">
        <v>2454</v>
      </c>
      <c r="F5"/>
      <c r="G5"/>
    </row>
    <row r="6" spans="1:32" ht="14.25" customHeight="1" x14ac:dyDescent="0.25">
      <c r="A6"/>
      <c r="B6"/>
      <c r="C6"/>
      <c r="D6"/>
      <c r="E6"/>
      <c r="F6"/>
      <c r="G6"/>
      <c r="H6"/>
      <c r="I6"/>
    </row>
    <row r="7" spans="1:32" ht="14.25" customHeight="1" x14ac:dyDescent="0.25">
      <c r="B7" s="87"/>
      <c r="C7" s="87"/>
    </row>
    <row r="8" spans="1:32" ht="14.25" customHeight="1" x14ac:dyDescent="0.25">
      <c r="B8" s="1105" t="s">
        <v>507</v>
      </c>
      <c r="C8" s="161"/>
      <c r="D8" s="1306" t="s">
        <v>508</v>
      </c>
      <c r="E8" s="1306"/>
      <c r="F8" s="158"/>
      <c r="G8" s="1307" t="s">
        <v>258</v>
      </c>
      <c r="H8" s="1307"/>
      <c r="I8" s="158"/>
      <c r="J8" s="1307" t="s">
        <v>3765</v>
      </c>
      <c r="K8" s="1307"/>
      <c r="L8" s="1307"/>
      <c r="M8" s="1307"/>
      <c r="N8" s="1307"/>
      <c r="O8" s="1307"/>
      <c r="P8" s="1307"/>
      <c r="Q8" s="1307"/>
      <c r="R8" s="1307"/>
      <c r="S8" s="1307"/>
      <c r="T8" s="1307"/>
      <c r="U8" s="1307"/>
      <c r="V8" s="1307"/>
      <c r="W8" s="1307"/>
      <c r="X8" s="1307"/>
      <c r="Y8" s="1307"/>
      <c r="Z8" s="1307"/>
      <c r="AA8" s="1307"/>
      <c r="AB8" s="1307"/>
      <c r="AD8" s="1328" t="str">
        <f>VLOOKUP("T.20.37",Translation,LanguageNo+1,FALSE)</f>
        <v>Individual Events 3 (IE3), Anforderung des Standardmodels Captive</v>
      </c>
      <c r="AE8" s="1328" t="str">
        <f>VLOOKUP("T.24.31",Translation,LanguageNo+1,FALSE)</f>
        <v xml:space="preserve">Implizite FX-Volatilität </v>
      </c>
      <c r="AF8" s="1328" t="str">
        <f>VLOOKUP("T.24.31",Translation,LanguageNo+1,FALSE)</f>
        <v xml:space="preserve">Implizite FX-Volatilität </v>
      </c>
    </row>
    <row r="9" spans="1:32" ht="89.25" x14ac:dyDescent="0.25">
      <c r="B9" s="619" t="str">
        <f>VLOOKUP("T.20.04",Translation,LanguageNo+1,FALSE)</f>
        <v>Falls Simulationen gewählt wird, ist hier der Simulationsvektor einzukopieren. Negative Werte stellen Verluste dar. Die Verteilung ist zentriert anzugeben.</v>
      </c>
      <c r="C9" s="87"/>
      <c r="D9" s="1308" t="str">
        <f>VLOOKUP("T.20.05",Translation,LanguageNo+1,FALSE)</f>
        <v>Falls die kumulierte Verteilungsfunktion gewählt wird, ist diese hier einzukopieren. Wie im Beispiel (hellblaue Zellen) ist darauf zu achten, dass x Werte strikt wachsend sind und dass die Werte F(x) wachsend sind, mit F(x)&gt;0 starten und mit F(x)=1 enden. Negative Werte stellen Verluste dar. Die Verteilung ist zentriert anzugeben.</v>
      </c>
      <c r="E9" s="1309" t="e">
        <f>VLOOKUP("T.25.06",Translation,LanguageNo+1,FALSE)</f>
        <v>#N/A</v>
      </c>
      <c r="G9" s="1310" t="str">
        <f>VLOOKUP("T.20.06",Translation,LanguageNo+1,FALSE)</f>
        <v>Falls die Parameter der Lognormalverteilung gewählt wurden, sind die Parameter mu respektive sigma der Lognormalverteilung einzutragen.</v>
      </c>
      <c r="H9" s="1311" t="e">
        <f>VLOOKUP("T.25.06",Translation,LanguageNo+1,FALSE)</f>
        <v>#N/A</v>
      </c>
      <c r="AD9" s="1304" t="str">
        <f>VLOOKUP("T.20.32",Translation,LanguageNo+1,FALSE)</f>
        <v>Setzen Sie die Einrittswahrscheinlichkeit des IE3 Szenarios (kombiniert) zu einem Wert &gt;0.0% für die Aggregation des Szenarios (kombiniert) mit dem Versicherungsrisiko. 
Falls es nicht aggregiert werden sollte, setzen Sie die Eintrittswahrscheinlichkeit = 0.0% oder lassen Sie es leer. Schäden werden mit negativen Vorzeichen angegeben.</v>
      </c>
      <c r="AE9" s="1304" t="str">
        <f>VLOOKUP("T.24.31",Translation,LanguageNo+1,FALSE)</f>
        <v xml:space="preserve">Implizite FX-Volatilität </v>
      </c>
      <c r="AF9" s="1304" t="str">
        <f>VLOOKUP("T.24.31",Translation,LanguageNo+1,FALSE)</f>
        <v xml:space="preserve">Implizite FX-Volatilität </v>
      </c>
    </row>
    <row r="10" spans="1:32" ht="14.25" customHeight="1" x14ac:dyDescent="0.25">
      <c r="B10" s="25" t="s">
        <v>242</v>
      </c>
      <c r="C10" s="87"/>
      <c r="D10" s="30" t="s">
        <v>242</v>
      </c>
      <c r="E10" s="30"/>
      <c r="G10" s="1305" t="s">
        <v>242</v>
      </c>
      <c r="H10" s="1305"/>
    </row>
    <row r="11" spans="1:32" ht="15" x14ac:dyDescent="0.25">
      <c r="B11" s="26">
        <v>-74.439449749999994</v>
      </c>
      <c r="C11" s="87"/>
      <c r="D11" s="35">
        <v>-9998</v>
      </c>
      <c r="E11" s="31">
        <v>1E-4</v>
      </c>
      <c r="G11" s="40" t="s">
        <v>248</v>
      </c>
      <c r="H11" s="28" t="s">
        <v>249</v>
      </c>
    </row>
    <row r="12" spans="1:32" ht="14.25" customHeight="1" x14ac:dyDescent="0.25">
      <c r="B12" s="27">
        <v>-241.84656340000001</v>
      </c>
      <c r="C12" s="87"/>
      <c r="D12" s="36">
        <v>-9996</v>
      </c>
      <c r="E12" s="32">
        <v>2.0000000000000001E-4</v>
      </c>
      <c r="G12" s="41"/>
      <c r="H12" s="28"/>
    </row>
    <row r="13" spans="1:32" ht="14.25" customHeight="1" x14ac:dyDescent="0.25">
      <c r="B13" s="27">
        <v>107.1162764</v>
      </c>
      <c r="C13" s="87"/>
      <c r="D13" s="37" t="s">
        <v>246</v>
      </c>
      <c r="E13" s="33" t="s">
        <v>246</v>
      </c>
      <c r="G13" s="41"/>
      <c r="H13" s="28"/>
    </row>
    <row r="14" spans="1:32" ht="14.25" customHeight="1" x14ac:dyDescent="0.25">
      <c r="B14" s="28">
        <v>-238.84938679999999</v>
      </c>
      <c r="C14" s="87"/>
      <c r="D14" s="38">
        <v>198</v>
      </c>
      <c r="E14" s="31">
        <v>0.99990000000000001</v>
      </c>
      <c r="G14" s="42">
        <v>8.3070935836959769</v>
      </c>
      <c r="H14" s="29">
        <v>3.6980836154985777E-2</v>
      </c>
      <c r="J14" s="631" t="str">
        <f>VLOOKUP("T.20.07",Translation,LanguageNo+1,FALSE)</f>
        <v>CY Parameter</v>
      </c>
      <c r="K14" s="632"/>
      <c r="L14" s="1312" t="str">
        <f>VLOOKUP("T.20.08",Translation,LanguageNo+1,FALSE)</f>
        <v>Grösster möglicher Schaden - Parameter</v>
      </c>
      <c r="M14" s="1313"/>
      <c r="N14" s="1316" t="str">
        <f>VLOOKUP("T.20.09",Translation,LanguageNo+1,FALSE)</f>
        <v>Ground-up Modellparameter</v>
      </c>
      <c r="O14" s="1317"/>
      <c r="P14" s="1317"/>
      <c r="Q14" s="1317"/>
      <c r="R14" s="1317"/>
      <c r="S14" s="1317"/>
      <c r="T14" s="1317"/>
      <c r="U14" s="1317"/>
      <c r="V14" s="1318"/>
      <c r="W14" s="1318"/>
      <c r="X14" s="1313"/>
      <c r="Y14" s="179"/>
      <c r="Z14" s="1319" t="str">
        <f>VLOOKUP("T.20.28",Translation,LanguageNo+1,FALSE)</f>
        <v>PY Parameter</v>
      </c>
      <c r="AA14" s="1320" t="e">
        <f>VLOOKUP("T.27.22",Translation,LanguageNo+1,FALSE)</f>
        <v>#N/A</v>
      </c>
      <c r="AB14" s="1321" t="e">
        <f>VLOOKUP("T.27.22",Translation,LanguageNo+1,FALSE)</f>
        <v>#N/A</v>
      </c>
      <c r="AD14" s="1303" t="str">
        <f>VLOOKUP("T.20.33",Translation,LanguageNo+1,FALSE)</f>
        <v>IE3 Szenarien (Kombination)</v>
      </c>
      <c r="AE14" s="1303"/>
      <c r="AF14" s="1144"/>
    </row>
    <row r="15" spans="1:32" ht="14.25" customHeight="1" x14ac:dyDescent="0.25">
      <c r="B15" s="29">
        <v>-37.05207094</v>
      </c>
      <c r="C15" s="87"/>
      <c r="D15" s="39">
        <v>200</v>
      </c>
      <c r="E15" s="34">
        <v>1</v>
      </c>
      <c r="J15" s="633"/>
      <c r="K15" s="630"/>
      <c r="L15" s="1314"/>
      <c r="M15" s="1315"/>
      <c r="N15" s="1322" t="str">
        <f>VLOOKUP("T.20.10",Translation,LanguageNo+1,FALSE)</f>
        <v>Normalschäden</v>
      </c>
      <c r="O15" s="1323"/>
      <c r="P15" s="1324"/>
      <c r="Q15" s="1325" t="str">
        <f>VLOOKUP("T.20.11",Translation,LanguageNo+1,FALSE)</f>
        <v>Grossschäden</v>
      </c>
      <c r="R15" s="1325"/>
      <c r="S15" s="1325"/>
      <c r="T15" s="1325" t="str">
        <f>VLOOKUP("T.20.12",Translation,LanguageNo+1,FALSE)</f>
        <v>Zusätzliche Parameter</v>
      </c>
      <c r="U15" s="1326"/>
      <c r="V15" s="1327"/>
      <c r="W15" s="1327"/>
      <c r="X15" s="1327"/>
      <c r="Y15" s="176"/>
      <c r="Z15" s="1090"/>
      <c r="AA15" s="1091"/>
      <c r="AB15" s="1091"/>
      <c r="AD15" s="1145"/>
      <c r="AE15" s="1145"/>
      <c r="AF15" s="1145"/>
    </row>
    <row r="16" spans="1:32" ht="51.75" x14ac:dyDescent="0.25">
      <c r="J16" s="1142" t="str">
        <f>VLOOKUP("T.20.13",Translation,LanguageNo+1,FALSE)</f>
        <v>CY-Parametersegment</v>
      </c>
      <c r="K16" s="627" t="str">
        <f>VLOOKUP("T.20.14",Translation,LanguageNo+1,FALSE)</f>
        <v>Modeltyp</v>
      </c>
      <c r="L16" s="1099" t="str">
        <f>VLOOKUP("T.20.15",Translation,LanguageNo+1,FALSE)</f>
        <v>Grösster möglicher Schaden</v>
      </c>
      <c r="M16" s="1100" t="str">
        <f>VLOOKUP("T.20.16",Translation,LanguageNo+1,FALSE)</f>
        <v>Erwarteter Schaden</v>
      </c>
      <c r="N16" s="1101" t="str">
        <f>VLOOKUP("T.20.17",Translation,LanguageNo+1,FALSE)</f>
        <v>Erwartete Schadenanzahl</v>
      </c>
      <c r="O16" s="1101" t="str">
        <f>VLOOKUP("T.20.18",Translation,LanguageNo+1,FALSE)</f>
        <v xml:space="preserve">Erwartete Schadenhöhe </v>
      </c>
      <c r="P16" s="1101" t="str">
        <f>VLOOKUP("T.20.19",Translation,LanguageNo+1,FALSE)</f>
        <v>Standardabweichung</v>
      </c>
      <c r="Q16" s="1101" t="str">
        <f>VLOOKUP("T.20.20",Translation,LanguageNo+1,FALSE)</f>
        <v>Erwartete Schadenanzahl</v>
      </c>
      <c r="R16" s="1101" t="str">
        <f>VLOOKUP("T.20.21",Translation,LanguageNo+1,FALSE)</f>
        <v>Grosschadengrenze</v>
      </c>
      <c r="S16" s="1101" t="str">
        <f>VLOOKUP("T.20.22",Translation,LanguageNo+1,FALSE)</f>
        <v>Pareto Shape</v>
      </c>
      <c r="T16" s="1101" t="str">
        <f>VLOOKUP("T.20.23",Translation,LanguageNo+1,FALSE)</f>
        <v>Jahresschadenlimit (AAL)</v>
      </c>
      <c r="U16" s="1101" t="str">
        <f>VLOOKUP("T.20.24",Translation,LanguageNo+1,FALSE)</f>
        <v>Haftungslimit pro Risiko/Schaden (EEL)</v>
      </c>
      <c r="V16" s="1176" t="str">
        <f>VLOOKUP("T.20.25",Translation,LanguageNo+1,FALSE)</f>
        <v>Jahresschadenselbstbehalt (AAD)</v>
      </c>
      <c r="W16" s="1176" t="str">
        <f>VLOOKUP("T.20.26",Translation,LanguageNo+1,FALSE)</f>
        <v>Selbstbehalt pro Risiko/Schaden (EED)</v>
      </c>
      <c r="X16" s="1176" t="str">
        <f>VLOOKUP("T.20.27",Translation,LanguageNo+1,FALSE)</f>
        <v>Quotenrückversicherung (QS)</v>
      </c>
      <c r="Y16" s="629"/>
      <c r="Z16" s="1092" t="str">
        <f>VLOOKUP("T.20.29",Translation,LanguageNo+1,FALSE)</f>
        <v>PY-Parametersegment</v>
      </c>
      <c r="AA16" s="1093" t="str">
        <f>VLOOKUP("T.20.30",Translation,LanguageNo+1,FALSE)</f>
        <v>Erwartungswert der diskontierten Netto-Rückstellungen</v>
      </c>
      <c r="AB16" s="1094" t="str">
        <f>VLOOKUP("T.20.31",Translation,LanguageNo+1,FALSE)</f>
        <v>Variationskoeffizient</v>
      </c>
      <c r="AD16" s="1146" t="str">
        <f>VLOOKUP("T.20.34",Translation,LanguageNo+1,FALSE)</f>
        <v>Name des Szenarios (Kombination)</v>
      </c>
      <c r="AE16" s="1146" t="str">
        <f>VLOOKUP("T.20.35",Translation,LanguageNo+1,FALSE)</f>
        <v>Auswirkung (Schaden) durch das Szenario (Kombination)</v>
      </c>
      <c r="AF16" s="1147" t="str">
        <f>VLOOKUP("T.20.36",Translation,LanguageNo+1,FALSE)</f>
        <v>Wahrscheinlichkeit des Szenarios (Kombination)</v>
      </c>
    </row>
    <row r="17" spans="2:32" ht="15.6" customHeight="1" x14ac:dyDescent="0.25">
      <c r="B17" s="101" t="s">
        <v>243</v>
      </c>
      <c r="C17" s="87"/>
      <c r="D17" s="101" t="s">
        <v>244</v>
      </c>
      <c r="E17" s="102" t="s">
        <v>245</v>
      </c>
      <c r="G17" s="101" t="s">
        <v>248</v>
      </c>
      <c r="H17" s="102" t="s">
        <v>249</v>
      </c>
      <c r="J17" s="634"/>
      <c r="K17" s="628"/>
      <c r="L17" s="1102" t="str">
        <f>Unit&amp;SST_Currency</f>
        <v>in Mio. CHF</v>
      </c>
      <c r="M17" s="1103" t="str">
        <f>Unit&amp;SST_Currency</f>
        <v>in Mio. CHF</v>
      </c>
      <c r="N17" s="1143"/>
      <c r="O17" s="1104" t="str">
        <f>Unit&amp;SST_Currency</f>
        <v>in Mio. CHF</v>
      </c>
      <c r="P17" s="1104" t="str">
        <f>Unit&amp;SST_Currency</f>
        <v>in Mio. CHF</v>
      </c>
      <c r="Q17" s="1104"/>
      <c r="R17" s="1104" t="str">
        <f>Unit&amp;SST_Currency</f>
        <v>in Mio. CHF</v>
      </c>
      <c r="S17" s="1103"/>
      <c r="T17" s="1103" t="str">
        <f>Unit&amp;SST_Currency</f>
        <v>in Mio. CHF</v>
      </c>
      <c r="U17" s="1103" t="str">
        <f>Unit&amp;SST_Currency</f>
        <v>in Mio. CHF</v>
      </c>
      <c r="V17" s="1103" t="str">
        <f>Unit&amp;SST_Currency</f>
        <v>in Mio. CHF</v>
      </c>
      <c r="W17" s="1103" t="str">
        <f>Unit&amp;SST_Currency</f>
        <v>in Mio. CHF</v>
      </c>
      <c r="X17" s="1143" t="s">
        <v>1973</v>
      </c>
      <c r="Y17" s="629"/>
      <c r="Z17" s="1095"/>
      <c r="AA17" s="1103" t="str">
        <f>Unit&amp;SST_Currency</f>
        <v>in Mio. CHF</v>
      </c>
      <c r="AB17" s="1096"/>
      <c r="AD17" s="886"/>
      <c r="AE17" s="1103" t="str">
        <f>Unit&amp;SST_Currency</f>
        <v>in Mio. CHF</v>
      </c>
      <c r="AF17" s="1148" t="s">
        <v>1973</v>
      </c>
    </row>
    <row r="18" spans="2:32" ht="14.25" customHeight="1" x14ac:dyDescent="0.25">
      <c r="B18" s="103"/>
      <c r="D18" s="80"/>
      <c r="E18" s="104"/>
      <c r="G18" s="105"/>
      <c r="H18" s="105"/>
      <c r="J18" s="177"/>
      <c r="K18" s="177"/>
      <c r="L18" s="1158"/>
      <c r="M18" s="1158"/>
      <c r="N18" s="1162"/>
      <c r="O18" s="1158"/>
      <c r="P18" s="1158"/>
      <c r="Q18" s="1162"/>
      <c r="R18" s="1158"/>
      <c r="S18" s="1162"/>
      <c r="T18" s="1158"/>
      <c r="U18" s="1158"/>
      <c r="V18" s="1158"/>
      <c r="W18" s="1158"/>
      <c r="X18" s="1159"/>
      <c r="Y18" s="176"/>
      <c r="Z18" s="1098"/>
      <c r="AA18" s="1150"/>
      <c r="AB18" s="1157"/>
      <c r="AD18" s="1097"/>
      <c r="AE18" s="1151"/>
      <c r="AF18" s="1153"/>
    </row>
    <row r="19" spans="2:32" ht="14.25" customHeight="1" x14ac:dyDescent="0.25">
      <c r="B19" s="103"/>
      <c r="D19" s="80"/>
      <c r="E19" s="80"/>
      <c r="J19" s="178"/>
      <c r="K19" s="178"/>
      <c r="L19" s="1149"/>
      <c r="M19" s="1149"/>
      <c r="N19" s="1163"/>
      <c r="O19" s="1149"/>
      <c r="P19" s="1149"/>
      <c r="Q19" s="1163"/>
      <c r="R19" s="1149"/>
      <c r="S19" s="1163"/>
      <c r="T19" s="1149"/>
      <c r="U19" s="1149"/>
      <c r="V19" s="1149"/>
      <c r="W19" s="1149"/>
      <c r="X19" s="1160"/>
      <c r="Y19" s="176"/>
      <c r="Z19" s="1155"/>
      <c r="AA19" s="1155"/>
      <c r="AB19" s="1155"/>
      <c r="AD19" s="1097"/>
      <c r="AE19" s="1151"/>
      <c r="AF19" s="1153"/>
    </row>
    <row r="20" spans="2:32" ht="14.25" customHeight="1" x14ac:dyDescent="0.25">
      <c r="B20" s="103"/>
      <c r="D20" s="80"/>
      <c r="E20" s="80"/>
      <c r="J20" s="178"/>
      <c r="K20" s="178"/>
      <c r="L20" s="1149"/>
      <c r="M20" s="1149"/>
      <c r="N20" s="1163"/>
      <c r="O20" s="1149"/>
      <c r="P20" s="1149"/>
      <c r="Q20" s="1163"/>
      <c r="R20" s="1149"/>
      <c r="S20" s="1163"/>
      <c r="T20" s="1149"/>
      <c r="U20" s="1149"/>
      <c r="V20" s="1149"/>
      <c r="W20" s="1149"/>
      <c r="X20" s="1160"/>
      <c r="Y20" s="176"/>
      <c r="Z20" s="1155"/>
      <c r="AA20" s="1155"/>
      <c r="AB20" s="1155"/>
      <c r="AD20" s="1097"/>
      <c r="AE20" s="1151"/>
      <c r="AF20" s="1153"/>
    </row>
    <row r="21" spans="2:32" ht="14.25" customHeight="1" x14ac:dyDescent="0.25">
      <c r="B21" s="103"/>
      <c r="D21" s="80"/>
      <c r="E21" s="80"/>
      <c r="J21" s="178"/>
      <c r="K21" s="178"/>
      <c r="L21" s="1149"/>
      <c r="M21" s="1149"/>
      <c r="N21" s="1163"/>
      <c r="O21" s="1149"/>
      <c r="P21" s="1149"/>
      <c r="Q21" s="1163"/>
      <c r="R21" s="1149"/>
      <c r="S21" s="1163"/>
      <c r="T21" s="1149"/>
      <c r="U21" s="1149"/>
      <c r="V21" s="1149"/>
      <c r="W21" s="1149"/>
      <c r="X21" s="1160"/>
      <c r="Y21" s="176"/>
      <c r="Z21" s="1155"/>
      <c r="AA21" s="1155"/>
      <c r="AB21" s="1155"/>
      <c r="AD21" s="1097"/>
      <c r="AE21" s="1151"/>
      <c r="AF21" s="1153"/>
    </row>
    <row r="22" spans="2:32" ht="14.25" customHeight="1" x14ac:dyDescent="0.25">
      <c r="B22" s="103"/>
      <c r="D22" s="80"/>
      <c r="E22" s="80"/>
      <c r="J22" s="178"/>
      <c r="K22" s="178"/>
      <c r="L22" s="1149"/>
      <c r="M22" s="1149"/>
      <c r="N22" s="1163"/>
      <c r="O22" s="1149"/>
      <c r="P22" s="1149"/>
      <c r="Q22" s="1163"/>
      <c r="R22" s="1149"/>
      <c r="S22" s="1163"/>
      <c r="T22" s="1149"/>
      <c r="U22" s="1149"/>
      <c r="V22" s="1149"/>
      <c r="W22" s="1149"/>
      <c r="X22" s="1160"/>
      <c r="Y22" s="176"/>
      <c r="Z22" s="1155"/>
      <c r="AA22" s="1155"/>
      <c r="AB22" s="1155"/>
      <c r="AD22" s="1097"/>
      <c r="AE22" s="1151"/>
      <c r="AF22" s="1153"/>
    </row>
    <row r="23" spans="2:32" ht="14.25" customHeight="1" x14ac:dyDescent="0.25">
      <c r="B23" s="103"/>
      <c r="D23" s="80"/>
      <c r="E23" s="80"/>
      <c r="J23" s="178"/>
      <c r="K23" s="178"/>
      <c r="L23" s="1149"/>
      <c r="M23" s="1149"/>
      <c r="N23" s="1163"/>
      <c r="O23" s="1149"/>
      <c r="P23" s="1149"/>
      <c r="Q23" s="1163"/>
      <c r="R23" s="1149"/>
      <c r="S23" s="1163"/>
      <c r="T23" s="1149"/>
      <c r="U23" s="1149"/>
      <c r="V23" s="1149"/>
      <c r="W23" s="1149"/>
      <c r="X23" s="1160"/>
      <c r="Y23" s="176"/>
      <c r="Z23" s="1155"/>
      <c r="AA23" s="1155"/>
      <c r="AB23" s="1155"/>
      <c r="AD23" s="1097"/>
      <c r="AE23" s="1151"/>
      <c r="AF23" s="1153"/>
    </row>
    <row r="24" spans="2:32" ht="14.25" customHeight="1" x14ac:dyDescent="0.25">
      <c r="B24" s="103"/>
      <c r="D24" s="80"/>
      <c r="E24" s="80"/>
      <c r="J24" s="178"/>
      <c r="K24" s="178"/>
      <c r="L24" s="1149"/>
      <c r="M24" s="1149"/>
      <c r="N24" s="1163"/>
      <c r="O24" s="1149"/>
      <c r="P24" s="1149"/>
      <c r="Q24" s="1163"/>
      <c r="R24" s="1149"/>
      <c r="S24" s="1163"/>
      <c r="T24" s="1149"/>
      <c r="U24" s="1149"/>
      <c r="V24" s="1149"/>
      <c r="W24" s="1149"/>
      <c r="X24" s="1160"/>
      <c r="Y24" s="176"/>
      <c r="Z24" s="1155"/>
      <c r="AA24" s="1155"/>
      <c r="AB24" s="1155"/>
      <c r="AD24" s="1098"/>
      <c r="AE24" s="1152"/>
      <c r="AF24" s="1154"/>
    </row>
    <row r="25" spans="2:32" ht="14.25" customHeight="1" x14ac:dyDescent="0.25">
      <c r="B25" s="103"/>
      <c r="D25" s="80"/>
      <c r="E25" s="80"/>
      <c r="J25" s="178"/>
      <c r="K25" s="178"/>
      <c r="L25" s="1149"/>
      <c r="M25" s="1149"/>
      <c r="N25" s="1163"/>
      <c r="O25" s="1149"/>
      <c r="P25" s="1149"/>
      <c r="Q25" s="1163"/>
      <c r="R25" s="1149"/>
      <c r="S25" s="1163"/>
      <c r="T25" s="1149"/>
      <c r="U25" s="1149"/>
      <c r="V25" s="1149"/>
      <c r="W25" s="1149"/>
      <c r="X25" s="1160"/>
      <c r="Y25" s="176"/>
      <c r="Z25" s="1155"/>
      <c r="AA25" s="1155"/>
      <c r="AB25" s="1155"/>
    </row>
    <row r="26" spans="2:32" ht="14.25" customHeight="1" x14ac:dyDescent="0.25">
      <c r="B26" s="103"/>
      <c r="D26" s="80"/>
      <c r="E26" s="80"/>
      <c r="J26" s="178"/>
      <c r="K26" s="178"/>
      <c r="L26" s="1149"/>
      <c r="M26" s="1149"/>
      <c r="N26" s="1163"/>
      <c r="O26" s="1149"/>
      <c r="P26" s="1149"/>
      <c r="Q26" s="1163"/>
      <c r="R26" s="1149"/>
      <c r="S26" s="1163"/>
      <c r="T26" s="1149"/>
      <c r="U26" s="1149"/>
      <c r="V26" s="1149"/>
      <c r="W26" s="1149"/>
      <c r="X26" s="1160"/>
      <c r="Y26" s="176"/>
      <c r="Z26" s="1155"/>
      <c r="AA26" s="1155"/>
      <c r="AB26" s="1155"/>
    </row>
    <row r="27" spans="2:32" ht="14.25" customHeight="1" x14ac:dyDescent="0.25">
      <c r="B27" s="103"/>
      <c r="D27" s="80"/>
      <c r="E27" s="80"/>
      <c r="J27" s="178"/>
      <c r="K27" s="178"/>
      <c r="L27" s="1149"/>
      <c r="M27" s="1149"/>
      <c r="N27" s="1163"/>
      <c r="O27" s="1149"/>
      <c r="P27" s="1149"/>
      <c r="Q27" s="1163"/>
      <c r="R27" s="1149"/>
      <c r="S27" s="1163"/>
      <c r="T27" s="1149"/>
      <c r="U27" s="1149"/>
      <c r="V27" s="1149"/>
      <c r="W27" s="1149"/>
      <c r="X27" s="1160"/>
      <c r="Y27" s="176"/>
      <c r="Z27" s="1155"/>
      <c r="AA27" s="1155"/>
      <c r="AB27" s="1155"/>
    </row>
    <row r="28" spans="2:32" ht="14.25" customHeight="1" x14ac:dyDescent="0.25">
      <c r="B28" s="103"/>
      <c r="D28" s="80"/>
      <c r="E28" s="80"/>
      <c r="J28" s="178"/>
      <c r="K28" s="178"/>
      <c r="L28" s="1149"/>
      <c r="M28" s="1149"/>
      <c r="N28" s="1163"/>
      <c r="O28" s="1149"/>
      <c r="P28" s="1149"/>
      <c r="Q28" s="1163"/>
      <c r="R28" s="1149"/>
      <c r="S28" s="1163"/>
      <c r="T28" s="1149"/>
      <c r="U28" s="1149"/>
      <c r="V28" s="1149"/>
      <c r="W28" s="1149"/>
      <c r="X28" s="1160"/>
      <c r="Y28" s="176"/>
      <c r="Z28" s="1155"/>
      <c r="AA28" s="1155"/>
      <c r="AB28" s="1155"/>
    </row>
    <row r="29" spans="2:32" ht="14.25" customHeight="1" x14ac:dyDescent="0.25">
      <c r="B29" s="103"/>
      <c r="D29" s="80"/>
      <c r="E29" s="80"/>
      <c r="J29" s="178"/>
      <c r="K29" s="178"/>
      <c r="L29" s="1149"/>
      <c r="M29" s="1149"/>
      <c r="N29" s="1163"/>
      <c r="O29" s="1149"/>
      <c r="P29" s="1149"/>
      <c r="Q29" s="1163"/>
      <c r="R29" s="1149"/>
      <c r="S29" s="1163"/>
      <c r="T29" s="1149"/>
      <c r="U29" s="1149"/>
      <c r="V29" s="1149"/>
      <c r="W29" s="1149"/>
      <c r="X29" s="1160"/>
      <c r="Y29" s="176"/>
      <c r="Z29" s="1155"/>
      <c r="AA29" s="1155"/>
      <c r="AB29" s="1155"/>
    </row>
    <row r="30" spans="2:32" ht="14.25" customHeight="1" x14ac:dyDescent="0.25">
      <c r="B30" s="103"/>
      <c r="D30" s="80"/>
      <c r="E30" s="80"/>
      <c r="J30" s="178"/>
      <c r="K30" s="178"/>
      <c r="L30" s="1149"/>
      <c r="M30" s="1149"/>
      <c r="N30" s="1163"/>
      <c r="O30" s="1149"/>
      <c r="P30" s="1149"/>
      <c r="Q30" s="1163"/>
      <c r="R30" s="1149"/>
      <c r="S30" s="1163"/>
      <c r="T30" s="1149"/>
      <c r="U30" s="1149"/>
      <c r="V30" s="1149"/>
      <c r="W30" s="1149"/>
      <c r="X30" s="1160"/>
      <c r="Y30" s="176"/>
      <c r="Z30" s="1155"/>
      <c r="AA30" s="1155"/>
      <c r="AB30" s="1155"/>
    </row>
    <row r="31" spans="2:32" ht="14.25" customHeight="1" x14ac:dyDescent="0.25">
      <c r="B31" s="103"/>
      <c r="D31" s="80"/>
      <c r="E31" s="80"/>
      <c r="J31" s="178"/>
      <c r="K31" s="178"/>
      <c r="L31" s="1149"/>
      <c r="M31" s="1149"/>
      <c r="N31" s="1163"/>
      <c r="O31" s="1149"/>
      <c r="P31" s="1149"/>
      <c r="Q31" s="1163"/>
      <c r="R31" s="1149"/>
      <c r="S31" s="1163"/>
      <c r="T31" s="1149"/>
      <c r="U31" s="1149"/>
      <c r="V31" s="1149"/>
      <c r="W31" s="1149"/>
      <c r="X31" s="1160"/>
      <c r="Y31" s="176"/>
      <c r="Z31" s="1155"/>
      <c r="AA31" s="1155"/>
      <c r="AB31" s="1155"/>
    </row>
    <row r="32" spans="2:32" ht="14.25" customHeight="1" x14ac:dyDescent="0.25">
      <c r="B32" s="103"/>
      <c r="D32" s="80"/>
      <c r="E32" s="80"/>
      <c r="J32" s="178"/>
      <c r="K32" s="178"/>
      <c r="L32" s="1149"/>
      <c r="M32" s="1149"/>
      <c r="N32" s="1163"/>
      <c r="O32" s="1149"/>
      <c r="P32" s="1149"/>
      <c r="Q32" s="1163"/>
      <c r="R32" s="1149"/>
      <c r="S32" s="1163"/>
      <c r="T32" s="1149"/>
      <c r="U32" s="1149"/>
      <c r="V32" s="1149"/>
      <c r="W32" s="1149"/>
      <c r="X32" s="1160"/>
      <c r="Y32" s="176"/>
      <c r="Z32" s="1155"/>
      <c r="AA32" s="1155"/>
      <c r="AB32" s="1155"/>
    </row>
    <row r="33" spans="2:28" ht="14.25" customHeight="1" x14ac:dyDescent="0.25">
      <c r="B33" s="103"/>
      <c r="D33" s="80"/>
      <c r="E33" s="80"/>
      <c r="J33" s="178"/>
      <c r="K33" s="178"/>
      <c r="L33" s="1149"/>
      <c r="M33" s="1149"/>
      <c r="N33" s="1163"/>
      <c r="O33" s="1149"/>
      <c r="P33" s="1149"/>
      <c r="Q33" s="1163"/>
      <c r="R33" s="1149"/>
      <c r="S33" s="1163"/>
      <c r="T33" s="1149"/>
      <c r="U33" s="1149"/>
      <c r="V33" s="1149"/>
      <c r="W33" s="1149"/>
      <c r="X33" s="1160"/>
      <c r="Y33" s="176"/>
      <c r="Z33" s="1155"/>
      <c r="AA33" s="1155"/>
      <c r="AB33" s="1155"/>
    </row>
    <row r="34" spans="2:28" ht="14.25" customHeight="1" x14ac:dyDescent="0.25">
      <c r="B34" s="103"/>
      <c r="D34" s="80"/>
      <c r="E34" s="80"/>
      <c r="J34" s="178"/>
      <c r="K34" s="178"/>
      <c r="L34" s="1149"/>
      <c r="M34" s="1149"/>
      <c r="N34" s="1163"/>
      <c r="O34" s="1149"/>
      <c r="P34" s="1149"/>
      <c r="Q34" s="1163"/>
      <c r="R34" s="1149"/>
      <c r="S34" s="1163"/>
      <c r="T34" s="1149"/>
      <c r="U34" s="1149"/>
      <c r="V34" s="1149"/>
      <c r="W34" s="1149"/>
      <c r="X34" s="1160"/>
      <c r="Y34" s="176"/>
      <c r="Z34" s="1155"/>
      <c r="AA34" s="1155"/>
      <c r="AB34" s="1155"/>
    </row>
    <row r="35" spans="2:28" ht="14.25" customHeight="1" x14ac:dyDescent="0.25">
      <c r="B35" s="103"/>
      <c r="D35" s="80"/>
      <c r="E35" s="80"/>
      <c r="J35" s="178"/>
      <c r="K35" s="178"/>
      <c r="L35" s="1149"/>
      <c r="M35" s="1149"/>
      <c r="N35" s="1163"/>
      <c r="O35" s="1149"/>
      <c r="P35" s="1149"/>
      <c r="Q35" s="1163"/>
      <c r="R35" s="1149"/>
      <c r="S35" s="1163"/>
      <c r="T35" s="1149"/>
      <c r="U35" s="1149"/>
      <c r="V35" s="1149"/>
      <c r="W35" s="1149"/>
      <c r="X35" s="1160"/>
      <c r="Y35" s="176"/>
      <c r="Z35" s="1155"/>
      <c r="AA35" s="1155"/>
      <c r="AB35" s="1155"/>
    </row>
    <row r="36" spans="2:28" ht="14.25" customHeight="1" x14ac:dyDescent="0.25">
      <c r="B36" s="103"/>
      <c r="D36" s="80"/>
      <c r="E36" s="80"/>
      <c r="J36" s="178"/>
      <c r="K36" s="178"/>
      <c r="L36" s="1149"/>
      <c r="M36" s="1149"/>
      <c r="N36" s="1163"/>
      <c r="O36" s="1149"/>
      <c r="P36" s="1149"/>
      <c r="Q36" s="1163"/>
      <c r="R36" s="1149"/>
      <c r="S36" s="1163"/>
      <c r="T36" s="1149"/>
      <c r="U36" s="1149"/>
      <c r="V36" s="1149"/>
      <c r="W36" s="1149"/>
      <c r="X36" s="1160"/>
      <c r="Y36" s="176"/>
      <c r="Z36" s="1155"/>
      <c r="AA36" s="1155"/>
      <c r="AB36" s="1155"/>
    </row>
    <row r="37" spans="2:28" ht="14.25" customHeight="1" x14ac:dyDescent="0.25">
      <c r="B37" s="103"/>
      <c r="D37" s="80"/>
      <c r="E37" s="80"/>
      <c r="J37" s="178"/>
      <c r="K37" s="178"/>
      <c r="L37" s="1149"/>
      <c r="M37" s="1149"/>
      <c r="N37" s="1163"/>
      <c r="O37" s="1149"/>
      <c r="P37" s="1149"/>
      <c r="Q37" s="1163"/>
      <c r="R37" s="1149"/>
      <c r="S37" s="1163"/>
      <c r="T37" s="1149"/>
      <c r="U37" s="1149"/>
      <c r="V37" s="1149"/>
      <c r="W37" s="1149"/>
      <c r="X37" s="1160"/>
      <c r="Y37" s="176"/>
      <c r="Z37" s="1155"/>
      <c r="AA37" s="1155"/>
      <c r="AB37" s="1155"/>
    </row>
    <row r="38" spans="2:28" ht="14.25" customHeight="1" x14ac:dyDescent="0.25">
      <c r="B38" s="103"/>
      <c r="D38" s="80"/>
      <c r="E38" s="80"/>
      <c r="J38" s="178"/>
      <c r="K38" s="178"/>
      <c r="L38" s="1149"/>
      <c r="M38" s="1149"/>
      <c r="N38" s="1163"/>
      <c r="O38" s="1149"/>
      <c r="P38" s="1149"/>
      <c r="Q38" s="1163"/>
      <c r="R38" s="1149"/>
      <c r="S38" s="1163"/>
      <c r="T38" s="1149"/>
      <c r="U38" s="1149"/>
      <c r="V38" s="1149"/>
      <c r="W38" s="1149"/>
      <c r="X38" s="1160"/>
      <c r="Y38" s="176"/>
      <c r="Z38" s="1155"/>
      <c r="AA38" s="1155"/>
      <c r="AB38" s="1155"/>
    </row>
    <row r="39" spans="2:28" ht="14.25" customHeight="1" x14ac:dyDescent="0.25">
      <c r="B39" s="103"/>
      <c r="D39" s="80"/>
      <c r="E39" s="80"/>
      <c r="J39" s="178"/>
      <c r="K39" s="178"/>
      <c r="L39" s="1149"/>
      <c r="M39" s="1149"/>
      <c r="N39" s="1163"/>
      <c r="O39" s="1149"/>
      <c r="P39" s="1149"/>
      <c r="Q39" s="1163"/>
      <c r="R39" s="1149"/>
      <c r="S39" s="1163"/>
      <c r="T39" s="1149"/>
      <c r="U39" s="1149"/>
      <c r="V39" s="1149"/>
      <c r="W39" s="1149"/>
      <c r="X39" s="1160"/>
      <c r="Y39" s="176"/>
      <c r="Z39" s="1155"/>
      <c r="AA39" s="1155"/>
      <c r="AB39" s="1155"/>
    </row>
    <row r="40" spans="2:28" ht="14.25" customHeight="1" x14ac:dyDescent="0.25">
      <c r="B40" s="103"/>
      <c r="D40" s="80"/>
      <c r="E40" s="80"/>
      <c r="J40" s="178"/>
      <c r="K40" s="178"/>
      <c r="L40" s="1149"/>
      <c r="M40" s="1149"/>
      <c r="N40" s="1163"/>
      <c r="O40" s="1149"/>
      <c r="P40" s="1149"/>
      <c r="Q40" s="1163"/>
      <c r="R40" s="1149"/>
      <c r="S40" s="1163"/>
      <c r="T40" s="1149"/>
      <c r="U40" s="1149"/>
      <c r="V40" s="1149"/>
      <c r="W40" s="1149"/>
      <c r="X40" s="1160"/>
      <c r="Y40" s="176"/>
      <c r="Z40" s="1155"/>
      <c r="AA40" s="1155"/>
      <c r="AB40" s="1155"/>
    </row>
    <row r="41" spans="2:28" ht="14.25" customHeight="1" x14ac:dyDescent="0.25">
      <c r="B41" s="103"/>
      <c r="D41" s="80"/>
      <c r="E41" s="80"/>
      <c r="J41" s="731"/>
      <c r="K41" s="731"/>
      <c r="L41" s="1150"/>
      <c r="M41" s="1150"/>
      <c r="N41" s="1156"/>
      <c r="O41" s="1150"/>
      <c r="P41" s="1150"/>
      <c r="Q41" s="1156"/>
      <c r="R41" s="1150"/>
      <c r="S41" s="1156"/>
      <c r="T41" s="1150"/>
      <c r="U41" s="1150"/>
      <c r="V41" s="1150"/>
      <c r="W41" s="1150"/>
      <c r="X41" s="1161"/>
      <c r="Y41" s="176"/>
      <c r="Z41" s="1155"/>
      <c r="AA41" s="1155"/>
      <c r="AB41" s="1155"/>
    </row>
    <row r="42" spans="2:28" ht="14.25" customHeight="1" x14ac:dyDescent="0.25">
      <c r="B42" s="103"/>
      <c r="D42" s="80"/>
      <c r="E42" s="80"/>
    </row>
    <row r="43" spans="2:28" ht="14.25" customHeight="1" x14ac:dyDescent="0.25">
      <c r="B43" s="103"/>
      <c r="D43" s="80"/>
      <c r="E43" s="80"/>
    </row>
    <row r="44" spans="2:28" ht="14.25" customHeight="1" x14ac:dyDescent="0.25">
      <c r="B44" s="103"/>
      <c r="D44" s="80"/>
      <c r="E44" s="80"/>
    </row>
    <row r="45" spans="2:28" ht="14.25" customHeight="1" x14ac:dyDescent="0.25">
      <c r="B45" s="103"/>
      <c r="D45" s="80"/>
      <c r="E45" s="80"/>
    </row>
    <row r="46" spans="2:28" ht="14.25" customHeight="1" x14ac:dyDescent="0.25">
      <c r="B46" s="103"/>
      <c r="D46" s="80"/>
      <c r="E46" s="80"/>
    </row>
    <row r="47" spans="2:28" ht="14.25" customHeight="1" x14ac:dyDescent="0.25">
      <c r="B47" s="103"/>
      <c r="D47" s="80"/>
      <c r="E47" s="80"/>
    </row>
    <row r="48" spans="2:28" ht="14.25" customHeight="1" x14ac:dyDescent="0.25">
      <c r="B48" s="103"/>
      <c r="D48" s="80"/>
      <c r="E48" s="80"/>
    </row>
    <row r="49" spans="2:5" ht="14.25" customHeight="1" x14ac:dyDescent="0.25">
      <c r="B49" s="103"/>
      <c r="D49" s="80"/>
      <c r="E49" s="80"/>
    </row>
    <row r="50" spans="2:5" ht="14.25" customHeight="1" x14ac:dyDescent="0.25">
      <c r="B50" s="103"/>
      <c r="D50" s="80"/>
      <c r="E50" s="80"/>
    </row>
    <row r="51" spans="2:5" ht="14.25" customHeight="1" x14ac:dyDescent="0.25">
      <c r="B51" s="103"/>
      <c r="D51" s="80"/>
      <c r="E51" s="80"/>
    </row>
    <row r="52" spans="2:5" ht="14.25" customHeight="1" x14ac:dyDescent="0.25">
      <c r="B52" s="103"/>
      <c r="D52" s="80"/>
      <c r="E52" s="80"/>
    </row>
    <row r="53" spans="2:5" ht="14.25" customHeight="1" x14ac:dyDescent="0.25">
      <c r="B53" s="103"/>
      <c r="D53" s="80"/>
      <c r="E53" s="80"/>
    </row>
    <row r="54" spans="2:5" ht="14.25" customHeight="1" x14ac:dyDescent="0.25">
      <c r="B54" s="103"/>
      <c r="D54" s="80"/>
      <c r="E54" s="80"/>
    </row>
    <row r="55" spans="2:5" ht="14.25" customHeight="1" x14ac:dyDescent="0.25">
      <c r="B55" s="103"/>
      <c r="D55" s="80"/>
      <c r="E55" s="80"/>
    </row>
    <row r="56" spans="2:5" ht="14.25" customHeight="1" x14ac:dyDescent="0.25">
      <c r="B56" s="103"/>
      <c r="D56" s="80"/>
      <c r="E56" s="80"/>
    </row>
    <row r="57" spans="2:5" ht="14.25" customHeight="1" x14ac:dyDescent="0.25">
      <c r="B57" s="103"/>
      <c r="D57" s="80"/>
      <c r="E57" s="80"/>
    </row>
    <row r="58" spans="2:5" ht="14.25" customHeight="1" x14ac:dyDescent="0.25">
      <c r="B58" s="103"/>
      <c r="D58" s="80"/>
      <c r="E58" s="80"/>
    </row>
    <row r="59" spans="2:5" ht="14.25" customHeight="1" x14ac:dyDescent="0.25">
      <c r="B59" s="103"/>
      <c r="D59" s="80"/>
      <c r="E59" s="80"/>
    </row>
    <row r="60" spans="2:5" ht="14.25" customHeight="1" x14ac:dyDescent="0.25">
      <c r="B60" s="103"/>
      <c r="D60" s="80"/>
      <c r="E60" s="80"/>
    </row>
    <row r="61" spans="2:5" ht="14.25" customHeight="1" x14ac:dyDescent="0.25">
      <c r="B61" s="103"/>
      <c r="D61" s="80"/>
      <c r="E61" s="80"/>
    </row>
    <row r="62" spans="2:5" ht="14.25" customHeight="1" x14ac:dyDescent="0.25">
      <c r="B62" s="103"/>
      <c r="D62" s="80"/>
      <c r="E62" s="80"/>
    </row>
    <row r="63" spans="2:5" ht="14.25" customHeight="1" x14ac:dyDescent="0.25">
      <c r="B63" s="103"/>
      <c r="D63" s="80"/>
      <c r="E63" s="80"/>
    </row>
    <row r="64" spans="2:5" ht="14.25" customHeight="1" x14ac:dyDescent="0.25">
      <c r="B64" s="103"/>
      <c r="D64" s="80"/>
      <c r="E64" s="80"/>
    </row>
    <row r="65" spans="2:5" ht="14.25" customHeight="1" x14ac:dyDescent="0.25">
      <c r="B65" s="103"/>
      <c r="D65" s="80"/>
      <c r="E65" s="80"/>
    </row>
    <row r="66" spans="2:5" ht="14.25" customHeight="1" x14ac:dyDescent="0.25">
      <c r="B66" s="103"/>
      <c r="D66" s="80"/>
      <c r="E66" s="80"/>
    </row>
    <row r="67" spans="2:5" ht="14.25" customHeight="1" x14ac:dyDescent="0.25">
      <c r="B67" s="103"/>
      <c r="D67" s="80"/>
      <c r="E67" s="80"/>
    </row>
    <row r="68" spans="2:5" ht="14.25" customHeight="1" x14ac:dyDescent="0.25">
      <c r="B68" s="103"/>
      <c r="D68" s="80"/>
      <c r="E68" s="80"/>
    </row>
    <row r="69" spans="2:5" ht="14.25" customHeight="1" x14ac:dyDescent="0.25">
      <c r="B69" s="103"/>
      <c r="D69" s="80"/>
      <c r="E69" s="80"/>
    </row>
    <row r="70" spans="2:5" ht="14.25" customHeight="1" x14ac:dyDescent="0.25">
      <c r="B70" s="103"/>
      <c r="D70" s="80"/>
      <c r="E70" s="80"/>
    </row>
    <row r="71" spans="2:5" ht="14.25" customHeight="1" x14ac:dyDescent="0.25">
      <c r="B71" s="103"/>
      <c r="D71" s="80"/>
      <c r="E71" s="80"/>
    </row>
    <row r="72" spans="2:5" ht="14.25" customHeight="1" x14ac:dyDescent="0.25">
      <c r="B72" s="103"/>
      <c r="D72" s="80"/>
      <c r="E72" s="80"/>
    </row>
    <row r="73" spans="2:5" ht="14.25" customHeight="1" x14ac:dyDescent="0.25">
      <c r="B73" s="103"/>
      <c r="D73" s="80"/>
      <c r="E73" s="80"/>
    </row>
    <row r="74" spans="2:5" ht="14.25" customHeight="1" x14ac:dyDescent="0.25">
      <c r="B74" s="103"/>
      <c r="D74" s="80"/>
      <c r="E74" s="80"/>
    </row>
    <row r="75" spans="2:5" ht="14.25" customHeight="1" x14ac:dyDescent="0.25">
      <c r="B75" s="103"/>
      <c r="D75" s="80"/>
      <c r="E75" s="80"/>
    </row>
    <row r="76" spans="2:5" ht="14.25" customHeight="1" x14ac:dyDescent="0.25">
      <c r="B76" s="103"/>
      <c r="D76" s="80"/>
      <c r="E76" s="80"/>
    </row>
    <row r="77" spans="2:5" ht="14.25" customHeight="1" x14ac:dyDescent="0.25">
      <c r="B77" s="103"/>
      <c r="D77" s="80"/>
      <c r="E77" s="80"/>
    </row>
    <row r="78" spans="2:5" ht="14.25" customHeight="1" x14ac:dyDescent="0.25">
      <c r="B78" s="103"/>
      <c r="D78" s="80"/>
      <c r="E78" s="80"/>
    </row>
    <row r="79" spans="2:5" ht="14.25" customHeight="1" x14ac:dyDescent="0.25">
      <c r="B79" s="103"/>
      <c r="D79" s="80"/>
      <c r="E79" s="80"/>
    </row>
    <row r="80" spans="2:5" ht="14.25" customHeight="1" x14ac:dyDescent="0.25">
      <c r="B80" s="103"/>
      <c r="D80" s="80"/>
      <c r="E80" s="80"/>
    </row>
    <row r="81" spans="2:5" ht="14.25" customHeight="1" x14ac:dyDescent="0.25">
      <c r="B81" s="103"/>
      <c r="D81" s="80"/>
      <c r="E81" s="80"/>
    </row>
    <row r="82" spans="2:5" ht="14.25" customHeight="1" x14ac:dyDescent="0.25">
      <c r="B82" s="103"/>
      <c r="D82" s="80"/>
      <c r="E82" s="80"/>
    </row>
    <row r="83" spans="2:5" ht="14.25" customHeight="1" x14ac:dyDescent="0.25">
      <c r="B83" s="103"/>
      <c r="D83" s="80"/>
      <c r="E83" s="80"/>
    </row>
    <row r="84" spans="2:5" ht="14.25" customHeight="1" x14ac:dyDescent="0.25">
      <c r="B84" s="103"/>
      <c r="D84" s="80"/>
      <c r="E84" s="80"/>
    </row>
    <row r="85" spans="2:5" ht="14.25" customHeight="1" x14ac:dyDescent="0.25">
      <c r="B85" s="103"/>
      <c r="D85" s="80"/>
      <c r="E85" s="80"/>
    </row>
    <row r="86" spans="2:5" ht="14.25" customHeight="1" x14ac:dyDescent="0.25">
      <c r="B86" s="103"/>
      <c r="D86" s="80"/>
      <c r="E86" s="80"/>
    </row>
    <row r="87" spans="2:5" ht="14.25" customHeight="1" x14ac:dyDescent="0.25">
      <c r="B87" s="103"/>
      <c r="D87" s="80"/>
      <c r="E87" s="80"/>
    </row>
    <row r="88" spans="2:5" ht="14.25" customHeight="1" x14ac:dyDescent="0.25">
      <c r="B88" s="103"/>
      <c r="D88" s="80"/>
      <c r="E88" s="80"/>
    </row>
    <row r="89" spans="2:5" ht="14.25" customHeight="1" x14ac:dyDescent="0.25">
      <c r="B89" s="103"/>
      <c r="D89" s="80"/>
      <c r="E89" s="80"/>
    </row>
    <row r="90" spans="2:5" ht="14.25" customHeight="1" x14ac:dyDescent="0.25">
      <c r="B90" s="103"/>
      <c r="D90" s="80"/>
      <c r="E90" s="80"/>
    </row>
    <row r="91" spans="2:5" ht="14.25" customHeight="1" x14ac:dyDescent="0.25">
      <c r="B91" s="103"/>
      <c r="D91" s="80"/>
      <c r="E91" s="80"/>
    </row>
    <row r="92" spans="2:5" ht="14.25" customHeight="1" x14ac:dyDescent="0.25">
      <c r="B92" s="103"/>
      <c r="D92" s="80"/>
      <c r="E92" s="80"/>
    </row>
    <row r="93" spans="2:5" ht="14.25" customHeight="1" x14ac:dyDescent="0.25">
      <c r="B93" s="103"/>
      <c r="D93" s="80"/>
      <c r="E93" s="80"/>
    </row>
    <row r="94" spans="2:5" ht="14.25" customHeight="1" x14ac:dyDescent="0.25">
      <c r="B94" s="103"/>
      <c r="D94" s="80"/>
      <c r="E94" s="80"/>
    </row>
    <row r="95" spans="2:5" ht="14.25" customHeight="1" x14ac:dyDescent="0.25">
      <c r="B95" s="103"/>
      <c r="D95" s="80"/>
      <c r="E95" s="80"/>
    </row>
    <row r="96" spans="2:5" ht="14.25" customHeight="1" x14ac:dyDescent="0.25">
      <c r="B96" s="103"/>
      <c r="D96" s="80"/>
      <c r="E96" s="80"/>
    </row>
    <row r="97" spans="2:5" ht="14.25" customHeight="1" x14ac:dyDescent="0.25">
      <c r="B97" s="103"/>
      <c r="D97" s="80"/>
      <c r="E97" s="80"/>
    </row>
    <row r="98" spans="2:5" ht="14.25" customHeight="1" x14ac:dyDescent="0.25">
      <c r="B98" s="103"/>
      <c r="D98" s="80"/>
      <c r="E98" s="80"/>
    </row>
    <row r="99" spans="2:5" ht="14.25" customHeight="1" x14ac:dyDescent="0.25">
      <c r="B99" s="103"/>
      <c r="D99" s="80"/>
      <c r="E99" s="80"/>
    </row>
    <row r="100" spans="2:5" ht="14.25" customHeight="1" x14ac:dyDescent="0.25">
      <c r="B100" s="103"/>
      <c r="D100" s="80"/>
      <c r="E100" s="80"/>
    </row>
    <row r="101" spans="2:5" ht="14.25" customHeight="1" x14ac:dyDescent="0.25">
      <c r="B101" s="103"/>
      <c r="D101" s="80"/>
      <c r="E101" s="80"/>
    </row>
    <row r="102" spans="2:5" ht="14.25" customHeight="1" x14ac:dyDescent="0.25">
      <c r="B102" s="103"/>
      <c r="D102" s="80"/>
      <c r="E102" s="80"/>
    </row>
    <row r="103" spans="2:5" ht="14.25" customHeight="1" x14ac:dyDescent="0.25">
      <c r="B103" s="103"/>
      <c r="D103" s="80"/>
      <c r="E103" s="80"/>
    </row>
    <row r="104" spans="2:5" ht="14.25" customHeight="1" x14ac:dyDescent="0.25">
      <c r="B104" s="103"/>
      <c r="D104" s="80"/>
      <c r="E104" s="80"/>
    </row>
    <row r="105" spans="2:5" ht="14.25" customHeight="1" x14ac:dyDescent="0.25">
      <c r="B105" s="103"/>
      <c r="D105" s="80"/>
      <c r="E105" s="80"/>
    </row>
    <row r="106" spans="2:5" ht="14.25" customHeight="1" x14ac:dyDescent="0.25">
      <c r="B106" s="103"/>
      <c r="D106" s="80"/>
      <c r="E106" s="80"/>
    </row>
    <row r="107" spans="2:5" ht="14.25" customHeight="1" x14ac:dyDescent="0.25">
      <c r="B107" s="103"/>
      <c r="D107" s="80"/>
      <c r="E107" s="80"/>
    </row>
    <row r="108" spans="2:5" ht="14.25" customHeight="1" x14ac:dyDescent="0.25">
      <c r="B108" s="103"/>
      <c r="D108" s="80"/>
      <c r="E108" s="80"/>
    </row>
    <row r="109" spans="2:5" ht="14.25" customHeight="1" x14ac:dyDescent="0.25">
      <c r="B109" s="103"/>
      <c r="D109" s="80"/>
      <c r="E109" s="80"/>
    </row>
    <row r="110" spans="2:5" ht="14.25" customHeight="1" x14ac:dyDescent="0.25">
      <c r="B110" s="103"/>
      <c r="D110" s="80"/>
      <c r="E110" s="80"/>
    </row>
    <row r="111" spans="2:5" ht="14.25" customHeight="1" x14ac:dyDescent="0.25">
      <c r="B111" s="103"/>
      <c r="D111" s="80"/>
      <c r="E111" s="80"/>
    </row>
    <row r="112" spans="2:5" ht="14.25" customHeight="1" x14ac:dyDescent="0.25">
      <c r="B112" s="103"/>
      <c r="D112" s="80"/>
      <c r="E112" s="80"/>
    </row>
    <row r="113" spans="2:5" ht="14.25" customHeight="1" x14ac:dyDescent="0.25">
      <c r="B113" s="103"/>
      <c r="D113" s="80"/>
      <c r="E113" s="80"/>
    </row>
    <row r="114" spans="2:5" ht="14.25" customHeight="1" x14ac:dyDescent="0.25">
      <c r="B114" s="103"/>
      <c r="D114" s="80"/>
      <c r="E114" s="80"/>
    </row>
    <row r="115" spans="2:5" ht="14.25" customHeight="1" x14ac:dyDescent="0.25">
      <c r="B115" s="103"/>
      <c r="D115" s="80"/>
      <c r="E115" s="80"/>
    </row>
    <row r="116" spans="2:5" ht="14.25" customHeight="1" x14ac:dyDescent="0.25">
      <c r="B116" s="103"/>
      <c r="D116" s="80"/>
      <c r="E116" s="80"/>
    </row>
    <row r="117" spans="2:5" ht="14.25" customHeight="1" x14ac:dyDescent="0.25">
      <c r="B117" s="103"/>
      <c r="D117" s="80"/>
      <c r="E117" s="80"/>
    </row>
    <row r="118" spans="2:5" ht="14.25" customHeight="1" x14ac:dyDescent="0.25">
      <c r="B118" s="103"/>
      <c r="D118" s="80"/>
      <c r="E118" s="80"/>
    </row>
    <row r="119" spans="2:5" ht="14.25" customHeight="1" x14ac:dyDescent="0.25">
      <c r="B119" s="103"/>
      <c r="D119" s="80"/>
      <c r="E119" s="80"/>
    </row>
    <row r="120" spans="2:5" ht="14.25" customHeight="1" x14ac:dyDescent="0.25">
      <c r="B120" s="103"/>
      <c r="D120" s="80"/>
      <c r="E120" s="80"/>
    </row>
    <row r="121" spans="2:5" ht="14.25" customHeight="1" x14ac:dyDescent="0.25">
      <c r="B121" s="103"/>
      <c r="D121" s="80"/>
      <c r="E121" s="80"/>
    </row>
    <row r="122" spans="2:5" ht="14.25" customHeight="1" x14ac:dyDescent="0.25">
      <c r="B122" s="103"/>
      <c r="D122" s="80"/>
      <c r="E122" s="80"/>
    </row>
    <row r="123" spans="2:5" ht="14.25" customHeight="1" x14ac:dyDescent="0.25">
      <c r="B123" s="103"/>
      <c r="D123" s="80"/>
      <c r="E123" s="80"/>
    </row>
    <row r="124" spans="2:5" ht="14.25" customHeight="1" x14ac:dyDescent="0.25">
      <c r="B124" s="103"/>
      <c r="D124" s="80"/>
      <c r="E124" s="80"/>
    </row>
    <row r="125" spans="2:5" ht="14.25" customHeight="1" x14ac:dyDescent="0.25">
      <c r="B125" s="103"/>
      <c r="D125" s="80"/>
      <c r="E125" s="80"/>
    </row>
    <row r="126" spans="2:5" ht="14.25" customHeight="1" x14ac:dyDescent="0.25">
      <c r="B126" s="103"/>
      <c r="D126" s="80"/>
      <c r="E126" s="80"/>
    </row>
    <row r="127" spans="2:5" ht="14.25" customHeight="1" x14ac:dyDescent="0.25">
      <c r="B127" s="103"/>
      <c r="D127" s="80"/>
      <c r="E127" s="80"/>
    </row>
    <row r="128" spans="2:5" ht="14.25" customHeight="1" x14ac:dyDescent="0.25">
      <c r="B128" s="103"/>
      <c r="D128" s="80"/>
      <c r="E128" s="80"/>
    </row>
    <row r="129" spans="2:5" ht="14.25" customHeight="1" x14ac:dyDescent="0.25">
      <c r="B129" s="103"/>
      <c r="D129" s="80"/>
      <c r="E129" s="80"/>
    </row>
    <row r="130" spans="2:5" ht="14.25" customHeight="1" x14ac:dyDescent="0.25">
      <c r="B130" s="103"/>
      <c r="D130" s="80"/>
      <c r="E130" s="80"/>
    </row>
    <row r="131" spans="2:5" ht="14.25" customHeight="1" x14ac:dyDescent="0.25">
      <c r="B131" s="103"/>
      <c r="D131" s="80"/>
      <c r="E131" s="80"/>
    </row>
    <row r="132" spans="2:5" ht="14.25" customHeight="1" x14ac:dyDescent="0.25">
      <c r="B132" s="103"/>
      <c r="D132" s="80"/>
      <c r="E132" s="80"/>
    </row>
    <row r="133" spans="2:5" ht="14.25" customHeight="1" x14ac:dyDescent="0.25">
      <c r="B133" s="103"/>
      <c r="D133" s="80"/>
      <c r="E133" s="80"/>
    </row>
    <row r="134" spans="2:5" ht="14.25" customHeight="1" x14ac:dyDescent="0.25">
      <c r="B134" s="103"/>
      <c r="D134" s="80"/>
      <c r="E134" s="80"/>
    </row>
    <row r="135" spans="2:5" ht="14.25" customHeight="1" x14ac:dyDescent="0.25">
      <c r="B135" s="103"/>
      <c r="D135" s="80"/>
      <c r="E135" s="80"/>
    </row>
    <row r="136" spans="2:5" ht="14.25" customHeight="1" x14ac:dyDescent="0.25">
      <c r="B136" s="103"/>
      <c r="D136" s="80"/>
      <c r="E136" s="80"/>
    </row>
    <row r="137" spans="2:5" ht="14.25" customHeight="1" x14ac:dyDescent="0.25">
      <c r="B137" s="103"/>
      <c r="D137" s="80"/>
      <c r="E137" s="80"/>
    </row>
    <row r="138" spans="2:5" ht="14.25" customHeight="1" x14ac:dyDescent="0.25">
      <c r="B138" s="103"/>
      <c r="D138" s="80"/>
      <c r="E138" s="80"/>
    </row>
    <row r="139" spans="2:5" ht="14.25" customHeight="1" x14ac:dyDescent="0.25">
      <c r="B139" s="103"/>
      <c r="D139" s="80"/>
      <c r="E139" s="80"/>
    </row>
    <row r="140" spans="2:5" ht="14.25" customHeight="1" x14ac:dyDescent="0.25">
      <c r="B140" s="103"/>
      <c r="D140" s="80"/>
      <c r="E140" s="80"/>
    </row>
    <row r="141" spans="2:5" ht="14.25" customHeight="1" x14ac:dyDescent="0.25">
      <c r="B141" s="103"/>
      <c r="D141" s="80"/>
      <c r="E141" s="80"/>
    </row>
    <row r="142" spans="2:5" ht="14.25" customHeight="1" x14ac:dyDescent="0.25">
      <c r="B142" s="103"/>
      <c r="D142" s="80"/>
      <c r="E142" s="80"/>
    </row>
    <row r="143" spans="2:5" ht="14.25" customHeight="1" x14ac:dyDescent="0.25">
      <c r="B143" s="103"/>
      <c r="D143" s="80"/>
      <c r="E143" s="80"/>
    </row>
    <row r="144" spans="2:5" ht="14.25" customHeight="1" x14ac:dyDescent="0.25">
      <c r="B144" s="103"/>
      <c r="D144" s="80"/>
      <c r="E144" s="80"/>
    </row>
    <row r="145" spans="2:5" ht="14.25" customHeight="1" x14ac:dyDescent="0.25">
      <c r="B145" s="103"/>
      <c r="D145" s="80"/>
      <c r="E145" s="80"/>
    </row>
    <row r="146" spans="2:5" ht="14.25" customHeight="1" x14ac:dyDescent="0.25">
      <c r="B146" s="103"/>
      <c r="D146" s="80"/>
      <c r="E146" s="80"/>
    </row>
    <row r="147" spans="2:5" ht="14.25" customHeight="1" x14ac:dyDescent="0.25">
      <c r="B147" s="103"/>
      <c r="D147" s="80"/>
      <c r="E147" s="80"/>
    </row>
    <row r="148" spans="2:5" ht="14.25" customHeight="1" x14ac:dyDescent="0.25">
      <c r="B148" s="103"/>
      <c r="D148" s="80"/>
      <c r="E148" s="80"/>
    </row>
    <row r="149" spans="2:5" ht="14.25" customHeight="1" x14ac:dyDescent="0.25">
      <c r="B149" s="103"/>
      <c r="D149" s="80"/>
      <c r="E149" s="80"/>
    </row>
    <row r="150" spans="2:5" ht="14.25" customHeight="1" x14ac:dyDescent="0.25">
      <c r="B150" s="103"/>
      <c r="D150" s="80"/>
      <c r="E150" s="80"/>
    </row>
    <row r="151" spans="2:5" ht="14.25" customHeight="1" x14ac:dyDescent="0.25">
      <c r="B151" s="103"/>
      <c r="D151" s="80"/>
      <c r="E151" s="80"/>
    </row>
    <row r="152" spans="2:5" ht="14.25" customHeight="1" x14ac:dyDescent="0.25">
      <c r="B152" s="103"/>
      <c r="D152" s="80"/>
      <c r="E152" s="80"/>
    </row>
    <row r="153" spans="2:5" ht="14.25" customHeight="1" x14ac:dyDescent="0.25">
      <c r="B153" s="103"/>
      <c r="D153" s="80"/>
      <c r="E153" s="80"/>
    </row>
    <row r="154" spans="2:5" ht="14.25" customHeight="1" x14ac:dyDescent="0.25">
      <c r="B154" s="103"/>
      <c r="D154" s="80"/>
      <c r="E154" s="80"/>
    </row>
    <row r="155" spans="2:5" ht="14.25" customHeight="1" x14ac:dyDescent="0.25">
      <c r="B155" s="103"/>
      <c r="D155" s="80"/>
      <c r="E155" s="80"/>
    </row>
    <row r="156" spans="2:5" ht="14.25" customHeight="1" x14ac:dyDescent="0.25">
      <c r="B156" s="103"/>
      <c r="D156" s="80"/>
      <c r="E156" s="80"/>
    </row>
    <row r="157" spans="2:5" ht="14.25" customHeight="1" x14ac:dyDescent="0.25">
      <c r="B157" s="103"/>
      <c r="D157" s="80"/>
      <c r="E157" s="80"/>
    </row>
    <row r="158" spans="2:5" ht="14.25" customHeight="1" x14ac:dyDescent="0.25">
      <c r="B158" s="103"/>
      <c r="D158" s="80"/>
      <c r="E158" s="80"/>
    </row>
    <row r="159" spans="2:5" ht="14.25" customHeight="1" x14ac:dyDescent="0.25">
      <c r="B159" s="103"/>
      <c r="D159" s="80"/>
      <c r="E159" s="80"/>
    </row>
    <row r="160" spans="2:5" ht="14.25" customHeight="1" x14ac:dyDescent="0.25">
      <c r="B160" s="103"/>
      <c r="D160" s="80"/>
      <c r="E160" s="80"/>
    </row>
    <row r="161" spans="2:5" ht="14.25" customHeight="1" x14ac:dyDescent="0.25">
      <c r="B161" s="103"/>
      <c r="D161" s="80"/>
      <c r="E161" s="80"/>
    </row>
    <row r="162" spans="2:5" ht="14.25" customHeight="1" x14ac:dyDescent="0.25">
      <c r="B162" s="103"/>
      <c r="D162" s="80"/>
      <c r="E162" s="80"/>
    </row>
    <row r="163" spans="2:5" ht="14.25" customHeight="1" x14ac:dyDescent="0.25">
      <c r="B163" s="103"/>
      <c r="D163" s="80"/>
      <c r="E163" s="80"/>
    </row>
    <row r="164" spans="2:5" ht="14.25" customHeight="1" x14ac:dyDescent="0.25">
      <c r="B164" s="103"/>
      <c r="D164" s="80"/>
      <c r="E164" s="80"/>
    </row>
    <row r="165" spans="2:5" ht="14.25" customHeight="1" x14ac:dyDescent="0.25">
      <c r="B165" s="103"/>
      <c r="D165" s="80"/>
      <c r="E165" s="80"/>
    </row>
    <row r="166" spans="2:5" ht="14.25" customHeight="1" x14ac:dyDescent="0.25">
      <c r="B166" s="103"/>
      <c r="D166" s="80"/>
      <c r="E166" s="80"/>
    </row>
    <row r="167" spans="2:5" ht="14.25" customHeight="1" x14ac:dyDescent="0.25">
      <c r="B167" s="103"/>
      <c r="D167" s="80"/>
      <c r="E167" s="80"/>
    </row>
    <row r="168" spans="2:5" ht="14.25" customHeight="1" x14ac:dyDescent="0.25">
      <c r="B168" s="103"/>
      <c r="D168" s="80"/>
      <c r="E168" s="80"/>
    </row>
    <row r="169" spans="2:5" ht="14.25" customHeight="1" x14ac:dyDescent="0.25">
      <c r="B169" s="103"/>
      <c r="D169" s="80"/>
      <c r="E169" s="80"/>
    </row>
    <row r="170" spans="2:5" ht="14.25" customHeight="1" x14ac:dyDescent="0.25">
      <c r="B170" s="103"/>
      <c r="D170" s="80"/>
      <c r="E170" s="80"/>
    </row>
    <row r="171" spans="2:5" ht="14.25" customHeight="1" x14ac:dyDescent="0.25">
      <c r="B171" s="103"/>
      <c r="D171" s="80"/>
      <c r="E171" s="80"/>
    </row>
    <row r="172" spans="2:5" ht="14.25" customHeight="1" x14ac:dyDescent="0.25">
      <c r="B172" s="103"/>
      <c r="D172" s="80"/>
      <c r="E172" s="80"/>
    </row>
    <row r="173" spans="2:5" ht="14.25" customHeight="1" x14ac:dyDescent="0.25">
      <c r="B173" s="103"/>
      <c r="D173" s="80"/>
      <c r="E173" s="80"/>
    </row>
    <row r="174" spans="2:5" ht="14.25" customHeight="1" x14ac:dyDescent="0.25">
      <c r="B174" s="103"/>
      <c r="D174" s="80"/>
      <c r="E174" s="80"/>
    </row>
    <row r="175" spans="2:5" ht="14.25" customHeight="1" x14ac:dyDescent="0.25">
      <c r="B175" s="103"/>
      <c r="D175" s="80"/>
      <c r="E175" s="80"/>
    </row>
    <row r="176" spans="2:5" ht="14.25" customHeight="1" x14ac:dyDescent="0.25">
      <c r="B176" s="103"/>
      <c r="D176" s="80"/>
      <c r="E176" s="80"/>
    </row>
    <row r="177" spans="2:5" ht="14.25" customHeight="1" x14ac:dyDescent="0.25">
      <c r="B177" s="103"/>
      <c r="D177" s="80"/>
      <c r="E177" s="80"/>
    </row>
    <row r="178" spans="2:5" ht="14.25" customHeight="1" x14ac:dyDescent="0.25">
      <c r="B178" s="103"/>
      <c r="D178" s="80"/>
      <c r="E178" s="80"/>
    </row>
    <row r="179" spans="2:5" ht="14.25" customHeight="1" x14ac:dyDescent="0.25">
      <c r="B179" s="103"/>
      <c r="D179" s="80"/>
      <c r="E179" s="80"/>
    </row>
    <row r="180" spans="2:5" ht="14.25" customHeight="1" x14ac:dyDescent="0.25">
      <c r="B180" s="103"/>
      <c r="D180" s="80"/>
      <c r="E180" s="80"/>
    </row>
    <row r="181" spans="2:5" ht="14.25" customHeight="1" x14ac:dyDescent="0.25">
      <c r="B181" s="103"/>
      <c r="D181" s="80"/>
      <c r="E181" s="80"/>
    </row>
    <row r="182" spans="2:5" ht="14.25" customHeight="1" x14ac:dyDescent="0.25">
      <c r="B182" s="103"/>
      <c r="D182" s="80"/>
      <c r="E182" s="80"/>
    </row>
    <row r="183" spans="2:5" ht="14.25" customHeight="1" x14ac:dyDescent="0.25">
      <c r="B183" s="103"/>
      <c r="D183" s="80"/>
      <c r="E183" s="80"/>
    </row>
    <row r="184" spans="2:5" ht="14.25" customHeight="1" x14ac:dyDescent="0.25">
      <c r="B184" s="103"/>
      <c r="D184" s="80"/>
      <c r="E184" s="80"/>
    </row>
    <row r="185" spans="2:5" ht="14.25" customHeight="1" x14ac:dyDescent="0.25">
      <c r="B185" s="103"/>
      <c r="D185" s="80"/>
      <c r="E185" s="80"/>
    </row>
    <row r="186" spans="2:5" ht="14.25" customHeight="1" x14ac:dyDescent="0.25">
      <c r="B186" s="103"/>
      <c r="D186" s="80"/>
      <c r="E186" s="80"/>
    </row>
    <row r="187" spans="2:5" ht="14.25" customHeight="1" x14ac:dyDescent="0.25">
      <c r="B187" s="103"/>
      <c r="D187" s="80"/>
      <c r="E187" s="80"/>
    </row>
    <row r="188" spans="2:5" ht="14.25" customHeight="1" x14ac:dyDescent="0.25">
      <c r="B188" s="103"/>
      <c r="D188" s="80"/>
      <c r="E188" s="80"/>
    </row>
    <row r="189" spans="2:5" ht="14.25" customHeight="1" x14ac:dyDescent="0.25">
      <c r="B189" s="103"/>
      <c r="D189" s="80"/>
      <c r="E189" s="80"/>
    </row>
    <row r="190" spans="2:5" ht="14.25" customHeight="1" x14ac:dyDescent="0.25">
      <c r="B190" s="103"/>
      <c r="D190" s="80"/>
      <c r="E190" s="80"/>
    </row>
    <row r="191" spans="2:5" ht="14.25" customHeight="1" x14ac:dyDescent="0.25">
      <c r="B191" s="103"/>
      <c r="D191" s="80"/>
      <c r="E191" s="80"/>
    </row>
    <row r="192" spans="2:5" ht="14.25" customHeight="1" x14ac:dyDescent="0.25">
      <c r="B192" s="103"/>
      <c r="D192" s="80"/>
      <c r="E192" s="80"/>
    </row>
    <row r="193" spans="2:5" ht="14.25" customHeight="1" x14ac:dyDescent="0.25">
      <c r="B193" s="103"/>
      <c r="D193" s="80"/>
      <c r="E193" s="80"/>
    </row>
    <row r="194" spans="2:5" ht="14.25" customHeight="1" x14ac:dyDescent="0.25">
      <c r="B194" s="103"/>
      <c r="D194" s="80"/>
      <c r="E194" s="80"/>
    </row>
    <row r="195" spans="2:5" ht="14.25" customHeight="1" x14ac:dyDescent="0.25">
      <c r="B195" s="103"/>
      <c r="D195" s="80"/>
      <c r="E195" s="80"/>
    </row>
    <row r="196" spans="2:5" ht="14.25" customHeight="1" x14ac:dyDescent="0.25">
      <c r="B196" s="103"/>
      <c r="D196" s="80"/>
      <c r="E196" s="80"/>
    </row>
    <row r="197" spans="2:5" ht="14.25" customHeight="1" x14ac:dyDescent="0.25">
      <c r="B197" s="103"/>
      <c r="D197" s="80"/>
      <c r="E197" s="80"/>
    </row>
    <row r="198" spans="2:5" ht="14.25" customHeight="1" x14ac:dyDescent="0.25">
      <c r="B198" s="103"/>
      <c r="D198" s="80"/>
      <c r="E198" s="80"/>
    </row>
    <row r="199" spans="2:5" ht="14.25" customHeight="1" x14ac:dyDescent="0.25">
      <c r="B199" s="103"/>
      <c r="D199" s="80"/>
      <c r="E199" s="80"/>
    </row>
    <row r="200" spans="2:5" ht="14.25" customHeight="1" x14ac:dyDescent="0.25">
      <c r="B200" s="103"/>
      <c r="D200" s="80"/>
      <c r="E200" s="80"/>
    </row>
    <row r="201" spans="2:5" ht="14.25" customHeight="1" x14ac:dyDescent="0.25">
      <c r="B201" s="103"/>
      <c r="D201" s="80"/>
      <c r="E201" s="80"/>
    </row>
    <row r="202" spans="2:5" ht="14.25" customHeight="1" x14ac:dyDescent="0.25">
      <c r="B202" s="103"/>
      <c r="D202" s="80"/>
      <c r="E202" s="80"/>
    </row>
    <row r="203" spans="2:5" ht="14.25" customHeight="1" x14ac:dyDescent="0.25">
      <c r="B203" s="103"/>
      <c r="D203" s="80"/>
      <c r="E203" s="80"/>
    </row>
    <row r="204" spans="2:5" ht="14.25" customHeight="1" x14ac:dyDescent="0.25">
      <c r="B204" s="103"/>
      <c r="D204" s="80"/>
      <c r="E204" s="80"/>
    </row>
    <row r="205" spans="2:5" ht="14.25" customHeight="1" x14ac:dyDescent="0.25">
      <c r="B205" s="103"/>
      <c r="D205" s="80"/>
      <c r="E205" s="80"/>
    </row>
    <row r="206" spans="2:5" ht="14.25" customHeight="1" x14ac:dyDescent="0.25">
      <c r="B206" s="103"/>
      <c r="D206" s="80"/>
      <c r="E206" s="80"/>
    </row>
    <row r="207" spans="2:5" ht="14.25" customHeight="1" x14ac:dyDescent="0.25">
      <c r="B207" s="103"/>
      <c r="D207" s="80"/>
      <c r="E207" s="80"/>
    </row>
    <row r="208" spans="2:5" ht="14.25" customHeight="1" x14ac:dyDescent="0.25">
      <c r="B208" s="103"/>
      <c r="D208" s="80"/>
      <c r="E208" s="80"/>
    </row>
    <row r="209" spans="2:5" ht="14.25" customHeight="1" x14ac:dyDescent="0.25">
      <c r="B209" s="103"/>
      <c r="D209" s="80"/>
      <c r="E209" s="80"/>
    </row>
    <row r="210" spans="2:5" ht="14.25" customHeight="1" x14ac:dyDescent="0.25">
      <c r="B210" s="103"/>
      <c r="D210" s="80"/>
      <c r="E210" s="80"/>
    </row>
    <row r="211" spans="2:5" ht="14.25" customHeight="1" x14ac:dyDescent="0.25">
      <c r="B211" s="103"/>
      <c r="D211" s="80"/>
      <c r="E211" s="80"/>
    </row>
    <row r="212" spans="2:5" ht="14.25" customHeight="1" x14ac:dyDescent="0.25">
      <c r="B212" s="103"/>
      <c r="D212" s="80"/>
      <c r="E212" s="80"/>
    </row>
    <row r="213" spans="2:5" ht="14.25" customHeight="1" x14ac:dyDescent="0.25">
      <c r="B213" s="103"/>
      <c r="D213" s="80"/>
      <c r="E213" s="80"/>
    </row>
    <row r="214" spans="2:5" ht="14.25" customHeight="1" x14ac:dyDescent="0.25">
      <c r="B214" s="103"/>
      <c r="D214" s="80"/>
      <c r="E214" s="80"/>
    </row>
    <row r="215" spans="2:5" ht="14.25" customHeight="1" x14ac:dyDescent="0.25">
      <c r="B215" s="103"/>
      <c r="D215" s="80"/>
      <c r="E215" s="80"/>
    </row>
    <row r="216" spans="2:5" ht="14.25" customHeight="1" x14ac:dyDescent="0.25">
      <c r="B216" s="103"/>
      <c r="D216" s="80"/>
      <c r="E216" s="80"/>
    </row>
    <row r="217" spans="2:5" ht="14.25" customHeight="1" x14ac:dyDescent="0.25">
      <c r="B217" s="103"/>
      <c r="D217" s="80"/>
      <c r="E217" s="80"/>
    </row>
    <row r="218" spans="2:5" ht="14.25" customHeight="1" x14ac:dyDescent="0.25">
      <c r="B218" s="103"/>
      <c r="D218" s="80"/>
      <c r="E218" s="80"/>
    </row>
    <row r="219" spans="2:5" ht="14.25" customHeight="1" x14ac:dyDescent="0.25">
      <c r="B219" s="103"/>
      <c r="D219" s="80"/>
      <c r="E219" s="80"/>
    </row>
    <row r="220" spans="2:5" ht="14.25" customHeight="1" x14ac:dyDescent="0.25">
      <c r="B220" s="103"/>
      <c r="D220" s="80"/>
      <c r="E220" s="80"/>
    </row>
    <row r="221" spans="2:5" ht="14.25" customHeight="1" x14ac:dyDescent="0.25">
      <c r="B221" s="103"/>
      <c r="D221" s="80"/>
      <c r="E221" s="80"/>
    </row>
    <row r="222" spans="2:5" ht="14.25" customHeight="1" x14ac:dyDescent="0.25">
      <c r="B222" s="103"/>
      <c r="D222" s="80"/>
      <c r="E222" s="80"/>
    </row>
    <row r="223" spans="2:5" ht="14.25" customHeight="1" x14ac:dyDescent="0.25">
      <c r="B223" s="103"/>
      <c r="D223" s="80"/>
      <c r="E223" s="80"/>
    </row>
    <row r="224" spans="2:5" ht="14.25" customHeight="1" x14ac:dyDescent="0.25">
      <c r="B224" s="103"/>
      <c r="D224" s="80"/>
      <c r="E224" s="80"/>
    </row>
    <row r="225" spans="2:5" ht="14.25" customHeight="1" x14ac:dyDescent="0.25">
      <c r="B225" s="103"/>
      <c r="D225" s="80"/>
      <c r="E225" s="80"/>
    </row>
    <row r="226" spans="2:5" ht="14.25" customHeight="1" x14ac:dyDescent="0.25">
      <c r="B226" s="103"/>
      <c r="D226" s="80"/>
      <c r="E226" s="80"/>
    </row>
    <row r="227" spans="2:5" ht="14.25" customHeight="1" x14ac:dyDescent="0.25">
      <c r="B227" s="103"/>
      <c r="D227" s="80"/>
      <c r="E227" s="80"/>
    </row>
    <row r="228" spans="2:5" ht="14.25" customHeight="1" x14ac:dyDescent="0.25">
      <c r="B228" s="103"/>
      <c r="D228" s="80"/>
      <c r="E228" s="80"/>
    </row>
    <row r="229" spans="2:5" ht="14.25" customHeight="1" x14ac:dyDescent="0.25">
      <c r="B229" s="103"/>
      <c r="D229" s="80"/>
      <c r="E229" s="80"/>
    </row>
    <row r="230" spans="2:5" ht="14.25" customHeight="1" x14ac:dyDescent="0.25">
      <c r="B230" s="103"/>
      <c r="D230" s="80"/>
      <c r="E230" s="80"/>
    </row>
    <row r="231" spans="2:5" ht="14.25" customHeight="1" x14ac:dyDescent="0.25">
      <c r="B231" s="103"/>
      <c r="D231" s="80"/>
      <c r="E231" s="80"/>
    </row>
    <row r="232" spans="2:5" ht="14.25" customHeight="1" x14ac:dyDescent="0.25">
      <c r="B232" s="103"/>
      <c r="D232" s="80"/>
      <c r="E232" s="80"/>
    </row>
    <row r="233" spans="2:5" ht="14.25" customHeight="1" x14ac:dyDescent="0.25">
      <c r="B233" s="103"/>
      <c r="D233" s="80"/>
      <c r="E233" s="80"/>
    </row>
    <row r="234" spans="2:5" ht="14.25" customHeight="1" x14ac:dyDescent="0.25">
      <c r="B234" s="103"/>
      <c r="D234" s="80"/>
      <c r="E234" s="80"/>
    </row>
    <row r="235" spans="2:5" ht="14.25" customHeight="1" x14ac:dyDescent="0.25">
      <c r="B235" s="103"/>
      <c r="D235" s="80"/>
      <c r="E235" s="80"/>
    </row>
    <row r="236" spans="2:5" ht="14.25" customHeight="1" x14ac:dyDescent="0.25">
      <c r="B236" s="103"/>
      <c r="D236" s="80"/>
      <c r="E236" s="80"/>
    </row>
    <row r="237" spans="2:5" ht="14.25" customHeight="1" x14ac:dyDescent="0.25">
      <c r="B237" s="103"/>
      <c r="D237" s="80"/>
      <c r="E237" s="80"/>
    </row>
    <row r="238" spans="2:5" ht="14.25" customHeight="1" x14ac:dyDescent="0.25">
      <c r="B238" s="103"/>
      <c r="D238" s="80"/>
      <c r="E238" s="80"/>
    </row>
    <row r="239" spans="2:5" ht="14.25" customHeight="1" x14ac:dyDescent="0.25">
      <c r="B239" s="103"/>
      <c r="D239" s="80"/>
      <c r="E239" s="80"/>
    </row>
    <row r="240" spans="2:5" ht="14.25" customHeight="1" x14ac:dyDescent="0.25">
      <c r="B240" s="103"/>
      <c r="D240" s="80"/>
      <c r="E240" s="80"/>
    </row>
    <row r="241" spans="2:5" ht="14.25" customHeight="1" x14ac:dyDescent="0.25">
      <c r="B241" s="103"/>
      <c r="D241" s="80"/>
      <c r="E241" s="80"/>
    </row>
    <row r="242" spans="2:5" ht="14.25" customHeight="1" x14ac:dyDescent="0.25">
      <c r="B242" s="103"/>
      <c r="D242" s="80"/>
      <c r="E242" s="80"/>
    </row>
    <row r="243" spans="2:5" ht="14.25" customHeight="1" x14ac:dyDescent="0.25">
      <c r="B243" s="103"/>
      <c r="D243" s="80"/>
      <c r="E243" s="80"/>
    </row>
    <row r="244" spans="2:5" ht="14.25" customHeight="1" x14ac:dyDescent="0.25">
      <c r="B244" s="103"/>
      <c r="D244" s="80"/>
      <c r="E244" s="80"/>
    </row>
    <row r="245" spans="2:5" ht="14.25" customHeight="1" x14ac:dyDescent="0.25">
      <c r="B245" s="103"/>
      <c r="D245" s="80"/>
      <c r="E245" s="80"/>
    </row>
    <row r="246" spans="2:5" ht="14.25" customHeight="1" x14ac:dyDescent="0.25">
      <c r="B246" s="103"/>
      <c r="D246" s="80"/>
      <c r="E246" s="80"/>
    </row>
    <row r="247" spans="2:5" ht="14.25" customHeight="1" x14ac:dyDescent="0.25">
      <c r="B247" s="103"/>
      <c r="D247" s="80"/>
      <c r="E247" s="80"/>
    </row>
    <row r="248" spans="2:5" ht="14.25" customHeight="1" x14ac:dyDescent="0.25">
      <c r="B248" s="103"/>
      <c r="D248" s="80"/>
      <c r="E248" s="80"/>
    </row>
    <row r="249" spans="2:5" ht="14.25" customHeight="1" x14ac:dyDescent="0.25">
      <c r="B249" s="103"/>
      <c r="D249" s="80"/>
      <c r="E249" s="80"/>
    </row>
    <row r="250" spans="2:5" ht="14.25" customHeight="1" x14ac:dyDescent="0.25">
      <c r="B250" s="103"/>
      <c r="D250" s="80"/>
      <c r="E250" s="80"/>
    </row>
    <row r="251" spans="2:5" ht="14.25" customHeight="1" x14ac:dyDescent="0.25">
      <c r="B251" s="103"/>
      <c r="D251" s="80"/>
      <c r="E251" s="80"/>
    </row>
    <row r="252" spans="2:5" ht="14.25" customHeight="1" x14ac:dyDescent="0.25">
      <c r="B252" s="103"/>
      <c r="D252" s="80"/>
      <c r="E252" s="80"/>
    </row>
    <row r="253" spans="2:5" ht="14.25" customHeight="1" x14ac:dyDescent="0.25">
      <c r="B253" s="103"/>
      <c r="D253" s="80"/>
      <c r="E253" s="80"/>
    </row>
    <row r="254" spans="2:5" ht="14.25" customHeight="1" x14ac:dyDescent="0.25">
      <c r="B254" s="103"/>
      <c r="D254" s="80"/>
      <c r="E254" s="80"/>
    </row>
    <row r="255" spans="2:5" ht="14.25" customHeight="1" x14ac:dyDescent="0.25">
      <c r="B255" s="103"/>
      <c r="D255" s="80"/>
      <c r="E255" s="80"/>
    </row>
    <row r="256" spans="2:5" ht="14.25" customHeight="1" x14ac:dyDescent="0.25">
      <c r="B256" s="103"/>
      <c r="D256" s="80"/>
      <c r="E256" s="80"/>
    </row>
    <row r="257" spans="2:5" ht="14.25" customHeight="1" x14ac:dyDescent="0.25">
      <c r="B257" s="103"/>
      <c r="D257" s="80"/>
      <c r="E257" s="80"/>
    </row>
    <row r="258" spans="2:5" ht="14.25" customHeight="1" x14ac:dyDescent="0.25">
      <c r="B258" s="103"/>
      <c r="D258" s="80"/>
      <c r="E258" s="80"/>
    </row>
    <row r="259" spans="2:5" ht="14.25" customHeight="1" x14ac:dyDescent="0.25">
      <c r="B259" s="103"/>
      <c r="D259" s="80"/>
      <c r="E259" s="80"/>
    </row>
    <row r="260" spans="2:5" ht="14.25" customHeight="1" x14ac:dyDescent="0.25">
      <c r="B260" s="103"/>
      <c r="D260" s="80"/>
      <c r="E260" s="80"/>
    </row>
    <row r="261" spans="2:5" ht="14.25" customHeight="1" x14ac:dyDescent="0.25">
      <c r="B261" s="103"/>
      <c r="D261" s="80"/>
      <c r="E261" s="80"/>
    </row>
    <row r="262" spans="2:5" ht="14.25" customHeight="1" x14ac:dyDescent="0.25">
      <c r="B262" s="103"/>
      <c r="D262" s="80"/>
      <c r="E262" s="80"/>
    </row>
    <row r="263" spans="2:5" ht="14.25" customHeight="1" x14ac:dyDescent="0.25">
      <c r="B263" s="103"/>
      <c r="D263" s="80"/>
      <c r="E263" s="80"/>
    </row>
    <row r="264" spans="2:5" ht="14.25" customHeight="1" x14ac:dyDescent="0.25">
      <c r="B264" s="103"/>
      <c r="D264" s="80"/>
      <c r="E264" s="80"/>
    </row>
    <row r="265" spans="2:5" ht="14.25" customHeight="1" x14ac:dyDescent="0.25">
      <c r="B265" s="103"/>
      <c r="D265" s="80"/>
      <c r="E265" s="80"/>
    </row>
    <row r="266" spans="2:5" ht="14.25" customHeight="1" x14ac:dyDescent="0.25">
      <c r="B266" s="103"/>
      <c r="D266" s="80"/>
      <c r="E266" s="80"/>
    </row>
    <row r="267" spans="2:5" ht="14.25" customHeight="1" x14ac:dyDescent="0.25">
      <c r="B267" s="103"/>
      <c r="D267" s="80"/>
      <c r="E267" s="80"/>
    </row>
    <row r="268" spans="2:5" ht="14.25" customHeight="1" x14ac:dyDescent="0.25">
      <c r="B268" s="103"/>
      <c r="D268" s="80"/>
      <c r="E268" s="80"/>
    </row>
    <row r="269" spans="2:5" ht="14.25" customHeight="1" x14ac:dyDescent="0.25">
      <c r="B269" s="103"/>
      <c r="D269" s="80"/>
      <c r="E269" s="80"/>
    </row>
    <row r="270" spans="2:5" ht="14.25" customHeight="1" x14ac:dyDescent="0.25">
      <c r="B270" s="103"/>
      <c r="D270" s="80"/>
      <c r="E270" s="80"/>
    </row>
    <row r="271" spans="2:5" ht="14.25" customHeight="1" x14ac:dyDescent="0.25">
      <c r="B271" s="103"/>
      <c r="D271" s="80"/>
      <c r="E271" s="80"/>
    </row>
    <row r="272" spans="2:5" ht="14.25" customHeight="1" x14ac:dyDescent="0.25">
      <c r="B272" s="103"/>
      <c r="D272" s="80"/>
      <c r="E272" s="80"/>
    </row>
    <row r="273" spans="2:5" ht="14.25" customHeight="1" x14ac:dyDescent="0.25">
      <c r="B273" s="103"/>
      <c r="D273" s="80"/>
      <c r="E273" s="80"/>
    </row>
    <row r="274" spans="2:5" ht="14.25" customHeight="1" x14ac:dyDescent="0.25">
      <c r="B274" s="103"/>
      <c r="D274" s="80"/>
      <c r="E274" s="80"/>
    </row>
    <row r="275" spans="2:5" ht="14.25" customHeight="1" x14ac:dyDescent="0.25">
      <c r="B275" s="103"/>
      <c r="D275" s="80"/>
      <c r="E275" s="80"/>
    </row>
    <row r="276" spans="2:5" ht="14.25" customHeight="1" x14ac:dyDescent="0.25">
      <c r="B276" s="103"/>
      <c r="D276" s="80"/>
      <c r="E276" s="80"/>
    </row>
    <row r="277" spans="2:5" ht="14.25" customHeight="1" x14ac:dyDescent="0.25">
      <c r="B277" s="103"/>
      <c r="D277" s="80"/>
      <c r="E277" s="80"/>
    </row>
    <row r="278" spans="2:5" ht="14.25" customHeight="1" x14ac:dyDescent="0.25">
      <c r="B278" s="103"/>
      <c r="D278" s="80"/>
      <c r="E278" s="80"/>
    </row>
    <row r="279" spans="2:5" ht="14.25" customHeight="1" x14ac:dyDescent="0.25">
      <c r="B279" s="103"/>
      <c r="D279" s="80"/>
      <c r="E279" s="80"/>
    </row>
    <row r="280" spans="2:5" ht="14.25" customHeight="1" x14ac:dyDescent="0.25">
      <c r="B280" s="103"/>
      <c r="D280" s="80"/>
      <c r="E280" s="80"/>
    </row>
    <row r="281" spans="2:5" ht="14.25" customHeight="1" x14ac:dyDescent="0.25">
      <c r="B281" s="103"/>
      <c r="D281" s="80"/>
      <c r="E281" s="80"/>
    </row>
    <row r="282" spans="2:5" ht="14.25" customHeight="1" x14ac:dyDescent="0.25">
      <c r="B282" s="103"/>
      <c r="D282" s="80"/>
      <c r="E282" s="80"/>
    </row>
    <row r="283" spans="2:5" ht="14.25" customHeight="1" x14ac:dyDescent="0.25">
      <c r="B283" s="103"/>
      <c r="D283" s="80"/>
      <c r="E283" s="80"/>
    </row>
    <row r="284" spans="2:5" ht="14.25" customHeight="1" x14ac:dyDescent="0.25">
      <c r="B284" s="103"/>
      <c r="D284" s="80"/>
      <c r="E284" s="80"/>
    </row>
    <row r="285" spans="2:5" ht="14.25" customHeight="1" x14ac:dyDescent="0.25">
      <c r="B285" s="103"/>
      <c r="D285" s="80"/>
      <c r="E285" s="80"/>
    </row>
    <row r="286" spans="2:5" ht="14.25" customHeight="1" x14ac:dyDescent="0.25">
      <c r="B286" s="103"/>
      <c r="D286" s="80"/>
      <c r="E286" s="80"/>
    </row>
    <row r="287" spans="2:5" ht="14.25" customHeight="1" x14ac:dyDescent="0.25">
      <c r="B287" s="103"/>
      <c r="D287" s="80"/>
      <c r="E287" s="80"/>
    </row>
    <row r="288" spans="2:5" ht="14.25" customHeight="1" x14ac:dyDescent="0.25">
      <c r="B288" s="103"/>
      <c r="D288" s="80"/>
      <c r="E288" s="80"/>
    </row>
    <row r="289" spans="2:5" ht="14.25" customHeight="1" x14ac:dyDescent="0.25">
      <c r="B289" s="103"/>
      <c r="D289" s="80"/>
      <c r="E289" s="80"/>
    </row>
    <row r="290" spans="2:5" ht="14.25" customHeight="1" x14ac:dyDescent="0.25">
      <c r="B290" s="103"/>
      <c r="D290" s="80"/>
      <c r="E290" s="80"/>
    </row>
    <row r="291" spans="2:5" ht="14.25" customHeight="1" x14ac:dyDescent="0.25">
      <c r="B291" s="103"/>
      <c r="D291" s="80"/>
      <c r="E291" s="80"/>
    </row>
    <row r="292" spans="2:5" ht="14.25" customHeight="1" x14ac:dyDescent="0.25">
      <c r="B292" s="103"/>
      <c r="D292" s="80"/>
      <c r="E292" s="80"/>
    </row>
    <row r="293" spans="2:5" ht="14.25" customHeight="1" x14ac:dyDescent="0.25">
      <c r="B293" s="103"/>
      <c r="D293" s="80"/>
      <c r="E293" s="80"/>
    </row>
    <row r="294" spans="2:5" ht="14.25" customHeight="1" x14ac:dyDescent="0.25">
      <c r="B294" s="103"/>
      <c r="D294" s="80"/>
      <c r="E294" s="80"/>
    </row>
    <row r="295" spans="2:5" ht="14.25" customHeight="1" x14ac:dyDescent="0.25">
      <c r="B295" s="103"/>
      <c r="D295" s="80"/>
      <c r="E295" s="80"/>
    </row>
    <row r="296" spans="2:5" ht="14.25" customHeight="1" x14ac:dyDescent="0.25">
      <c r="B296" s="103"/>
      <c r="D296" s="80"/>
      <c r="E296" s="80"/>
    </row>
    <row r="297" spans="2:5" ht="14.25" customHeight="1" x14ac:dyDescent="0.25">
      <c r="B297" s="103"/>
      <c r="D297" s="80"/>
      <c r="E297" s="80"/>
    </row>
    <row r="298" spans="2:5" ht="14.25" customHeight="1" x14ac:dyDescent="0.25">
      <c r="B298" s="103"/>
      <c r="D298" s="80"/>
      <c r="E298" s="80"/>
    </row>
    <row r="299" spans="2:5" ht="14.25" customHeight="1" x14ac:dyDescent="0.25">
      <c r="B299" s="103"/>
      <c r="D299" s="80"/>
      <c r="E299" s="80"/>
    </row>
    <row r="300" spans="2:5" ht="14.25" customHeight="1" x14ac:dyDescent="0.25">
      <c r="B300" s="103"/>
      <c r="D300" s="80"/>
      <c r="E300" s="80"/>
    </row>
    <row r="301" spans="2:5" ht="14.25" customHeight="1" x14ac:dyDescent="0.25">
      <c r="B301" s="103"/>
      <c r="D301" s="80"/>
      <c r="E301" s="80"/>
    </row>
    <row r="302" spans="2:5" ht="14.25" customHeight="1" x14ac:dyDescent="0.25">
      <c r="B302" s="103"/>
      <c r="D302" s="80"/>
      <c r="E302" s="80"/>
    </row>
    <row r="303" spans="2:5" ht="14.25" customHeight="1" x14ac:dyDescent="0.25">
      <c r="B303" s="103"/>
      <c r="D303" s="80"/>
      <c r="E303" s="80"/>
    </row>
    <row r="304" spans="2:5" ht="14.25" customHeight="1" x14ac:dyDescent="0.25">
      <c r="B304" s="103"/>
      <c r="D304" s="80"/>
      <c r="E304" s="80"/>
    </row>
    <row r="305" spans="2:5" ht="14.25" customHeight="1" x14ac:dyDescent="0.25">
      <c r="B305" s="103"/>
      <c r="D305" s="80"/>
      <c r="E305" s="80"/>
    </row>
    <row r="306" spans="2:5" ht="14.25" customHeight="1" x14ac:dyDescent="0.25">
      <c r="B306" s="103"/>
      <c r="D306" s="80"/>
      <c r="E306" s="80"/>
    </row>
    <row r="307" spans="2:5" ht="14.25" customHeight="1" x14ac:dyDescent="0.25">
      <c r="B307" s="103"/>
      <c r="D307" s="80"/>
      <c r="E307" s="80"/>
    </row>
    <row r="308" spans="2:5" ht="14.25" customHeight="1" x14ac:dyDescent="0.25">
      <c r="B308" s="103"/>
      <c r="D308" s="80"/>
      <c r="E308" s="80"/>
    </row>
    <row r="309" spans="2:5" ht="14.25" customHeight="1" x14ac:dyDescent="0.25">
      <c r="B309" s="103"/>
      <c r="D309" s="80"/>
      <c r="E309" s="80"/>
    </row>
    <row r="310" spans="2:5" ht="14.25" customHeight="1" x14ac:dyDescent="0.25">
      <c r="B310" s="103"/>
      <c r="D310" s="80"/>
      <c r="E310" s="80"/>
    </row>
    <row r="311" spans="2:5" ht="14.25" customHeight="1" x14ac:dyDescent="0.25">
      <c r="B311" s="103"/>
      <c r="D311" s="80"/>
      <c r="E311" s="80"/>
    </row>
    <row r="312" spans="2:5" ht="14.25" customHeight="1" x14ac:dyDescent="0.25">
      <c r="B312" s="103"/>
      <c r="D312" s="80"/>
      <c r="E312" s="80"/>
    </row>
    <row r="313" spans="2:5" ht="14.25" customHeight="1" x14ac:dyDescent="0.25">
      <c r="B313" s="103"/>
      <c r="D313" s="80"/>
      <c r="E313" s="80"/>
    </row>
    <row r="314" spans="2:5" ht="14.25" customHeight="1" x14ac:dyDescent="0.25">
      <c r="B314" s="103"/>
      <c r="D314" s="80"/>
      <c r="E314" s="80"/>
    </row>
    <row r="315" spans="2:5" ht="14.25" customHeight="1" x14ac:dyDescent="0.25">
      <c r="B315" s="103"/>
      <c r="D315" s="80"/>
      <c r="E315" s="80"/>
    </row>
    <row r="316" spans="2:5" ht="14.25" customHeight="1" x14ac:dyDescent="0.25">
      <c r="B316" s="103"/>
      <c r="D316" s="80"/>
      <c r="E316" s="80"/>
    </row>
    <row r="317" spans="2:5" ht="14.25" customHeight="1" x14ac:dyDescent="0.25">
      <c r="B317" s="103"/>
      <c r="D317" s="80"/>
      <c r="E317" s="80"/>
    </row>
    <row r="318" spans="2:5" ht="14.25" customHeight="1" x14ac:dyDescent="0.25">
      <c r="B318" s="103"/>
      <c r="D318" s="80"/>
      <c r="E318" s="80"/>
    </row>
    <row r="319" spans="2:5" ht="14.25" customHeight="1" x14ac:dyDescent="0.25">
      <c r="B319" s="103"/>
      <c r="D319" s="80"/>
      <c r="E319" s="80"/>
    </row>
    <row r="320" spans="2:5" ht="14.25" customHeight="1" x14ac:dyDescent="0.25">
      <c r="B320" s="103"/>
      <c r="D320" s="80"/>
      <c r="E320" s="80"/>
    </row>
    <row r="321" spans="2:5" ht="14.25" customHeight="1" x14ac:dyDescent="0.25">
      <c r="B321" s="103"/>
      <c r="D321" s="80"/>
      <c r="E321" s="80"/>
    </row>
    <row r="322" spans="2:5" ht="14.25" customHeight="1" x14ac:dyDescent="0.25">
      <c r="B322" s="103"/>
      <c r="D322" s="80"/>
      <c r="E322" s="80"/>
    </row>
    <row r="323" spans="2:5" ht="14.25" customHeight="1" x14ac:dyDescent="0.25">
      <c r="B323" s="103"/>
      <c r="D323" s="80"/>
      <c r="E323" s="80"/>
    </row>
    <row r="324" spans="2:5" ht="14.25" customHeight="1" x14ac:dyDescent="0.25">
      <c r="B324" s="103"/>
      <c r="D324" s="80"/>
      <c r="E324" s="80"/>
    </row>
    <row r="325" spans="2:5" ht="14.25" customHeight="1" x14ac:dyDescent="0.25">
      <c r="B325" s="103"/>
      <c r="D325" s="80"/>
      <c r="E325" s="80"/>
    </row>
    <row r="326" spans="2:5" ht="14.25" customHeight="1" x14ac:dyDescent="0.25">
      <c r="B326" s="103"/>
      <c r="D326" s="80"/>
      <c r="E326" s="80"/>
    </row>
    <row r="327" spans="2:5" ht="14.25" customHeight="1" x14ac:dyDescent="0.25">
      <c r="B327" s="103"/>
      <c r="D327" s="80"/>
      <c r="E327" s="80"/>
    </row>
    <row r="328" spans="2:5" ht="14.25" customHeight="1" x14ac:dyDescent="0.25">
      <c r="B328" s="103"/>
      <c r="D328" s="80"/>
      <c r="E328" s="80"/>
    </row>
    <row r="329" spans="2:5" ht="14.25" customHeight="1" x14ac:dyDescent="0.25">
      <c r="B329" s="103"/>
      <c r="D329" s="80"/>
      <c r="E329" s="80"/>
    </row>
    <row r="330" spans="2:5" ht="14.25" customHeight="1" x14ac:dyDescent="0.25">
      <c r="B330" s="103"/>
      <c r="D330" s="80"/>
      <c r="E330" s="80"/>
    </row>
    <row r="331" spans="2:5" ht="14.25" customHeight="1" x14ac:dyDescent="0.25">
      <c r="B331" s="103"/>
      <c r="D331" s="80"/>
      <c r="E331" s="80"/>
    </row>
    <row r="332" spans="2:5" ht="14.25" customHeight="1" x14ac:dyDescent="0.25">
      <c r="B332" s="103"/>
      <c r="D332" s="80"/>
      <c r="E332" s="80"/>
    </row>
    <row r="333" spans="2:5" ht="14.25" customHeight="1" x14ac:dyDescent="0.25">
      <c r="B333" s="103"/>
      <c r="D333" s="80"/>
      <c r="E333" s="80"/>
    </row>
    <row r="334" spans="2:5" ht="14.25" customHeight="1" x14ac:dyDescent="0.25">
      <c r="B334" s="103"/>
      <c r="D334" s="80"/>
      <c r="E334" s="80"/>
    </row>
    <row r="335" spans="2:5" ht="14.25" customHeight="1" x14ac:dyDescent="0.25">
      <c r="B335" s="103"/>
      <c r="D335" s="80"/>
      <c r="E335" s="80"/>
    </row>
    <row r="336" spans="2:5" ht="14.25" customHeight="1" x14ac:dyDescent="0.25">
      <c r="B336" s="103"/>
      <c r="D336" s="80"/>
      <c r="E336" s="80"/>
    </row>
    <row r="337" spans="2:5" ht="14.25" customHeight="1" x14ac:dyDescent="0.25">
      <c r="B337" s="103"/>
      <c r="D337" s="80"/>
      <c r="E337" s="80"/>
    </row>
    <row r="338" spans="2:5" ht="14.25" customHeight="1" x14ac:dyDescent="0.25">
      <c r="B338" s="103"/>
      <c r="D338" s="80"/>
      <c r="E338" s="80"/>
    </row>
    <row r="339" spans="2:5" ht="14.25" customHeight="1" x14ac:dyDescent="0.25">
      <c r="B339" s="103"/>
      <c r="D339" s="80"/>
      <c r="E339" s="80"/>
    </row>
    <row r="340" spans="2:5" ht="14.25" customHeight="1" x14ac:dyDescent="0.25">
      <c r="B340" s="103"/>
      <c r="D340" s="80"/>
      <c r="E340" s="80"/>
    </row>
    <row r="341" spans="2:5" ht="14.25" customHeight="1" x14ac:dyDescent="0.25">
      <c r="B341" s="103"/>
      <c r="D341" s="80"/>
      <c r="E341" s="80"/>
    </row>
    <row r="342" spans="2:5" ht="14.25" customHeight="1" x14ac:dyDescent="0.25">
      <c r="B342" s="103"/>
      <c r="D342" s="80"/>
      <c r="E342" s="80"/>
    </row>
    <row r="343" spans="2:5" ht="14.25" customHeight="1" x14ac:dyDescent="0.25">
      <c r="B343" s="103"/>
      <c r="D343" s="80"/>
      <c r="E343" s="80"/>
    </row>
    <row r="344" spans="2:5" ht="14.25" customHeight="1" x14ac:dyDescent="0.25">
      <c r="B344" s="103"/>
      <c r="D344" s="80"/>
      <c r="E344" s="80"/>
    </row>
    <row r="345" spans="2:5" ht="14.25" customHeight="1" x14ac:dyDescent="0.25">
      <c r="B345" s="103"/>
      <c r="D345" s="80"/>
      <c r="E345" s="80"/>
    </row>
    <row r="346" spans="2:5" ht="14.25" customHeight="1" x14ac:dyDescent="0.25">
      <c r="B346" s="103"/>
      <c r="D346" s="80"/>
      <c r="E346" s="80"/>
    </row>
    <row r="347" spans="2:5" ht="14.25" customHeight="1" x14ac:dyDescent="0.25">
      <c r="B347" s="103"/>
      <c r="D347" s="80"/>
      <c r="E347" s="80"/>
    </row>
    <row r="348" spans="2:5" ht="14.25" customHeight="1" x14ac:dyDescent="0.25">
      <c r="B348" s="103"/>
      <c r="D348" s="80"/>
      <c r="E348" s="80"/>
    </row>
    <row r="349" spans="2:5" ht="14.25" customHeight="1" x14ac:dyDescent="0.25">
      <c r="B349" s="103"/>
      <c r="D349" s="80"/>
      <c r="E349" s="80"/>
    </row>
    <row r="350" spans="2:5" ht="14.25" customHeight="1" x14ac:dyDescent="0.25">
      <c r="B350" s="103"/>
      <c r="D350" s="80"/>
      <c r="E350" s="80"/>
    </row>
    <row r="351" spans="2:5" ht="14.25" customHeight="1" x14ac:dyDescent="0.25">
      <c r="B351" s="103"/>
      <c r="D351" s="80"/>
      <c r="E351" s="80"/>
    </row>
    <row r="352" spans="2:5" ht="14.25" customHeight="1" x14ac:dyDescent="0.25">
      <c r="B352" s="103"/>
      <c r="D352" s="80"/>
      <c r="E352" s="80"/>
    </row>
    <row r="353" spans="2:5" ht="14.25" customHeight="1" x14ac:dyDescent="0.25">
      <c r="B353" s="103"/>
      <c r="D353" s="80"/>
      <c r="E353" s="80"/>
    </row>
    <row r="354" spans="2:5" ht="14.25" customHeight="1" x14ac:dyDescent="0.25">
      <c r="B354" s="103"/>
      <c r="D354" s="80"/>
      <c r="E354" s="80"/>
    </row>
    <row r="355" spans="2:5" ht="14.25" customHeight="1" x14ac:dyDescent="0.25">
      <c r="B355" s="103"/>
      <c r="D355" s="80"/>
      <c r="E355" s="80"/>
    </row>
    <row r="356" spans="2:5" ht="14.25" customHeight="1" x14ac:dyDescent="0.25">
      <c r="B356" s="103"/>
      <c r="D356" s="80"/>
      <c r="E356" s="80"/>
    </row>
    <row r="357" spans="2:5" ht="14.25" customHeight="1" x14ac:dyDescent="0.25">
      <c r="B357" s="103"/>
      <c r="D357" s="80"/>
      <c r="E357" s="80"/>
    </row>
    <row r="358" spans="2:5" ht="14.25" customHeight="1" x14ac:dyDescent="0.25">
      <c r="B358" s="103"/>
      <c r="D358" s="80"/>
      <c r="E358" s="80"/>
    </row>
    <row r="359" spans="2:5" ht="14.25" customHeight="1" x14ac:dyDescent="0.25">
      <c r="B359" s="103"/>
      <c r="D359" s="80"/>
      <c r="E359" s="80"/>
    </row>
    <row r="360" spans="2:5" ht="14.25" customHeight="1" x14ac:dyDescent="0.25">
      <c r="B360" s="103"/>
      <c r="D360" s="80"/>
      <c r="E360" s="80"/>
    </row>
    <row r="361" spans="2:5" ht="14.25" customHeight="1" x14ac:dyDescent="0.25">
      <c r="B361" s="103"/>
      <c r="D361" s="80"/>
      <c r="E361" s="80"/>
    </row>
    <row r="362" spans="2:5" ht="14.25" customHeight="1" x14ac:dyDescent="0.25">
      <c r="B362" s="103"/>
      <c r="D362" s="80"/>
      <c r="E362" s="80"/>
    </row>
    <row r="363" spans="2:5" ht="14.25" customHeight="1" x14ac:dyDescent="0.25">
      <c r="B363" s="103"/>
      <c r="D363" s="80"/>
      <c r="E363" s="80"/>
    </row>
    <row r="364" spans="2:5" ht="14.25" customHeight="1" x14ac:dyDescent="0.25">
      <c r="B364" s="103"/>
      <c r="D364" s="80"/>
      <c r="E364" s="80"/>
    </row>
    <row r="365" spans="2:5" ht="14.25" customHeight="1" x14ac:dyDescent="0.25">
      <c r="B365" s="103"/>
      <c r="D365" s="80"/>
      <c r="E365" s="80"/>
    </row>
    <row r="366" spans="2:5" ht="14.25" customHeight="1" x14ac:dyDescent="0.25">
      <c r="B366" s="103"/>
      <c r="D366" s="80"/>
      <c r="E366" s="80"/>
    </row>
    <row r="367" spans="2:5" ht="14.25" customHeight="1" x14ac:dyDescent="0.25">
      <c r="B367" s="103"/>
      <c r="D367" s="80"/>
      <c r="E367" s="80"/>
    </row>
    <row r="368" spans="2:5" ht="14.25" customHeight="1" x14ac:dyDescent="0.25">
      <c r="B368" s="103"/>
      <c r="D368" s="80"/>
      <c r="E368" s="80"/>
    </row>
    <row r="369" spans="2:5" ht="14.25" customHeight="1" x14ac:dyDescent="0.25">
      <c r="B369" s="103"/>
      <c r="D369" s="80"/>
      <c r="E369" s="80"/>
    </row>
    <row r="370" spans="2:5" ht="14.25" customHeight="1" x14ac:dyDescent="0.25">
      <c r="B370" s="103"/>
      <c r="D370" s="80"/>
      <c r="E370" s="80"/>
    </row>
    <row r="371" spans="2:5" ht="14.25" customHeight="1" x14ac:dyDescent="0.25">
      <c r="B371" s="103"/>
      <c r="D371" s="80"/>
      <c r="E371" s="80"/>
    </row>
    <row r="372" spans="2:5" ht="14.25" customHeight="1" x14ac:dyDescent="0.25">
      <c r="B372" s="103"/>
      <c r="D372" s="80"/>
      <c r="E372" s="80"/>
    </row>
    <row r="373" spans="2:5" ht="14.25" customHeight="1" x14ac:dyDescent="0.25">
      <c r="B373" s="103"/>
      <c r="D373" s="80"/>
      <c r="E373" s="80"/>
    </row>
    <row r="374" spans="2:5" ht="14.25" customHeight="1" x14ac:dyDescent="0.25">
      <c r="B374" s="103"/>
      <c r="D374" s="80"/>
      <c r="E374" s="80"/>
    </row>
    <row r="375" spans="2:5" ht="14.25" customHeight="1" x14ac:dyDescent="0.25">
      <c r="B375" s="103"/>
      <c r="D375" s="80"/>
      <c r="E375" s="80"/>
    </row>
    <row r="376" spans="2:5" ht="14.25" customHeight="1" x14ac:dyDescent="0.25">
      <c r="B376" s="103"/>
      <c r="D376" s="80"/>
      <c r="E376" s="80"/>
    </row>
    <row r="377" spans="2:5" ht="14.25" customHeight="1" x14ac:dyDescent="0.25">
      <c r="B377" s="103"/>
      <c r="D377" s="80"/>
      <c r="E377" s="80"/>
    </row>
    <row r="378" spans="2:5" ht="14.25" customHeight="1" x14ac:dyDescent="0.25">
      <c r="B378" s="103"/>
      <c r="D378" s="80"/>
      <c r="E378" s="80"/>
    </row>
    <row r="379" spans="2:5" ht="14.25" customHeight="1" x14ac:dyDescent="0.25">
      <c r="B379" s="103"/>
      <c r="D379" s="80"/>
      <c r="E379" s="80"/>
    </row>
    <row r="380" spans="2:5" ht="14.25" customHeight="1" x14ac:dyDescent="0.25">
      <c r="B380" s="103"/>
      <c r="D380" s="80"/>
      <c r="E380" s="80"/>
    </row>
    <row r="381" spans="2:5" ht="14.25" customHeight="1" x14ac:dyDescent="0.25">
      <c r="B381" s="103"/>
      <c r="D381" s="80"/>
      <c r="E381" s="80"/>
    </row>
    <row r="382" spans="2:5" ht="14.25" customHeight="1" x14ac:dyDescent="0.25">
      <c r="B382" s="103"/>
      <c r="D382" s="80"/>
      <c r="E382" s="80"/>
    </row>
    <row r="383" spans="2:5" ht="14.25" customHeight="1" x14ac:dyDescent="0.25">
      <c r="B383" s="103"/>
      <c r="D383" s="80"/>
      <c r="E383" s="80"/>
    </row>
    <row r="384" spans="2:5" ht="14.25" customHeight="1" x14ac:dyDescent="0.25">
      <c r="B384" s="103"/>
      <c r="D384" s="80"/>
      <c r="E384" s="80"/>
    </row>
    <row r="385" spans="2:5" ht="14.25" customHeight="1" x14ac:dyDescent="0.25">
      <c r="B385" s="103"/>
      <c r="D385" s="80"/>
      <c r="E385" s="80"/>
    </row>
    <row r="386" spans="2:5" ht="14.25" customHeight="1" x14ac:dyDescent="0.25">
      <c r="B386" s="103"/>
      <c r="D386" s="80"/>
      <c r="E386" s="80"/>
    </row>
    <row r="387" spans="2:5" ht="14.25" customHeight="1" x14ac:dyDescent="0.25">
      <c r="B387" s="103"/>
      <c r="D387" s="80"/>
      <c r="E387" s="80"/>
    </row>
    <row r="388" spans="2:5" ht="14.25" customHeight="1" x14ac:dyDescent="0.25">
      <c r="B388" s="103"/>
      <c r="D388" s="80"/>
      <c r="E388" s="80"/>
    </row>
    <row r="389" spans="2:5" ht="14.25" customHeight="1" x14ac:dyDescent="0.25">
      <c r="B389" s="103"/>
      <c r="D389" s="80"/>
      <c r="E389" s="80"/>
    </row>
    <row r="390" spans="2:5" ht="14.25" customHeight="1" x14ac:dyDescent="0.25">
      <c r="B390" s="103"/>
      <c r="D390" s="80"/>
      <c r="E390" s="80"/>
    </row>
    <row r="391" spans="2:5" ht="14.25" customHeight="1" x14ac:dyDescent="0.25">
      <c r="B391" s="103"/>
      <c r="D391" s="80"/>
      <c r="E391" s="80"/>
    </row>
    <row r="392" spans="2:5" ht="14.25" customHeight="1" x14ac:dyDescent="0.25">
      <c r="B392" s="103"/>
      <c r="D392" s="80"/>
      <c r="E392" s="80"/>
    </row>
    <row r="393" spans="2:5" ht="14.25" customHeight="1" x14ac:dyDescent="0.25">
      <c r="B393" s="103"/>
      <c r="D393" s="80"/>
      <c r="E393" s="80"/>
    </row>
    <row r="394" spans="2:5" ht="14.25" customHeight="1" x14ac:dyDescent="0.25">
      <c r="B394" s="103"/>
      <c r="D394" s="80"/>
      <c r="E394" s="80"/>
    </row>
    <row r="395" spans="2:5" ht="14.25" customHeight="1" x14ac:dyDescent="0.25">
      <c r="B395" s="103"/>
      <c r="D395" s="80"/>
      <c r="E395" s="80"/>
    </row>
    <row r="396" spans="2:5" ht="14.25" customHeight="1" x14ac:dyDescent="0.25">
      <c r="B396" s="103"/>
      <c r="D396" s="80"/>
      <c r="E396" s="80"/>
    </row>
    <row r="397" spans="2:5" ht="14.25" customHeight="1" x14ac:dyDescent="0.25">
      <c r="B397" s="103"/>
      <c r="D397" s="80"/>
      <c r="E397" s="80"/>
    </row>
    <row r="398" spans="2:5" ht="14.25" customHeight="1" x14ac:dyDescent="0.25">
      <c r="B398" s="103"/>
      <c r="D398" s="80"/>
      <c r="E398" s="80"/>
    </row>
    <row r="399" spans="2:5" ht="14.25" customHeight="1" x14ac:dyDescent="0.25">
      <c r="B399" s="103"/>
      <c r="D399" s="80"/>
      <c r="E399" s="80"/>
    </row>
    <row r="400" spans="2:5" ht="14.25" customHeight="1" x14ac:dyDescent="0.25">
      <c r="B400" s="103"/>
      <c r="D400" s="80"/>
      <c r="E400" s="80"/>
    </row>
    <row r="401" spans="2:5" ht="14.25" customHeight="1" x14ac:dyDescent="0.25">
      <c r="B401" s="103"/>
      <c r="D401" s="80"/>
      <c r="E401" s="80"/>
    </row>
    <row r="402" spans="2:5" ht="14.25" customHeight="1" x14ac:dyDescent="0.25">
      <c r="B402" s="103"/>
      <c r="D402" s="80"/>
      <c r="E402" s="80"/>
    </row>
    <row r="403" spans="2:5" ht="14.25" customHeight="1" x14ac:dyDescent="0.25">
      <c r="B403" s="103"/>
      <c r="D403" s="80"/>
      <c r="E403" s="80"/>
    </row>
    <row r="404" spans="2:5" ht="14.25" customHeight="1" x14ac:dyDescent="0.25">
      <c r="B404" s="103"/>
      <c r="D404" s="80"/>
      <c r="E404" s="80"/>
    </row>
    <row r="405" spans="2:5" ht="14.25" customHeight="1" x14ac:dyDescent="0.25">
      <c r="B405" s="103"/>
      <c r="D405" s="80"/>
      <c r="E405" s="80"/>
    </row>
    <row r="406" spans="2:5" ht="14.25" customHeight="1" x14ac:dyDescent="0.25">
      <c r="B406" s="103"/>
      <c r="D406" s="80"/>
      <c r="E406" s="80"/>
    </row>
    <row r="407" spans="2:5" ht="14.25" customHeight="1" x14ac:dyDescent="0.25">
      <c r="B407" s="103"/>
      <c r="D407" s="80"/>
      <c r="E407" s="80"/>
    </row>
    <row r="408" spans="2:5" ht="14.25" customHeight="1" x14ac:dyDescent="0.25">
      <c r="B408" s="103"/>
      <c r="D408" s="80"/>
      <c r="E408" s="80"/>
    </row>
    <row r="409" spans="2:5" ht="14.25" customHeight="1" x14ac:dyDescent="0.25">
      <c r="B409" s="103"/>
      <c r="D409" s="80"/>
      <c r="E409" s="80"/>
    </row>
    <row r="410" spans="2:5" ht="14.25" customHeight="1" x14ac:dyDescent="0.25">
      <c r="B410" s="103"/>
      <c r="D410" s="80"/>
      <c r="E410" s="80"/>
    </row>
    <row r="411" spans="2:5" ht="14.25" customHeight="1" x14ac:dyDescent="0.25">
      <c r="B411" s="103"/>
      <c r="D411" s="80"/>
      <c r="E411" s="80"/>
    </row>
    <row r="412" spans="2:5" ht="14.25" customHeight="1" x14ac:dyDescent="0.25">
      <c r="B412" s="103"/>
      <c r="D412" s="80"/>
      <c r="E412" s="80"/>
    </row>
    <row r="413" spans="2:5" ht="14.25" customHeight="1" x14ac:dyDescent="0.25">
      <c r="B413" s="103"/>
      <c r="D413" s="80"/>
      <c r="E413" s="80"/>
    </row>
    <row r="414" spans="2:5" ht="14.25" customHeight="1" x14ac:dyDescent="0.25">
      <c r="B414" s="103"/>
      <c r="D414" s="80"/>
      <c r="E414" s="80"/>
    </row>
    <row r="415" spans="2:5" ht="14.25" customHeight="1" x14ac:dyDescent="0.25">
      <c r="B415" s="103"/>
      <c r="D415" s="80"/>
      <c r="E415" s="80"/>
    </row>
    <row r="416" spans="2:5" ht="14.25" customHeight="1" x14ac:dyDescent="0.25">
      <c r="B416" s="103"/>
      <c r="D416" s="80"/>
      <c r="E416" s="80"/>
    </row>
    <row r="417" spans="2:5" ht="14.25" customHeight="1" x14ac:dyDescent="0.25">
      <c r="B417" s="103"/>
      <c r="D417" s="80"/>
      <c r="E417" s="80"/>
    </row>
    <row r="418" spans="2:5" ht="14.25" customHeight="1" x14ac:dyDescent="0.25">
      <c r="B418" s="103"/>
      <c r="D418" s="80"/>
      <c r="E418" s="80"/>
    </row>
    <row r="419" spans="2:5" ht="14.25" customHeight="1" x14ac:dyDescent="0.25">
      <c r="B419" s="103"/>
      <c r="D419" s="80"/>
      <c r="E419" s="80"/>
    </row>
    <row r="420" spans="2:5" ht="14.25" customHeight="1" x14ac:dyDescent="0.25">
      <c r="B420" s="103"/>
      <c r="D420" s="80"/>
      <c r="E420" s="80"/>
    </row>
    <row r="421" spans="2:5" ht="14.25" customHeight="1" x14ac:dyDescent="0.25">
      <c r="B421" s="103"/>
      <c r="D421" s="80"/>
      <c r="E421" s="80"/>
    </row>
    <row r="422" spans="2:5" ht="14.25" customHeight="1" x14ac:dyDescent="0.25">
      <c r="B422" s="103"/>
      <c r="D422" s="80"/>
      <c r="E422" s="80"/>
    </row>
    <row r="423" spans="2:5" ht="14.25" customHeight="1" x14ac:dyDescent="0.25">
      <c r="B423" s="103"/>
      <c r="D423" s="80"/>
      <c r="E423" s="80"/>
    </row>
    <row r="424" spans="2:5" ht="14.25" customHeight="1" x14ac:dyDescent="0.25">
      <c r="B424" s="103"/>
      <c r="D424" s="80"/>
      <c r="E424" s="80"/>
    </row>
    <row r="425" spans="2:5" ht="14.25" customHeight="1" x14ac:dyDescent="0.25">
      <c r="B425" s="103"/>
      <c r="D425" s="80"/>
      <c r="E425" s="80"/>
    </row>
    <row r="426" spans="2:5" ht="14.25" customHeight="1" x14ac:dyDescent="0.25">
      <c r="B426" s="103"/>
      <c r="D426" s="80"/>
      <c r="E426" s="80"/>
    </row>
    <row r="427" spans="2:5" ht="14.25" customHeight="1" x14ac:dyDescent="0.25">
      <c r="B427" s="103"/>
      <c r="D427" s="80"/>
      <c r="E427" s="80"/>
    </row>
    <row r="428" spans="2:5" ht="14.25" customHeight="1" x14ac:dyDescent="0.25">
      <c r="B428" s="103"/>
      <c r="D428" s="80"/>
      <c r="E428" s="80"/>
    </row>
    <row r="429" spans="2:5" ht="14.25" customHeight="1" x14ac:dyDescent="0.25">
      <c r="B429" s="103"/>
      <c r="D429" s="80"/>
      <c r="E429" s="80"/>
    </row>
    <row r="430" spans="2:5" ht="14.25" customHeight="1" x14ac:dyDescent="0.25">
      <c r="B430" s="103"/>
      <c r="D430" s="80"/>
      <c r="E430" s="80"/>
    </row>
    <row r="431" spans="2:5" ht="14.25" customHeight="1" x14ac:dyDescent="0.25">
      <c r="B431" s="103"/>
      <c r="D431" s="80"/>
      <c r="E431" s="80"/>
    </row>
    <row r="432" spans="2:5" ht="14.25" customHeight="1" x14ac:dyDescent="0.25">
      <c r="B432" s="103"/>
      <c r="D432" s="80"/>
      <c r="E432" s="80"/>
    </row>
    <row r="433" spans="2:5" ht="14.25" customHeight="1" x14ac:dyDescent="0.25">
      <c r="B433" s="103"/>
      <c r="D433" s="80"/>
      <c r="E433" s="80"/>
    </row>
    <row r="434" spans="2:5" ht="14.25" customHeight="1" x14ac:dyDescent="0.25">
      <c r="B434" s="103"/>
      <c r="D434" s="80"/>
      <c r="E434" s="80"/>
    </row>
    <row r="435" spans="2:5" ht="14.25" customHeight="1" x14ac:dyDescent="0.25">
      <c r="B435" s="103"/>
      <c r="D435" s="80"/>
      <c r="E435" s="80"/>
    </row>
    <row r="436" spans="2:5" ht="14.25" customHeight="1" x14ac:dyDescent="0.25">
      <c r="B436" s="103"/>
      <c r="D436" s="80"/>
      <c r="E436" s="80"/>
    </row>
    <row r="437" spans="2:5" ht="14.25" customHeight="1" x14ac:dyDescent="0.25">
      <c r="B437" s="103"/>
      <c r="D437" s="80"/>
      <c r="E437" s="80"/>
    </row>
    <row r="438" spans="2:5" ht="14.25" customHeight="1" x14ac:dyDescent="0.25">
      <c r="B438" s="103"/>
      <c r="D438" s="80"/>
      <c r="E438" s="80"/>
    </row>
    <row r="439" spans="2:5" ht="14.25" customHeight="1" x14ac:dyDescent="0.25">
      <c r="B439" s="103"/>
      <c r="D439" s="80"/>
      <c r="E439" s="80"/>
    </row>
    <row r="440" spans="2:5" ht="14.25" customHeight="1" x14ac:dyDescent="0.25">
      <c r="B440" s="103"/>
      <c r="D440" s="80"/>
      <c r="E440" s="80"/>
    </row>
    <row r="441" spans="2:5" ht="14.25" customHeight="1" x14ac:dyDescent="0.25">
      <c r="B441" s="103"/>
      <c r="D441" s="80"/>
      <c r="E441" s="80"/>
    </row>
    <row r="442" spans="2:5" ht="14.25" customHeight="1" x14ac:dyDescent="0.25">
      <c r="B442" s="103"/>
      <c r="D442" s="80"/>
      <c r="E442" s="80"/>
    </row>
    <row r="443" spans="2:5" ht="14.25" customHeight="1" x14ac:dyDescent="0.25">
      <c r="B443" s="103"/>
      <c r="D443" s="80"/>
      <c r="E443" s="80"/>
    </row>
    <row r="444" spans="2:5" ht="14.25" customHeight="1" x14ac:dyDescent="0.25">
      <c r="B444" s="103"/>
      <c r="D444" s="80"/>
      <c r="E444" s="80"/>
    </row>
    <row r="445" spans="2:5" ht="14.25" customHeight="1" x14ac:dyDescent="0.25">
      <c r="B445" s="103"/>
      <c r="D445" s="80"/>
      <c r="E445" s="80"/>
    </row>
    <row r="446" spans="2:5" ht="14.25" customHeight="1" x14ac:dyDescent="0.25">
      <c r="B446" s="103"/>
      <c r="D446" s="80"/>
      <c r="E446" s="80"/>
    </row>
    <row r="447" spans="2:5" ht="14.25" customHeight="1" x14ac:dyDescent="0.25">
      <c r="B447" s="103"/>
      <c r="D447" s="80"/>
      <c r="E447" s="80"/>
    </row>
    <row r="448" spans="2:5" ht="14.25" customHeight="1" x14ac:dyDescent="0.25">
      <c r="B448" s="103"/>
      <c r="D448" s="80"/>
      <c r="E448" s="80"/>
    </row>
    <row r="449" spans="2:5" ht="14.25" customHeight="1" x14ac:dyDescent="0.25">
      <c r="B449" s="103"/>
      <c r="D449" s="80"/>
      <c r="E449" s="80"/>
    </row>
    <row r="450" spans="2:5" ht="14.25" customHeight="1" x14ac:dyDescent="0.25">
      <c r="B450" s="103"/>
      <c r="D450" s="80"/>
      <c r="E450" s="80"/>
    </row>
    <row r="451" spans="2:5" ht="14.25" customHeight="1" x14ac:dyDescent="0.25">
      <c r="B451" s="103"/>
      <c r="D451" s="80"/>
      <c r="E451" s="80"/>
    </row>
    <row r="452" spans="2:5" ht="14.25" customHeight="1" x14ac:dyDescent="0.25">
      <c r="B452" s="103"/>
      <c r="D452" s="80"/>
      <c r="E452" s="80"/>
    </row>
    <row r="453" spans="2:5" ht="14.25" customHeight="1" x14ac:dyDescent="0.25">
      <c r="B453" s="103"/>
      <c r="D453" s="80"/>
      <c r="E453" s="80"/>
    </row>
    <row r="454" spans="2:5" ht="14.25" customHeight="1" x14ac:dyDescent="0.25">
      <c r="B454" s="103"/>
      <c r="D454" s="80"/>
      <c r="E454" s="80"/>
    </row>
    <row r="455" spans="2:5" ht="14.25" customHeight="1" x14ac:dyDescent="0.25">
      <c r="B455" s="103"/>
      <c r="D455" s="80"/>
      <c r="E455" s="80"/>
    </row>
    <row r="456" spans="2:5" ht="14.25" customHeight="1" x14ac:dyDescent="0.25">
      <c r="B456" s="103"/>
      <c r="D456" s="80"/>
      <c r="E456" s="80"/>
    </row>
    <row r="457" spans="2:5" ht="14.25" customHeight="1" x14ac:dyDescent="0.25">
      <c r="B457" s="103"/>
      <c r="D457" s="80"/>
      <c r="E457" s="80"/>
    </row>
    <row r="458" spans="2:5" ht="14.25" customHeight="1" x14ac:dyDescent="0.25">
      <c r="B458" s="103"/>
      <c r="D458" s="80"/>
      <c r="E458" s="80"/>
    </row>
    <row r="459" spans="2:5" ht="14.25" customHeight="1" x14ac:dyDescent="0.25">
      <c r="B459" s="103"/>
      <c r="D459" s="80"/>
      <c r="E459" s="80"/>
    </row>
    <row r="460" spans="2:5" ht="14.25" customHeight="1" x14ac:dyDescent="0.25">
      <c r="B460" s="103"/>
      <c r="D460" s="80"/>
      <c r="E460" s="80"/>
    </row>
    <row r="461" spans="2:5" ht="14.25" customHeight="1" x14ac:dyDescent="0.25">
      <c r="B461" s="103"/>
      <c r="D461" s="80"/>
      <c r="E461" s="80"/>
    </row>
    <row r="462" spans="2:5" ht="14.25" customHeight="1" x14ac:dyDescent="0.25">
      <c r="B462" s="103"/>
      <c r="D462" s="80"/>
      <c r="E462" s="80"/>
    </row>
    <row r="463" spans="2:5" ht="14.25" customHeight="1" x14ac:dyDescent="0.25">
      <c r="B463" s="103"/>
      <c r="D463" s="80"/>
      <c r="E463" s="80"/>
    </row>
    <row r="464" spans="2:5" ht="14.25" customHeight="1" x14ac:dyDescent="0.25">
      <c r="B464" s="103"/>
      <c r="D464" s="80"/>
      <c r="E464" s="80"/>
    </row>
    <row r="465" spans="2:5" ht="14.25" customHeight="1" x14ac:dyDescent="0.25">
      <c r="B465" s="103"/>
      <c r="D465" s="80"/>
      <c r="E465" s="80"/>
    </row>
    <row r="466" spans="2:5" ht="14.25" customHeight="1" x14ac:dyDescent="0.25">
      <c r="B466" s="103"/>
      <c r="D466" s="80"/>
      <c r="E466" s="80"/>
    </row>
    <row r="467" spans="2:5" ht="14.25" customHeight="1" x14ac:dyDescent="0.25">
      <c r="B467" s="103"/>
      <c r="D467" s="80"/>
      <c r="E467" s="80"/>
    </row>
    <row r="468" spans="2:5" ht="14.25" customHeight="1" x14ac:dyDescent="0.25">
      <c r="B468" s="103"/>
      <c r="D468" s="80"/>
      <c r="E468" s="80"/>
    </row>
    <row r="469" spans="2:5" ht="14.25" customHeight="1" x14ac:dyDescent="0.25">
      <c r="B469" s="103"/>
      <c r="D469" s="80"/>
      <c r="E469" s="80"/>
    </row>
    <row r="470" spans="2:5" ht="14.25" customHeight="1" x14ac:dyDescent="0.25">
      <c r="B470" s="103"/>
      <c r="D470" s="80"/>
      <c r="E470" s="80"/>
    </row>
    <row r="471" spans="2:5" ht="14.25" customHeight="1" x14ac:dyDescent="0.25">
      <c r="B471" s="103"/>
      <c r="D471" s="80"/>
      <c r="E471" s="80"/>
    </row>
    <row r="472" spans="2:5" ht="14.25" customHeight="1" x14ac:dyDescent="0.25">
      <c r="B472" s="103"/>
      <c r="D472" s="80"/>
      <c r="E472" s="80"/>
    </row>
    <row r="473" spans="2:5" ht="14.25" customHeight="1" x14ac:dyDescent="0.25">
      <c r="B473" s="103"/>
      <c r="D473" s="80"/>
      <c r="E473" s="80"/>
    </row>
    <row r="474" spans="2:5" ht="14.25" customHeight="1" x14ac:dyDescent="0.25">
      <c r="B474" s="103"/>
      <c r="D474" s="80"/>
      <c r="E474" s="80"/>
    </row>
    <row r="475" spans="2:5" ht="14.25" customHeight="1" x14ac:dyDescent="0.25">
      <c r="B475" s="103"/>
      <c r="D475" s="80"/>
      <c r="E475" s="80"/>
    </row>
    <row r="476" spans="2:5" ht="14.25" customHeight="1" x14ac:dyDescent="0.25">
      <c r="B476" s="103"/>
      <c r="D476" s="80"/>
      <c r="E476" s="80"/>
    </row>
    <row r="477" spans="2:5" ht="14.25" customHeight="1" x14ac:dyDescent="0.25">
      <c r="B477" s="103"/>
      <c r="D477" s="80"/>
      <c r="E477" s="80"/>
    </row>
    <row r="478" spans="2:5" ht="14.25" customHeight="1" x14ac:dyDescent="0.25">
      <c r="B478" s="103"/>
      <c r="D478" s="80"/>
      <c r="E478" s="80"/>
    </row>
    <row r="479" spans="2:5" ht="14.25" customHeight="1" x14ac:dyDescent="0.25">
      <c r="B479" s="103"/>
      <c r="D479" s="80"/>
      <c r="E479" s="80"/>
    </row>
    <row r="480" spans="2:5" ht="14.25" customHeight="1" x14ac:dyDescent="0.25">
      <c r="B480" s="103"/>
      <c r="D480" s="80"/>
      <c r="E480" s="80"/>
    </row>
    <row r="481" spans="2:5" ht="14.25" customHeight="1" x14ac:dyDescent="0.25">
      <c r="B481" s="103"/>
      <c r="D481" s="80"/>
      <c r="E481" s="80"/>
    </row>
    <row r="482" spans="2:5" ht="14.25" customHeight="1" x14ac:dyDescent="0.25">
      <c r="B482" s="103"/>
      <c r="D482" s="80"/>
      <c r="E482" s="80"/>
    </row>
    <row r="483" spans="2:5" ht="14.25" customHeight="1" x14ac:dyDescent="0.25">
      <c r="B483" s="103"/>
      <c r="D483" s="80"/>
      <c r="E483" s="80"/>
    </row>
    <row r="484" spans="2:5" ht="14.25" customHeight="1" x14ac:dyDescent="0.25">
      <c r="B484" s="103"/>
      <c r="D484" s="80"/>
      <c r="E484" s="80"/>
    </row>
    <row r="485" spans="2:5" ht="14.25" customHeight="1" x14ac:dyDescent="0.25">
      <c r="B485" s="103"/>
      <c r="D485" s="80"/>
      <c r="E485" s="80"/>
    </row>
    <row r="486" spans="2:5" ht="14.25" customHeight="1" x14ac:dyDescent="0.25">
      <c r="B486" s="103"/>
      <c r="D486" s="80"/>
      <c r="E486" s="80"/>
    </row>
    <row r="487" spans="2:5" ht="14.25" customHeight="1" x14ac:dyDescent="0.25">
      <c r="B487" s="103"/>
      <c r="D487" s="80"/>
      <c r="E487" s="80"/>
    </row>
    <row r="488" spans="2:5" ht="14.25" customHeight="1" x14ac:dyDescent="0.25">
      <c r="B488" s="103"/>
      <c r="D488" s="80"/>
      <c r="E488" s="80"/>
    </row>
    <row r="489" spans="2:5" ht="14.25" customHeight="1" x14ac:dyDescent="0.25">
      <c r="B489" s="103"/>
      <c r="D489" s="80"/>
      <c r="E489" s="80"/>
    </row>
    <row r="490" spans="2:5" ht="14.25" customHeight="1" x14ac:dyDescent="0.25">
      <c r="B490" s="103"/>
      <c r="D490" s="80"/>
      <c r="E490" s="80"/>
    </row>
    <row r="491" spans="2:5" ht="14.25" customHeight="1" x14ac:dyDescent="0.25">
      <c r="B491" s="103"/>
      <c r="D491" s="80"/>
      <c r="E491" s="80"/>
    </row>
    <row r="492" spans="2:5" ht="14.25" customHeight="1" x14ac:dyDescent="0.25">
      <c r="B492" s="103"/>
      <c r="D492" s="80"/>
      <c r="E492" s="80"/>
    </row>
    <row r="493" spans="2:5" ht="14.25" customHeight="1" x14ac:dyDescent="0.25">
      <c r="B493" s="103"/>
      <c r="D493" s="80"/>
      <c r="E493" s="80"/>
    </row>
    <row r="494" spans="2:5" ht="14.25" customHeight="1" x14ac:dyDescent="0.25">
      <c r="B494" s="103"/>
      <c r="D494" s="80"/>
      <c r="E494" s="80"/>
    </row>
    <row r="495" spans="2:5" ht="14.25" customHeight="1" x14ac:dyDescent="0.25">
      <c r="B495" s="103"/>
      <c r="D495" s="80"/>
      <c r="E495" s="80"/>
    </row>
    <row r="496" spans="2:5" ht="14.25" customHeight="1" x14ac:dyDescent="0.25">
      <c r="B496" s="103"/>
      <c r="D496" s="80"/>
      <c r="E496" s="80"/>
    </row>
    <row r="497" spans="2:5" ht="14.25" customHeight="1" x14ac:dyDescent="0.25">
      <c r="B497" s="103"/>
      <c r="D497" s="80"/>
      <c r="E497" s="80"/>
    </row>
    <row r="498" spans="2:5" ht="14.25" customHeight="1" x14ac:dyDescent="0.25">
      <c r="B498" s="103"/>
      <c r="D498" s="80"/>
      <c r="E498" s="80"/>
    </row>
    <row r="499" spans="2:5" ht="14.25" customHeight="1" x14ac:dyDescent="0.25">
      <c r="B499" s="103"/>
      <c r="D499" s="80"/>
      <c r="E499" s="80"/>
    </row>
    <row r="500" spans="2:5" ht="14.25" customHeight="1" x14ac:dyDescent="0.25">
      <c r="B500" s="103"/>
      <c r="D500" s="80"/>
      <c r="E500" s="80"/>
    </row>
    <row r="501" spans="2:5" ht="14.25" customHeight="1" x14ac:dyDescent="0.25">
      <c r="B501" s="103"/>
      <c r="D501" s="80"/>
      <c r="E501" s="80"/>
    </row>
    <row r="502" spans="2:5" ht="14.25" customHeight="1" x14ac:dyDescent="0.25">
      <c r="B502" s="103"/>
      <c r="D502" s="80"/>
      <c r="E502" s="80"/>
    </row>
    <row r="503" spans="2:5" ht="14.25" customHeight="1" x14ac:dyDescent="0.25">
      <c r="B503" s="103"/>
      <c r="D503" s="80"/>
      <c r="E503" s="80"/>
    </row>
    <row r="504" spans="2:5" ht="14.25" customHeight="1" x14ac:dyDescent="0.25">
      <c r="B504" s="103"/>
      <c r="D504" s="80"/>
      <c r="E504" s="80"/>
    </row>
    <row r="505" spans="2:5" ht="14.25" customHeight="1" x14ac:dyDescent="0.25">
      <c r="B505" s="103"/>
      <c r="D505" s="80"/>
      <c r="E505" s="80"/>
    </row>
    <row r="506" spans="2:5" ht="14.25" customHeight="1" x14ac:dyDescent="0.25">
      <c r="B506" s="103"/>
      <c r="D506" s="80"/>
      <c r="E506" s="80"/>
    </row>
    <row r="507" spans="2:5" ht="14.25" customHeight="1" x14ac:dyDescent="0.25">
      <c r="B507" s="103"/>
      <c r="D507" s="80"/>
      <c r="E507" s="80"/>
    </row>
    <row r="508" spans="2:5" ht="14.25" customHeight="1" x14ac:dyDescent="0.25">
      <c r="B508" s="103"/>
      <c r="D508" s="80"/>
      <c r="E508" s="80"/>
    </row>
    <row r="509" spans="2:5" ht="14.25" customHeight="1" x14ac:dyDescent="0.25">
      <c r="B509" s="103"/>
      <c r="D509" s="80"/>
      <c r="E509" s="80"/>
    </row>
    <row r="510" spans="2:5" ht="14.25" customHeight="1" x14ac:dyDescent="0.25">
      <c r="B510" s="103"/>
      <c r="D510" s="80"/>
      <c r="E510" s="80"/>
    </row>
    <row r="511" spans="2:5" ht="14.25" customHeight="1" x14ac:dyDescent="0.25">
      <c r="B511" s="103"/>
      <c r="D511" s="80"/>
      <c r="E511" s="80"/>
    </row>
    <row r="512" spans="2:5" ht="14.25" customHeight="1" x14ac:dyDescent="0.25">
      <c r="B512" s="103"/>
      <c r="D512" s="80"/>
      <c r="E512" s="80"/>
    </row>
    <row r="513" spans="2:5" ht="14.25" customHeight="1" x14ac:dyDescent="0.25">
      <c r="B513" s="103"/>
      <c r="D513" s="80"/>
      <c r="E513" s="80"/>
    </row>
    <row r="514" spans="2:5" ht="14.25" customHeight="1" x14ac:dyDescent="0.25">
      <c r="B514" s="103"/>
      <c r="D514" s="80"/>
      <c r="E514" s="80"/>
    </row>
    <row r="515" spans="2:5" ht="14.25" customHeight="1" x14ac:dyDescent="0.25">
      <c r="B515" s="103"/>
      <c r="D515" s="80"/>
      <c r="E515" s="80"/>
    </row>
    <row r="516" spans="2:5" ht="14.25" customHeight="1" x14ac:dyDescent="0.25">
      <c r="B516" s="103"/>
      <c r="D516" s="80"/>
      <c r="E516" s="80"/>
    </row>
    <row r="517" spans="2:5" ht="14.25" customHeight="1" x14ac:dyDescent="0.25">
      <c r="B517" s="103"/>
      <c r="D517" s="80"/>
      <c r="E517" s="80"/>
    </row>
    <row r="518" spans="2:5" ht="14.25" customHeight="1" x14ac:dyDescent="0.25">
      <c r="B518" s="103"/>
      <c r="D518" s="80"/>
      <c r="E518" s="80"/>
    </row>
    <row r="519" spans="2:5" ht="14.25" customHeight="1" x14ac:dyDescent="0.25">
      <c r="B519" s="103"/>
      <c r="D519" s="80"/>
      <c r="E519" s="80"/>
    </row>
    <row r="520" spans="2:5" ht="14.25" customHeight="1" x14ac:dyDescent="0.25">
      <c r="B520" s="103"/>
      <c r="D520" s="80"/>
      <c r="E520" s="80"/>
    </row>
    <row r="521" spans="2:5" ht="14.25" customHeight="1" x14ac:dyDescent="0.25">
      <c r="B521" s="103"/>
      <c r="D521" s="80"/>
      <c r="E521" s="80"/>
    </row>
    <row r="522" spans="2:5" ht="14.25" customHeight="1" x14ac:dyDescent="0.25">
      <c r="B522" s="103"/>
      <c r="D522" s="80"/>
      <c r="E522" s="80"/>
    </row>
    <row r="523" spans="2:5" ht="14.25" customHeight="1" x14ac:dyDescent="0.25">
      <c r="B523" s="103"/>
      <c r="D523" s="80"/>
      <c r="E523" s="80"/>
    </row>
    <row r="524" spans="2:5" ht="14.25" customHeight="1" x14ac:dyDescent="0.25">
      <c r="B524" s="103"/>
      <c r="D524" s="80"/>
      <c r="E524" s="80"/>
    </row>
    <row r="525" spans="2:5" ht="14.25" customHeight="1" x14ac:dyDescent="0.25">
      <c r="B525" s="103"/>
      <c r="D525" s="80"/>
      <c r="E525" s="80"/>
    </row>
    <row r="526" spans="2:5" ht="14.25" customHeight="1" x14ac:dyDescent="0.25">
      <c r="B526" s="103"/>
      <c r="D526" s="80"/>
      <c r="E526" s="80"/>
    </row>
    <row r="527" spans="2:5" ht="14.25" customHeight="1" x14ac:dyDescent="0.25">
      <c r="B527" s="103"/>
      <c r="D527" s="80"/>
      <c r="E527" s="80"/>
    </row>
    <row r="528" spans="2:5" ht="14.25" customHeight="1" x14ac:dyDescent="0.25">
      <c r="B528" s="103"/>
      <c r="D528" s="80"/>
      <c r="E528" s="80"/>
    </row>
    <row r="529" spans="2:5" ht="14.25" customHeight="1" x14ac:dyDescent="0.25">
      <c r="B529" s="103"/>
      <c r="D529" s="80"/>
      <c r="E529" s="80"/>
    </row>
    <row r="530" spans="2:5" ht="14.25" customHeight="1" x14ac:dyDescent="0.25">
      <c r="B530" s="103"/>
      <c r="D530" s="80"/>
      <c r="E530" s="80"/>
    </row>
    <row r="531" spans="2:5" ht="14.25" customHeight="1" x14ac:dyDescent="0.25">
      <c r="B531" s="103"/>
      <c r="D531" s="80"/>
      <c r="E531" s="80"/>
    </row>
    <row r="532" spans="2:5" ht="14.25" customHeight="1" x14ac:dyDescent="0.25">
      <c r="B532" s="103"/>
      <c r="D532" s="80"/>
      <c r="E532" s="80"/>
    </row>
    <row r="533" spans="2:5" ht="14.25" customHeight="1" x14ac:dyDescent="0.25">
      <c r="B533" s="103"/>
      <c r="D533" s="80"/>
      <c r="E533" s="80"/>
    </row>
    <row r="534" spans="2:5" ht="14.25" customHeight="1" x14ac:dyDescent="0.25">
      <c r="B534" s="103"/>
      <c r="D534" s="80"/>
      <c r="E534" s="80"/>
    </row>
    <row r="535" spans="2:5" ht="14.25" customHeight="1" x14ac:dyDescent="0.25">
      <c r="B535" s="103"/>
      <c r="D535" s="80"/>
      <c r="E535" s="80"/>
    </row>
    <row r="536" spans="2:5" ht="14.25" customHeight="1" x14ac:dyDescent="0.25">
      <c r="B536" s="103"/>
      <c r="D536" s="80"/>
      <c r="E536" s="80"/>
    </row>
    <row r="537" spans="2:5" ht="14.25" customHeight="1" x14ac:dyDescent="0.25">
      <c r="B537" s="103"/>
      <c r="D537" s="80"/>
      <c r="E537" s="80"/>
    </row>
    <row r="538" spans="2:5" ht="14.25" customHeight="1" x14ac:dyDescent="0.25">
      <c r="B538" s="103"/>
      <c r="D538" s="80"/>
      <c r="E538" s="80"/>
    </row>
    <row r="539" spans="2:5" ht="14.25" customHeight="1" x14ac:dyDescent="0.25">
      <c r="B539" s="103"/>
      <c r="D539" s="80"/>
      <c r="E539" s="80"/>
    </row>
    <row r="540" spans="2:5" ht="14.25" customHeight="1" x14ac:dyDescent="0.25">
      <c r="B540" s="103"/>
      <c r="D540" s="80"/>
      <c r="E540" s="80"/>
    </row>
    <row r="541" spans="2:5" ht="14.25" customHeight="1" x14ac:dyDescent="0.25">
      <c r="B541" s="103"/>
      <c r="D541" s="80"/>
      <c r="E541" s="80"/>
    </row>
    <row r="542" spans="2:5" ht="14.25" customHeight="1" x14ac:dyDescent="0.25">
      <c r="B542" s="103"/>
      <c r="D542" s="80"/>
      <c r="E542" s="80"/>
    </row>
    <row r="543" spans="2:5" ht="14.25" customHeight="1" x14ac:dyDescent="0.25">
      <c r="B543" s="103"/>
      <c r="D543" s="80"/>
      <c r="E543" s="80"/>
    </row>
    <row r="544" spans="2:5" ht="14.25" customHeight="1" x14ac:dyDescent="0.25">
      <c r="B544" s="103"/>
      <c r="D544" s="80"/>
      <c r="E544" s="80"/>
    </row>
    <row r="545" spans="2:5" ht="14.25" customHeight="1" x14ac:dyDescent="0.25">
      <c r="B545" s="103"/>
      <c r="D545" s="80"/>
      <c r="E545" s="80"/>
    </row>
    <row r="546" spans="2:5" ht="14.25" customHeight="1" x14ac:dyDescent="0.25">
      <c r="B546" s="103"/>
      <c r="D546" s="80"/>
      <c r="E546" s="80"/>
    </row>
    <row r="547" spans="2:5" ht="14.25" customHeight="1" x14ac:dyDescent="0.25">
      <c r="B547" s="103"/>
      <c r="D547" s="80"/>
      <c r="E547" s="80"/>
    </row>
    <row r="548" spans="2:5" ht="14.25" customHeight="1" x14ac:dyDescent="0.25">
      <c r="B548" s="103"/>
      <c r="D548" s="80"/>
      <c r="E548" s="80"/>
    </row>
    <row r="549" spans="2:5" ht="14.25" customHeight="1" x14ac:dyDescent="0.25">
      <c r="B549" s="103"/>
      <c r="D549" s="80"/>
      <c r="E549" s="80"/>
    </row>
    <row r="550" spans="2:5" ht="14.25" customHeight="1" x14ac:dyDescent="0.25">
      <c r="B550" s="103"/>
      <c r="D550" s="80"/>
      <c r="E550" s="80"/>
    </row>
    <row r="551" spans="2:5" ht="14.25" customHeight="1" x14ac:dyDescent="0.25">
      <c r="B551" s="103"/>
      <c r="D551" s="80"/>
      <c r="E551" s="80"/>
    </row>
    <row r="552" spans="2:5" ht="14.25" customHeight="1" x14ac:dyDescent="0.25">
      <c r="B552" s="103"/>
      <c r="D552" s="80"/>
      <c r="E552" s="80"/>
    </row>
    <row r="553" spans="2:5" ht="14.25" customHeight="1" x14ac:dyDescent="0.25">
      <c r="B553" s="103"/>
      <c r="D553" s="80"/>
      <c r="E553" s="80"/>
    </row>
    <row r="554" spans="2:5" ht="14.25" customHeight="1" x14ac:dyDescent="0.25">
      <c r="B554" s="103"/>
      <c r="D554" s="80"/>
      <c r="E554" s="80"/>
    </row>
    <row r="555" spans="2:5" ht="14.25" customHeight="1" x14ac:dyDescent="0.25">
      <c r="B555" s="103"/>
      <c r="D555" s="80"/>
      <c r="E555" s="80"/>
    </row>
    <row r="556" spans="2:5" ht="14.25" customHeight="1" x14ac:dyDescent="0.25">
      <c r="B556" s="103"/>
      <c r="D556" s="80"/>
      <c r="E556" s="80"/>
    </row>
    <row r="557" spans="2:5" ht="14.25" customHeight="1" x14ac:dyDescent="0.25">
      <c r="B557" s="103"/>
      <c r="D557" s="80"/>
      <c r="E557" s="80"/>
    </row>
    <row r="558" spans="2:5" ht="14.25" customHeight="1" x14ac:dyDescent="0.25">
      <c r="B558" s="103"/>
      <c r="D558" s="80"/>
      <c r="E558" s="80"/>
    </row>
    <row r="559" spans="2:5" ht="14.25" customHeight="1" x14ac:dyDescent="0.25">
      <c r="B559" s="103"/>
      <c r="D559" s="80"/>
      <c r="E559" s="80"/>
    </row>
    <row r="560" spans="2:5" ht="14.25" customHeight="1" x14ac:dyDescent="0.25">
      <c r="B560" s="103"/>
      <c r="D560" s="80"/>
      <c r="E560" s="80"/>
    </row>
    <row r="561" spans="2:5" ht="14.25" customHeight="1" x14ac:dyDescent="0.25">
      <c r="B561" s="103"/>
      <c r="D561" s="80"/>
      <c r="E561" s="80"/>
    </row>
    <row r="562" spans="2:5" ht="14.25" customHeight="1" x14ac:dyDescent="0.25">
      <c r="B562" s="103"/>
      <c r="D562" s="80"/>
      <c r="E562" s="80"/>
    </row>
    <row r="563" spans="2:5" ht="14.25" customHeight="1" x14ac:dyDescent="0.25">
      <c r="B563" s="103"/>
      <c r="D563" s="80"/>
      <c r="E563" s="80"/>
    </row>
    <row r="564" spans="2:5" ht="14.25" customHeight="1" x14ac:dyDescent="0.25">
      <c r="B564" s="103"/>
      <c r="D564" s="80"/>
      <c r="E564" s="80"/>
    </row>
    <row r="565" spans="2:5" ht="14.25" customHeight="1" x14ac:dyDescent="0.25">
      <c r="B565" s="103"/>
      <c r="D565" s="80"/>
      <c r="E565" s="80"/>
    </row>
    <row r="566" spans="2:5" ht="14.25" customHeight="1" x14ac:dyDescent="0.25">
      <c r="B566" s="103"/>
      <c r="D566" s="80"/>
      <c r="E566" s="80"/>
    </row>
    <row r="567" spans="2:5" ht="14.25" customHeight="1" x14ac:dyDescent="0.25">
      <c r="B567" s="103"/>
      <c r="D567" s="80"/>
      <c r="E567" s="80"/>
    </row>
    <row r="568" spans="2:5" ht="14.25" customHeight="1" x14ac:dyDescent="0.25">
      <c r="B568" s="103"/>
      <c r="D568" s="80"/>
      <c r="E568" s="80"/>
    </row>
    <row r="569" spans="2:5" ht="14.25" customHeight="1" x14ac:dyDescent="0.25">
      <c r="B569" s="103"/>
      <c r="D569" s="80"/>
      <c r="E569" s="80"/>
    </row>
    <row r="570" spans="2:5" ht="14.25" customHeight="1" x14ac:dyDescent="0.25">
      <c r="B570" s="103"/>
      <c r="D570" s="80"/>
      <c r="E570" s="80"/>
    </row>
    <row r="571" spans="2:5" ht="14.25" customHeight="1" x14ac:dyDescent="0.25">
      <c r="B571" s="103"/>
      <c r="D571" s="80"/>
      <c r="E571" s="80"/>
    </row>
    <row r="572" spans="2:5" ht="14.25" customHeight="1" x14ac:dyDescent="0.25">
      <c r="B572" s="103"/>
      <c r="D572" s="80"/>
      <c r="E572" s="80"/>
    </row>
    <row r="573" spans="2:5" ht="14.25" customHeight="1" x14ac:dyDescent="0.25">
      <c r="B573" s="103"/>
      <c r="D573" s="80"/>
      <c r="E573" s="80"/>
    </row>
    <row r="574" spans="2:5" ht="14.25" customHeight="1" x14ac:dyDescent="0.25">
      <c r="B574" s="103"/>
      <c r="D574" s="80"/>
      <c r="E574" s="80"/>
    </row>
    <row r="575" spans="2:5" ht="14.25" customHeight="1" x14ac:dyDescent="0.25">
      <c r="B575" s="103"/>
      <c r="D575" s="80"/>
      <c r="E575" s="80"/>
    </row>
    <row r="576" spans="2:5" ht="14.25" customHeight="1" x14ac:dyDescent="0.25">
      <c r="B576" s="103"/>
      <c r="D576" s="80"/>
      <c r="E576" s="80"/>
    </row>
    <row r="577" spans="2:5" ht="14.25" customHeight="1" x14ac:dyDescent="0.25">
      <c r="B577" s="103"/>
      <c r="D577" s="80"/>
      <c r="E577" s="80"/>
    </row>
    <row r="578" spans="2:5" ht="14.25" customHeight="1" x14ac:dyDescent="0.25">
      <c r="B578" s="103"/>
      <c r="D578" s="80"/>
      <c r="E578" s="80"/>
    </row>
    <row r="579" spans="2:5" ht="14.25" customHeight="1" x14ac:dyDescent="0.25">
      <c r="B579" s="103"/>
      <c r="D579" s="80"/>
      <c r="E579" s="80"/>
    </row>
    <row r="580" spans="2:5" ht="14.25" customHeight="1" x14ac:dyDescent="0.25">
      <c r="B580" s="103"/>
      <c r="D580" s="80"/>
      <c r="E580" s="80"/>
    </row>
    <row r="581" spans="2:5" ht="14.25" customHeight="1" x14ac:dyDescent="0.25">
      <c r="B581" s="103"/>
      <c r="D581" s="80"/>
      <c r="E581" s="80"/>
    </row>
    <row r="582" spans="2:5" ht="14.25" customHeight="1" x14ac:dyDescent="0.25">
      <c r="B582" s="103"/>
      <c r="D582" s="80"/>
      <c r="E582" s="80"/>
    </row>
    <row r="583" spans="2:5" ht="14.25" customHeight="1" x14ac:dyDescent="0.25">
      <c r="B583" s="103"/>
      <c r="D583" s="80"/>
      <c r="E583" s="80"/>
    </row>
    <row r="584" spans="2:5" ht="14.25" customHeight="1" x14ac:dyDescent="0.25">
      <c r="B584" s="103"/>
      <c r="D584" s="80"/>
      <c r="E584" s="80"/>
    </row>
    <row r="585" spans="2:5" ht="14.25" customHeight="1" x14ac:dyDescent="0.25">
      <c r="B585" s="103"/>
      <c r="D585" s="80"/>
      <c r="E585" s="80"/>
    </row>
    <row r="586" spans="2:5" ht="14.25" customHeight="1" x14ac:dyDescent="0.25">
      <c r="B586" s="103"/>
      <c r="D586" s="80"/>
      <c r="E586" s="80"/>
    </row>
    <row r="587" spans="2:5" ht="14.25" customHeight="1" x14ac:dyDescent="0.25">
      <c r="B587" s="103"/>
      <c r="D587" s="80"/>
      <c r="E587" s="80"/>
    </row>
    <row r="588" spans="2:5" ht="14.25" customHeight="1" x14ac:dyDescent="0.25">
      <c r="B588" s="103"/>
      <c r="D588" s="80"/>
      <c r="E588" s="80"/>
    </row>
    <row r="589" spans="2:5" ht="14.25" customHeight="1" x14ac:dyDescent="0.25">
      <c r="B589" s="103"/>
      <c r="D589" s="80"/>
      <c r="E589" s="80"/>
    </row>
    <row r="590" spans="2:5" ht="14.25" customHeight="1" x14ac:dyDescent="0.25">
      <c r="B590" s="103"/>
      <c r="D590" s="80"/>
      <c r="E590" s="80"/>
    </row>
    <row r="591" spans="2:5" ht="14.25" customHeight="1" x14ac:dyDescent="0.25">
      <c r="B591" s="103"/>
      <c r="D591" s="80"/>
      <c r="E591" s="80"/>
    </row>
    <row r="592" spans="2:5" ht="14.25" customHeight="1" x14ac:dyDescent="0.25">
      <c r="B592" s="103"/>
      <c r="D592" s="80"/>
      <c r="E592" s="80"/>
    </row>
    <row r="593" spans="2:5" ht="14.25" customHeight="1" x14ac:dyDescent="0.25">
      <c r="B593" s="103"/>
      <c r="D593" s="80"/>
      <c r="E593" s="80"/>
    </row>
    <row r="594" spans="2:5" ht="14.25" customHeight="1" x14ac:dyDescent="0.25">
      <c r="B594" s="103"/>
      <c r="D594" s="80"/>
      <c r="E594" s="80"/>
    </row>
    <row r="595" spans="2:5" ht="14.25" customHeight="1" x14ac:dyDescent="0.25">
      <c r="B595" s="103"/>
      <c r="D595" s="80"/>
      <c r="E595" s="80"/>
    </row>
    <row r="596" spans="2:5" ht="14.25" customHeight="1" x14ac:dyDescent="0.25">
      <c r="B596" s="103"/>
      <c r="D596" s="80"/>
      <c r="E596" s="80"/>
    </row>
    <row r="597" spans="2:5" ht="14.25" customHeight="1" x14ac:dyDescent="0.25">
      <c r="B597" s="103"/>
      <c r="D597" s="80"/>
      <c r="E597" s="80"/>
    </row>
    <row r="598" spans="2:5" ht="14.25" customHeight="1" x14ac:dyDescent="0.25">
      <c r="B598" s="103"/>
      <c r="D598" s="80"/>
      <c r="E598" s="80"/>
    </row>
    <row r="599" spans="2:5" ht="14.25" customHeight="1" x14ac:dyDescent="0.25">
      <c r="B599" s="103"/>
      <c r="D599" s="80"/>
      <c r="E599" s="80"/>
    </row>
    <row r="600" spans="2:5" ht="14.25" customHeight="1" x14ac:dyDescent="0.25">
      <c r="B600" s="103"/>
      <c r="D600" s="80"/>
      <c r="E600" s="80"/>
    </row>
    <row r="601" spans="2:5" ht="14.25" customHeight="1" x14ac:dyDescent="0.25">
      <c r="B601" s="103"/>
      <c r="D601" s="80"/>
      <c r="E601" s="80"/>
    </row>
    <row r="602" spans="2:5" ht="14.25" customHeight="1" x14ac:dyDescent="0.25">
      <c r="B602" s="103"/>
      <c r="D602" s="80"/>
      <c r="E602" s="80"/>
    </row>
    <row r="603" spans="2:5" ht="14.25" customHeight="1" x14ac:dyDescent="0.25">
      <c r="B603" s="103"/>
      <c r="D603" s="80"/>
      <c r="E603" s="80"/>
    </row>
    <row r="604" spans="2:5" ht="14.25" customHeight="1" x14ac:dyDescent="0.25">
      <c r="B604" s="103"/>
      <c r="D604" s="80"/>
      <c r="E604" s="80"/>
    </row>
    <row r="605" spans="2:5" ht="14.25" customHeight="1" x14ac:dyDescent="0.25">
      <c r="B605" s="103"/>
      <c r="D605" s="80"/>
      <c r="E605" s="80"/>
    </row>
    <row r="606" spans="2:5" ht="14.25" customHeight="1" x14ac:dyDescent="0.25">
      <c r="B606" s="103"/>
      <c r="D606" s="80"/>
      <c r="E606" s="80"/>
    </row>
    <row r="607" spans="2:5" ht="14.25" customHeight="1" x14ac:dyDescent="0.25">
      <c r="B607" s="103"/>
      <c r="D607" s="80"/>
      <c r="E607" s="80"/>
    </row>
    <row r="608" spans="2:5" ht="14.25" customHeight="1" x14ac:dyDescent="0.25">
      <c r="B608" s="103"/>
      <c r="D608" s="80"/>
      <c r="E608" s="80"/>
    </row>
    <row r="609" spans="2:5" ht="14.25" customHeight="1" x14ac:dyDescent="0.25">
      <c r="B609" s="103"/>
      <c r="D609" s="80"/>
      <c r="E609" s="80"/>
    </row>
    <row r="610" spans="2:5" ht="14.25" customHeight="1" x14ac:dyDescent="0.25">
      <c r="B610" s="103"/>
      <c r="D610" s="80"/>
      <c r="E610" s="80"/>
    </row>
    <row r="611" spans="2:5" ht="14.25" customHeight="1" x14ac:dyDescent="0.25">
      <c r="B611" s="103"/>
      <c r="D611" s="80"/>
      <c r="E611" s="80"/>
    </row>
    <row r="612" spans="2:5" ht="14.25" customHeight="1" x14ac:dyDescent="0.25">
      <c r="B612" s="103"/>
      <c r="D612" s="80"/>
      <c r="E612" s="80"/>
    </row>
    <row r="613" spans="2:5" ht="14.25" customHeight="1" x14ac:dyDescent="0.25">
      <c r="B613" s="103"/>
      <c r="D613" s="80"/>
      <c r="E613" s="80"/>
    </row>
    <row r="614" spans="2:5" ht="14.25" customHeight="1" x14ac:dyDescent="0.25">
      <c r="B614" s="103"/>
      <c r="D614" s="80"/>
      <c r="E614" s="80"/>
    </row>
    <row r="615" spans="2:5" ht="14.25" customHeight="1" x14ac:dyDescent="0.25">
      <c r="B615" s="103"/>
      <c r="D615" s="80"/>
      <c r="E615" s="80"/>
    </row>
    <row r="616" spans="2:5" ht="14.25" customHeight="1" x14ac:dyDescent="0.25">
      <c r="B616" s="103"/>
      <c r="D616" s="80"/>
      <c r="E616" s="80"/>
    </row>
    <row r="617" spans="2:5" ht="14.25" customHeight="1" x14ac:dyDescent="0.25">
      <c r="B617" s="103"/>
      <c r="D617" s="80"/>
      <c r="E617" s="80"/>
    </row>
    <row r="618" spans="2:5" ht="14.25" customHeight="1" x14ac:dyDescent="0.25">
      <c r="B618" s="103"/>
      <c r="D618" s="80"/>
      <c r="E618" s="80"/>
    </row>
    <row r="619" spans="2:5" ht="14.25" customHeight="1" x14ac:dyDescent="0.25">
      <c r="B619" s="103"/>
      <c r="D619" s="80"/>
      <c r="E619" s="80"/>
    </row>
    <row r="620" spans="2:5" ht="14.25" customHeight="1" x14ac:dyDescent="0.25">
      <c r="B620" s="103"/>
      <c r="D620" s="80"/>
      <c r="E620" s="80"/>
    </row>
    <row r="621" spans="2:5" ht="14.25" customHeight="1" x14ac:dyDescent="0.25">
      <c r="B621" s="103"/>
      <c r="D621" s="80"/>
      <c r="E621" s="80"/>
    </row>
    <row r="622" spans="2:5" ht="14.25" customHeight="1" x14ac:dyDescent="0.25">
      <c r="B622" s="103"/>
      <c r="D622" s="80"/>
      <c r="E622" s="80"/>
    </row>
    <row r="623" spans="2:5" ht="14.25" customHeight="1" x14ac:dyDescent="0.25">
      <c r="B623" s="103"/>
      <c r="D623" s="80"/>
      <c r="E623" s="80"/>
    </row>
    <row r="624" spans="2:5" ht="14.25" customHeight="1" x14ac:dyDescent="0.25">
      <c r="B624" s="103"/>
      <c r="D624" s="80"/>
      <c r="E624" s="80"/>
    </row>
    <row r="625" spans="2:5" ht="14.25" customHeight="1" x14ac:dyDescent="0.25">
      <c r="B625" s="103"/>
      <c r="D625" s="80"/>
      <c r="E625" s="80"/>
    </row>
    <row r="626" spans="2:5" ht="14.25" customHeight="1" x14ac:dyDescent="0.25">
      <c r="B626" s="103"/>
      <c r="D626" s="80"/>
      <c r="E626" s="80"/>
    </row>
    <row r="627" spans="2:5" ht="14.25" customHeight="1" x14ac:dyDescent="0.25">
      <c r="B627" s="103"/>
      <c r="D627" s="80"/>
      <c r="E627" s="80"/>
    </row>
    <row r="628" spans="2:5" ht="14.25" customHeight="1" x14ac:dyDescent="0.25">
      <c r="B628" s="103"/>
      <c r="D628" s="80"/>
      <c r="E628" s="80"/>
    </row>
    <row r="629" spans="2:5" ht="14.25" customHeight="1" x14ac:dyDescent="0.25">
      <c r="B629" s="103"/>
      <c r="D629" s="80"/>
      <c r="E629" s="80"/>
    </row>
    <row r="630" spans="2:5" ht="14.25" customHeight="1" x14ac:dyDescent="0.25">
      <c r="B630" s="103"/>
      <c r="D630" s="80"/>
      <c r="E630" s="80"/>
    </row>
    <row r="631" spans="2:5" ht="14.25" customHeight="1" x14ac:dyDescent="0.25">
      <c r="B631" s="103"/>
      <c r="D631" s="80"/>
      <c r="E631" s="80"/>
    </row>
    <row r="632" spans="2:5" ht="14.25" customHeight="1" x14ac:dyDescent="0.25">
      <c r="B632" s="103"/>
      <c r="D632" s="80"/>
      <c r="E632" s="80"/>
    </row>
    <row r="633" spans="2:5" ht="14.25" customHeight="1" x14ac:dyDescent="0.25">
      <c r="B633" s="103"/>
      <c r="D633" s="80"/>
      <c r="E633" s="80"/>
    </row>
    <row r="634" spans="2:5" ht="14.25" customHeight="1" x14ac:dyDescent="0.25">
      <c r="B634" s="103"/>
      <c r="D634" s="80"/>
      <c r="E634" s="80"/>
    </row>
    <row r="635" spans="2:5" ht="14.25" customHeight="1" x14ac:dyDescent="0.25">
      <c r="B635" s="103"/>
      <c r="D635" s="80"/>
      <c r="E635" s="80"/>
    </row>
    <row r="636" spans="2:5" ht="14.25" customHeight="1" x14ac:dyDescent="0.25">
      <c r="B636" s="103"/>
      <c r="D636" s="80"/>
      <c r="E636" s="80"/>
    </row>
    <row r="637" spans="2:5" ht="14.25" customHeight="1" x14ac:dyDescent="0.25">
      <c r="B637" s="103"/>
      <c r="D637" s="80"/>
      <c r="E637" s="80"/>
    </row>
    <row r="638" spans="2:5" ht="14.25" customHeight="1" x14ac:dyDescent="0.25">
      <c r="B638" s="103"/>
      <c r="D638" s="80"/>
      <c r="E638" s="80"/>
    </row>
    <row r="639" spans="2:5" ht="14.25" customHeight="1" x14ac:dyDescent="0.25">
      <c r="B639" s="103"/>
      <c r="D639" s="80"/>
      <c r="E639" s="80"/>
    </row>
    <row r="640" spans="2:5" ht="14.25" customHeight="1" x14ac:dyDescent="0.25">
      <c r="B640" s="103"/>
      <c r="D640" s="80"/>
      <c r="E640" s="80"/>
    </row>
    <row r="641" spans="2:5" ht="14.25" customHeight="1" x14ac:dyDescent="0.25">
      <c r="B641" s="103"/>
      <c r="D641" s="80"/>
      <c r="E641" s="80"/>
    </row>
    <row r="642" spans="2:5" ht="14.25" customHeight="1" x14ac:dyDescent="0.25">
      <c r="B642" s="103"/>
      <c r="D642" s="80"/>
      <c r="E642" s="80"/>
    </row>
    <row r="643" spans="2:5" ht="14.25" customHeight="1" x14ac:dyDescent="0.25">
      <c r="B643" s="103"/>
      <c r="D643" s="80"/>
      <c r="E643" s="80"/>
    </row>
    <row r="644" spans="2:5" ht="14.25" customHeight="1" x14ac:dyDescent="0.25">
      <c r="B644" s="103"/>
      <c r="D644" s="80"/>
      <c r="E644" s="80"/>
    </row>
    <row r="645" spans="2:5" ht="14.25" customHeight="1" x14ac:dyDescent="0.25">
      <c r="B645" s="103"/>
      <c r="D645" s="80"/>
      <c r="E645" s="80"/>
    </row>
    <row r="646" spans="2:5" ht="14.25" customHeight="1" x14ac:dyDescent="0.25">
      <c r="B646" s="103"/>
      <c r="D646" s="80"/>
      <c r="E646" s="80"/>
    </row>
    <row r="647" spans="2:5" ht="14.25" customHeight="1" x14ac:dyDescent="0.25">
      <c r="B647" s="103"/>
      <c r="D647" s="80"/>
      <c r="E647" s="80"/>
    </row>
    <row r="648" spans="2:5" ht="14.25" customHeight="1" x14ac:dyDescent="0.25">
      <c r="B648" s="103"/>
      <c r="D648" s="80"/>
      <c r="E648" s="80"/>
    </row>
    <row r="649" spans="2:5" ht="14.25" customHeight="1" x14ac:dyDescent="0.25">
      <c r="B649" s="103"/>
      <c r="D649" s="80"/>
      <c r="E649" s="80"/>
    </row>
    <row r="650" spans="2:5" ht="14.25" customHeight="1" x14ac:dyDescent="0.25">
      <c r="B650" s="103"/>
      <c r="D650" s="80"/>
      <c r="E650" s="80"/>
    </row>
    <row r="651" spans="2:5" ht="14.25" customHeight="1" x14ac:dyDescent="0.25">
      <c r="B651" s="103"/>
      <c r="D651" s="80"/>
      <c r="E651" s="80"/>
    </row>
    <row r="652" spans="2:5" ht="14.25" customHeight="1" x14ac:dyDescent="0.25">
      <c r="B652" s="103"/>
      <c r="D652" s="80"/>
      <c r="E652" s="80"/>
    </row>
    <row r="653" spans="2:5" ht="14.25" customHeight="1" x14ac:dyDescent="0.25">
      <c r="B653" s="103"/>
      <c r="D653" s="80"/>
      <c r="E653" s="80"/>
    </row>
    <row r="654" spans="2:5" ht="14.25" customHeight="1" x14ac:dyDescent="0.25">
      <c r="B654" s="103"/>
      <c r="D654" s="80"/>
      <c r="E654" s="80"/>
    </row>
    <row r="655" spans="2:5" ht="14.25" customHeight="1" x14ac:dyDescent="0.25">
      <c r="B655" s="103"/>
      <c r="D655" s="80"/>
      <c r="E655" s="80"/>
    </row>
    <row r="656" spans="2:5" ht="14.25" customHeight="1" x14ac:dyDescent="0.25">
      <c r="B656" s="103"/>
      <c r="D656" s="80"/>
      <c r="E656" s="80"/>
    </row>
    <row r="657" spans="2:5" ht="14.25" customHeight="1" x14ac:dyDescent="0.25">
      <c r="B657" s="103"/>
      <c r="D657" s="80"/>
      <c r="E657" s="80"/>
    </row>
    <row r="658" spans="2:5" ht="14.25" customHeight="1" x14ac:dyDescent="0.25">
      <c r="B658" s="103"/>
      <c r="D658" s="80"/>
      <c r="E658" s="80"/>
    </row>
    <row r="659" spans="2:5" ht="14.25" customHeight="1" x14ac:dyDescent="0.25">
      <c r="B659" s="103"/>
      <c r="D659" s="80"/>
      <c r="E659" s="80"/>
    </row>
    <row r="660" spans="2:5" ht="14.25" customHeight="1" x14ac:dyDescent="0.25">
      <c r="B660" s="103"/>
      <c r="D660" s="80"/>
      <c r="E660" s="80"/>
    </row>
    <row r="661" spans="2:5" ht="14.25" customHeight="1" x14ac:dyDescent="0.25">
      <c r="B661" s="103"/>
      <c r="D661" s="80"/>
      <c r="E661" s="80"/>
    </row>
    <row r="662" spans="2:5" ht="14.25" customHeight="1" x14ac:dyDescent="0.25">
      <c r="B662" s="103"/>
      <c r="D662" s="80"/>
      <c r="E662" s="80"/>
    </row>
    <row r="663" spans="2:5" ht="14.25" customHeight="1" x14ac:dyDescent="0.25">
      <c r="B663" s="103"/>
      <c r="D663" s="80"/>
      <c r="E663" s="80"/>
    </row>
    <row r="664" spans="2:5" ht="14.25" customHeight="1" x14ac:dyDescent="0.25">
      <c r="B664" s="103"/>
      <c r="D664" s="80"/>
      <c r="E664" s="80"/>
    </row>
    <row r="665" spans="2:5" ht="14.25" customHeight="1" x14ac:dyDescent="0.25">
      <c r="B665" s="103"/>
      <c r="D665" s="80"/>
      <c r="E665" s="80"/>
    </row>
    <row r="666" spans="2:5" ht="14.25" customHeight="1" x14ac:dyDescent="0.25">
      <c r="B666" s="103"/>
      <c r="D666" s="80"/>
      <c r="E666" s="80"/>
    </row>
    <row r="667" spans="2:5" ht="14.25" customHeight="1" x14ac:dyDescent="0.25">
      <c r="B667" s="103"/>
      <c r="D667" s="80"/>
      <c r="E667" s="80"/>
    </row>
    <row r="668" spans="2:5" ht="14.25" customHeight="1" x14ac:dyDescent="0.25">
      <c r="B668" s="103"/>
      <c r="D668" s="80"/>
      <c r="E668" s="80"/>
    </row>
    <row r="669" spans="2:5" ht="14.25" customHeight="1" x14ac:dyDescent="0.25">
      <c r="B669" s="103"/>
      <c r="D669" s="80"/>
      <c r="E669" s="80"/>
    </row>
    <row r="670" spans="2:5" ht="14.25" customHeight="1" x14ac:dyDescent="0.25">
      <c r="B670" s="103"/>
      <c r="D670" s="80"/>
      <c r="E670" s="80"/>
    </row>
    <row r="671" spans="2:5" ht="14.25" customHeight="1" x14ac:dyDescent="0.25">
      <c r="B671" s="103"/>
      <c r="D671" s="80"/>
      <c r="E671" s="80"/>
    </row>
    <row r="672" spans="2:5" ht="14.25" customHeight="1" x14ac:dyDescent="0.25">
      <c r="B672" s="103"/>
      <c r="D672" s="80"/>
      <c r="E672" s="80"/>
    </row>
    <row r="673" spans="2:5" ht="14.25" customHeight="1" x14ac:dyDescent="0.25">
      <c r="B673" s="103"/>
      <c r="D673" s="80"/>
      <c r="E673" s="80"/>
    </row>
    <row r="674" spans="2:5" ht="14.25" customHeight="1" x14ac:dyDescent="0.25">
      <c r="B674" s="103"/>
      <c r="D674" s="80"/>
      <c r="E674" s="80"/>
    </row>
    <row r="675" spans="2:5" ht="14.25" customHeight="1" x14ac:dyDescent="0.25">
      <c r="B675" s="103"/>
      <c r="D675" s="80"/>
      <c r="E675" s="80"/>
    </row>
    <row r="676" spans="2:5" ht="14.25" customHeight="1" x14ac:dyDescent="0.25">
      <c r="B676" s="103"/>
      <c r="D676" s="80"/>
      <c r="E676" s="80"/>
    </row>
    <row r="677" spans="2:5" ht="14.25" customHeight="1" x14ac:dyDescent="0.25">
      <c r="B677" s="103"/>
      <c r="D677" s="80"/>
      <c r="E677" s="80"/>
    </row>
    <row r="678" spans="2:5" ht="14.25" customHeight="1" x14ac:dyDescent="0.25">
      <c r="B678" s="103"/>
      <c r="D678" s="80"/>
      <c r="E678" s="80"/>
    </row>
    <row r="679" spans="2:5" ht="14.25" customHeight="1" x14ac:dyDescent="0.25">
      <c r="B679" s="103"/>
      <c r="D679" s="80"/>
      <c r="E679" s="80"/>
    </row>
    <row r="680" spans="2:5" ht="14.25" customHeight="1" x14ac:dyDescent="0.25">
      <c r="B680" s="103"/>
      <c r="D680" s="80"/>
      <c r="E680" s="80"/>
    </row>
    <row r="681" spans="2:5" ht="14.25" customHeight="1" x14ac:dyDescent="0.25">
      <c r="B681" s="103"/>
      <c r="D681" s="80"/>
      <c r="E681" s="80"/>
    </row>
    <row r="682" spans="2:5" ht="14.25" customHeight="1" x14ac:dyDescent="0.25">
      <c r="B682" s="103"/>
      <c r="D682" s="80"/>
      <c r="E682" s="80"/>
    </row>
    <row r="683" spans="2:5" ht="14.25" customHeight="1" x14ac:dyDescent="0.25">
      <c r="B683" s="103"/>
      <c r="D683" s="80"/>
      <c r="E683" s="80"/>
    </row>
    <row r="684" spans="2:5" ht="14.25" customHeight="1" x14ac:dyDescent="0.25">
      <c r="B684" s="103"/>
      <c r="D684" s="80"/>
      <c r="E684" s="80"/>
    </row>
    <row r="685" spans="2:5" ht="14.25" customHeight="1" x14ac:dyDescent="0.25">
      <c r="B685" s="103"/>
      <c r="D685" s="80"/>
      <c r="E685" s="80"/>
    </row>
    <row r="686" spans="2:5" ht="14.25" customHeight="1" x14ac:dyDescent="0.25">
      <c r="B686" s="103"/>
      <c r="D686" s="80"/>
      <c r="E686" s="80"/>
    </row>
    <row r="687" spans="2:5" ht="14.25" customHeight="1" x14ac:dyDescent="0.25">
      <c r="B687" s="103"/>
      <c r="D687" s="80"/>
      <c r="E687" s="80"/>
    </row>
    <row r="688" spans="2:5" ht="14.25" customHeight="1" x14ac:dyDescent="0.25">
      <c r="B688" s="103"/>
      <c r="D688" s="80"/>
      <c r="E688" s="80"/>
    </row>
    <row r="689" spans="2:5" ht="14.25" customHeight="1" x14ac:dyDescent="0.25">
      <c r="B689" s="103"/>
      <c r="D689" s="80"/>
      <c r="E689" s="80"/>
    </row>
    <row r="690" spans="2:5" ht="14.25" customHeight="1" x14ac:dyDescent="0.25">
      <c r="B690" s="103"/>
      <c r="D690" s="80"/>
      <c r="E690" s="80"/>
    </row>
    <row r="691" spans="2:5" ht="14.25" customHeight="1" x14ac:dyDescent="0.25">
      <c r="B691" s="103"/>
      <c r="D691" s="80"/>
      <c r="E691" s="80"/>
    </row>
    <row r="692" spans="2:5" ht="14.25" customHeight="1" x14ac:dyDescent="0.25">
      <c r="B692" s="103"/>
      <c r="D692" s="80"/>
      <c r="E692" s="80"/>
    </row>
    <row r="693" spans="2:5" ht="14.25" customHeight="1" x14ac:dyDescent="0.25">
      <c r="B693" s="103"/>
      <c r="D693" s="80"/>
      <c r="E693" s="80"/>
    </row>
    <row r="694" spans="2:5" ht="14.25" customHeight="1" x14ac:dyDescent="0.25">
      <c r="B694" s="103"/>
      <c r="D694" s="80"/>
      <c r="E694" s="80"/>
    </row>
    <row r="695" spans="2:5" ht="14.25" customHeight="1" x14ac:dyDescent="0.25">
      <c r="B695" s="103"/>
      <c r="D695" s="80"/>
      <c r="E695" s="80"/>
    </row>
    <row r="696" spans="2:5" ht="14.25" customHeight="1" x14ac:dyDescent="0.25">
      <c r="B696" s="103"/>
      <c r="D696" s="80"/>
      <c r="E696" s="80"/>
    </row>
    <row r="697" spans="2:5" ht="14.25" customHeight="1" x14ac:dyDescent="0.25">
      <c r="B697" s="103"/>
      <c r="D697" s="80"/>
      <c r="E697" s="80"/>
    </row>
    <row r="698" spans="2:5" ht="14.25" customHeight="1" x14ac:dyDescent="0.25">
      <c r="B698" s="103"/>
      <c r="D698" s="80"/>
      <c r="E698" s="80"/>
    </row>
    <row r="699" spans="2:5" ht="14.25" customHeight="1" x14ac:dyDescent="0.25">
      <c r="B699" s="103"/>
      <c r="D699" s="80"/>
      <c r="E699" s="80"/>
    </row>
    <row r="700" spans="2:5" ht="14.25" customHeight="1" x14ac:dyDescent="0.25">
      <c r="B700" s="103"/>
      <c r="D700" s="80"/>
      <c r="E700" s="80"/>
    </row>
    <row r="701" spans="2:5" ht="14.25" customHeight="1" x14ac:dyDescent="0.25">
      <c r="B701" s="103"/>
      <c r="D701" s="80"/>
      <c r="E701" s="80"/>
    </row>
    <row r="702" spans="2:5" ht="14.25" customHeight="1" x14ac:dyDescent="0.25">
      <c r="B702" s="103"/>
      <c r="D702" s="80"/>
      <c r="E702" s="80"/>
    </row>
    <row r="703" spans="2:5" ht="14.25" customHeight="1" x14ac:dyDescent="0.25">
      <c r="B703" s="103"/>
      <c r="D703" s="80"/>
      <c r="E703" s="80"/>
    </row>
    <row r="704" spans="2:5" ht="14.25" customHeight="1" x14ac:dyDescent="0.25">
      <c r="B704" s="103"/>
      <c r="D704" s="80"/>
      <c r="E704" s="80"/>
    </row>
    <row r="705" spans="2:5" ht="14.25" customHeight="1" x14ac:dyDescent="0.25">
      <c r="B705" s="103"/>
      <c r="D705" s="80"/>
      <c r="E705" s="80"/>
    </row>
    <row r="706" spans="2:5" ht="14.25" customHeight="1" x14ac:dyDescent="0.25">
      <c r="B706" s="103"/>
      <c r="D706" s="80"/>
      <c r="E706" s="80"/>
    </row>
    <row r="707" spans="2:5" ht="14.25" customHeight="1" x14ac:dyDescent="0.25">
      <c r="B707" s="103"/>
      <c r="D707" s="80"/>
      <c r="E707" s="80"/>
    </row>
    <row r="708" spans="2:5" ht="14.25" customHeight="1" x14ac:dyDescent="0.25">
      <c r="B708" s="103"/>
      <c r="D708" s="80"/>
      <c r="E708" s="80"/>
    </row>
    <row r="709" spans="2:5" ht="14.25" customHeight="1" x14ac:dyDescent="0.25">
      <c r="B709" s="103"/>
      <c r="D709" s="80"/>
      <c r="E709" s="80"/>
    </row>
    <row r="710" spans="2:5" ht="14.25" customHeight="1" x14ac:dyDescent="0.25">
      <c r="B710" s="103"/>
      <c r="D710" s="80"/>
      <c r="E710" s="80"/>
    </row>
    <row r="711" spans="2:5" ht="14.25" customHeight="1" x14ac:dyDescent="0.25">
      <c r="B711" s="103"/>
      <c r="D711" s="80"/>
      <c r="E711" s="80"/>
    </row>
    <row r="712" spans="2:5" ht="14.25" customHeight="1" x14ac:dyDescent="0.25">
      <c r="B712" s="103"/>
      <c r="D712" s="80"/>
      <c r="E712" s="80"/>
    </row>
    <row r="713" spans="2:5" ht="14.25" customHeight="1" x14ac:dyDescent="0.25">
      <c r="B713" s="103"/>
      <c r="D713" s="80"/>
      <c r="E713" s="80"/>
    </row>
    <row r="714" spans="2:5" ht="14.25" customHeight="1" x14ac:dyDescent="0.25">
      <c r="B714" s="103"/>
      <c r="D714" s="80"/>
      <c r="E714" s="80"/>
    </row>
    <row r="715" spans="2:5" ht="14.25" customHeight="1" x14ac:dyDescent="0.25">
      <c r="B715" s="103"/>
      <c r="D715" s="80"/>
      <c r="E715" s="80"/>
    </row>
    <row r="716" spans="2:5" ht="14.25" customHeight="1" x14ac:dyDescent="0.25">
      <c r="B716" s="103"/>
      <c r="D716" s="80"/>
      <c r="E716" s="80"/>
    </row>
    <row r="717" spans="2:5" ht="14.25" customHeight="1" x14ac:dyDescent="0.25">
      <c r="B717" s="103"/>
      <c r="D717" s="80"/>
      <c r="E717" s="80"/>
    </row>
    <row r="718" spans="2:5" ht="14.25" customHeight="1" x14ac:dyDescent="0.25">
      <c r="B718" s="103"/>
      <c r="D718" s="80"/>
      <c r="E718" s="80"/>
    </row>
    <row r="719" spans="2:5" ht="14.25" customHeight="1" x14ac:dyDescent="0.25">
      <c r="B719" s="103"/>
      <c r="D719" s="80"/>
      <c r="E719" s="80"/>
    </row>
    <row r="720" spans="2:5" ht="14.25" customHeight="1" x14ac:dyDescent="0.25">
      <c r="B720" s="103"/>
      <c r="D720" s="80"/>
      <c r="E720" s="80"/>
    </row>
    <row r="721" spans="2:5" ht="14.25" customHeight="1" x14ac:dyDescent="0.25">
      <c r="B721" s="103"/>
      <c r="D721" s="80"/>
      <c r="E721" s="80"/>
    </row>
    <row r="722" spans="2:5" ht="14.25" customHeight="1" x14ac:dyDescent="0.25">
      <c r="B722" s="103"/>
      <c r="D722" s="80"/>
      <c r="E722" s="80"/>
    </row>
    <row r="723" spans="2:5" ht="14.25" customHeight="1" x14ac:dyDescent="0.25">
      <c r="B723" s="103"/>
      <c r="D723" s="80"/>
      <c r="E723" s="80"/>
    </row>
    <row r="724" spans="2:5" ht="14.25" customHeight="1" x14ac:dyDescent="0.25">
      <c r="B724" s="103"/>
      <c r="D724" s="80"/>
      <c r="E724" s="80"/>
    </row>
    <row r="725" spans="2:5" ht="14.25" customHeight="1" x14ac:dyDescent="0.25">
      <c r="B725" s="103"/>
      <c r="D725" s="80"/>
      <c r="E725" s="80"/>
    </row>
    <row r="726" spans="2:5" ht="14.25" customHeight="1" x14ac:dyDescent="0.25">
      <c r="B726" s="103"/>
      <c r="D726" s="80"/>
      <c r="E726" s="80"/>
    </row>
    <row r="727" spans="2:5" ht="14.25" customHeight="1" x14ac:dyDescent="0.25">
      <c r="B727" s="103"/>
      <c r="D727" s="80"/>
      <c r="E727" s="80"/>
    </row>
    <row r="728" spans="2:5" ht="14.25" customHeight="1" x14ac:dyDescent="0.25">
      <c r="B728" s="103"/>
      <c r="D728" s="80"/>
      <c r="E728" s="80"/>
    </row>
    <row r="729" spans="2:5" ht="14.25" customHeight="1" x14ac:dyDescent="0.25">
      <c r="B729" s="103"/>
      <c r="D729" s="80"/>
      <c r="E729" s="80"/>
    </row>
    <row r="730" spans="2:5" ht="14.25" customHeight="1" x14ac:dyDescent="0.25">
      <c r="B730" s="103"/>
      <c r="D730" s="80"/>
      <c r="E730" s="80"/>
    </row>
    <row r="731" spans="2:5" ht="14.25" customHeight="1" x14ac:dyDescent="0.25">
      <c r="B731" s="103"/>
      <c r="D731" s="80"/>
      <c r="E731" s="80"/>
    </row>
    <row r="732" spans="2:5" ht="14.25" customHeight="1" x14ac:dyDescent="0.25">
      <c r="B732" s="103"/>
      <c r="D732" s="80"/>
      <c r="E732" s="80"/>
    </row>
    <row r="733" spans="2:5" ht="14.25" customHeight="1" x14ac:dyDescent="0.25">
      <c r="B733" s="103"/>
      <c r="D733" s="80"/>
      <c r="E733" s="80"/>
    </row>
    <row r="734" spans="2:5" ht="14.25" customHeight="1" x14ac:dyDescent="0.25">
      <c r="B734" s="103"/>
      <c r="D734" s="80"/>
      <c r="E734" s="80"/>
    </row>
    <row r="735" spans="2:5" ht="14.25" customHeight="1" x14ac:dyDescent="0.25">
      <c r="B735" s="103"/>
      <c r="D735" s="80"/>
      <c r="E735" s="80"/>
    </row>
    <row r="736" spans="2:5" ht="14.25" customHeight="1" x14ac:dyDescent="0.25">
      <c r="B736" s="103"/>
      <c r="D736" s="80"/>
      <c r="E736" s="80"/>
    </row>
    <row r="737" spans="2:5" ht="14.25" customHeight="1" x14ac:dyDescent="0.25">
      <c r="B737" s="103"/>
      <c r="D737" s="80"/>
      <c r="E737" s="80"/>
    </row>
    <row r="738" spans="2:5" ht="14.25" customHeight="1" x14ac:dyDescent="0.25">
      <c r="B738" s="103"/>
      <c r="D738" s="80"/>
      <c r="E738" s="80"/>
    </row>
    <row r="739" spans="2:5" ht="14.25" customHeight="1" x14ac:dyDescent="0.25">
      <c r="B739" s="103"/>
      <c r="D739" s="80"/>
      <c r="E739" s="80"/>
    </row>
    <row r="740" spans="2:5" ht="14.25" customHeight="1" x14ac:dyDescent="0.25">
      <c r="B740" s="103"/>
      <c r="D740" s="80"/>
      <c r="E740" s="80"/>
    </row>
    <row r="741" spans="2:5" ht="14.25" customHeight="1" x14ac:dyDescent="0.25">
      <c r="B741" s="103"/>
      <c r="D741" s="80"/>
      <c r="E741" s="80"/>
    </row>
    <row r="742" spans="2:5" ht="14.25" customHeight="1" x14ac:dyDescent="0.25">
      <c r="B742" s="103"/>
      <c r="D742" s="80"/>
      <c r="E742" s="80"/>
    </row>
    <row r="743" spans="2:5" ht="14.25" customHeight="1" x14ac:dyDescent="0.25">
      <c r="B743" s="103"/>
      <c r="D743" s="80"/>
      <c r="E743" s="80"/>
    </row>
    <row r="744" spans="2:5" ht="14.25" customHeight="1" x14ac:dyDescent="0.25">
      <c r="B744" s="103"/>
      <c r="D744" s="80"/>
      <c r="E744" s="80"/>
    </row>
    <row r="745" spans="2:5" ht="14.25" customHeight="1" x14ac:dyDescent="0.25">
      <c r="B745" s="103"/>
      <c r="D745" s="80"/>
      <c r="E745" s="80"/>
    </row>
    <row r="746" spans="2:5" ht="14.25" customHeight="1" x14ac:dyDescent="0.25">
      <c r="B746" s="103"/>
      <c r="D746" s="80"/>
      <c r="E746" s="80"/>
    </row>
    <row r="747" spans="2:5" ht="14.25" customHeight="1" x14ac:dyDescent="0.25">
      <c r="B747" s="103"/>
      <c r="D747" s="80"/>
      <c r="E747" s="80"/>
    </row>
    <row r="748" spans="2:5" ht="14.25" customHeight="1" x14ac:dyDescent="0.25">
      <c r="B748" s="103"/>
      <c r="D748" s="80"/>
      <c r="E748" s="80"/>
    </row>
    <row r="749" spans="2:5" ht="14.25" customHeight="1" x14ac:dyDescent="0.25">
      <c r="B749" s="103"/>
      <c r="D749" s="80"/>
      <c r="E749" s="80"/>
    </row>
    <row r="750" spans="2:5" ht="14.25" customHeight="1" x14ac:dyDescent="0.25">
      <c r="B750" s="103"/>
      <c r="D750" s="80"/>
      <c r="E750" s="80"/>
    </row>
    <row r="751" spans="2:5" ht="14.25" customHeight="1" x14ac:dyDescent="0.25">
      <c r="B751" s="103"/>
      <c r="D751" s="80"/>
      <c r="E751" s="80"/>
    </row>
    <row r="752" spans="2:5" ht="14.25" customHeight="1" x14ac:dyDescent="0.25">
      <c r="B752" s="103"/>
      <c r="D752" s="80"/>
      <c r="E752" s="80"/>
    </row>
    <row r="753" spans="2:5" ht="14.25" customHeight="1" x14ac:dyDescent="0.25">
      <c r="B753" s="103"/>
      <c r="D753" s="80"/>
      <c r="E753" s="80"/>
    </row>
    <row r="754" spans="2:5" ht="14.25" customHeight="1" x14ac:dyDescent="0.25">
      <c r="B754" s="103"/>
      <c r="D754" s="80"/>
      <c r="E754" s="80"/>
    </row>
    <row r="755" spans="2:5" ht="14.25" customHeight="1" x14ac:dyDescent="0.25">
      <c r="B755" s="103"/>
      <c r="D755" s="80"/>
      <c r="E755" s="80"/>
    </row>
    <row r="756" spans="2:5" ht="14.25" customHeight="1" x14ac:dyDescent="0.25">
      <c r="B756" s="103"/>
      <c r="D756" s="80"/>
      <c r="E756" s="80"/>
    </row>
    <row r="757" spans="2:5" ht="14.25" customHeight="1" x14ac:dyDescent="0.25">
      <c r="B757" s="103"/>
      <c r="D757" s="80"/>
      <c r="E757" s="80"/>
    </row>
    <row r="758" spans="2:5" ht="14.25" customHeight="1" x14ac:dyDescent="0.25">
      <c r="B758" s="103"/>
      <c r="D758" s="80"/>
      <c r="E758" s="80"/>
    </row>
    <row r="759" spans="2:5" ht="14.25" customHeight="1" x14ac:dyDescent="0.25">
      <c r="B759" s="103"/>
      <c r="D759" s="80"/>
      <c r="E759" s="80"/>
    </row>
    <row r="760" spans="2:5" ht="14.25" customHeight="1" x14ac:dyDescent="0.25">
      <c r="B760" s="103"/>
      <c r="D760" s="80"/>
      <c r="E760" s="80"/>
    </row>
    <row r="761" spans="2:5" ht="14.25" customHeight="1" x14ac:dyDescent="0.25">
      <c r="B761" s="103"/>
      <c r="D761" s="80"/>
      <c r="E761" s="80"/>
    </row>
    <row r="762" spans="2:5" ht="14.25" customHeight="1" x14ac:dyDescent="0.25">
      <c r="B762" s="103"/>
      <c r="D762" s="80"/>
      <c r="E762" s="80"/>
    </row>
    <row r="763" spans="2:5" ht="14.25" customHeight="1" x14ac:dyDescent="0.25">
      <c r="B763" s="103"/>
      <c r="D763" s="80"/>
      <c r="E763" s="80"/>
    </row>
    <row r="764" spans="2:5" ht="14.25" customHeight="1" x14ac:dyDescent="0.25">
      <c r="B764" s="103"/>
      <c r="D764" s="80"/>
      <c r="E764" s="80"/>
    </row>
    <row r="765" spans="2:5" ht="14.25" customHeight="1" x14ac:dyDescent="0.25">
      <c r="B765" s="103"/>
      <c r="D765" s="80"/>
      <c r="E765" s="80"/>
    </row>
    <row r="766" spans="2:5" ht="14.25" customHeight="1" x14ac:dyDescent="0.25">
      <c r="B766" s="103"/>
      <c r="D766" s="80"/>
      <c r="E766" s="80"/>
    </row>
    <row r="767" spans="2:5" ht="14.25" customHeight="1" x14ac:dyDescent="0.25">
      <c r="B767" s="103"/>
      <c r="D767" s="80"/>
      <c r="E767" s="80"/>
    </row>
    <row r="768" spans="2:5" ht="14.25" customHeight="1" x14ac:dyDescent="0.25">
      <c r="B768" s="103"/>
      <c r="D768" s="80"/>
      <c r="E768" s="80"/>
    </row>
    <row r="769" spans="2:5" ht="14.25" customHeight="1" x14ac:dyDescent="0.25">
      <c r="B769" s="103"/>
      <c r="D769" s="80"/>
      <c r="E769" s="80"/>
    </row>
    <row r="770" spans="2:5" ht="14.25" customHeight="1" x14ac:dyDescent="0.25">
      <c r="B770" s="103"/>
      <c r="D770" s="80"/>
      <c r="E770" s="80"/>
    </row>
    <row r="771" spans="2:5" ht="14.25" customHeight="1" x14ac:dyDescent="0.25">
      <c r="B771" s="103"/>
      <c r="D771" s="80"/>
      <c r="E771" s="80"/>
    </row>
    <row r="772" spans="2:5" ht="14.25" customHeight="1" x14ac:dyDescent="0.25">
      <c r="B772" s="103"/>
      <c r="D772" s="80"/>
      <c r="E772" s="80"/>
    </row>
    <row r="773" spans="2:5" ht="14.25" customHeight="1" x14ac:dyDescent="0.25">
      <c r="B773" s="103"/>
      <c r="D773" s="80"/>
      <c r="E773" s="80"/>
    </row>
    <row r="774" spans="2:5" ht="14.25" customHeight="1" x14ac:dyDescent="0.25">
      <c r="B774" s="103"/>
      <c r="D774" s="80"/>
      <c r="E774" s="80"/>
    </row>
    <row r="775" spans="2:5" ht="14.25" customHeight="1" x14ac:dyDescent="0.25">
      <c r="B775" s="103"/>
      <c r="D775" s="80"/>
      <c r="E775" s="80"/>
    </row>
    <row r="776" spans="2:5" ht="14.25" customHeight="1" x14ac:dyDescent="0.25">
      <c r="B776" s="103"/>
      <c r="D776" s="80"/>
      <c r="E776" s="80"/>
    </row>
    <row r="777" spans="2:5" ht="14.25" customHeight="1" x14ac:dyDescent="0.25">
      <c r="B777" s="103"/>
      <c r="D777" s="80"/>
      <c r="E777" s="80"/>
    </row>
    <row r="778" spans="2:5" ht="14.25" customHeight="1" x14ac:dyDescent="0.25">
      <c r="B778" s="103"/>
      <c r="D778" s="80"/>
      <c r="E778" s="80"/>
    </row>
    <row r="779" spans="2:5" ht="14.25" customHeight="1" x14ac:dyDescent="0.25">
      <c r="B779" s="103"/>
      <c r="D779" s="80"/>
      <c r="E779" s="80"/>
    </row>
    <row r="780" spans="2:5" ht="14.25" customHeight="1" x14ac:dyDescent="0.25">
      <c r="B780" s="103"/>
      <c r="D780" s="80"/>
      <c r="E780" s="80"/>
    </row>
    <row r="781" spans="2:5" ht="14.25" customHeight="1" x14ac:dyDescent="0.25">
      <c r="B781" s="103"/>
      <c r="D781" s="80"/>
      <c r="E781" s="80"/>
    </row>
    <row r="782" spans="2:5" ht="14.25" customHeight="1" x14ac:dyDescent="0.25">
      <c r="B782" s="103"/>
      <c r="D782" s="80"/>
      <c r="E782" s="80"/>
    </row>
    <row r="783" spans="2:5" ht="14.25" customHeight="1" x14ac:dyDescent="0.25">
      <c r="B783" s="103"/>
      <c r="D783" s="80"/>
      <c r="E783" s="80"/>
    </row>
    <row r="784" spans="2:5" ht="14.25" customHeight="1" x14ac:dyDescent="0.25">
      <c r="B784" s="103"/>
      <c r="D784" s="80"/>
      <c r="E784" s="80"/>
    </row>
    <row r="785" spans="2:5" ht="14.25" customHeight="1" x14ac:dyDescent="0.25">
      <c r="B785" s="103"/>
      <c r="D785" s="80"/>
      <c r="E785" s="80"/>
    </row>
    <row r="786" spans="2:5" ht="14.25" customHeight="1" x14ac:dyDescent="0.25">
      <c r="B786" s="103"/>
      <c r="D786" s="80"/>
      <c r="E786" s="80"/>
    </row>
    <row r="787" spans="2:5" ht="14.25" customHeight="1" x14ac:dyDescent="0.25">
      <c r="B787" s="103"/>
      <c r="D787" s="80"/>
      <c r="E787" s="80"/>
    </row>
    <row r="788" spans="2:5" ht="14.25" customHeight="1" x14ac:dyDescent="0.25">
      <c r="B788" s="103"/>
      <c r="D788" s="80"/>
      <c r="E788" s="80"/>
    </row>
    <row r="789" spans="2:5" ht="14.25" customHeight="1" x14ac:dyDescent="0.25">
      <c r="B789" s="103"/>
      <c r="D789" s="80"/>
      <c r="E789" s="80"/>
    </row>
    <row r="790" spans="2:5" ht="14.25" customHeight="1" x14ac:dyDescent="0.25">
      <c r="B790" s="103"/>
      <c r="D790" s="80"/>
      <c r="E790" s="80"/>
    </row>
    <row r="791" spans="2:5" ht="14.25" customHeight="1" x14ac:dyDescent="0.25">
      <c r="B791" s="103"/>
      <c r="D791" s="80"/>
      <c r="E791" s="80"/>
    </row>
    <row r="792" spans="2:5" ht="14.25" customHeight="1" x14ac:dyDescent="0.25">
      <c r="B792" s="103"/>
      <c r="D792" s="80"/>
      <c r="E792" s="80"/>
    </row>
    <row r="793" spans="2:5" ht="14.25" customHeight="1" x14ac:dyDescent="0.25">
      <c r="B793" s="103"/>
      <c r="D793" s="80"/>
      <c r="E793" s="80"/>
    </row>
    <row r="794" spans="2:5" ht="14.25" customHeight="1" x14ac:dyDescent="0.25">
      <c r="B794" s="103"/>
      <c r="D794" s="80"/>
      <c r="E794" s="80"/>
    </row>
    <row r="795" spans="2:5" ht="14.25" customHeight="1" x14ac:dyDescent="0.25">
      <c r="B795" s="103"/>
      <c r="D795" s="80"/>
      <c r="E795" s="80"/>
    </row>
    <row r="796" spans="2:5" ht="14.25" customHeight="1" x14ac:dyDescent="0.25">
      <c r="B796" s="103"/>
      <c r="D796" s="80"/>
      <c r="E796" s="80"/>
    </row>
    <row r="797" spans="2:5" ht="14.25" customHeight="1" x14ac:dyDescent="0.25">
      <c r="B797" s="103"/>
      <c r="D797" s="80"/>
      <c r="E797" s="80"/>
    </row>
    <row r="798" spans="2:5" ht="14.25" customHeight="1" x14ac:dyDescent="0.25">
      <c r="B798" s="103"/>
      <c r="D798" s="80"/>
      <c r="E798" s="80"/>
    </row>
    <row r="799" spans="2:5" ht="14.25" customHeight="1" x14ac:dyDescent="0.25">
      <c r="B799" s="103"/>
      <c r="D799" s="80"/>
      <c r="E799" s="80"/>
    </row>
    <row r="800" spans="2:5" ht="14.25" customHeight="1" x14ac:dyDescent="0.25">
      <c r="B800" s="103"/>
      <c r="D800" s="80"/>
      <c r="E800" s="80"/>
    </row>
    <row r="801" spans="2:5" ht="14.25" customHeight="1" x14ac:dyDescent="0.25">
      <c r="B801" s="103"/>
      <c r="D801" s="80"/>
      <c r="E801" s="80"/>
    </row>
    <row r="802" spans="2:5" ht="14.25" customHeight="1" x14ac:dyDescent="0.25">
      <c r="B802" s="103"/>
      <c r="D802" s="80"/>
      <c r="E802" s="80"/>
    </row>
    <row r="803" spans="2:5" ht="14.25" customHeight="1" x14ac:dyDescent="0.25">
      <c r="B803" s="103"/>
      <c r="D803" s="80"/>
      <c r="E803" s="80"/>
    </row>
    <row r="804" spans="2:5" ht="14.25" customHeight="1" x14ac:dyDescent="0.25">
      <c r="B804" s="103"/>
      <c r="D804" s="80"/>
      <c r="E804" s="80"/>
    </row>
    <row r="805" spans="2:5" ht="14.25" customHeight="1" x14ac:dyDescent="0.25">
      <c r="B805" s="103"/>
      <c r="D805" s="80"/>
      <c r="E805" s="80"/>
    </row>
    <row r="806" spans="2:5" ht="14.25" customHeight="1" x14ac:dyDescent="0.25">
      <c r="B806" s="103"/>
      <c r="D806" s="80"/>
      <c r="E806" s="80"/>
    </row>
    <row r="807" spans="2:5" ht="14.25" customHeight="1" x14ac:dyDescent="0.25">
      <c r="B807" s="103"/>
      <c r="D807" s="80"/>
      <c r="E807" s="80"/>
    </row>
    <row r="808" spans="2:5" ht="14.25" customHeight="1" x14ac:dyDescent="0.25">
      <c r="B808" s="103"/>
      <c r="D808" s="80"/>
      <c r="E808" s="80"/>
    </row>
    <row r="809" spans="2:5" ht="14.25" customHeight="1" x14ac:dyDescent="0.25">
      <c r="B809" s="103"/>
      <c r="D809" s="80"/>
      <c r="E809" s="80"/>
    </row>
    <row r="810" spans="2:5" ht="14.25" customHeight="1" x14ac:dyDescent="0.25">
      <c r="B810" s="103"/>
      <c r="D810" s="80"/>
      <c r="E810" s="80"/>
    </row>
    <row r="811" spans="2:5" ht="14.25" customHeight="1" x14ac:dyDescent="0.25">
      <c r="B811" s="103"/>
      <c r="D811" s="80"/>
      <c r="E811" s="80"/>
    </row>
    <row r="812" spans="2:5" ht="14.25" customHeight="1" x14ac:dyDescent="0.25">
      <c r="B812" s="103"/>
      <c r="D812" s="80"/>
      <c r="E812" s="80"/>
    </row>
    <row r="813" spans="2:5" ht="14.25" customHeight="1" x14ac:dyDescent="0.25">
      <c r="B813" s="103"/>
      <c r="D813" s="80"/>
      <c r="E813" s="80"/>
    </row>
    <row r="814" spans="2:5" ht="14.25" customHeight="1" x14ac:dyDescent="0.25">
      <c r="B814" s="103"/>
      <c r="D814" s="80"/>
      <c r="E814" s="80"/>
    </row>
    <row r="815" spans="2:5" ht="14.25" customHeight="1" x14ac:dyDescent="0.25">
      <c r="B815" s="103"/>
      <c r="D815" s="80"/>
      <c r="E815" s="80"/>
    </row>
    <row r="816" spans="2:5" ht="14.25" customHeight="1" x14ac:dyDescent="0.25">
      <c r="B816" s="103"/>
      <c r="D816" s="80"/>
      <c r="E816" s="80"/>
    </row>
    <row r="817" spans="2:5" ht="14.25" customHeight="1" x14ac:dyDescent="0.25">
      <c r="B817" s="103"/>
      <c r="D817" s="80"/>
      <c r="E817" s="80"/>
    </row>
    <row r="818" spans="2:5" ht="14.25" customHeight="1" x14ac:dyDescent="0.25">
      <c r="B818" s="103"/>
      <c r="D818" s="80"/>
      <c r="E818" s="80"/>
    </row>
    <row r="819" spans="2:5" ht="14.25" customHeight="1" x14ac:dyDescent="0.25">
      <c r="B819" s="103"/>
      <c r="D819" s="80"/>
      <c r="E819" s="80"/>
    </row>
    <row r="820" spans="2:5" ht="14.25" customHeight="1" x14ac:dyDescent="0.25">
      <c r="B820" s="103"/>
      <c r="D820" s="80"/>
      <c r="E820" s="80"/>
    </row>
    <row r="821" spans="2:5" ht="14.25" customHeight="1" x14ac:dyDescent="0.25">
      <c r="B821" s="103"/>
      <c r="D821" s="80"/>
      <c r="E821" s="80"/>
    </row>
    <row r="822" spans="2:5" ht="14.25" customHeight="1" x14ac:dyDescent="0.25">
      <c r="B822" s="103"/>
      <c r="D822" s="80"/>
      <c r="E822" s="80"/>
    </row>
    <row r="823" spans="2:5" ht="14.25" customHeight="1" x14ac:dyDescent="0.25">
      <c r="B823" s="103"/>
      <c r="D823" s="80"/>
      <c r="E823" s="80"/>
    </row>
    <row r="824" spans="2:5" ht="14.25" customHeight="1" x14ac:dyDescent="0.25">
      <c r="B824" s="103"/>
      <c r="D824" s="80"/>
      <c r="E824" s="80"/>
    </row>
    <row r="825" spans="2:5" ht="14.25" customHeight="1" x14ac:dyDescent="0.25">
      <c r="B825" s="103"/>
      <c r="D825" s="80"/>
      <c r="E825" s="80"/>
    </row>
    <row r="826" spans="2:5" ht="14.25" customHeight="1" x14ac:dyDescent="0.25">
      <c r="B826" s="103"/>
      <c r="D826" s="80"/>
      <c r="E826" s="80"/>
    </row>
    <row r="827" spans="2:5" ht="14.25" customHeight="1" x14ac:dyDescent="0.25">
      <c r="B827" s="103"/>
      <c r="D827" s="80"/>
      <c r="E827" s="80"/>
    </row>
    <row r="828" spans="2:5" ht="14.25" customHeight="1" x14ac:dyDescent="0.25">
      <c r="B828" s="103"/>
      <c r="D828" s="80"/>
      <c r="E828" s="80"/>
    </row>
    <row r="829" spans="2:5" ht="14.25" customHeight="1" x14ac:dyDescent="0.25">
      <c r="B829" s="103"/>
      <c r="D829" s="80"/>
      <c r="E829" s="80"/>
    </row>
    <row r="830" spans="2:5" ht="14.25" customHeight="1" x14ac:dyDescent="0.25">
      <c r="B830" s="103"/>
      <c r="D830" s="80"/>
      <c r="E830" s="80"/>
    </row>
    <row r="831" spans="2:5" ht="14.25" customHeight="1" x14ac:dyDescent="0.25">
      <c r="B831" s="103"/>
      <c r="D831" s="80"/>
      <c r="E831" s="80"/>
    </row>
    <row r="832" spans="2:5" ht="14.25" customHeight="1" x14ac:dyDescent="0.25">
      <c r="B832" s="103"/>
      <c r="D832" s="80"/>
      <c r="E832" s="80"/>
    </row>
    <row r="833" spans="2:5" ht="14.25" customHeight="1" x14ac:dyDescent="0.25">
      <c r="B833" s="103"/>
      <c r="D833" s="80"/>
      <c r="E833" s="80"/>
    </row>
    <row r="834" spans="2:5" ht="14.25" customHeight="1" x14ac:dyDescent="0.25">
      <c r="B834" s="103"/>
      <c r="D834" s="80"/>
      <c r="E834" s="80"/>
    </row>
    <row r="835" spans="2:5" ht="14.25" customHeight="1" x14ac:dyDescent="0.25">
      <c r="B835" s="103"/>
      <c r="D835" s="80"/>
      <c r="E835" s="80"/>
    </row>
    <row r="836" spans="2:5" ht="14.25" customHeight="1" x14ac:dyDescent="0.25">
      <c r="B836" s="103"/>
      <c r="D836" s="80"/>
      <c r="E836" s="80"/>
    </row>
    <row r="837" spans="2:5" ht="14.25" customHeight="1" x14ac:dyDescent="0.25">
      <c r="B837" s="103"/>
      <c r="D837" s="80"/>
      <c r="E837" s="80"/>
    </row>
    <row r="838" spans="2:5" ht="14.25" customHeight="1" x14ac:dyDescent="0.25">
      <c r="B838" s="103"/>
      <c r="D838" s="80"/>
      <c r="E838" s="80"/>
    </row>
    <row r="839" spans="2:5" ht="14.25" customHeight="1" x14ac:dyDescent="0.25">
      <c r="B839" s="103"/>
      <c r="D839" s="80"/>
      <c r="E839" s="80"/>
    </row>
    <row r="840" spans="2:5" ht="14.25" customHeight="1" x14ac:dyDescent="0.25">
      <c r="B840" s="103"/>
      <c r="D840" s="80"/>
      <c r="E840" s="80"/>
    </row>
    <row r="841" spans="2:5" ht="14.25" customHeight="1" x14ac:dyDescent="0.25">
      <c r="B841" s="103"/>
      <c r="D841" s="80"/>
      <c r="E841" s="80"/>
    </row>
    <row r="842" spans="2:5" ht="14.25" customHeight="1" x14ac:dyDescent="0.25">
      <c r="B842" s="103"/>
      <c r="D842" s="80"/>
      <c r="E842" s="80"/>
    </row>
    <row r="843" spans="2:5" ht="14.25" customHeight="1" x14ac:dyDescent="0.25">
      <c r="B843" s="103"/>
      <c r="D843" s="80"/>
      <c r="E843" s="80"/>
    </row>
    <row r="844" spans="2:5" ht="14.25" customHeight="1" x14ac:dyDescent="0.25">
      <c r="B844" s="103"/>
      <c r="D844" s="80"/>
      <c r="E844" s="80"/>
    </row>
    <row r="845" spans="2:5" ht="14.25" customHeight="1" x14ac:dyDescent="0.25">
      <c r="B845" s="103"/>
      <c r="D845" s="80"/>
      <c r="E845" s="80"/>
    </row>
    <row r="846" spans="2:5" ht="14.25" customHeight="1" x14ac:dyDescent="0.25">
      <c r="B846" s="103"/>
      <c r="D846" s="80"/>
      <c r="E846" s="80"/>
    </row>
    <row r="847" spans="2:5" ht="14.25" customHeight="1" x14ac:dyDescent="0.25">
      <c r="B847" s="103"/>
      <c r="D847" s="80"/>
      <c r="E847" s="80"/>
    </row>
    <row r="848" spans="2:5" ht="14.25" customHeight="1" x14ac:dyDescent="0.25">
      <c r="B848" s="103"/>
      <c r="D848" s="80"/>
      <c r="E848" s="80"/>
    </row>
    <row r="849" spans="2:5" ht="14.25" customHeight="1" x14ac:dyDescent="0.25">
      <c r="B849" s="103"/>
      <c r="D849" s="80"/>
      <c r="E849" s="80"/>
    </row>
    <row r="850" spans="2:5" ht="14.25" customHeight="1" x14ac:dyDescent="0.25">
      <c r="B850" s="103"/>
      <c r="D850" s="80"/>
      <c r="E850" s="80"/>
    </row>
    <row r="851" spans="2:5" ht="14.25" customHeight="1" x14ac:dyDescent="0.25">
      <c r="B851" s="103"/>
      <c r="D851" s="80"/>
      <c r="E851" s="80"/>
    </row>
    <row r="852" spans="2:5" ht="14.25" customHeight="1" x14ac:dyDescent="0.25">
      <c r="B852" s="103"/>
      <c r="D852" s="80"/>
      <c r="E852" s="80"/>
    </row>
    <row r="853" spans="2:5" ht="14.25" customHeight="1" x14ac:dyDescent="0.25">
      <c r="B853" s="103"/>
      <c r="D853" s="80"/>
      <c r="E853" s="80"/>
    </row>
    <row r="854" spans="2:5" ht="14.25" customHeight="1" x14ac:dyDescent="0.25">
      <c r="B854" s="103"/>
      <c r="D854" s="80"/>
      <c r="E854" s="80"/>
    </row>
    <row r="855" spans="2:5" ht="14.25" customHeight="1" x14ac:dyDescent="0.25">
      <c r="B855" s="103"/>
      <c r="D855" s="80"/>
      <c r="E855" s="80"/>
    </row>
    <row r="856" spans="2:5" ht="14.25" customHeight="1" x14ac:dyDescent="0.25">
      <c r="B856" s="103"/>
      <c r="D856" s="80"/>
      <c r="E856" s="80"/>
    </row>
    <row r="857" spans="2:5" ht="14.25" customHeight="1" x14ac:dyDescent="0.25">
      <c r="B857" s="103"/>
      <c r="D857" s="80"/>
      <c r="E857" s="80"/>
    </row>
    <row r="858" spans="2:5" ht="14.25" customHeight="1" x14ac:dyDescent="0.25">
      <c r="B858" s="103"/>
      <c r="D858" s="80"/>
      <c r="E858" s="80"/>
    </row>
    <row r="859" spans="2:5" ht="14.25" customHeight="1" x14ac:dyDescent="0.25">
      <c r="B859" s="103"/>
      <c r="D859" s="80"/>
      <c r="E859" s="80"/>
    </row>
    <row r="860" spans="2:5" ht="14.25" customHeight="1" x14ac:dyDescent="0.25">
      <c r="B860" s="103"/>
      <c r="D860" s="80"/>
      <c r="E860" s="80"/>
    </row>
    <row r="861" spans="2:5" ht="14.25" customHeight="1" x14ac:dyDescent="0.25">
      <c r="B861" s="103"/>
      <c r="D861" s="80"/>
      <c r="E861" s="80"/>
    </row>
    <row r="862" spans="2:5" ht="14.25" customHeight="1" x14ac:dyDescent="0.25">
      <c r="B862" s="103"/>
      <c r="D862" s="80"/>
      <c r="E862" s="80"/>
    </row>
    <row r="863" spans="2:5" ht="14.25" customHeight="1" x14ac:dyDescent="0.25">
      <c r="B863" s="103"/>
      <c r="D863" s="80"/>
      <c r="E863" s="80"/>
    </row>
    <row r="864" spans="2:5" ht="14.25" customHeight="1" x14ac:dyDescent="0.25">
      <c r="B864" s="103"/>
      <c r="D864" s="80"/>
      <c r="E864" s="80"/>
    </row>
    <row r="865" spans="2:5" ht="14.25" customHeight="1" x14ac:dyDescent="0.25">
      <c r="B865" s="103"/>
      <c r="D865" s="80"/>
      <c r="E865" s="80"/>
    </row>
    <row r="866" spans="2:5" ht="14.25" customHeight="1" x14ac:dyDescent="0.25">
      <c r="B866" s="103"/>
      <c r="D866" s="80"/>
      <c r="E866" s="80"/>
    </row>
    <row r="867" spans="2:5" ht="14.25" customHeight="1" x14ac:dyDescent="0.25">
      <c r="B867" s="103"/>
      <c r="D867" s="80"/>
      <c r="E867" s="80"/>
    </row>
    <row r="868" spans="2:5" ht="14.25" customHeight="1" x14ac:dyDescent="0.25">
      <c r="B868" s="103"/>
      <c r="D868" s="80"/>
      <c r="E868" s="80"/>
    </row>
    <row r="869" spans="2:5" ht="14.25" customHeight="1" x14ac:dyDescent="0.25">
      <c r="B869" s="103"/>
      <c r="D869" s="80"/>
      <c r="E869" s="80"/>
    </row>
    <row r="870" spans="2:5" ht="14.25" customHeight="1" x14ac:dyDescent="0.25">
      <c r="B870" s="103"/>
      <c r="D870" s="80"/>
      <c r="E870" s="80"/>
    </row>
    <row r="871" spans="2:5" ht="14.25" customHeight="1" x14ac:dyDescent="0.25">
      <c r="B871" s="103"/>
      <c r="D871" s="80"/>
      <c r="E871" s="80"/>
    </row>
    <row r="872" spans="2:5" ht="14.25" customHeight="1" x14ac:dyDescent="0.25">
      <c r="B872" s="103"/>
      <c r="D872" s="80"/>
      <c r="E872" s="80"/>
    </row>
    <row r="873" spans="2:5" ht="14.25" customHeight="1" x14ac:dyDescent="0.25">
      <c r="B873" s="103"/>
      <c r="D873" s="80"/>
      <c r="E873" s="80"/>
    </row>
    <row r="874" spans="2:5" ht="14.25" customHeight="1" x14ac:dyDescent="0.25">
      <c r="B874" s="103"/>
      <c r="D874" s="80"/>
      <c r="E874" s="80"/>
    </row>
    <row r="875" spans="2:5" ht="14.25" customHeight="1" x14ac:dyDescent="0.25">
      <c r="B875" s="103"/>
      <c r="D875" s="80"/>
      <c r="E875" s="80"/>
    </row>
    <row r="876" spans="2:5" ht="14.25" customHeight="1" x14ac:dyDescent="0.25">
      <c r="B876" s="103"/>
      <c r="D876" s="80"/>
      <c r="E876" s="80"/>
    </row>
    <row r="877" spans="2:5" ht="14.25" customHeight="1" x14ac:dyDescent="0.25">
      <c r="B877" s="103"/>
      <c r="D877" s="80"/>
      <c r="E877" s="80"/>
    </row>
    <row r="878" spans="2:5" ht="14.25" customHeight="1" x14ac:dyDescent="0.25">
      <c r="B878" s="103"/>
      <c r="D878" s="80"/>
      <c r="E878" s="80"/>
    </row>
    <row r="879" spans="2:5" ht="14.25" customHeight="1" x14ac:dyDescent="0.25">
      <c r="B879" s="103"/>
      <c r="D879" s="80"/>
      <c r="E879" s="80"/>
    </row>
    <row r="880" spans="2:5" ht="14.25" customHeight="1" x14ac:dyDescent="0.25">
      <c r="B880" s="103"/>
      <c r="D880" s="80"/>
      <c r="E880" s="80"/>
    </row>
    <row r="881" spans="2:5" ht="14.25" customHeight="1" x14ac:dyDescent="0.25">
      <c r="B881" s="103"/>
      <c r="D881" s="80"/>
      <c r="E881" s="80"/>
    </row>
    <row r="882" spans="2:5" ht="14.25" customHeight="1" x14ac:dyDescent="0.25">
      <c r="B882" s="103"/>
      <c r="D882" s="80"/>
      <c r="E882" s="80"/>
    </row>
    <row r="883" spans="2:5" ht="14.25" customHeight="1" x14ac:dyDescent="0.25">
      <c r="B883" s="103"/>
      <c r="D883" s="80"/>
      <c r="E883" s="80"/>
    </row>
    <row r="884" spans="2:5" ht="14.25" customHeight="1" x14ac:dyDescent="0.25">
      <c r="B884" s="103"/>
      <c r="D884" s="80"/>
      <c r="E884" s="80"/>
    </row>
    <row r="885" spans="2:5" ht="14.25" customHeight="1" x14ac:dyDescent="0.25">
      <c r="B885" s="103"/>
      <c r="D885" s="80"/>
      <c r="E885" s="80"/>
    </row>
    <row r="886" spans="2:5" ht="14.25" customHeight="1" x14ac:dyDescent="0.25">
      <c r="B886" s="103"/>
      <c r="D886" s="80"/>
      <c r="E886" s="80"/>
    </row>
    <row r="887" spans="2:5" ht="14.25" customHeight="1" x14ac:dyDescent="0.25">
      <c r="B887" s="103"/>
      <c r="D887" s="80"/>
      <c r="E887" s="80"/>
    </row>
    <row r="888" spans="2:5" ht="14.25" customHeight="1" x14ac:dyDescent="0.25">
      <c r="B888" s="103"/>
      <c r="D888" s="80"/>
      <c r="E888" s="80"/>
    </row>
    <row r="889" spans="2:5" ht="14.25" customHeight="1" x14ac:dyDescent="0.25">
      <c r="B889" s="103"/>
      <c r="D889" s="80"/>
      <c r="E889" s="80"/>
    </row>
    <row r="890" spans="2:5" ht="14.25" customHeight="1" x14ac:dyDescent="0.25">
      <c r="B890" s="103"/>
      <c r="D890" s="80"/>
      <c r="E890" s="80"/>
    </row>
    <row r="891" spans="2:5" ht="14.25" customHeight="1" x14ac:dyDescent="0.25">
      <c r="B891" s="103"/>
      <c r="D891" s="80"/>
      <c r="E891" s="80"/>
    </row>
    <row r="892" spans="2:5" ht="14.25" customHeight="1" x14ac:dyDescent="0.25">
      <c r="B892" s="103"/>
      <c r="D892" s="80"/>
      <c r="E892" s="80"/>
    </row>
    <row r="893" spans="2:5" ht="14.25" customHeight="1" x14ac:dyDescent="0.25">
      <c r="B893" s="103"/>
      <c r="D893" s="80"/>
      <c r="E893" s="80"/>
    </row>
    <row r="894" spans="2:5" ht="14.25" customHeight="1" x14ac:dyDescent="0.25">
      <c r="B894" s="103"/>
      <c r="D894" s="80"/>
      <c r="E894" s="80"/>
    </row>
    <row r="895" spans="2:5" ht="14.25" customHeight="1" x14ac:dyDescent="0.25">
      <c r="B895" s="103"/>
      <c r="D895" s="80"/>
      <c r="E895" s="80"/>
    </row>
    <row r="896" spans="2:5" ht="14.25" customHeight="1" x14ac:dyDescent="0.25">
      <c r="B896" s="103"/>
      <c r="D896" s="80"/>
      <c r="E896" s="80"/>
    </row>
    <row r="897" spans="2:5" ht="14.25" customHeight="1" x14ac:dyDescent="0.25">
      <c r="B897" s="103"/>
      <c r="D897" s="80"/>
      <c r="E897" s="80"/>
    </row>
    <row r="898" spans="2:5" ht="14.25" customHeight="1" x14ac:dyDescent="0.25">
      <c r="B898" s="103"/>
      <c r="D898" s="80"/>
      <c r="E898" s="80"/>
    </row>
    <row r="899" spans="2:5" ht="14.25" customHeight="1" x14ac:dyDescent="0.25">
      <c r="B899" s="103"/>
      <c r="D899" s="80"/>
      <c r="E899" s="80"/>
    </row>
    <row r="900" spans="2:5" ht="14.25" customHeight="1" x14ac:dyDescent="0.25">
      <c r="B900" s="103"/>
      <c r="D900" s="80"/>
      <c r="E900" s="80"/>
    </row>
    <row r="901" spans="2:5" ht="14.25" customHeight="1" x14ac:dyDescent="0.25">
      <c r="B901" s="103"/>
      <c r="D901" s="80"/>
      <c r="E901" s="80"/>
    </row>
    <row r="902" spans="2:5" ht="14.25" customHeight="1" x14ac:dyDescent="0.25">
      <c r="B902" s="103"/>
      <c r="D902" s="80"/>
      <c r="E902" s="80"/>
    </row>
    <row r="903" spans="2:5" ht="14.25" customHeight="1" x14ac:dyDescent="0.25">
      <c r="B903" s="103"/>
      <c r="D903" s="80"/>
      <c r="E903" s="80"/>
    </row>
    <row r="904" spans="2:5" ht="14.25" customHeight="1" x14ac:dyDescent="0.25">
      <c r="B904" s="103"/>
      <c r="D904" s="80"/>
      <c r="E904" s="80"/>
    </row>
    <row r="905" spans="2:5" ht="14.25" customHeight="1" x14ac:dyDescent="0.25">
      <c r="B905" s="103"/>
      <c r="D905" s="80"/>
      <c r="E905" s="80"/>
    </row>
    <row r="906" spans="2:5" ht="14.25" customHeight="1" x14ac:dyDescent="0.25">
      <c r="B906" s="103"/>
      <c r="D906" s="80"/>
      <c r="E906" s="80"/>
    </row>
    <row r="907" spans="2:5" ht="14.25" customHeight="1" x14ac:dyDescent="0.25">
      <c r="B907" s="103"/>
      <c r="D907" s="80"/>
      <c r="E907" s="80"/>
    </row>
    <row r="908" spans="2:5" ht="14.25" customHeight="1" x14ac:dyDescent="0.25">
      <c r="B908" s="103"/>
      <c r="D908" s="80"/>
      <c r="E908" s="80"/>
    </row>
    <row r="909" spans="2:5" ht="14.25" customHeight="1" x14ac:dyDescent="0.25">
      <c r="B909" s="103"/>
      <c r="D909" s="80"/>
      <c r="E909" s="80"/>
    </row>
    <row r="910" spans="2:5" ht="14.25" customHeight="1" x14ac:dyDescent="0.25">
      <c r="B910" s="103"/>
      <c r="D910" s="80"/>
      <c r="E910" s="80"/>
    </row>
    <row r="911" spans="2:5" ht="14.25" customHeight="1" x14ac:dyDescent="0.25">
      <c r="B911" s="103"/>
      <c r="D911" s="80"/>
      <c r="E911" s="80"/>
    </row>
    <row r="912" spans="2:5" ht="14.25" customHeight="1" x14ac:dyDescent="0.25">
      <c r="B912" s="103"/>
      <c r="D912" s="80"/>
      <c r="E912" s="80"/>
    </row>
    <row r="913" spans="2:5" ht="14.25" customHeight="1" x14ac:dyDescent="0.25">
      <c r="B913" s="103"/>
      <c r="D913" s="80"/>
      <c r="E913" s="80"/>
    </row>
    <row r="914" spans="2:5" ht="14.25" customHeight="1" x14ac:dyDescent="0.25">
      <c r="B914" s="103"/>
      <c r="D914" s="80"/>
      <c r="E914" s="80"/>
    </row>
    <row r="915" spans="2:5" ht="14.25" customHeight="1" x14ac:dyDescent="0.25">
      <c r="B915" s="103"/>
      <c r="D915" s="80"/>
      <c r="E915" s="80"/>
    </row>
    <row r="916" spans="2:5" ht="14.25" customHeight="1" x14ac:dyDescent="0.25">
      <c r="B916" s="103"/>
      <c r="D916" s="80"/>
      <c r="E916" s="80"/>
    </row>
    <row r="917" spans="2:5" ht="14.25" customHeight="1" x14ac:dyDescent="0.25">
      <c r="B917" s="103"/>
      <c r="D917" s="80"/>
      <c r="E917" s="80"/>
    </row>
    <row r="918" spans="2:5" ht="14.25" customHeight="1" x14ac:dyDescent="0.25">
      <c r="B918" s="103"/>
      <c r="D918" s="80"/>
      <c r="E918" s="80"/>
    </row>
    <row r="919" spans="2:5" ht="14.25" customHeight="1" x14ac:dyDescent="0.25">
      <c r="B919" s="103"/>
      <c r="D919" s="80"/>
      <c r="E919" s="80"/>
    </row>
    <row r="920" spans="2:5" ht="14.25" customHeight="1" x14ac:dyDescent="0.25">
      <c r="B920" s="103"/>
      <c r="D920" s="80"/>
      <c r="E920" s="80"/>
    </row>
    <row r="921" spans="2:5" ht="14.25" customHeight="1" x14ac:dyDescent="0.25">
      <c r="B921" s="103"/>
      <c r="D921" s="80"/>
      <c r="E921" s="80"/>
    </row>
    <row r="922" spans="2:5" ht="14.25" customHeight="1" x14ac:dyDescent="0.25">
      <c r="B922" s="103"/>
      <c r="D922" s="80"/>
      <c r="E922" s="80"/>
    </row>
    <row r="923" spans="2:5" ht="14.25" customHeight="1" x14ac:dyDescent="0.25">
      <c r="B923" s="103"/>
      <c r="D923" s="80"/>
      <c r="E923" s="80"/>
    </row>
    <row r="924" spans="2:5" ht="14.25" customHeight="1" x14ac:dyDescent="0.25">
      <c r="B924" s="103"/>
      <c r="D924" s="80"/>
      <c r="E924" s="80"/>
    </row>
    <row r="925" spans="2:5" ht="14.25" customHeight="1" x14ac:dyDescent="0.25">
      <c r="B925" s="103"/>
      <c r="D925" s="80"/>
      <c r="E925" s="80"/>
    </row>
    <row r="926" spans="2:5" ht="14.25" customHeight="1" x14ac:dyDescent="0.25">
      <c r="B926" s="103"/>
      <c r="D926" s="80"/>
      <c r="E926" s="80"/>
    </row>
    <row r="927" spans="2:5" ht="14.25" customHeight="1" x14ac:dyDescent="0.25">
      <c r="B927" s="103"/>
      <c r="D927" s="80"/>
      <c r="E927" s="80"/>
    </row>
    <row r="928" spans="2:5" ht="14.25" customHeight="1" x14ac:dyDescent="0.25">
      <c r="B928" s="103"/>
      <c r="D928" s="80"/>
      <c r="E928" s="80"/>
    </row>
    <row r="929" spans="2:5" ht="14.25" customHeight="1" x14ac:dyDescent="0.25">
      <c r="B929" s="103"/>
      <c r="D929" s="80"/>
      <c r="E929" s="80"/>
    </row>
    <row r="930" spans="2:5" ht="14.25" customHeight="1" x14ac:dyDescent="0.25">
      <c r="B930" s="103"/>
      <c r="D930" s="80"/>
      <c r="E930" s="80"/>
    </row>
    <row r="931" spans="2:5" ht="14.25" customHeight="1" x14ac:dyDescent="0.25">
      <c r="B931" s="103"/>
      <c r="D931" s="80"/>
      <c r="E931" s="80"/>
    </row>
    <row r="932" spans="2:5" ht="14.25" customHeight="1" x14ac:dyDescent="0.25">
      <c r="B932" s="103"/>
      <c r="D932" s="80"/>
      <c r="E932" s="80"/>
    </row>
    <row r="933" spans="2:5" ht="14.25" customHeight="1" x14ac:dyDescent="0.25">
      <c r="B933" s="103"/>
      <c r="D933" s="80"/>
      <c r="E933" s="80"/>
    </row>
    <row r="934" spans="2:5" ht="14.25" customHeight="1" x14ac:dyDescent="0.25">
      <c r="B934" s="103"/>
      <c r="D934" s="80"/>
      <c r="E934" s="80"/>
    </row>
    <row r="935" spans="2:5" ht="14.25" customHeight="1" x14ac:dyDescent="0.25">
      <c r="B935" s="103"/>
      <c r="D935" s="80"/>
      <c r="E935" s="80"/>
    </row>
    <row r="936" spans="2:5" ht="14.25" customHeight="1" x14ac:dyDescent="0.25">
      <c r="B936" s="103"/>
      <c r="D936" s="80"/>
      <c r="E936" s="80"/>
    </row>
    <row r="937" spans="2:5" ht="14.25" customHeight="1" x14ac:dyDescent="0.25">
      <c r="B937" s="103"/>
      <c r="D937" s="80"/>
      <c r="E937" s="80"/>
    </row>
    <row r="938" spans="2:5" ht="14.25" customHeight="1" x14ac:dyDescent="0.25">
      <c r="B938" s="103"/>
      <c r="D938" s="80"/>
      <c r="E938" s="80"/>
    </row>
    <row r="939" spans="2:5" ht="14.25" customHeight="1" x14ac:dyDescent="0.25">
      <c r="B939" s="103"/>
      <c r="D939" s="80"/>
      <c r="E939" s="80"/>
    </row>
    <row r="940" spans="2:5" ht="14.25" customHeight="1" x14ac:dyDescent="0.25">
      <c r="B940" s="103"/>
      <c r="D940" s="80"/>
      <c r="E940" s="80"/>
    </row>
    <row r="941" spans="2:5" ht="14.25" customHeight="1" x14ac:dyDescent="0.25">
      <c r="B941" s="103"/>
      <c r="D941" s="80"/>
      <c r="E941" s="80"/>
    </row>
    <row r="942" spans="2:5" ht="14.25" customHeight="1" x14ac:dyDescent="0.25">
      <c r="B942" s="103"/>
      <c r="D942" s="80"/>
      <c r="E942" s="80"/>
    </row>
    <row r="943" spans="2:5" ht="14.25" customHeight="1" x14ac:dyDescent="0.25">
      <c r="B943" s="103"/>
      <c r="D943" s="80"/>
      <c r="E943" s="80"/>
    </row>
    <row r="944" spans="2:5" ht="14.25" customHeight="1" x14ac:dyDescent="0.25">
      <c r="B944" s="103"/>
      <c r="D944" s="80"/>
      <c r="E944" s="80"/>
    </row>
    <row r="945" spans="2:5" ht="14.25" customHeight="1" x14ac:dyDescent="0.25">
      <c r="B945" s="103"/>
      <c r="D945" s="80"/>
      <c r="E945" s="80"/>
    </row>
    <row r="946" spans="2:5" ht="14.25" customHeight="1" x14ac:dyDescent="0.25">
      <c r="B946" s="103"/>
      <c r="D946" s="80"/>
      <c r="E946" s="80"/>
    </row>
    <row r="947" spans="2:5" ht="14.25" customHeight="1" x14ac:dyDescent="0.25">
      <c r="B947" s="103"/>
      <c r="D947" s="80"/>
      <c r="E947" s="80"/>
    </row>
    <row r="948" spans="2:5" ht="14.25" customHeight="1" x14ac:dyDescent="0.25">
      <c r="B948" s="103"/>
      <c r="D948" s="80"/>
      <c r="E948" s="80"/>
    </row>
    <row r="949" spans="2:5" ht="14.25" customHeight="1" x14ac:dyDescent="0.25">
      <c r="B949" s="103"/>
      <c r="D949" s="80"/>
      <c r="E949" s="80"/>
    </row>
    <row r="950" spans="2:5" ht="14.25" customHeight="1" x14ac:dyDescent="0.25">
      <c r="B950" s="103"/>
      <c r="D950" s="80"/>
      <c r="E950" s="80"/>
    </row>
    <row r="951" spans="2:5" ht="14.25" customHeight="1" x14ac:dyDescent="0.25">
      <c r="B951" s="103"/>
      <c r="D951" s="80"/>
      <c r="E951" s="80"/>
    </row>
    <row r="952" spans="2:5" ht="14.25" customHeight="1" x14ac:dyDescent="0.25">
      <c r="B952" s="103"/>
      <c r="D952" s="80"/>
      <c r="E952" s="80"/>
    </row>
    <row r="953" spans="2:5" ht="14.25" customHeight="1" x14ac:dyDescent="0.25">
      <c r="B953" s="103"/>
      <c r="D953" s="80"/>
      <c r="E953" s="80"/>
    </row>
    <row r="954" spans="2:5" ht="14.25" customHeight="1" x14ac:dyDescent="0.25">
      <c r="B954" s="103"/>
      <c r="D954" s="80"/>
      <c r="E954" s="80"/>
    </row>
    <row r="955" spans="2:5" ht="14.25" customHeight="1" x14ac:dyDescent="0.25">
      <c r="B955" s="103"/>
      <c r="D955" s="80"/>
      <c r="E955" s="80"/>
    </row>
    <row r="956" spans="2:5" ht="14.25" customHeight="1" x14ac:dyDescent="0.25">
      <c r="B956" s="103"/>
      <c r="D956" s="80"/>
      <c r="E956" s="80"/>
    </row>
    <row r="957" spans="2:5" ht="14.25" customHeight="1" x14ac:dyDescent="0.25">
      <c r="B957" s="103"/>
      <c r="D957" s="80"/>
      <c r="E957" s="80"/>
    </row>
    <row r="958" spans="2:5" ht="14.25" customHeight="1" x14ac:dyDescent="0.25">
      <c r="B958" s="103"/>
      <c r="D958" s="80"/>
      <c r="E958" s="80"/>
    </row>
    <row r="959" spans="2:5" ht="14.25" customHeight="1" x14ac:dyDescent="0.25">
      <c r="B959" s="103"/>
      <c r="D959" s="80"/>
      <c r="E959" s="80"/>
    </row>
    <row r="960" spans="2:5" ht="14.25" customHeight="1" x14ac:dyDescent="0.25">
      <c r="B960" s="103"/>
      <c r="D960" s="80"/>
      <c r="E960" s="80"/>
    </row>
    <row r="961" spans="2:5" ht="14.25" customHeight="1" x14ac:dyDescent="0.25">
      <c r="B961" s="103"/>
      <c r="D961" s="80"/>
      <c r="E961" s="80"/>
    </row>
    <row r="962" spans="2:5" ht="14.25" customHeight="1" x14ac:dyDescent="0.25">
      <c r="B962" s="103"/>
      <c r="D962" s="80"/>
      <c r="E962" s="80"/>
    </row>
    <row r="963" spans="2:5" ht="14.25" customHeight="1" x14ac:dyDescent="0.25">
      <c r="B963" s="103"/>
      <c r="D963" s="80"/>
      <c r="E963" s="80"/>
    </row>
    <row r="964" spans="2:5" ht="14.25" customHeight="1" x14ac:dyDescent="0.25">
      <c r="B964" s="103"/>
      <c r="D964" s="80"/>
      <c r="E964" s="80"/>
    </row>
    <row r="965" spans="2:5" ht="14.25" customHeight="1" x14ac:dyDescent="0.25">
      <c r="B965" s="103"/>
      <c r="D965" s="80"/>
      <c r="E965" s="80"/>
    </row>
    <row r="966" spans="2:5" ht="14.25" customHeight="1" x14ac:dyDescent="0.25">
      <c r="B966" s="103"/>
      <c r="D966" s="80"/>
      <c r="E966" s="80"/>
    </row>
    <row r="967" spans="2:5" ht="14.25" customHeight="1" x14ac:dyDescent="0.25">
      <c r="B967" s="103"/>
      <c r="D967" s="80"/>
      <c r="E967" s="80"/>
    </row>
    <row r="968" spans="2:5" ht="14.25" customHeight="1" x14ac:dyDescent="0.25">
      <c r="B968" s="103"/>
      <c r="D968" s="80"/>
      <c r="E968" s="80"/>
    </row>
    <row r="969" spans="2:5" ht="14.25" customHeight="1" x14ac:dyDescent="0.25">
      <c r="B969" s="103"/>
      <c r="D969" s="80"/>
      <c r="E969" s="80"/>
    </row>
    <row r="970" spans="2:5" ht="14.25" customHeight="1" x14ac:dyDescent="0.25">
      <c r="B970" s="103"/>
      <c r="D970" s="80"/>
      <c r="E970" s="80"/>
    </row>
    <row r="971" spans="2:5" ht="14.25" customHeight="1" x14ac:dyDescent="0.25">
      <c r="B971" s="103"/>
      <c r="D971" s="80"/>
      <c r="E971" s="80"/>
    </row>
    <row r="972" spans="2:5" ht="14.25" customHeight="1" x14ac:dyDescent="0.25">
      <c r="B972" s="103"/>
      <c r="D972" s="80"/>
      <c r="E972" s="80"/>
    </row>
    <row r="973" spans="2:5" ht="14.25" customHeight="1" x14ac:dyDescent="0.25">
      <c r="B973" s="103"/>
      <c r="D973" s="80"/>
      <c r="E973" s="80"/>
    </row>
    <row r="974" spans="2:5" ht="14.25" customHeight="1" x14ac:dyDescent="0.25">
      <c r="B974" s="103"/>
      <c r="D974" s="80"/>
      <c r="E974" s="80"/>
    </row>
    <row r="975" spans="2:5" ht="14.25" customHeight="1" x14ac:dyDescent="0.25">
      <c r="B975" s="103"/>
      <c r="D975" s="80"/>
      <c r="E975" s="80"/>
    </row>
    <row r="976" spans="2:5" ht="14.25" customHeight="1" x14ac:dyDescent="0.25">
      <c r="B976" s="103"/>
      <c r="D976" s="80"/>
      <c r="E976" s="80"/>
    </row>
    <row r="977" spans="2:5" ht="14.25" customHeight="1" x14ac:dyDescent="0.25">
      <c r="B977" s="103"/>
      <c r="D977" s="80"/>
      <c r="E977" s="80"/>
    </row>
    <row r="978" spans="2:5" ht="14.25" customHeight="1" x14ac:dyDescent="0.25">
      <c r="B978" s="103"/>
      <c r="D978" s="80"/>
      <c r="E978" s="80"/>
    </row>
    <row r="979" spans="2:5" ht="14.25" customHeight="1" x14ac:dyDescent="0.25">
      <c r="B979" s="103"/>
      <c r="D979" s="80"/>
      <c r="E979" s="80"/>
    </row>
    <row r="980" spans="2:5" ht="14.25" customHeight="1" x14ac:dyDescent="0.25">
      <c r="B980" s="103"/>
      <c r="D980" s="80"/>
      <c r="E980" s="80"/>
    </row>
    <row r="981" spans="2:5" ht="14.25" customHeight="1" x14ac:dyDescent="0.25">
      <c r="B981" s="103"/>
      <c r="D981" s="80"/>
      <c r="E981" s="80"/>
    </row>
    <row r="982" spans="2:5" ht="14.25" customHeight="1" x14ac:dyDescent="0.25">
      <c r="B982" s="103"/>
      <c r="D982" s="80"/>
      <c r="E982" s="80"/>
    </row>
    <row r="983" spans="2:5" ht="14.25" customHeight="1" x14ac:dyDescent="0.25">
      <c r="B983" s="103"/>
      <c r="D983" s="80"/>
      <c r="E983" s="80"/>
    </row>
    <row r="984" spans="2:5" ht="14.25" customHeight="1" x14ac:dyDescent="0.25">
      <c r="B984" s="103"/>
      <c r="D984" s="80"/>
      <c r="E984" s="80"/>
    </row>
    <row r="985" spans="2:5" ht="14.25" customHeight="1" x14ac:dyDescent="0.25">
      <c r="B985" s="103"/>
      <c r="D985" s="80"/>
      <c r="E985" s="80"/>
    </row>
    <row r="986" spans="2:5" ht="14.25" customHeight="1" x14ac:dyDescent="0.25">
      <c r="B986" s="103"/>
      <c r="D986" s="80"/>
      <c r="E986" s="80"/>
    </row>
    <row r="987" spans="2:5" ht="14.25" customHeight="1" x14ac:dyDescent="0.25">
      <c r="B987" s="103"/>
      <c r="D987" s="80"/>
      <c r="E987" s="80"/>
    </row>
    <row r="988" spans="2:5" ht="14.25" customHeight="1" x14ac:dyDescent="0.25">
      <c r="B988" s="103"/>
      <c r="D988" s="80"/>
      <c r="E988" s="80"/>
    </row>
    <row r="989" spans="2:5" ht="14.25" customHeight="1" x14ac:dyDescent="0.25">
      <c r="B989" s="103"/>
      <c r="D989" s="80"/>
      <c r="E989" s="80"/>
    </row>
    <row r="990" spans="2:5" ht="14.25" customHeight="1" x14ac:dyDescent="0.25">
      <c r="B990" s="103"/>
      <c r="D990" s="80"/>
      <c r="E990" s="80"/>
    </row>
    <row r="991" spans="2:5" ht="14.25" customHeight="1" x14ac:dyDescent="0.25">
      <c r="B991" s="103"/>
      <c r="D991" s="80"/>
      <c r="E991" s="80"/>
    </row>
    <row r="992" spans="2:5" ht="14.25" customHeight="1" x14ac:dyDescent="0.25">
      <c r="B992" s="103"/>
      <c r="D992" s="80"/>
      <c r="E992" s="80"/>
    </row>
    <row r="993" spans="2:5" ht="14.25" customHeight="1" x14ac:dyDescent="0.25">
      <c r="B993" s="103"/>
      <c r="D993" s="80"/>
      <c r="E993" s="80"/>
    </row>
    <row r="994" spans="2:5" ht="14.25" customHeight="1" x14ac:dyDescent="0.25">
      <c r="B994" s="103"/>
      <c r="D994" s="80"/>
      <c r="E994" s="80"/>
    </row>
    <row r="995" spans="2:5" ht="14.25" customHeight="1" x14ac:dyDescent="0.25">
      <c r="B995" s="103"/>
      <c r="D995" s="80"/>
      <c r="E995" s="80"/>
    </row>
    <row r="996" spans="2:5" ht="14.25" customHeight="1" x14ac:dyDescent="0.25">
      <c r="B996" s="103"/>
      <c r="D996" s="80"/>
      <c r="E996" s="80"/>
    </row>
    <row r="997" spans="2:5" ht="14.25" customHeight="1" x14ac:dyDescent="0.25">
      <c r="B997" s="103"/>
      <c r="D997" s="80"/>
      <c r="E997" s="80"/>
    </row>
    <row r="998" spans="2:5" ht="14.25" customHeight="1" x14ac:dyDescent="0.25">
      <c r="B998" s="103"/>
      <c r="D998" s="80"/>
      <c r="E998" s="80"/>
    </row>
    <row r="999" spans="2:5" ht="14.25" customHeight="1" x14ac:dyDescent="0.25">
      <c r="B999" s="103"/>
      <c r="D999" s="80"/>
      <c r="E999" s="80"/>
    </row>
    <row r="1000" spans="2:5" ht="14.25" customHeight="1" x14ac:dyDescent="0.25">
      <c r="B1000" s="103"/>
      <c r="D1000" s="80"/>
      <c r="E1000" s="80"/>
    </row>
    <row r="1001" spans="2:5" ht="14.25" customHeight="1" x14ac:dyDescent="0.25">
      <c r="B1001" s="103"/>
      <c r="D1001" s="80"/>
      <c r="E1001" s="80"/>
    </row>
    <row r="1002" spans="2:5" ht="14.25" customHeight="1" x14ac:dyDescent="0.25">
      <c r="B1002" s="103"/>
      <c r="D1002" s="80"/>
      <c r="E1002" s="80"/>
    </row>
    <row r="1003" spans="2:5" ht="14.25" customHeight="1" x14ac:dyDescent="0.25">
      <c r="B1003" s="103"/>
      <c r="D1003" s="80"/>
      <c r="E1003" s="80"/>
    </row>
    <row r="1004" spans="2:5" ht="14.25" customHeight="1" x14ac:dyDescent="0.25">
      <c r="B1004" s="103"/>
      <c r="D1004" s="80"/>
      <c r="E1004" s="80"/>
    </row>
    <row r="1005" spans="2:5" ht="14.25" customHeight="1" x14ac:dyDescent="0.25">
      <c r="B1005" s="103"/>
      <c r="D1005" s="80"/>
      <c r="E1005" s="80"/>
    </row>
    <row r="1006" spans="2:5" ht="14.25" customHeight="1" x14ac:dyDescent="0.25">
      <c r="B1006" s="103"/>
      <c r="D1006" s="80"/>
      <c r="E1006" s="80"/>
    </row>
    <row r="1007" spans="2:5" ht="14.25" customHeight="1" x14ac:dyDescent="0.25">
      <c r="B1007" s="103"/>
      <c r="D1007" s="80"/>
      <c r="E1007" s="80"/>
    </row>
    <row r="1008" spans="2:5" ht="14.25" customHeight="1" x14ac:dyDescent="0.25">
      <c r="B1008" s="103"/>
      <c r="D1008" s="80"/>
      <c r="E1008" s="80"/>
    </row>
    <row r="1009" spans="2:5" ht="14.25" customHeight="1" x14ac:dyDescent="0.25">
      <c r="B1009" s="103"/>
      <c r="D1009" s="80"/>
      <c r="E1009" s="80"/>
    </row>
    <row r="1010" spans="2:5" ht="14.25" customHeight="1" x14ac:dyDescent="0.25">
      <c r="B1010" s="103"/>
      <c r="D1010" s="80"/>
      <c r="E1010" s="80"/>
    </row>
    <row r="1011" spans="2:5" ht="14.25" customHeight="1" x14ac:dyDescent="0.25">
      <c r="B1011" s="103"/>
      <c r="D1011" s="80"/>
      <c r="E1011" s="80"/>
    </row>
    <row r="1012" spans="2:5" ht="14.25" customHeight="1" x14ac:dyDescent="0.25">
      <c r="B1012" s="103"/>
      <c r="D1012" s="80"/>
      <c r="E1012" s="80"/>
    </row>
    <row r="1013" spans="2:5" ht="14.25" customHeight="1" x14ac:dyDescent="0.25">
      <c r="B1013" s="103"/>
      <c r="D1013" s="80"/>
      <c r="E1013" s="80"/>
    </row>
    <row r="1014" spans="2:5" ht="14.25" customHeight="1" x14ac:dyDescent="0.25">
      <c r="B1014" s="103"/>
      <c r="D1014" s="80"/>
      <c r="E1014" s="80"/>
    </row>
    <row r="1015" spans="2:5" ht="14.25" customHeight="1" x14ac:dyDescent="0.25">
      <c r="B1015" s="103"/>
      <c r="D1015" s="80"/>
      <c r="E1015" s="80"/>
    </row>
    <row r="1016" spans="2:5" ht="14.25" customHeight="1" x14ac:dyDescent="0.25">
      <c r="B1016" s="103"/>
      <c r="D1016" s="80"/>
      <c r="E1016" s="80"/>
    </row>
    <row r="1017" spans="2:5" ht="14.25" customHeight="1" x14ac:dyDescent="0.25">
      <c r="B1017" s="103"/>
      <c r="D1017" s="80"/>
      <c r="E1017" s="80"/>
    </row>
    <row r="1018" spans="2:5" ht="14.25" customHeight="1" x14ac:dyDescent="0.25">
      <c r="B1018" s="103"/>
      <c r="D1018" s="80"/>
      <c r="E1018" s="80"/>
    </row>
    <row r="1019" spans="2:5" ht="14.25" customHeight="1" x14ac:dyDescent="0.25">
      <c r="B1019" s="103"/>
      <c r="D1019" s="80"/>
      <c r="E1019" s="80"/>
    </row>
    <row r="1020" spans="2:5" ht="14.25" customHeight="1" x14ac:dyDescent="0.25">
      <c r="B1020" s="103"/>
      <c r="D1020" s="80"/>
      <c r="E1020" s="80"/>
    </row>
    <row r="1021" spans="2:5" ht="14.25" customHeight="1" x14ac:dyDescent="0.25">
      <c r="B1021" s="103"/>
      <c r="D1021" s="80"/>
      <c r="E1021" s="80"/>
    </row>
    <row r="1022" spans="2:5" ht="14.25" customHeight="1" x14ac:dyDescent="0.25">
      <c r="B1022" s="103"/>
      <c r="D1022" s="80"/>
      <c r="E1022" s="80"/>
    </row>
    <row r="1023" spans="2:5" ht="14.25" customHeight="1" x14ac:dyDescent="0.25">
      <c r="B1023" s="103"/>
      <c r="D1023" s="80"/>
      <c r="E1023" s="80"/>
    </row>
    <row r="1024" spans="2:5" ht="14.25" customHeight="1" x14ac:dyDescent="0.25">
      <c r="B1024" s="103"/>
      <c r="D1024" s="80"/>
      <c r="E1024" s="80"/>
    </row>
    <row r="1025" spans="2:5" ht="14.25" customHeight="1" x14ac:dyDescent="0.25">
      <c r="B1025" s="103"/>
      <c r="D1025" s="80"/>
      <c r="E1025" s="80"/>
    </row>
    <row r="1026" spans="2:5" ht="14.25" customHeight="1" x14ac:dyDescent="0.25">
      <c r="B1026" s="103"/>
      <c r="D1026" s="80"/>
      <c r="E1026" s="80"/>
    </row>
    <row r="1027" spans="2:5" ht="14.25" customHeight="1" x14ac:dyDescent="0.25">
      <c r="B1027" s="103"/>
      <c r="D1027" s="80"/>
      <c r="E1027" s="80"/>
    </row>
    <row r="1028" spans="2:5" ht="14.25" customHeight="1" x14ac:dyDescent="0.25">
      <c r="B1028" s="103"/>
      <c r="D1028" s="80"/>
      <c r="E1028" s="80"/>
    </row>
    <row r="1029" spans="2:5" ht="14.25" customHeight="1" x14ac:dyDescent="0.25">
      <c r="B1029" s="103"/>
      <c r="D1029" s="80"/>
      <c r="E1029" s="80"/>
    </row>
    <row r="1030" spans="2:5" ht="14.25" customHeight="1" x14ac:dyDescent="0.25">
      <c r="B1030" s="103"/>
      <c r="D1030" s="80"/>
      <c r="E1030" s="80"/>
    </row>
    <row r="1031" spans="2:5" ht="14.25" customHeight="1" x14ac:dyDescent="0.25">
      <c r="B1031" s="103"/>
      <c r="D1031" s="80"/>
      <c r="E1031" s="80"/>
    </row>
    <row r="1032" spans="2:5" ht="14.25" customHeight="1" x14ac:dyDescent="0.25">
      <c r="B1032" s="103"/>
      <c r="D1032" s="80"/>
      <c r="E1032" s="80"/>
    </row>
    <row r="1033" spans="2:5" ht="14.25" customHeight="1" x14ac:dyDescent="0.25">
      <c r="B1033" s="103"/>
      <c r="D1033" s="80"/>
      <c r="E1033" s="80"/>
    </row>
    <row r="1034" spans="2:5" ht="14.25" customHeight="1" x14ac:dyDescent="0.25">
      <c r="B1034" s="103"/>
      <c r="D1034" s="80"/>
      <c r="E1034" s="80"/>
    </row>
    <row r="1035" spans="2:5" ht="14.25" customHeight="1" x14ac:dyDescent="0.25">
      <c r="B1035" s="103"/>
      <c r="D1035" s="80"/>
      <c r="E1035" s="80"/>
    </row>
    <row r="1036" spans="2:5" ht="14.25" customHeight="1" x14ac:dyDescent="0.25">
      <c r="B1036" s="103"/>
      <c r="D1036" s="80"/>
      <c r="E1036" s="80"/>
    </row>
    <row r="1037" spans="2:5" ht="14.25" customHeight="1" x14ac:dyDescent="0.25">
      <c r="B1037" s="103"/>
      <c r="D1037" s="80"/>
      <c r="E1037" s="80"/>
    </row>
    <row r="1038" spans="2:5" ht="14.25" customHeight="1" x14ac:dyDescent="0.25">
      <c r="B1038" s="103"/>
      <c r="D1038" s="80"/>
      <c r="E1038" s="80"/>
    </row>
    <row r="1039" spans="2:5" ht="14.25" customHeight="1" x14ac:dyDescent="0.25">
      <c r="B1039" s="103"/>
      <c r="D1039" s="80"/>
      <c r="E1039" s="80"/>
    </row>
    <row r="1040" spans="2:5" ht="14.25" customHeight="1" x14ac:dyDescent="0.25">
      <c r="B1040" s="103"/>
      <c r="D1040" s="80"/>
      <c r="E1040" s="80"/>
    </row>
    <row r="1041" spans="2:5" ht="14.25" customHeight="1" x14ac:dyDescent="0.25">
      <c r="B1041" s="103"/>
      <c r="D1041" s="80"/>
      <c r="E1041" s="80"/>
    </row>
    <row r="1042" spans="2:5" ht="14.25" customHeight="1" x14ac:dyDescent="0.25">
      <c r="B1042" s="103"/>
      <c r="D1042" s="80"/>
      <c r="E1042" s="80"/>
    </row>
    <row r="1043" spans="2:5" ht="14.25" customHeight="1" x14ac:dyDescent="0.25">
      <c r="B1043" s="103"/>
      <c r="D1043" s="80"/>
      <c r="E1043" s="80"/>
    </row>
    <row r="1044" spans="2:5" ht="14.25" customHeight="1" x14ac:dyDescent="0.25">
      <c r="B1044" s="103"/>
      <c r="D1044" s="80"/>
      <c r="E1044" s="80"/>
    </row>
    <row r="1045" spans="2:5" ht="14.25" customHeight="1" x14ac:dyDescent="0.25">
      <c r="B1045" s="103"/>
      <c r="D1045" s="80"/>
      <c r="E1045" s="80"/>
    </row>
    <row r="1046" spans="2:5" ht="14.25" customHeight="1" x14ac:dyDescent="0.25">
      <c r="B1046" s="103"/>
      <c r="D1046" s="80"/>
      <c r="E1046" s="80"/>
    </row>
    <row r="1047" spans="2:5" ht="14.25" customHeight="1" x14ac:dyDescent="0.25">
      <c r="B1047" s="103"/>
      <c r="D1047" s="80"/>
      <c r="E1047" s="80"/>
    </row>
    <row r="1048" spans="2:5" ht="14.25" customHeight="1" x14ac:dyDescent="0.25">
      <c r="B1048" s="103"/>
      <c r="D1048" s="80"/>
      <c r="E1048" s="80"/>
    </row>
    <row r="1049" spans="2:5" ht="14.25" customHeight="1" x14ac:dyDescent="0.25">
      <c r="B1049" s="103"/>
      <c r="D1049" s="80"/>
      <c r="E1049" s="80"/>
    </row>
    <row r="1050" spans="2:5" ht="14.25" customHeight="1" x14ac:dyDescent="0.25">
      <c r="B1050" s="103"/>
      <c r="D1050" s="80"/>
      <c r="E1050" s="80"/>
    </row>
    <row r="1051" spans="2:5" ht="14.25" customHeight="1" x14ac:dyDescent="0.25">
      <c r="B1051" s="103"/>
      <c r="D1051" s="80"/>
      <c r="E1051" s="80"/>
    </row>
    <row r="1052" spans="2:5" ht="14.25" customHeight="1" x14ac:dyDescent="0.25">
      <c r="B1052" s="103"/>
      <c r="D1052" s="80"/>
      <c r="E1052" s="80"/>
    </row>
    <row r="1053" spans="2:5" ht="14.25" customHeight="1" x14ac:dyDescent="0.25">
      <c r="B1053" s="103"/>
      <c r="D1053" s="80"/>
      <c r="E1053" s="80"/>
    </row>
    <row r="1054" spans="2:5" ht="14.25" customHeight="1" x14ac:dyDescent="0.25">
      <c r="B1054" s="103"/>
      <c r="D1054" s="80"/>
      <c r="E1054" s="80"/>
    </row>
    <row r="1055" spans="2:5" ht="14.25" customHeight="1" x14ac:dyDescent="0.25">
      <c r="B1055" s="103"/>
      <c r="D1055" s="80"/>
      <c r="E1055" s="80"/>
    </row>
    <row r="1056" spans="2:5" ht="14.25" customHeight="1" x14ac:dyDescent="0.25">
      <c r="B1056" s="103"/>
      <c r="D1056" s="80"/>
      <c r="E1056" s="80"/>
    </row>
    <row r="1057" spans="2:5" ht="14.25" customHeight="1" x14ac:dyDescent="0.25">
      <c r="B1057" s="103"/>
      <c r="D1057" s="80"/>
      <c r="E1057" s="80"/>
    </row>
    <row r="1058" spans="2:5" ht="14.25" customHeight="1" x14ac:dyDescent="0.25">
      <c r="B1058" s="103"/>
      <c r="D1058" s="80"/>
      <c r="E1058" s="80"/>
    </row>
    <row r="1059" spans="2:5" ht="14.25" customHeight="1" x14ac:dyDescent="0.25">
      <c r="B1059" s="103"/>
      <c r="D1059" s="80"/>
      <c r="E1059" s="80"/>
    </row>
    <row r="1060" spans="2:5" ht="14.25" customHeight="1" x14ac:dyDescent="0.25">
      <c r="B1060" s="103"/>
      <c r="D1060" s="80"/>
      <c r="E1060" s="80"/>
    </row>
    <row r="1061" spans="2:5" ht="14.25" customHeight="1" x14ac:dyDescent="0.25">
      <c r="B1061" s="103"/>
      <c r="D1061" s="80"/>
      <c r="E1061" s="80"/>
    </row>
    <row r="1062" spans="2:5" ht="14.25" customHeight="1" x14ac:dyDescent="0.25">
      <c r="B1062" s="103"/>
      <c r="D1062" s="80"/>
      <c r="E1062" s="80"/>
    </row>
    <row r="1063" spans="2:5" ht="14.25" customHeight="1" x14ac:dyDescent="0.25">
      <c r="B1063" s="103"/>
      <c r="D1063" s="80"/>
      <c r="E1063" s="80"/>
    </row>
    <row r="1064" spans="2:5" ht="14.25" customHeight="1" x14ac:dyDescent="0.25">
      <c r="B1064" s="103"/>
      <c r="D1064" s="80"/>
      <c r="E1064" s="80"/>
    </row>
    <row r="1065" spans="2:5" ht="14.25" customHeight="1" x14ac:dyDescent="0.25">
      <c r="B1065" s="103"/>
      <c r="D1065" s="80"/>
      <c r="E1065" s="80"/>
    </row>
    <row r="1066" spans="2:5" ht="14.25" customHeight="1" x14ac:dyDescent="0.25">
      <c r="B1066" s="103"/>
      <c r="D1066" s="80"/>
      <c r="E1066" s="80"/>
    </row>
    <row r="1067" spans="2:5" ht="14.25" customHeight="1" x14ac:dyDescent="0.25">
      <c r="B1067" s="103"/>
      <c r="D1067" s="80"/>
      <c r="E1067" s="80"/>
    </row>
    <row r="1068" spans="2:5" ht="14.25" customHeight="1" x14ac:dyDescent="0.25">
      <c r="B1068" s="103"/>
      <c r="D1068" s="80"/>
      <c r="E1068" s="80"/>
    </row>
    <row r="1069" spans="2:5" ht="14.25" customHeight="1" x14ac:dyDescent="0.25">
      <c r="B1069" s="103"/>
      <c r="D1069" s="80"/>
      <c r="E1069" s="80"/>
    </row>
    <row r="1070" spans="2:5" ht="14.25" customHeight="1" x14ac:dyDescent="0.25">
      <c r="B1070" s="103"/>
      <c r="D1070" s="80"/>
      <c r="E1070" s="80"/>
    </row>
    <row r="1071" spans="2:5" ht="14.25" customHeight="1" x14ac:dyDescent="0.25">
      <c r="B1071" s="103"/>
      <c r="D1071" s="80"/>
      <c r="E1071" s="80"/>
    </row>
    <row r="1072" spans="2:5" ht="14.25" customHeight="1" x14ac:dyDescent="0.25">
      <c r="B1072" s="103"/>
      <c r="D1072" s="80"/>
      <c r="E1072" s="80"/>
    </row>
    <row r="1073" spans="2:5" ht="14.25" customHeight="1" x14ac:dyDescent="0.25">
      <c r="B1073" s="103"/>
      <c r="D1073" s="80"/>
      <c r="E1073" s="80"/>
    </row>
    <row r="1074" spans="2:5" ht="14.25" customHeight="1" x14ac:dyDescent="0.25">
      <c r="B1074" s="103"/>
      <c r="D1074" s="80"/>
      <c r="E1074" s="80"/>
    </row>
    <row r="1075" spans="2:5" ht="14.25" customHeight="1" x14ac:dyDescent="0.25">
      <c r="B1075" s="103"/>
      <c r="D1075" s="80"/>
      <c r="E1075" s="80"/>
    </row>
    <row r="1076" spans="2:5" ht="14.25" customHeight="1" x14ac:dyDescent="0.25">
      <c r="B1076" s="103"/>
      <c r="D1076" s="80"/>
      <c r="E1076" s="80"/>
    </row>
    <row r="1077" spans="2:5" ht="14.25" customHeight="1" x14ac:dyDescent="0.25">
      <c r="B1077" s="103"/>
      <c r="D1077" s="80"/>
      <c r="E1077" s="80"/>
    </row>
    <row r="1078" spans="2:5" ht="14.25" customHeight="1" x14ac:dyDescent="0.25">
      <c r="B1078" s="103"/>
      <c r="D1078" s="80"/>
      <c r="E1078" s="80"/>
    </row>
    <row r="1079" spans="2:5" ht="14.25" customHeight="1" x14ac:dyDescent="0.25">
      <c r="B1079" s="103"/>
      <c r="D1079" s="80"/>
      <c r="E1079" s="80"/>
    </row>
    <row r="1080" spans="2:5" ht="14.25" customHeight="1" x14ac:dyDescent="0.25">
      <c r="B1080" s="103"/>
      <c r="D1080" s="80"/>
      <c r="E1080" s="80"/>
    </row>
    <row r="1081" spans="2:5" ht="14.25" customHeight="1" x14ac:dyDescent="0.25">
      <c r="B1081" s="103"/>
      <c r="D1081" s="80"/>
      <c r="E1081" s="80"/>
    </row>
    <row r="1082" spans="2:5" ht="14.25" customHeight="1" x14ac:dyDescent="0.25">
      <c r="B1082" s="103"/>
      <c r="D1082" s="80"/>
      <c r="E1082" s="80"/>
    </row>
    <row r="1083" spans="2:5" ht="14.25" customHeight="1" x14ac:dyDescent="0.25">
      <c r="B1083" s="103"/>
      <c r="D1083" s="80"/>
      <c r="E1083" s="80"/>
    </row>
    <row r="1084" spans="2:5" ht="14.25" customHeight="1" x14ac:dyDescent="0.25">
      <c r="B1084" s="103"/>
      <c r="D1084" s="80"/>
      <c r="E1084" s="80"/>
    </row>
    <row r="1085" spans="2:5" ht="14.25" customHeight="1" x14ac:dyDescent="0.25">
      <c r="B1085" s="103"/>
      <c r="D1085" s="80"/>
      <c r="E1085" s="80"/>
    </row>
    <row r="1086" spans="2:5" ht="14.25" customHeight="1" x14ac:dyDescent="0.25">
      <c r="B1086" s="103"/>
      <c r="D1086" s="80"/>
      <c r="E1086" s="80"/>
    </row>
    <row r="1087" spans="2:5" ht="14.25" customHeight="1" x14ac:dyDescent="0.25">
      <c r="B1087" s="103"/>
      <c r="D1087" s="80"/>
      <c r="E1087" s="80"/>
    </row>
    <row r="1088" spans="2:5" ht="14.25" customHeight="1" x14ac:dyDescent="0.25">
      <c r="B1088" s="103"/>
      <c r="D1088" s="80"/>
      <c r="E1088" s="80"/>
    </row>
    <row r="1089" spans="2:5" ht="14.25" customHeight="1" x14ac:dyDescent="0.25">
      <c r="B1089" s="103"/>
      <c r="D1089" s="80"/>
      <c r="E1089" s="80"/>
    </row>
    <row r="1090" spans="2:5" ht="14.25" customHeight="1" x14ac:dyDescent="0.25">
      <c r="B1090" s="103"/>
      <c r="D1090" s="80"/>
      <c r="E1090" s="80"/>
    </row>
    <row r="1091" spans="2:5" ht="14.25" customHeight="1" x14ac:dyDescent="0.25">
      <c r="B1091" s="103"/>
      <c r="D1091" s="80"/>
      <c r="E1091" s="80"/>
    </row>
    <row r="1092" spans="2:5" ht="14.25" customHeight="1" x14ac:dyDescent="0.25">
      <c r="B1092" s="103"/>
      <c r="D1092" s="80"/>
      <c r="E1092" s="80"/>
    </row>
    <row r="1093" spans="2:5" ht="14.25" customHeight="1" x14ac:dyDescent="0.25">
      <c r="B1093" s="103"/>
      <c r="D1093" s="80"/>
      <c r="E1093" s="80"/>
    </row>
    <row r="1094" spans="2:5" ht="14.25" customHeight="1" x14ac:dyDescent="0.25">
      <c r="B1094" s="103"/>
      <c r="D1094" s="80"/>
      <c r="E1094" s="80"/>
    </row>
    <row r="1095" spans="2:5" ht="14.25" customHeight="1" x14ac:dyDescent="0.25">
      <c r="B1095" s="103"/>
      <c r="D1095" s="80"/>
      <c r="E1095" s="80"/>
    </row>
    <row r="1096" spans="2:5" ht="14.25" customHeight="1" x14ac:dyDescent="0.25">
      <c r="B1096" s="103"/>
      <c r="D1096" s="80"/>
      <c r="E1096" s="80"/>
    </row>
    <row r="1097" spans="2:5" ht="14.25" customHeight="1" x14ac:dyDescent="0.25">
      <c r="B1097" s="103"/>
      <c r="D1097" s="80"/>
      <c r="E1097" s="80"/>
    </row>
    <row r="1098" spans="2:5" ht="14.25" customHeight="1" x14ac:dyDescent="0.25">
      <c r="B1098" s="103"/>
      <c r="D1098" s="80"/>
      <c r="E1098" s="80"/>
    </row>
    <row r="1099" spans="2:5" ht="14.25" customHeight="1" x14ac:dyDescent="0.25">
      <c r="B1099" s="103"/>
      <c r="D1099" s="80"/>
      <c r="E1099" s="80"/>
    </row>
    <row r="1100" spans="2:5" ht="14.25" customHeight="1" x14ac:dyDescent="0.25">
      <c r="B1100" s="103"/>
      <c r="D1100" s="80"/>
      <c r="E1100" s="80"/>
    </row>
    <row r="1101" spans="2:5" ht="14.25" customHeight="1" x14ac:dyDescent="0.25">
      <c r="B1101" s="103"/>
      <c r="D1101" s="80"/>
      <c r="E1101" s="80"/>
    </row>
    <row r="1102" spans="2:5" ht="14.25" customHeight="1" x14ac:dyDescent="0.25">
      <c r="B1102" s="103"/>
      <c r="D1102" s="80"/>
      <c r="E1102" s="80"/>
    </row>
    <row r="1103" spans="2:5" ht="14.25" customHeight="1" x14ac:dyDescent="0.25">
      <c r="B1103" s="103"/>
      <c r="D1103" s="80"/>
      <c r="E1103" s="80"/>
    </row>
    <row r="1104" spans="2:5" ht="14.25" customHeight="1" x14ac:dyDescent="0.25">
      <c r="B1104" s="103"/>
      <c r="D1104" s="80"/>
      <c r="E1104" s="80"/>
    </row>
    <row r="1105" spans="2:5" ht="14.25" customHeight="1" x14ac:dyDescent="0.25">
      <c r="B1105" s="103"/>
      <c r="D1105" s="80"/>
      <c r="E1105" s="80"/>
    </row>
    <row r="1106" spans="2:5" ht="14.25" customHeight="1" x14ac:dyDescent="0.25">
      <c r="B1106" s="103"/>
      <c r="D1106" s="80"/>
      <c r="E1106" s="80"/>
    </row>
    <row r="1107" spans="2:5" ht="14.25" customHeight="1" x14ac:dyDescent="0.25">
      <c r="B1107" s="103"/>
      <c r="D1107" s="80"/>
      <c r="E1107" s="80"/>
    </row>
    <row r="1108" spans="2:5" ht="14.25" customHeight="1" x14ac:dyDescent="0.25">
      <c r="B1108" s="103"/>
      <c r="D1108" s="80"/>
      <c r="E1108" s="80"/>
    </row>
    <row r="1109" spans="2:5" ht="14.25" customHeight="1" x14ac:dyDescent="0.25">
      <c r="B1109" s="103"/>
      <c r="D1109" s="80"/>
      <c r="E1109" s="80"/>
    </row>
    <row r="1110" spans="2:5" ht="14.25" customHeight="1" x14ac:dyDescent="0.25">
      <c r="B1110" s="103"/>
      <c r="D1110" s="80"/>
      <c r="E1110" s="80"/>
    </row>
    <row r="1111" spans="2:5" ht="14.25" customHeight="1" x14ac:dyDescent="0.25">
      <c r="B1111" s="103"/>
      <c r="D1111" s="80"/>
      <c r="E1111" s="80"/>
    </row>
    <row r="1112" spans="2:5" ht="14.25" customHeight="1" x14ac:dyDescent="0.25">
      <c r="B1112" s="103"/>
      <c r="D1112" s="80"/>
      <c r="E1112" s="80"/>
    </row>
    <row r="1113" spans="2:5" ht="14.25" customHeight="1" x14ac:dyDescent="0.25">
      <c r="B1113" s="103"/>
      <c r="D1113" s="80"/>
      <c r="E1113" s="80"/>
    </row>
    <row r="1114" spans="2:5" ht="14.25" customHeight="1" x14ac:dyDescent="0.25">
      <c r="B1114" s="103"/>
      <c r="D1114" s="80"/>
      <c r="E1114" s="80"/>
    </row>
    <row r="1115" spans="2:5" ht="14.25" customHeight="1" x14ac:dyDescent="0.25">
      <c r="B1115" s="103"/>
      <c r="D1115" s="80"/>
      <c r="E1115" s="80"/>
    </row>
    <row r="1116" spans="2:5" ht="14.25" customHeight="1" x14ac:dyDescent="0.25">
      <c r="B1116" s="103"/>
      <c r="D1116" s="80"/>
      <c r="E1116" s="80"/>
    </row>
    <row r="1117" spans="2:5" ht="14.25" customHeight="1" x14ac:dyDescent="0.25">
      <c r="B1117" s="103"/>
      <c r="D1117" s="80"/>
      <c r="E1117" s="80"/>
    </row>
    <row r="1118" spans="2:5" ht="14.25" customHeight="1" x14ac:dyDescent="0.25">
      <c r="B1118" s="103"/>
      <c r="D1118" s="80"/>
      <c r="E1118" s="80"/>
    </row>
    <row r="1119" spans="2:5" ht="14.25" customHeight="1" x14ac:dyDescent="0.25">
      <c r="B1119" s="103"/>
      <c r="D1119" s="80"/>
      <c r="E1119" s="80"/>
    </row>
    <row r="1120" spans="2:5" ht="14.25" customHeight="1" x14ac:dyDescent="0.25">
      <c r="B1120" s="103"/>
      <c r="D1120" s="80"/>
      <c r="E1120" s="80"/>
    </row>
    <row r="1121" spans="2:5" ht="14.25" customHeight="1" x14ac:dyDescent="0.25">
      <c r="B1121" s="103"/>
      <c r="D1121" s="80"/>
      <c r="E1121" s="80"/>
    </row>
    <row r="1122" spans="2:5" ht="14.25" customHeight="1" x14ac:dyDescent="0.25">
      <c r="B1122" s="103"/>
      <c r="D1122" s="80"/>
      <c r="E1122" s="80"/>
    </row>
    <row r="1123" spans="2:5" ht="14.25" customHeight="1" x14ac:dyDescent="0.25">
      <c r="B1123" s="103"/>
      <c r="D1123" s="80"/>
      <c r="E1123" s="80"/>
    </row>
    <row r="1124" spans="2:5" ht="14.25" customHeight="1" x14ac:dyDescent="0.25">
      <c r="B1124" s="103"/>
      <c r="D1124" s="80"/>
      <c r="E1124" s="80"/>
    </row>
    <row r="1125" spans="2:5" ht="14.25" customHeight="1" x14ac:dyDescent="0.25">
      <c r="B1125" s="103"/>
      <c r="D1125" s="80"/>
      <c r="E1125" s="80"/>
    </row>
    <row r="1126" spans="2:5" ht="14.25" customHeight="1" x14ac:dyDescent="0.25">
      <c r="B1126" s="103"/>
      <c r="D1126" s="80"/>
      <c r="E1126" s="80"/>
    </row>
    <row r="1127" spans="2:5" ht="14.25" customHeight="1" x14ac:dyDescent="0.25">
      <c r="B1127" s="103"/>
      <c r="D1127" s="80"/>
      <c r="E1127" s="80"/>
    </row>
    <row r="1128" spans="2:5" ht="14.25" customHeight="1" x14ac:dyDescent="0.25">
      <c r="B1128" s="103"/>
      <c r="D1128" s="80"/>
      <c r="E1128" s="80"/>
    </row>
    <row r="1129" spans="2:5" ht="14.25" customHeight="1" x14ac:dyDescent="0.25">
      <c r="B1129" s="103"/>
      <c r="D1129" s="80"/>
      <c r="E1129" s="80"/>
    </row>
    <row r="1130" spans="2:5" ht="14.25" customHeight="1" x14ac:dyDescent="0.25">
      <c r="B1130" s="103"/>
      <c r="D1130" s="80"/>
      <c r="E1130" s="80"/>
    </row>
    <row r="1131" spans="2:5" ht="14.25" customHeight="1" x14ac:dyDescent="0.25">
      <c r="B1131" s="103"/>
      <c r="D1131" s="80"/>
      <c r="E1131" s="80"/>
    </row>
    <row r="1132" spans="2:5" ht="14.25" customHeight="1" x14ac:dyDescent="0.25">
      <c r="B1132" s="103"/>
      <c r="D1132" s="80"/>
      <c r="E1132" s="80"/>
    </row>
    <row r="1133" spans="2:5" ht="14.25" customHeight="1" x14ac:dyDescent="0.25">
      <c r="B1133" s="103"/>
      <c r="D1133" s="80"/>
      <c r="E1133" s="80"/>
    </row>
    <row r="1134" spans="2:5" ht="14.25" customHeight="1" x14ac:dyDescent="0.25">
      <c r="B1134" s="103"/>
      <c r="D1134" s="80"/>
      <c r="E1134" s="80"/>
    </row>
    <row r="1135" spans="2:5" ht="14.25" customHeight="1" x14ac:dyDescent="0.25">
      <c r="B1135" s="103"/>
      <c r="D1135" s="80"/>
      <c r="E1135" s="80"/>
    </row>
    <row r="1136" spans="2:5" ht="14.25" customHeight="1" x14ac:dyDescent="0.25">
      <c r="B1136" s="103"/>
      <c r="D1136" s="80"/>
      <c r="E1136" s="80"/>
    </row>
    <row r="1137" spans="2:5" ht="14.25" customHeight="1" x14ac:dyDescent="0.25">
      <c r="B1137" s="103"/>
      <c r="D1137" s="80"/>
      <c r="E1137" s="80"/>
    </row>
    <row r="1138" spans="2:5" ht="14.25" customHeight="1" x14ac:dyDescent="0.25">
      <c r="B1138" s="103"/>
      <c r="D1138" s="80"/>
      <c r="E1138" s="80"/>
    </row>
    <row r="1139" spans="2:5" ht="14.25" customHeight="1" x14ac:dyDescent="0.25">
      <c r="B1139" s="103"/>
      <c r="D1139" s="80"/>
      <c r="E1139" s="80"/>
    </row>
    <row r="1140" spans="2:5" ht="14.25" customHeight="1" x14ac:dyDescent="0.25">
      <c r="B1140" s="103"/>
      <c r="D1140" s="80"/>
      <c r="E1140" s="80"/>
    </row>
    <row r="1141" spans="2:5" ht="14.25" customHeight="1" x14ac:dyDescent="0.25">
      <c r="B1141" s="103"/>
      <c r="D1141" s="80"/>
      <c r="E1141" s="80"/>
    </row>
    <row r="1142" spans="2:5" ht="14.25" customHeight="1" x14ac:dyDescent="0.25">
      <c r="B1142" s="103"/>
      <c r="D1142" s="80"/>
      <c r="E1142" s="80"/>
    </row>
    <row r="1143" spans="2:5" ht="14.25" customHeight="1" x14ac:dyDescent="0.25">
      <c r="B1143" s="103"/>
      <c r="D1143" s="80"/>
      <c r="E1143" s="80"/>
    </row>
    <row r="1144" spans="2:5" ht="14.25" customHeight="1" x14ac:dyDescent="0.25">
      <c r="B1144" s="103"/>
      <c r="D1144" s="80"/>
      <c r="E1144" s="80"/>
    </row>
    <row r="1145" spans="2:5" ht="14.25" customHeight="1" x14ac:dyDescent="0.25">
      <c r="B1145" s="103"/>
      <c r="D1145" s="80"/>
      <c r="E1145" s="80"/>
    </row>
    <row r="1146" spans="2:5" ht="14.25" customHeight="1" x14ac:dyDescent="0.25">
      <c r="B1146" s="103"/>
      <c r="D1146" s="80"/>
      <c r="E1146" s="80"/>
    </row>
    <row r="1147" spans="2:5" ht="14.25" customHeight="1" x14ac:dyDescent="0.25">
      <c r="B1147" s="103"/>
      <c r="D1147" s="80"/>
      <c r="E1147" s="80"/>
    </row>
    <row r="1148" spans="2:5" ht="14.25" customHeight="1" x14ac:dyDescent="0.25">
      <c r="B1148" s="103"/>
      <c r="D1148" s="80"/>
      <c r="E1148" s="80"/>
    </row>
    <row r="1149" spans="2:5" ht="14.25" customHeight="1" x14ac:dyDescent="0.25">
      <c r="B1149" s="103"/>
      <c r="D1149" s="80"/>
      <c r="E1149" s="80"/>
    </row>
    <row r="1150" spans="2:5" ht="14.25" customHeight="1" x14ac:dyDescent="0.25">
      <c r="B1150" s="103"/>
      <c r="D1150" s="80"/>
      <c r="E1150" s="80"/>
    </row>
    <row r="1151" spans="2:5" ht="14.25" customHeight="1" x14ac:dyDescent="0.25">
      <c r="B1151" s="103"/>
      <c r="D1151" s="80"/>
      <c r="E1151" s="80"/>
    </row>
    <row r="1152" spans="2:5" ht="14.25" customHeight="1" x14ac:dyDescent="0.25">
      <c r="B1152" s="103"/>
      <c r="D1152" s="80"/>
      <c r="E1152" s="80"/>
    </row>
    <row r="1153" spans="2:5" ht="14.25" customHeight="1" x14ac:dyDescent="0.25">
      <c r="B1153" s="103"/>
      <c r="D1153" s="80"/>
      <c r="E1153" s="80"/>
    </row>
    <row r="1154" spans="2:5" ht="14.25" customHeight="1" x14ac:dyDescent="0.25">
      <c r="B1154" s="103"/>
      <c r="D1154" s="80"/>
      <c r="E1154" s="80"/>
    </row>
    <row r="1155" spans="2:5" ht="14.25" customHeight="1" x14ac:dyDescent="0.25">
      <c r="B1155" s="103"/>
      <c r="D1155" s="80"/>
      <c r="E1155" s="80"/>
    </row>
    <row r="1156" spans="2:5" ht="14.25" customHeight="1" x14ac:dyDescent="0.25">
      <c r="B1156" s="103"/>
      <c r="D1156" s="80"/>
      <c r="E1156" s="80"/>
    </row>
    <row r="1157" spans="2:5" ht="14.25" customHeight="1" x14ac:dyDescent="0.25">
      <c r="B1157" s="103"/>
      <c r="D1157" s="80"/>
      <c r="E1157" s="80"/>
    </row>
    <row r="1158" spans="2:5" ht="14.25" customHeight="1" x14ac:dyDescent="0.25">
      <c r="B1158" s="103"/>
      <c r="D1158" s="80"/>
      <c r="E1158" s="80"/>
    </row>
    <row r="1159" spans="2:5" ht="14.25" customHeight="1" x14ac:dyDescent="0.25">
      <c r="B1159" s="103"/>
      <c r="D1159" s="80"/>
      <c r="E1159" s="80"/>
    </row>
    <row r="1160" spans="2:5" ht="14.25" customHeight="1" x14ac:dyDescent="0.25">
      <c r="B1160" s="103"/>
      <c r="D1160" s="80"/>
      <c r="E1160" s="80"/>
    </row>
    <row r="1161" spans="2:5" ht="14.25" customHeight="1" x14ac:dyDescent="0.25">
      <c r="B1161" s="103"/>
      <c r="D1161" s="80"/>
      <c r="E1161" s="80"/>
    </row>
    <row r="1162" spans="2:5" ht="14.25" customHeight="1" x14ac:dyDescent="0.25">
      <c r="B1162" s="103"/>
      <c r="D1162" s="80"/>
      <c r="E1162" s="80"/>
    </row>
    <row r="1163" spans="2:5" ht="14.25" customHeight="1" x14ac:dyDescent="0.25">
      <c r="B1163" s="103"/>
      <c r="D1163" s="80"/>
      <c r="E1163" s="80"/>
    </row>
    <row r="1164" spans="2:5" ht="14.25" customHeight="1" x14ac:dyDescent="0.25">
      <c r="B1164" s="103"/>
      <c r="D1164" s="80"/>
      <c r="E1164" s="80"/>
    </row>
    <row r="1165" spans="2:5" ht="14.25" customHeight="1" x14ac:dyDescent="0.25">
      <c r="B1165" s="103"/>
      <c r="D1165" s="80"/>
      <c r="E1165" s="80"/>
    </row>
    <row r="1166" spans="2:5" ht="14.25" customHeight="1" x14ac:dyDescent="0.25">
      <c r="B1166" s="103"/>
      <c r="D1166" s="80"/>
      <c r="E1166" s="80"/>
    </row>
    <row r="1167" spans="2:5" ht="14.25" customHeight="1" x14ac:dyDescent="0.25">
      <c r="B1167" s="103"/>
      <c r="D1167" s="80"/>
      <c r="E1167" s="80"/>
    </row>
    <row r="1168" spans="2:5" ht="14.25" customHeight="1" x14ac:dyDescent="0.25">
      <c r="B1168" s="103"/>
      <c r="D1168" s="80"/>
      <c r="E1168" s="80"/>
    </row>
    <row r="1169" spans="2:5" ht="14.25" customHeight="1" x14ac:dyDescent="0.25">
      <c r="B1169" s="103"/>
      <c r="D1169" s="80"/>
      <c r="E1169" s="80"/>
    </row>
    <row r="1170" spans="2:5" ht="14.25" customHeight="1" x14ac:dyDescent="0.25">
      <c r="B1170" s="103"/>
      <c r="D1170" s="80"/>
      <c r="E1170" s="80"/>
    </row>
    <row r="1171" spans="2:5" ht="14.25" customHeight="1" x14ac:dyDescent="0.25">
      <c r="B1171" s="103"/>
      <c r="D1171" s="80"/>
      <c r="E1171" s="80"/>
    </row>
    <row r="1172" spans="2:5" ht="14.25" customHeight="1" x14ac:dyDescent="0.25">
      <c r="B1172" s="103"/>
      <c r="D1172" s="80"/>
      <c r="E1172" s="80"/>
    </row>
    <row r="1173" spans="2:5" ht="14.25" customHeight="1" x14ac:dyDescent="0.25">
      <c r="B1173" s="103"/>
      <c r="D1173" s="80"/>
      <c r="E1173" s="80"/>
    </row>
    <row r="1174" spans="2:5" ht="14.25" customHeight="1" x14ac:dyDescent="0.25">
      <c r="B1174" s="103"/>
      <c r="D1174" s="80"/>
      <c r="E1174" s="80"/>
    </row>
    <row r="1175" spans="2:5" ht="14.25" customHeight="1" x14ac:dyDescent="0.25">
      <c r="B1175" s="103"/>
      <c r="D1175" s="80"/>
      <c r="E1175" s="80"/>
    </row>
    <row r="1176" spans="2:5" ht="14.25" customHeight="1" x14ac:dyDescent="0.25">
      <c r="B1176" s="103"/>
      <c r="D1176" s="80"/>
      <c r="E1176" s="80"/>
    </row>
    <row r="1177" spans="2:5" ht="14.25" customHeight="1" x14ac:dyDescent="0.25">
      <c r="B1177" s="103"/>
      <c r="D1177" s="80"/>
      <c r="E1177" s="80"/>
    </row>
    <row r="1178" spans="2:5" ht="14.25" customHeight="1" x14ac:dyDescent="0.25">
      <c r="B1178" s="103"/>
      <c r="D1178" s="80"/>
      <c r="E1178" s="80"/>
    </row>
    <row r="1179" spans="2:5" ht="14.25" customHeight="1" x14ac:dyDescent="0.25">
      <c r="B1179" s="103"/>
      <c r="D1179" s="80"/>
      <c r="E1179" s="80"/>
    </row>
    <row r="1180" spans="2:5" ht="14.25" customHeight="1" x14ac:dyDescent="0.25">
      <c r="B1180" s="103"/>
      <c r="D1180" s="80"/>
      <c r="E1180" s="80"/>
    </row>
    <row r="1181" spans="2:5" ht="14.25" customHeight="1" x14ac:dyDescent="0.25">
      <c r="B1181" s="103"/>
      <c r="D1181" s="80"/>
      <c r="E1181" s="80"/>
    </row>
    <row r="1182" spans="2:5" ht="14.25" customHeight="1" x14ac:dyDescent="0.25">
      <c r="B1182" s="103"/>
      <c r="D1182" s="80"/>
      <c r="E1182" s="80"/>
    </row>
    <row r="1183" spans="2:5" ht="14.25" customHeight="1" x14ac:dyDescent="0.25">
      <c r="B1183" s="103"/>
      <c r="D1183" s="80"/>
      <c r="E1183" s="80"/>
    </row>
    <row r="1184" spans="2:5" ht="14.25" customHeight="1" x14ac:dyDescent="0.25">
      <c r="B1184" s="103"/>
      <c r="D1184" s="80"/>
      <c r="E1184" s="80"/>
    </row>
    <row r="1185" spans="2:5" ht="14.25" customHeight="1" x14ac:dyDescent="0.25">
      <c r="B1185" s="103"/>
      <c r="D1185" s="80"/>
      <c r="E1185" s="80"/>
    </row>
    <row r="1186" spans="2:5" ht="14.25" customHeight="1" x14ac:dyDescent="0.25">
      <c r="B1186" s="103"/>
      <c r="D1186" s="80"/>
      <c r="E1186" s="80"/>
    </row>
    <row r="1187" spans="2:5" ht="14.25" customHeight="1" x14ac:dyDescent="0.25">
      <c r="B1187" s="103"/>
      <c r="D1187" s="80"/>
      <c r="E1187" s="80"/>
    </row>
    <row r="1188" spans="2:5" ht="14.25" customHeight="1" x14ac:dyDescent="0.25">
      <c r="B1188" s="103"/>
      <c r="D1188" s="80"/>
      <c r="E1188" s="80"/>
    </row>
    <row r="1189" spans="2:5" ht="14.25" customHeight="1" x14ac:dyDescent="0.25">
      <c r="B1189" s="103"/>
      <c r="D1189" s="80"/>
      <c r="E1189" s="80"/>
    </row>
    <row r="1190" spans="2:5" ht="14.25" customHeight="1" x14ac:dyDescent="0.25">
      <c r="B1190" s="103"/>
      <c r="D1190" s="80"/>
      <c r="E1190" s="80"/>
    </row>
    <row r="1191" spans="2:5" ht="14.25" customHeight="1" x14ac:dyDescent="0.25">
      <c r="B1191" s="103"/>
      <c r="D1191" s="80"/>
      <c r="E1191" s="80"/>
    </row>
    <row r="1192" spans="2:5" ht="14.25" customHeight="1" x14ac:dyDescent="0.25">
      <c r="B1192" s="103"/>
      <c r="D1192" s="80"/>
      <c r="E1192" s="80"/>
    </row>
    <row r="1193" spans="2:5" ht="14.25" customHeight="1" x14ac:dyDescent="0.25">
      <c r="B1193" s="103"/>
      <c r="D1193" s="80"/>
      <c r="E1193" s="80"/>
    </row>
    <row r="1194" spans="2:5" ht="14.25" customHeight="1" x14ac:dyDescent="0.25">
      <c r="B1194" s="103"/>
      <c r="D1194" s="80"/>
      <c r="E1194" s="80"/>
    </row>
    <row r="1195" spans="2:5" ht="14.25" customHeight="1" x14ac:dyDescent="0.25">
      <c r="B1195" s="103"/>
      <c r="D1195" s="80"/>
      <c r="E1195" s="80"/>
    </row>
    <row r="1196" spans="2:5" ht="14.25" customHeight="1" x14ac:dyDescent="0.25">
      <c r="B1196" s="103"/>
      <c r="D1196" s="80"/>
      <c r="E1196" s="80"/>
    </row>
    <row r="1197" spans="2:5" ht="14.25" customHeight="1" x14ac:dyDescent="0.25">
      <c r="B1197" s="103"/>
      <c r="D1197" s="80"/>
      <c r="E1197" s="80"/>
    </row>
    <row r="1198" spans="2:5" ht="14.25" customHeight="1" x14ac:dyDescent="0.25">
      <c r="B1198" s="103"/>
      <c r="D1198" s="80"/>
      <c r="E1198" s="80"/>
    </row>
    <row r="1199" spans="2:5" ht="14.25" customHeight="1" x14ac:dyDescent="0.25">
      <c r="B1199" s="103"/>
      <c r="D1199" s="80"/>
      <c r="E1199" s="80"/>
    </row>
    <row r="1200" spans="2:5" ht="14.25" customHeight="1" x14ac:dyDescent="0.25">
      <c r="B1200" s="103"/>
      <c r="D1200" s="80"/>
      <c r="E1200" s="80"/>
    </row>
    <row r="1201" spans="2:5" ht="14.25" customHeight="1" x14ac:dyDescent="0.25">
      <c r="B1201" s="103"/>
      <c r="D1201" s="80"/>
      <c r="E1201" s="80"/>
    </row>
    <row r="1202" spans="2:5" ht="14.25" customHeight="1" x14ac:dyDescent="0.25">
      <c r="B1202" s="103"/>
      <c r="D1202" s="80"/>
      <c r="E1202" s="80"/>
    </row>
    <row r="1203" spans="2:5" ht="14.25" customHeight="1" x14ac:dyDescent="0.25">
      <c r="B1203" s="103"/>
      <c r="D1203" s="80"/>
      <c r="E1203" s="80"/>
    </row>
    <row r="1204" spans="2:5" ht="14.25" customHeight="1" x14ac:dyDescent="0.25">
      <c r="B1204" s="103"/>
      <c r="D1204" s="80"/>
      <c r="E1204" s="80"/>
    </row>
    <row r="1205" spans="2:5" ht="14.25" customHeight="1" x14ac:dyDescent="0.25">
      <c r="B1205" s="103"/>
      <c r="D1205" s="80"/>
      <c r="E1205" s="80"/>
    </row>
    <row r="1206" spans="2:5" ht="14.25" customHeight="1" x14ac:dyDescent="0.25">
      <c r="B1206" s="103"/>
      <c r="D1206" s="80"/>
      <c r="E1206" s="80"/>
    </row>
    <row r="1207" spans="2:5" ht="14.25" customHeight="1" x14ac:dyDescent="0.25">
      <c r="B1207" s="103"/>
      <c r="D1207" s="80"/>
      <c r="E1207" s="80"/>
    </row>
    <row r="1208" spans="2:5" ht="14.25" customHeight="1" x14ac:dyDescent="0.25">
      <c r="B1208" s="103"/>
      <c r="D1208" s="80"/>
      <c r="E1208" s="80"/>
    </row>
    <row r="1209" spans="2:5" ht="14.25" customHeight="1" x14ac:dyDescent="0.25">
      <c r="B1209" s="103"/>
      <c r="D1209" s="80"/>
      <c r="E1209" s="80"/>
    </row>
    <row r="1210" spans="2:5" ht="14.25" customHeight="1" x14ac:dyDescent="0.25">
      <c r="B1210" s="103"/>
      <c r="D1210" s="80"/>
      <c r="E1210" s="80"/>
    </row>
    <row r="1211" spans="2:5" ht="14.25" customHeight="1" x14ac:dyDescent="0.25">
      <c r="B1211" s="103"/>
      <c r="D1211" s="80"/>
      <c r="E1211" s="80"/>
    </row>
    <row r="1212" spans="2:5" ht="14.25" customHeight="1" x14ac:dyDescent="0.25">
      <c r="B1212" s="103"/>
      <c r="D1212" s="80"/>
      <c r="E1212" s="80"/>
    </row>
    <row r="1213" spans="2:5" ht="14.25" customHeight="1" x14ac:dyDescent="0.25">
      <c r="B1213" s="103"/>
      <c r="D1213" s="80"/>
      <c r="E1213" s="80"/>
    </row>
    <row r="1214" spans="2:5" ht="14.25" customHeight="1" x14ac:dyDescent="0.25">
      <c r="B1214" s="103"/>
      <c r="D1214" s="80"/>
      <c r="E1214" s="80"/>
    </row>
    <row r="1215" spans="2:5" ht="14.25" customHeight="1" x14ac:dyDescent="0.25">
      <c r="B1215" s="103"/>
      <c r="D1215" s="80"/>
      <c r="E1215" s="80"/>
    </row>
    <row r="1216" spans="2:5" ht="14.25" customHeight="1" x14ac:dyDescent="0.25">
      <c r="B1216" s="103"/>
      <c r="D1216" s="80"/>
      <c r="E1216" s="80"/>
    </row>
    <row r="1217" spans="2:5" ht="14.25" customHeight="1" x14ac:dyDescent="0.25">
      <c r="B1217" s="103"/>
      <c r="D1217" s="80"/>
      <c r="E1217" s="80"/>
    </row>
    <row r="1218" spans="2:5" ht="14.25" customHeight="1" x14ac:dyDescent="0.25">
      <c r="B1218" s="103"/>
      <c r="D1218" s="80"/>
      <c r="E1218" s="80"/>
    </row>
    <row r="1219" spans="2:5" ht="14.25" customHeight="1" x14ac:dyDescent="0.25">
      <c r="B1219" s="103"/>
      <c r="D1219" s="80"/>
      <c r="E1219" s="80"/>
    </row>
    <row r="1220" spans="2:5" ht="14.25" customHeight="1" x14ac:dyDescent="0.25">
      <c r="B1220" s="103"/>
      <c r="D1220" s="80"/>
      <c r="E1220" s="80"/>
    </row>
    <row r="1221" spans="2:5" ht="14.25" customHeight="1" x14ac:dyDescent="0.25">
      <c r="B1221" s="103"/>
      <c r="D1221" s="80"/>
      <c r="E1221" s="80"/>
    </row>
    <row r="1222" spans="2:5" ht="14.25" customHeight="1" x14ac:dyDescent="0.25">
      <c r="B1222" s="103"/>
      <c r="D1222" s="80"/>
      <c r="E1222" s="80"/>
    </row>
    <row r="1223" spans="2:5" ht="14.25" customHeight="1" x14ac:dyDescent="0.25">
      <c r="B1223" s="103"/>
      <c r="D1223" s="80"/>
      <c r="E1223" s="80"/>
    </row>
    <row r="1224" spans="2:5" ht="14.25" customHeight="1" x14ac:dyDescent="0.25">
      <c r="B1224" s="103"/>
      <c r="D1224" s="80"/>
      <c r="E1224" s="80"/>
    </row>
    <row r="1225" spans="2:5" ht="14.25" customHeight="1" x14ac:dyDescent="0.25">
      <c r="B1225" s="103"/>
      <c r="D1225" s="80"/>
      <c r="E1225" s="80"/>
    </row>
    <row r="1226" spans="2:5" ht="14.25" customHeight="1" x14ac:dyDescent="0.25">
      <c r="B1226" s="103"/>
      <c r="D1226" s="80"/>
      <c r="E1226" s="80"/>
    </row>
    <row r="1227" spans="2:5" ht="14.25" customHeight="1" x14ac:dyDescent="0.25">
      <c r="B1227" s="103"/>
      <c r="D1227" s="80"/>
      <c r="E1227" s="80"/>
    </row>
    <row r="1228" spans="2:5" ht="14.25" customHeight="1" x14ac:dyDescent="0.25">
      <c r="B1228" s="103"/>
      <c r="D1228" s="80"/>
      <c r="E1228" s="80"/>
    </row>
    <row r="1229" spans="2:5" ht="14.25" customHeight="1" x14ac:dyDescent="0.25">
      <c r="B1229" s="103"/>
      <c r="D1229" s="80"/>
      <c r="E1229" s="80"/>
    </row>
    <row r="1230" spans="2:5" ht="14.25" customHeight="1" x14ac:dyDescent="0.25">
      <c r="B1230" s="103"/>
      <c r="D1230" s="80"/>
      <c r="E1230" s="80"/>
    </row>
    <row r="1231" spans="2:5" ht="14.25" customHeight="1" x14ac:dyDescent="0.25">
      <c r="B1231" s="103"/>
      <c r="D1231" s="80"/>
      <c r="E1231" s="80"/>
    </row>
    <row r="1232" spans="2:5" ht="14.25" customHeight="1" x14ac:dyDescent="0.25">
      <c r="B1232" s="103"/>
      <c r="D1232" s="80"/>
      <c r="E1232" s="80"/>
    </row>
    <row r="1233" spans="2:5" ht="14.25" customHeight="1" x14ac:dyDescent="0.25">
      <c r="B1233" s="103"/>
      <c r="D1233" s="80"/>
      <c r="E1233" s="80"/>
    </row>
    <row r="1234" spans="2:5" ht="14.25" customHeight="1" x14ac:dyDescent="0.25">
      <c r="B1234" s="103"/>
      <c r="D1234" s="80"/>
      <c r="E1234" s="80"/>
    </row>
    <row r="1235" spans="2:5" ht="14.25" customHeight="1" x14ac:dyDescent="0.25">
      <c r="B1235" s="103"/>
      <c r="D1235" s="80"/>
      <c r="E1235" s="80"/>
    </row>
    <row r="1236" spans="2:5" ht="14.25" customHeight="1" x14ac:dyDescent="0.25">
      <c r="B1236" s="103"/>
      <c r="D1236" s="80"/>
      <c r="E1236" s="80"/>
    </row>
    <row r="1237" spans="2:5" ht="14.25" customHeight="1" x14ac:dyDescent="0.25">
      <c r="B1237" s="103"/>
      <c r="D1237" s="80"/>
      <c r="E1237" s="80"/>
    </row>
    <row r="1238" spans="2:5" ht="14.25" customHeight="1" x14ac:dyDescent="0.25">
      <c r="B1238" s="103"/>
      <c r="D1238" s="80"/>
      <c r="E1238" s="80"/>
    </row>
    <row r="1239" spans="2:5" ht="14.25" customHeight="1" x14ac:dyDescent="0.25">
      <c r="B1239" s="103"/>
      <c r="D1239" s="80"/>
      <c r="E1239" s="80"/>
    </row>
    <row r="1240" spans="2:5" ht="14.25" customHeight="1" x14ac:dyDescent="0.25">
      <c r="B1240" s="103"/>
      <c r="D1240" s="80"/>
      <c r="E1240" s="80"/>
    </row>
    <row r="1241" spans="2:5" ht="14.25" customHeight="1" x14ac:dyDescent="0.25">
      <c r="B1241" s="103"/>
      <c r="D1241" s="80"/>
      <c r="E1241" s="80"/>
    </row>
    <row r="1242" spans="2:5" ht="14.25" customHeight="1" x14ac:dyDescent="0.25">
      <c r="B1242" s="103"/>
      <c r="D1242" s="80"/>
      <c r="E1242" s="80"/>
    </row>
    <row r="1243" spans="2:5" ht="14.25" customHeight="1" x14ac:dyDescent="0.25">
      <c r="B1243" s="103"/>
      <c r="D1243" s="80"/>
      <c r="E1243" s="80"/>
    </row>
    <row r="1244" spans="2:5" ht="14.25" customHeight="1" x14ac:dyDescent="0.25">
      <c r="B1244" s="103"/>
      <c r="D1244" s="80"/>
      <c r="E1244" s="80"/>
    </row>
    <row r="1245" spans="2:5" ht="14.25" customHeight="1" x14ac:dyDescent="0.25">
      <c r="B1245" s="103"/>
      <c r="D1245" s="80"/>
      <c r="E1245" s="80"/>
    </row>
    <row r="1246" spans="2:5" ht="14.25" customHeight="1" x14ac:dyDescent="0.25">
      <c r="B1246" s="103"/>
      <c r="D1246" s="80"/>
      <c r="E1246" s="80"/>
    </row>
    <row r="1247" spans="2:5" ht="14.25" customHeight="1" x14ac:dyDescent="0.25">
      <c r="B1247" s="103"/>
      <c r="D1247" s="80"/>
      <c r="E1247" s="80"/>
    </row>
    <row r="1248" spans="2:5" ht="14.25" customHeight="1" x14ac:dyDescent="0.25">
      <c r="B1248" s="103"/>
      <c r="D1248" s="80"/>
      <c r="E1248" s="80"/>
    </row>
    <row r="1249" spans="2:5" ht="14.25" customHeight="1" x14ac:dyDescent="0.25">
      <c r="B1249" s="103"/>
      <c r="D1249" s="80"/>
      <c r="E1249" s="80"/>
    </row>
    <row r="1250" spans="2:5" ht="14.25" customHeight="1" x14ac:dyDescent="0.25">
      <c r="B1250" s="103"/>
      <c r="D1250" s="80"/>
      <c r="E1250" s="80"/>
    </row>
    <row r="1251" spans="2:5" ht="14.25" customHeight="1" x14ac:dyDescent="0.25">
      <c r="B1251" s="103"/>
      <c r="D1251" s="80"/>
      <c r="E1251" s="80"/>
    </row>
    <row r="1252" spans="2:5" ht="14.25" customHeight="1" x14ac:dyDescent="0.25">
      <c r="B1252" s="103"/>
      <c r="D1252" s="80"/>
      <c r="E1252" s="80"/>
    </row>
    <row r="1253" spans="2:5" ht="14.25" customHeight="1" x14ac:dyDescent="0.25">
      <c r="B1253" s="103"/>
      <c r="D1253" s="80"/>
      <c r="E1253" s="80"/>
    </row>
    <row r="1254" spans="2:5" ht="14.25" customHeight="1" x14ac:dyDescent="0.25">
      <c r="B1254" s="103"/>
      <c r="D1254" s="80"/>
      <c r="E1254" s="80"/>
    </row>
    <row r="1255" spans="2:5" ht="14.25" customHeight="1" x14ac:dyDescent="0.25">
      <c r="B1255" s="103"/>
      <c r="D1255" s="80"/>
      <c r="E1255" s="80"/>
    </row>
    <row r="1256" spans="2:5" ht="14.25" customHeight="1" x14ac:dyDescent="0.25">
      <c r="B1256" s="103"/>
      <c r="D1256" s="80"/>
      <c r="E1256" s="80"/>
    </row>
    <row r="1257" spans="2:5" ht="14.25" customHeight="1" x14ac:dyDescent="0.25">
      <c r="B1257" s="103"/>
      <c r="D1257" s="80"/>
      <c r="E1257" s="80"/>
    </row>
    <row r="1258" spans="2:5" ht="14.25" customHeight="1" x14ac:dyDescent="0.25">
      <c r="B1258" s="103"/>
      <c r="D1258" s="80"/>
      <c r="E1258" s="80"/>
    </row>
    <row r="1259" spans="2:5" ht="14.25" customHeight="1" x14ac:dyDescent="0.25">
      <c r="B1259" s="103"/>
      <c r="D1259" s="80"/>
      <c r="E1259" s="80"/>
    </row>
    <row r="1260" spans="2:5" ht="14.25" customHeight="1" x14ac:dyDescent="0.25">
      <c r="B1260" s="103"/>
      <c r="D1260" s="80"/>
      <c r="E1260" s="80"/>
    </row>
    <row r="1261" spans="2:5" ht="14.25" customHeight="1" x14ac:dyDescent="0.25">
      <c r="B1261" s="103"/>
      <c r="D1261" s="80"/>
      <c r="E1261" s="80"/>
    </row>
    <row r="1262" spans="2:5" ht="14.25" customHeight="1" x14ac:dyDescent="0.25">
      <c r="B1262" s="103"/>
      <c r="D1262" s="80"/>
      <c r="E1262" s="80"/>
    </row>
    <row r="1263" spans="2:5" ht="14.25" customHeight="1" x14ac:dyDescent="0.25">
      <c r="B1263" s="103"/>
      <c r="D1263" s="80"/>
      <c r="E1263" s="80"/>
    </row>
    <row r="1264" spans="2:5" ht="14.25" customHeight="1" x14ac:dyDescent="0.25">
      <c r="B1264" s="103"/>
      <c r="D1264" s="80"/>
      <c r="E1264" s="80"/>
    </row>
    <row r="1265" spans="2:5" ht="14.25" customHeight="1" x14ac:dyDescent="0.25">
      <c r="B1265" s="103"/>
      <c r="D1265" s="80"/>
      <c r="E1265" s="80"/>
    </row>
    <row r="1266" spans="2:5" ht="14.25" customHeight="1" x14ac:dyDescent="0.25">
      <c r="B1266" s="103"/>
      <c r="D1266" s="80"/>
      <c r="E1266" s="80"/>
    </row>
    <row r="1267" spans="2:5" ht="14.25" customHeight="1" x14ac:dyDescent="0.25">
      <c r="B1267" s="103"/>
      <c r="D1267" s="80"/>
      <c r="E1267" s="80"/>
    </row>
    <row r="1268" spans="2:5" ht="14.25" customHeight="1" x14ac:dyDescent="0.25">
      <c r="B1268" s="103"/>
      <c r="D1268" s="80"/>
      <c r="E1268" s="80"/>
    </row>
    <row r="1269" spans="2:5" ht="14.25" customHeight="1" x14ac:dyDescent="0.25">
      <c r="B1269" s="103"/>
      <c r="D1269" s="80"/>
      <c r="E1269" s="80"/>
    </row>
    <row r="1270" spans="2:5" ht="14.25" customHeight="1" x14ac:dyDescent="0.25">
      <c r="B1270" s="103"/>
      <c r="D1270" s="80"/>
      <c r="E1270" s="80"/>
    </row>
    <row r="1271" spans="2:5" ht="14.25" customHeight="1" x14ac:dyDescent="0.25">
      <c r="B1271" s="103"/>
      <c r="D1271" s="80"/>
      <c r="E1271" s="80"/>
    </row>
    <row r="1272" spans="2:5" ht="14.25" customHeight="1" x14ac:dyDescent="0.25">
      <c r="B1272" s="103"/>
      <c r="D1272" s="80"/>
      <c r="E1272" s="80"/>
    </row>
    <row r="1273" spans="2:5" ht="14.25" customHeight="1" x14ac:dyDescent="0.25">
      <c r="B1273" s="103"/>
      <c r="D1273" s="80"/>
      <c r="E1273" s="80"/>
    </row>
    <row r="1274" spans="2:5" ht="14.25" customHeight="1" x14ac:dyDescent="0.25">
      <c r="B1274" s="103"/>
      <c r="D1274" s="80"/>
      <c r="E1274" s="80"/>
    </row>
    <row r="1275" spans="2:5" ht="14.25" customHeight="1" x14ac:dyDescent="0.25">
      <c r="B1275" s="103"/>
      <c r="D1275" s="80"/>
      <c r="E1275" s="80"/>
    </row>
    <row r="1276" spans="2:5" ht="14.25" customHeight="1" x14ac:dyDescent="0.25">
      <c r="B1276" s="103"/>
      <c r="D1276" s="80"/>
      <c r="E1276" s="80"/>
    </row>
    <row r="1277" spans="2:5" ht="14.25" customHeight="1" x14ac:dyDescent="0.25">
      <c r="B1277" s="103"/>
      <c r="D1277" s="80"/>
      <c r="E1277" s="80"/>
    </row>
    <row r="1278" spans="2:5" ht="14.25" customHeight="1" x14ac:dyDescent="0.25">
      <c r="B1278" s="103"/>
      <c r="D1278" s="80"/>
      <c r="E1278" s="80"/>
    </row>
    <row r="1279" spans="2:5" ht="14.25" customHeight="1" x14ac:dyDescent="0.25">
      <c r="B1279" s="103"/>
      <c r="D1279" s="80"/>
      <c r="E1279" s="80"/>
    </row>
    <row r="1280" spans="2:5" ht="14.25" customHeight="1" x14ac:dyDescent="0.25">
      <c r="B1280" s="103"/>
      <c r="D1280" s="80"/>
      <c r="E1280" s="80"/>
    </row>
    <row r="1281" spans="2:5" ht="14.25" customHeight="1" x14ac:dyDescent="0.25">
      <c r="B1281" s="103"/>
      <c r="D1281" s="80"/>
      <c r="E1281" s="80"/>
    </row>
    <row r="1282" spans="2:5" ht="14.25" customHeight="1" x14ac:dyDescent="0.25">
      <c r="B1282" s="103"/>
      <c r="D1282" s="80"/>
      <c r="E1282" s="80"/>
    </row>
    <row r="1283" spans="2:5" ht="14.25" customHeight="1" x14ac:dyDescent="0.25">
      <c r="B1283" s="103"/>
      <c r="D1283" s="80"/>
      <c r="E1283" s="80"/>
    </row>
    <row r="1284" spans="2:5" ht="14.25" customHeight="1" x14ac:dyDescent="0.25">
      <c r="B1284" s="103"/>
      <c r="D1284" s="80"/>
      <c r="E1284" s="80"/>
    </row>
    <row r="1285" spans="2:5" ht="14.25" customHeight="1" x14ac:dyDescent="0.25">
      <c r="B1285" s="103"/>
      <c r="D1285" s="80"/>
      <c r="E1285" s="80"/>
    </row>
    <row r="1286" spans="2:5" ht="14.25" customHeight="1" x14ac:dyDescent="0.25">
      <c r="B1286" s="103"/>
      <c r="D1286" s="80"/>
      <c r="E1286" s="80"/>
    </row>
    <row r="1287" spans="2:5" ht="14.25" customHeight="1" x14ac:dyDescent="0.25">
      <c r="B1287" s="103"/>
      <c r="D1287" s="80"/>
      <c r="E1287" s="80"/>
    </row>
    <row r="1288" spans="2:5" ht="14.25" customHeight="1" x14ac:dyDescent="0.25">
      <c r="B1288" s="103"/>
      <c r="D1288" s="80"/>
      <c r="E1288" s="80"/>
    </row>
    <row r="1289" spans="2:5" ht="14.25" customHeight="1" x14ac:dyDescent="0.25">
      <c r="B1289" s="103"/>
      <c r="D1289" s="80"/>
      <c r="E1289" s="80"/>
    </row>
    <row r="1290" spans="2:5" ht="14.25" customHeight="1" x14ac:dyDescent="0.25">
      <c r="B1290" s="103"/>
      <c r="D1290" s="80"/>
      <c r="E1290" s="80"/>
    </row>
    <row r="1291" spans="2:5" ht="14.25" customHeight="1" x14ac:dyDescent="0.25">
      <c r="B1291" s="103"/>
      <c r="D1291" s="80"/>
      <c r="E1291" s="80"/>
    </row>
    <row r="1292" spans="2:5" ht="14.25" customHeight="1" x14ac:dyDescent="0.25">
      <c r="B1292" s="103"/>
      <c r="D1292" s="80"/>
      <c r="E1292" s="80"/>
    </row>
    <row r="1293" spans="2:5" ht="14.25" customHeight="1" x14ac:dyDescent="0.25">
      <c r="B1293" s="103"/>
      <c r="D1293" s="80"/>
      <c r="E1293" s="80"/>
    </row>
    <row r="1294" spans="2:5" ht="14.25" customHeight="1" x14ac:dyDescent="0.25">
      <c r="B1294" s="103"/>
      <c r="D1294" s="80"/>
      <c r="E1294" s="80"/>
    </row>
    <row r="1295" spans="2:5" ht="14.25" customHeight="1" x14ac:dyDescent="0.25">
      <c r="B1295" s="103"/>
      <c r="D1295" s="80"/>
      <c r="E1295" s="80"/>
    </row>
    <row r="1296" spans="2:5" ht="14.25" customHeight="1" x14ac:dyDescent="0.25">
      <c r="B1296" s="103"/>
      <c r="D1296" s="80"/>
      <c r="E1296" s="80"/>
    </row>
    <row r="1297" spans="2:5" ht="14.25" customHeight="1" x14ac:dyDescent="0.25">
      <c r="B1297" s="103"/>
      <c r="D1297" s="80"/>
      <c r="E1297" s="80"/>
    </row>
    <row r="1298" spans="2:5" ht="14.25" customHeight="1" x14ac:dyDescent="0.25">
      <c r="B1298" s="103"/>
      <c r="D1298" s="80"/>
      <c r="E1298" s="80"/>
    </row>
    <row r="1299" spans="2:5" ht="14.25" customHeight="1" x14ac:dyDescent="0.25">
      <c r="B1299" s="103"/>
      <c r="D1299" s="80"/>
      <c r="E1299" s="80"/>
    </row>
    <row r="1300" spans="2:5" ht="14.25" customHeight="1" x14ac:dyDescent="0.25">
      <c r="B1300" s="103"/>
      <c r="D1300" s="80"/>
      <c r="E1300" s="80"/>
    </row>
    <row r="1301" spans="2:5" ht="14.25" customHeight="1" x14ac:dyDescent="0.25">
      <c r="B1301" s="103"/>
      <c r="D1301" s="80"/>
      <c r="E1301" s="80"/>
    </row>
    <row r="1302" spans="2:5" ht="14.25" customHeight="1" x14ac:dyDescent="0.25">
      <c r="B1302" s="103"/>
      <c r="D1302" s="80"/>
      <c r="E1302" s="80"/>
    </row>
    <row r="1303" spans="2:5" ht="14.25" customHeight="1" x14ac:dyDescent="0.25">
      <c r="B1303" s="103"/>
      <c r="D1303" s="80"/>
      <c r="E1303" s="80"/>
    </row>
    <row r="1304" spans="2:5" ht="14.25" customHeight="1" x14ac:dyDescent="0.25">
      <c r="B1304" s="103"/>
      <c r="D1304" s="80"/>
      <c r="E1304" s="80"/>
    </row>
    <row r="1305" spans="2:5" ht="14.25" customHeight="1" x14ac:dyDescent="0.25">
      <c r="B1305" s="103"/>
      <c r="D1305" s="80"/>
      <c r="E1305" s="80"/>
    </row>
    <row r="1306" spans="2:5" ht="14.25" customHeight="1" x14ac:dyDescent="0.25">
      <c r="B1306" s="103"/>
      <c r="D1306" s="80"/>
      <c r="E1306" s="80"/>
    </row>
    <row r="1307" spans="2:5" ht="14.25" customHeight="1" x14ac:dyDescent="0.25">
      <c r="B1307" s="103"/>
      <c r="D1307" s="80"/>
      <c r="E1307" s="80"/>
    </row>
    <row r="1308" spans="2:5" ht="14.25" customHeight="1" x14ac:dyDescent="0.25">
      <c r="B1308" s="103"/>
      <c r="D1308" s="80"/>
      <c r="E1308" s="80"/>
    </row>
    <row r="1309" spans="2:5" ht="14.25" customHeight="1" x14ac:dyDescent="0.25">
      <c r="B1309" s="103"/>
      <c r="D1309" s="80"/>
      <c r="E1309" s="80"/>
    </row>
    <row r="1310" spans="2:5" ht="14.25" customHeight="1" x14ac:dyDescent="0.25">
      <c r="B1310" s="103"/>
      <c r="D1310" s="80"/>
      <c r="E1310" s="80"/>
    </row>
    <row r="1311" spans="2:5" ht="14.25" customHeight="1" x14ac:dyDescent="0.25">
      <c r="B1311" s="103"/>
      <c r="D1311" s="80"/>
      <c r="E1311" s="80"/>
    </row>
    <row r="1312" spans="2:5" ht="14.25" customHeight="1" x14ac:dyDescent="0.25">
      <c r="B1312" s="103"/>
      <c r="D1312" s="80"/>
      <c r="E1312" s="80"/>
    </row>
    <row r="1313" spans="2:5" ht="14.25" customHeight="1" x14ac:dyDescent="0.25">
      <c r="B1313" s="103"/>
      <c r="D1313" s="80"/>
      <c r="E1313" s="80"/>
    </row>
    <row r="1314" spans="2:5" ht="14.25" customHeight="1" x14ac:dyDescent="0.25">
      <c r="B1314" s="103"/>
      <c r="D1314" s="80"/>
      <c r="E1314" s="80"/>
    </row>
    <row r="1315" spans="2:5" ht="14.25" customHeight="1" x14ac:dyDescent="0.25">
      <c r="B1315" s="103"/>
      <c r="D1315" s="80"/>
      <c r="E1315" s="80"/>
    </row>
    <row r="1316" spans="2:5" ht="14.25" customHeight="1" x14ac:dyDescent="0.25">
      <c r="B1316" s="103"/>
      <c r="D1316" s="80"/>
      <c r="E1316" s="80"/>
    </row>
    <row r="1317" spans="2:5" ht="14.25" customHeight="1" x14ac:dyDescent="0.25">
      <c r="B1317" s="103"/>
      <c r="D1317" s="80"/>
      <c r="E1317" s="80"/>
    </row>
    <row r="1318" spans="2:5" ht="14.25" customHeight="1" x14ac:dyDescent="0.25">
      <c r="B1318" s="103"/>
      <c r="D1318" s="80"/>
      <c r="E1318" s="80"/>
    </row>
    <row r="1319" spans="2:5" ht="14.25" customHeight="1" x14ac:dyDescent="0.25">
      <c r="B1319" s="103"/>
      <c r="D1319" s="80"/>
      <c r="E1319" s="80"/>
    </row>
    <row r="1320" spans="2:5" ht="14.25" customHeight="1" x14ac:dyDescent="0.25">
      <c r="B1320" s="103"/>
      <c r="D1320" s="80"/>
      <c r="E1320" s="80"/>
    </row>
    <row r="1321" spans="2:5" ht="14.25" customHeight="1" x14ac:dyDescent="0.25">
      <c r="B1321" s="103"/>
      <c r="D1321" s="80"/>
      <c r="E1321" s="80"/>
    </row>
    <row r="1322" spans="2:5" ht="14.25" customHeight="1" x14ac:dyDescent="0.25">
      <c r="B1322" s="103"/>
      <c r="D1322" s="80"/>
      <c r="E1322" s="80"/>
    </row>
    <row r="1323" spans="2:5" ht="14.25" customHeight="1" x14ac:dyDescent="0.25">
      <c r="B1323" s="103"/>
      <c r="D1323" s="80"/>
      <c r="E1323" s="80"/>
    </row>
    <row r="1324" spans="2:5" ht="14.25" customHeight="1" x14ac:dyDescent="0.25">
      <c r="B1324" s="103"/>
      <c r="D1324" s="80"/>
      <c r="E1324" s="80"/>
    </row>
    <row r="1325" spans="2:5" ht="14.25" customHeight="1" x14ac:dyDescent="0.25">
      <c r="B1325" s="103"/>
      <c r="D1325" s="80"/>
      <c r="E1325" s="80"/>
    </row>
    <row r="1326" spans="2:5" ht="14.25" customHeight="1" x14ac:dyDescent="0.25">
      <c r="B1326" s="103"/>
      <c r="D1326" s="80"/>
      <c r="E1326" s="80"/>
    </row>
    <row r="1327" spans="2:5" ht="14.25" customHeight="1" x14ac:dyDescent="0.25">
      <c r="B1327" s="103"/>
      <c r="D1327" s="80"/>
      <c r="E1327" s="80"/>
    </row>
    <row r="1328" spans="2:5" ht="14.25" customHeight="1" x14ac:dyDescent="0.25">
      <c r="B1328" s="103"/>
      <c r="D1328" s="80"/>
      <c r="E1328" s="80"/>
    </row>
    <row r="1329" spans="2:5" ht="14.25" customHeight="1" x14ac:dyDescent="0.25">
      <c r="B1329" s="103"/>
      <c r="D1329" s="80"/>
      <c r="E1329" s="80"/>
    </row>
    <row r="1330" spans="2:5" ht="14.25" customHeight="1" x14ac:dyDescent="0.25">
      <c r="B1330" s="103"/>
      <c r="D1330" s="80"/>
      <c r="E1330" s="80"/>
    </row>
    <row r="1331" spans="2:5" ht="14.25" customHeight="1" x14ac:dyDescent="0.25">
      <c r="B1331" s="103"/>
      <c r="D1331" s="80"/>
      <c r="E1331" s="80"/>
    </row>
    <row r="1332" spans="2:5" ht="14.25" customHeight="1" x14ac:dyDescent="0.25">
      <c r="B1332" s="103"/>
      <c r="D1332" s="80"/>
      <c r="E1332" s="80"/>
    </row>
    <row r="1333" spans="2:5" ht="14.25" customHeight="1" x14ac:dyDescent="0.25">
      <c r="B1333" s="103"/>
      <c r="D1333" s="80"/>
      <c r="E1333" s="80"/>
    </row>
    <row r="1334" spans="2:5" ht="14.25" customHeight="1" x14ac:dyDescent="0.25">
      <c r="B1334" s="103"/>
      <c r="D1334" s="80"/>
      <c r="E1334" s="80"/>
    </row>
    <row r="1335" spans="2:5" ht="14.25" customHeight="1" x14ac:dyDescent="0.25">
      <c r="B1335" s="103"/>
      <c r="D1335" s="80"/>
      <c r="E1335" s="80"/>
    </row>
    <row r="1336" spans="2:5" ht="14.25" customHeight="1" x14ac:dyDescent="0.25">
      <c r="B1336" s="103"/>
      <c r="D1336" s="80"/>
      <c r="E1336" s="80"/>
    </row>
    <row r="1337" spans="2:5" ht="14.25" customHeight="1" x14ac:dyDescent="0.25">
      <c r="B1337" s="103"/>
      <c r="D1337" s="80"/>
      <c r="E1337" s="80"/>
    </row>
    <row r="1338" spans="2:5" ht="14.25" customHeight="1" x14ac:dyDescent="0.25">
      <c r="B1338" s="103"/>
      <c r="D1338" s="80"/>
      <c r="E1338" s="80"/>
    </row>
    <row r="1339" spans="2:5" ht="14.25" customHeight="1" x14ac:dyDescent="0.25">
      <c r="B1339" s="103"/>
      <c r="D1339" s="80"/>
      <c r="E1339" s="80"/>
    </row>
    <row r="1340" spans="2:5" ht="14.25" customHeight="1" x14ac:dyDescent="0.25">
      <c r="B1340" s="103"/>
      <c r="D1340" s="80"/>
      <c r="E1340" s="80"/>
    </row>
    <row r="1341" spans="2:5" ht="14.25" customHeight="1" x14ac:dyDescent="0.25">
      <c r="B1341" s="103"/>
      <c r="D1341" s="80"/>
      <c r="E1341" s="80"/>
    </row>
    <row r="1342" spans="2:5" ht="14.25" customHeight="1" x14ac:dyDescent="0.25">
      <c r="B1342" s="103"/>
      <c r="D1342" s="80"/>
      <c r="E1342" s="80"/>
    </row>
    <row r="1343" spans="2:5" ht="14.25" customHeight="1" x14ac:dyDescent="0.25">
      <c r="B1343" s="103"/>
      <c r="D1343" s="80"/>
      <c r="E1343" s="80"/>
    </row>
    <row r="1344" spans="2:5" ht="14.25" customHeight="1" x14ac:dyDescent="0.25">
      <c r="B1344" s="103"/>
      <c r="D1344" s="80"/>
      <c r="E1344" s="80"/>
    </row>
    <row r="1345" spans="2:5" ht="14.25" customHeight="1" x14ac:dyDescent="0.25">
      <c r="B1345" s="103"/>
      <c r="D1345" s="80"/>
      <c r="E1345" s="80"/>
    </row>
    <row r="1346" spans="2:5" ht="14.25" customHeight="1" x14ac:dyDescent="0.25">
      <c r="B1346" s="103"/>
      <c r="D1346" s="80"/>
      <c r="E1346" s="80"/>
    </row>
    <row r="1347" spans="2:5" ht="14.25" customHeight="1" x14ac:dyDescent="0.25">
      <c r="B1347" s="103"/>
      <c r="D1347" s="80"/>
      <c r="E1347" s="80"/>
    </row>
    <row r="1348" spans="2:5" ht="14.25" customHeight="1" x14ac:dyDescent="0.25">
      <c r="B1348" s="103"/>
      <c r="D1348" s="80"/>
      <c r="E1348" s="80"/>
    </row>
    <row r="1349" spans="2:5" ht="14.25" customHeight="1" x14ac:dyDescent="0.25">
      <c r="B1349" s="103"/>
      <c r="D1349" s="80"/>
      <c r="E1349" s="80"/>
    </row>
    <row r="1350" spans="2:5" ht="14.25" customHeight="1" x14ac:dyDescent="0.25">
      <c r="B1350" s="103"/>
      <c r="D1350" s="80"/>
      <c r="E1350" s="80"/>
    </row>
    <row r="1351" spans="2:5" ht="14.25" customHeight="1" x14ac:dyDescent="0.25">
      <c r="B1351" s="103"/>
      <c r="D1351" s="80"/>
      <c r="E1351" s="80"/>
    </row>
    <row r="1352" spans="2:5" ht="14.25" customHeight="1" x14ac:dyDescent="0.25">
      <c r="B1352" s="103"/>
      <c r="D1352" s="80"/>
      <c r="E1352" s="80"/>
    </row>
    <row r="1353" spans="2:5" ht="14.25" customHeight="1" x14ac:dyDescent="0.25">
      <c r="B1353" s="103"/>
      <c r="D1353" s="80"/>
      <c r="E1353" s="80"/>
    </row>
    <row r="1354" spans="2:5" ht="14.25" customHeight="1" x14ac:dyDescent="0.25">
      <c r="B1354" s="103"/>
      <c r="D1354" s="80"/>
      <c r="E1354" s="80"/>
    </row>
    <row r="1355" spans="2:5" ht="14.25" customHeight="1" x14ac:dyDescent="0.25">
      <c r="B1355" s="103"/>
      <c r="D1355" s="80"/>
      <c r="E1355" s="80"/>
    </row>
    <row r="1356" spans="2:5" ht="14.25" customHeight="1" x14ac:dyDescent="0.25">
      <c r="B1356" s="103"/>
      <c r="D1356" s="80"/>
      <c r="E1356" s="80"/>
    </row>
    <row r="1357" spans="2:5" ht="14.25" customHeight="1" x14ac:dyDescent="0.25">
      <c r="B1357" s="103"/>
      <c r="D1357" s="80"/>
      <c r="E1357" s="80"/>
    </row>
    <row r="1358" spans="2:5" ht="14.25" customHeight="1" x14ac:dyDescent="0.25">
      <c r="B1358" s="103"/>
      <c r="D1358" s="80"/>
      <c r="E1358" s="80"/>
    </row>
    <row r="1359" spans="2:5" ht="14.25" customHeight="1" x14ac:dyDescent="0.25">
      <c r="B1359" s="103"/>
      <c r="D1359" s="80"/>
      <c r="E1359" s="80"/>
    </row>
    <row r="1360" spans="2:5" ht="14.25" customHeight="1" x14ac:dyDescent="0.25">
      <c r="B1360" s="103"/>
      <c r="D1360" s="80"/>
      <c r="E1360" s="80"/>
    </row>
    <row r="1361" spans="2:5" ht="14.25" customHeight="1" x14ac:dyDescent="0.25">
      <c r="B1361" s="103"/>
      <c r="D1361" s="80"/>
      <c r="E1361" s="80"/>
    </row>
    <row r="1362" spans="2:5" ht="14.25" customHeight="1" x14ac:dyDescent="0.25">
      <c r="B1362" s="103"/>
      <c r="D1362" s="80"/>
      <c r="E1362" s="80"/>
    </row>
    <row r="1363" spans="2:5" ht="14.25" customHeight="1" x14ac:dyDescent="0.25">
      <c r="B1363" s="103"/>
      <c r="D1363" s="80"/>
      <c r="E1363" s="80"/>
    </row>
    <row r="1364" spans="2:5" ht="14.25" customHeight="1" x14ac:dyDescent="0.25">
      <c r="B1364" s="103"/>
      <c r="D1364" s="80"/>
      <c r="E1364" s="80"/>
    </row>
    <row r="1365" spans="2:5" ht="14.25" customHeight="1" x14ac:dyDescent="0.25">
      <c r="B1365" s="103"/>
      <c r="D1365" s="80"/>
      <c r="E1365" s="80"/>
    </row>
    <row r="1366" spans="2:5" ht="14.25" customHeight="1" x14ac:dyDescent="0.25">
      <c r="B1366" s="103"/>
      <c r="D1366" s="80"/>
      <c r="E1366" s="80"/>
    </row>
    <row r="1367" spans="2:5" ht="14.25" customHeight="1" x14ac:dyDescent="0.25">
      <c r="B1367" s="103"/>
      <c r="D1367" s="80"/>
      <c r="E1367" s="80"/>
    </row>
    <row r="1368" spans="2:5" ht="14.25" customHeight="1" x14ac:dyDescent="0.25">
      <c r="B1368" s="103"/>
      <c r="D1368" s="80"/>
      <c r="E1368" s="80"/>
    </row>
    <row r="1369" spans="2:5" ht="14.25" customHeight="1" x14ac:dyDescent="0.25">
      <c r="B1369" s="103"/>
      <c r="D1369" s="80"/>
      <c r="E1369" s="80"/>
    </row>
    <row r="1370" spans="2:5" ht="14.25" customHeight="1" x14ac:dyDescent="0.25">
      <c r="B1370" s="103"/>
      <c r="D1370" s="80"/>
      <c r="E1370" s="80"/>
    </row>
    <row r="1371" spans="2:5" ht="14.25" customHeight="1" x14ac:dyDescent="0.25">
      <c r="B1371" s="103"/>
      <c r="D1371" s="80"/>
      <c r="E1371" s="80"/>
    </row>
    <row r="1372" spans="2:5" ht="14.25" customHeight="1" x14ac:dyDescent="0.25">
      <c r="B1372" s="103"/>
      <c r="D1372" s="80"/>
      <c r="E1372" s="80"/>
    </row>
    <row r="1373" spans="2:5" ht="14.25" customHeight="1" x14ac:dyDescent="0.25">
      <c r="B1373" s="103"/>
      <c r="D1373" s="80"/>
      <c r="E1373" s="80"/>
    </row>
    <row r="1374" spans="2:5" ht="14.25" customHeight="1" x14ac:dyDescent="0.25">
      <c r="B1374" s="103"/>
      <c r="D1374" s="80"/>
      <c r="E1374" s="80"/>
    </row>
    <row r="1375" spans="2:5" ht="14.25" customHeight="1" x14ac:dyDescent="0.25">
      <c r="B1375" s="103"/>
      <c r="D1375" s="80"/>
      <c r="E1375" s="80"/>
    </row>
    <row r="1376" spans="2:5" ht="14.25" customHeight="1" x14ac:dyDescent="0.25">
      <c r="B1376" s="103"/>
      <c r="D1376" s="80"/>
      <c r="E1376" s="80"/>
    </row>
    <row r="1377" spans="2:5" ht="14.25" customHeight="1" x14ac:dyDescent="0.25">
      <c r="B1377" s="103"/>
      <c r="D1377" s="80"/>
      <c r="E1377" s="80"/>
    </row>
    <row r="1378" spans="2:5" ht="14.25" customHeight="1" x14ac:dyDescent="0.25">
      <c r="B1378" s="103"/>
      <c r="D1378" s="80"/>
      <c r="E1378" s="80"/>
    </row>
    <row r="1379" spans="2:5" ht="14.25" customHeight="1" x14ac:dyDescent="0.25">
      <c r="B1379" s="103"/>
      <c r="D1379" s="80"/>
      <c r="E1379" s="80"/>
    </row>
    <row r="1380" spans="2:5" ht="14.25" customHeight="1" x14ac:dyDescent="0.25">
      <c r="B1380" s="103"/>
      <c r="D1380" s="80"/>
      <c r="E1380" s="80"/>
    </row>
    <row r="1381" spans="2:5" ht="14.25" customHeight="1" x14ac:dyDescent="0.25">
      <c r="B1381" s="103"/>
      <c r="D1381" s="80"/>
      <c r="E1381" s="80"/>
    </row>
    <row r="1382" spans="2:5" ht="14.25" customHeight="1" x14ac:dyDescent="0.25">
      <c r="B1382" s="103"/>
      <c r="D1382" s="80"/>
      <c r="E1382" s="80"/>
    </row>
    <row r="1383" spans="2:5" ht="14.25" customHeight="1" x14ac:dyDescent="0.25">
      <c r="B1383" s="103"/>
      <c r="D1383" s="80"/>
      <c r="E1383" s="80"/>
    </row>
    <row r="1384" spans="2:5" ht="14.25" customHeight="1" x14ac:dyDescent="0.25">
      <c r="B1384" s="103"/>
      <c r="D1384" s="80"/>
      <c r="E1384" s="80"/>
    </row>
    <row r="1385" spans="2:5" ht="14.25" customHeight="1" x14ac:dyDescent="0.25">
      <c r="B1385" s="103"/>
      <c r="D1385" s="80"/>
      <c r="E1385" s="80"/>
    </row>
    <row r="1386" spans="2:5" ht="14.25" customHeight="1" x14ac:dyDescent="0.25">
      <c r="B1386" s="103"/>
      <c r="D1386" s="80"/>
      <c r="E1386" s="80"/>
    </row>
    <row r="1387" spans="2:5" ht="14.25" customHeight="1" x14ac:dyDescent="0.25">
      <c r="B1387" s="103"/>
      <c r="D1387" s="80"/>
      <c r="E1387" s="80"/>
    </row>
    <row r="1388" spans="2:5" ht="14.25" customHeight="1" x14ac:dyDescent="0.25">
      <c r="B1388" s="103"/>
      <c r="D1388" s="80"/>
      <c r="E1388" s="80"/>
    </row>
    <row r="1389" spans="2:5" ht="14.25" customHeight="1" x14ac:dyDescent="0.25">
      <c r="B1389" s="103"/>
      <c r="D1389" s="80"/>
      <c r="E1389" s="80"/>
    </row>
    <row r="1390" spans="2:5" ht="14.25" customHeight="1" x14ac:dyDescent="0.25">
      <c r="B1390" s="103"/>
      <c r="D1390" s="80"/>
      <c r="E1390" s="80"/>
    </row>
    <row r="1391" spans="2:5" ht="14.25" customHeight="1" x14ac:dyDescent="0.25">
      <c r="B1391" s="103"/>
      <c r="D1391" s="80"/>
      <c r="E1391" s="80"/>
    </row>
    <row r="1392" spans="2:5" ht="14.25" customHeight="1" x14ac:dyDescent="0.25">
      <c r="B1392" s="103"/>
      <c r="D1392" s="80"/>
      <c r="E1392" s="80"/>
    </row>
    <row r="1393" spans="2:5" ht="14.25" customHeight="1" x14ac:dyDescent="0.25">
      <c r="B1393" s="103"/>
      <c r="D1393" s="80"/>
      <c r="E1393" s="80"/>
    </row>
    <row r="1394" spans="2:5" ht="14.25" customHeight="1" x14ac:dyDescent="0.25">
      <c r="B1394" s="103"/>
      <c r="D1394" s="80"/>
      <c r="E1394" s="80"/>
    </row>
    <row r="1395" spans="2:5" ht="14.25" customHeight="1" x14ac:dyDescent="0.25">
      <c r="B1395" s="103"/>
      <c r="D1395" s="80"/>
      <c r="E1395" s="80"/>
    </row>
    <row r="1396" spans="2:5" ht="14.25" customHeight="1" x14ac:dyDescent="0.25">
      <c r="B1396" s="103"/>
      <c r="D1396" s="80"/>
      <c r="E1396" s="80"/>
    </row>
    <row r="1397" spans="2:5" ht="14.25" customHeight="1" x14ac:dyDescent="0.25">
      <c r="B1397" s="103"/>
      <c r="D1397" s="80"/>
      <c r="E1397" s="80"/>
    </row>
    <row r="1398" spans="2:5" ht="14.25" customHeight="1" x14ac:dyDescent="0.25">
      <c r="B1398" s="103"/>
      <c r="D1398" s="80"/>
      <c r="E1398" s="80"/>
    </row>
    <row r="1399" spans="2:5" ht="14.25" customHeight="1" x14ac:dyDescent="0.25">
      <c r="B1399" s="103"/>
      <c r="D1399" s="80"/>
      <c r="E1399" s="80"/>
    </row>
    <row r="1400" spans="2:5" ht="14.25" customHeight="1" x14ac:dyDescent="0.25">
      <c r="B1400" s="103"/>
      <c r="D1400" s="80"/>
      <c r="E1400" s="80"/>
    </row>
    <row r="1401" spans="2:5" ht="14.25" customHeight="1" x14ac:dyDescent="0.25">
      <c r="B1401" s="103"/>
      <c r="D1401" s="80"/>
      <c r="E1401" s="80"/>
    </row>
    <row r="1402" spans="2:5" ht="14.25" customHeight="1" x14ac:dyDescent="0.25">
      <c r="B1402" s="103"/>
      <c r="D1402" s="80"/>
      <c r="E1402" s="80"/>
    </row>
    <row r="1403" spans="2:5" ht="14.25" customHeight="1" x14ac:dyDescent="0.25">
      <c r="B1403" s="103"/>
      <c r="D1403" s="80"/>
      <c r="E1403" s="80"/>
    </row>
    <row r="1404" spans="2:5" ht="14.25" customHeight="1" x14ac:dyDescent="0.25">
      <c r="B1404" s="103"/>
      <c r="D1404" s="80"/>
      <c r="E1404" s="80"/>
    </row>
    <row r="1405" spans="2:5" ht="14.25" customHeight="1" x14ac:dyDescent="0.25">
      <c r="B1405" s="103"/>
      <c r="D1405" s="80"/>
      <c r="E1405" s="80"/>
    </row>
    <row r="1406" spans="2:5" ht="14.25" customHeight="1" x14ac:dyDescent="0.25">
      <c r="B1406" s="103"/>
      <c r="D1406" s="80"/>
      <c r="E1406" s="80"/>
    </row>
    <row r="1407" spans="2:5" ht="14.25" customHeight="1" x14ac:dyDescent="0.25">
      <c r="B1407" s="103"/>
      <c r="D1407" s="80"/>
      <c r="E1407" s="80"/>
    </row>
    <row r="1408" spans="2:5" ht="14.25" customHeight="1" x14ac:dyDescent="0.25">
      <c r="B1408" s="103"/>
      <c r="D1408" s="80"/>
      <c r="E1408" s="80"/>
    </row>
    <row r="1409" spans="2:5" ht="14.25" customHeight="1" x14ac:dyDescent="0.25">
      <c r="B1409" s="103"/>
      <c r="D1409" s="80"/>
      <c r="E1409" s="80"/>
    </row>
    <row r="1410" spans="2:5" ht="14.25" customHeight="1" x14ac:dyDescent="0.25">
      <c r="B1410" s="103"/>
      <c r="D1410" s="80"/>
      <c r="E1410" s="80"/>
    </row>
    <row r="1411" spans="2:5" ht="14.25" customHeight="1" x14ac:dyDescent="0.25">
      <c r="B1411" s="103"/>
      <c r="D1411" s="80"/>
      <c r="E1411" s="80"/>
    </row>
    <row r="1412" spans="2:5" ht="14.25" customHeight="1" x14ac:dyDescent="0.25">
      <c r="B1412" s="103"/>
      <c r="D1412" s="80"/>
      <c r="E1412" s="80"/>
    </row>
    <row r="1413" spans="2:5" ht="14.25" customHeight="1" x14ac:dyDescent="0.25">
      <c r="B1413" s="103"/>
      <c r="D1413" s="80"/>
      <c r="E1413" s="80"/>
    </row>
    <row r="1414" spans="2:5" ht="14.25" customHeight="1" x14ac:dyDescent="0.25">
      <c r="B1414" s="103"/>
      <c r="D1414" s="80"/>
      <c r="E1414" s="80"/>
    </row>
    <row r="1415" spans="2:5" ht="14.25" customHeight="1" x14ac:dyDescent="0.25">
      <c r="B1415" s="103"/>
      <c r="D1415" s="80"/>
      <c r="E1415" s="80"/>
    </row>
    <row r="1416" spans="2:5" ht="14.25" customHeight="1" x14ac:dyDescent="0.25">
      <c r="B1416" s="103"/>
      <c r="D1416" s="80"/>
      <c r="E1416" s="80"/>
    </row>
    <row r="1417" spans="2:5" ht="14.25" customHeight="1" x14ac:dyDescent="0.25">
      <c r="B1417" s="103"/>
      <c r="D1417" s="80"/>
      <c r="E1417" s="80"/>
    </row>
    <row r="1418" spans="2:5" ht="14.25" customHeight="1" x14ac:dyDescent="0.25">
      <c r="B1418" s="103"/>
      <c r="D1418" s="80"/>
      <c r="E1418" s="80"/>
    </row>
    <row r="1419" spans="2:5" ht="14.25" customHeight="1" x14ac:dyDescent="0.25">
      <c r="B1419" s="103"/>
      <c r="D1419" s="80"/>
      <c r="E1419" s="80"/>
    </row>
    <row r="1420" spans="2:5" ht="14.25" customHeight="1" x14ac:dyDescent="0.25">
      <c r="B1420" s="103"/>
      <c r="D1420" s="80"/>
      <c r="E1420" s="80"/>
    </row>
    <row r="1421" spans="2:5" ht="14.25" customHeight="1" x14ac:dyDescent="0.25">
      <c r="B1421" s="103"/>
      <c r="D1421" s="80"/>
      <c r="E1421" s="80"/>
    </row>
    <row r="1422" spans="2:5" ht="14.25" customHeight="1" x14ac:dyDescent="0.25">
      <c r="B1422" s="103"/>
      <c r="D1422" s="80"/>
      <c r="E1422" s="80"/>
    </row>
    <row r="1423" spans="2:5" ht="14.25" customHeight="1" x14ac:dyDescent="0.25">
      <c r="B1423" s="103"/>
      <c r="D1423" s="80"/>
      <c r="E1423" s="80"/>
    </row>
    <row r="1424" spans="2:5" ht="14.25" customHeight="1" x14ac:dyDescent="0.25">
      <c r="B1424" s="103"/>
      <c r="D1424" s="80"/>
      <c r="E1424" s="80"/>
    </row>
    <row r="1425" spans="2:5" ht="14.25" customHeight="1" x14ac:dyDescent="0.25">
      <c r="B1425" s="103"/>
      <c r="D1425" s="80"/>
      <c r="E1425" s="80"/>
    </row>
    <row r="1426" spans="2:5" ht="14.25" customHeight="1" x14ac:dyDescent="0.25">
      <c r="B1426" s="103"/>
      <c r="D1426" s="80"/>
      <c r="E1426" s="80"/>
    </row>
    <row r="1427" spans="2:5" ht="14.25" customHeight="1" x14ac:dyDescent="0.25">
      <c r="B1427" s="103"/>
      <c r="D1427" s="80"/>
      <c r="E1427" s="80"/>
    </row>
    <row r="1428" spans="2:5" ht="14.25" customHeight="1" x14ac:dyDescent="0.25">
      <c r="B1428" s="103"/>
      <c r="D1428" s="80"/>
      <c r="E1428" s="80"/>
    </row>
    <row r="1429" spans="2:5" ht="14.25" customHeight="1" x14ac:dyDescent="0.25">
      <c r="B1429" s="103"/>
      <c r="D1429" s="80"/>
      <c r="E1429" s="80"/>
    </row>
    <row r="1430" spans="2:5" ht="14.25" customHeight="1" x14ac:dyDescent="0.25">
      <c r="B1430" s="103"/>
      <c r="D1430" s="80"/>
      <c r="E1430" s="80"/>
    </row>
    <row r="1431" spans="2:5" ht="14.25" customHeight="1" x14ac:dyDescent="0.25">
      <c r="B1431" s="103"/>
      <c r="D1431" s="80"/>
      <c r="E1431" s="80"/>
    </row>
    <row r="1432" spans="2:5" ht="14.25" customHeight="1" x14ac:dyDescent="0.25">
      <c r="B1432" s="103"/>
      <c r="D1432" s="80"/>
      <c r="E1432" s="80"/>
    </row>
    <row r="1433" spans="2:5" ht="14.25" customHeight="1" x14ac:dyDescent="0.25">
      <c r="B1433" s="103"/>
      <c r="D1433" s="80"/>
      <c r="E1433" s="80"/>
    </row>
    <row r="1434" spans="2:5" ht="14.25" customHeight="1" x14ac:dyDescent="0.25">
      <c r="B1434" s="103"/>
      <c r="D1434" s="80"/>
      <c r="E1434" s="80"/>
    </row>
    <row r="1435" spans="2:5" ht="14.25" customHeight="1" x14ac:dyDescent="0.25">
      <c r="B1435" s="103"/>
      <c r="D1435" s="80"/>
      <c r="E1435" s="80"/>
    </row>
    <row r="1436" spans="2:5" ht="14.25" customHeight="1" x14ac:dyDescent="0.25">
      <c r="B1436" s="103"/>
      <c r="D1436" s="80"/>
      <c r="E1436" s="80"/>
    </row>
    <row r="1437" spans="2:5" ht="14.25" customHeight="1" x14ac:dyDescent="0.25">
      <c r="B1437" s="103"/>
      <c r="D1437" s="80"/>
      <c r="E1437" s="80"/>
    </row>
    <row r="1438" spans="2:5" ht="14.25" customHeight="1" x14ac:dyDescent="0.25">
      <c r="B1438" s="103"/>
      <c r="D1438" s="80"/>
      <c r="E1438" s="80"/>
    </row>
    <row r="1439" spans="2:5" ht="14.25" customHeight="1" x14ac:dyDescent="0.25">
      <c r="B1439" s="103"/>
      <c r="D1439" s="80"/>
      <c r="E1439" s="80"/>
    </row>
    <row r="1440" spans="2:5" ht="14.25" customHeight="1" x14ac:dyDescent="0.25">
      <c r="B1440" s="103"/>
      <c r="D1440" s="80"/>
      <c r="E1440" s="80"/>
    </row>
    <row r="1441" spans="2:5" ht="14.25" customHeight="1" x14ac:dyDescent="0.25">
      <c r="B1441" s="103"/>
      <c r="D1441" s="80"/>
      <c r="E1441" s="80"/>
    </row>
    <row r="1442" spans="2:5" ht="14.25" customHeight="1" x14ac:dyDescent="0.25">
      <c r="B1442" s="103"/>
      <c r="D1442" s="80"/>
      <c r="E1442" s="80"/>
    </row>
    <row r="1443" spans="2:5" ht="14.25" customHeight="1" x14ac:dyDescent="0.25">
      <c r="B1443" s="103"/>
      <c r="D1443" s="80"/>
      <c r="E1443" s="80"/>
    </row>
    <row r="1444" spans="2:5" ht="14.25" customHeight="1" x14ac:dyDescent="0.25">
      <c r="B1444" s="103"/>
      <c r="D1444" s="80"/>
      <c r="E1444" s="80"/>
    </row>
    <row r="1445" spans="2:5" ht="14.25" customHeight="1" x14ac:dyDescent="0.25">
      <c r="B1445" s="103"/>
      <c r="D1445" s="80"/>
      <c r="E1445" s="80"/>
    </row>
    <row r="1446" spans="2:5" ht="14.25" customHeight="1" x14ac:dyDescent="0.25">
      <c r="B1446" s="103"/>
      <c r="D1446" s="80"/>
      <c r="E1446" s="80"/>
    </row>
    <row r="1447" spans="2:5" ht="14.25" customHeight="1" x14ac:dyDescent="0.25">
      <c r="B1447" s="103"/>
      <c r="D1447" s="80"/>
      <c r="E1447" s="80"/>
    </row>
    <row r="1448" spans="2:5" ht="14.25" customHeight="1" x14ac:dyDescent="0.25">
      <c r="B1448" s="103"/>
      <c r="D1448" s="80"/>
      <c r="E1448" s="80"/>
    </row>
    <row r="1449" spans="2:5" ht="14.25" customHeight="1" x14ac:dyDescent="0.25">
      <c r="B1449" s="103"/>
      <c r="D1449" s="80"/>
      <c r="E1449" s="80"/>
    </row>
    <row r="1450" spans="2:5" ht="14.25" customHeight="1" x14ac:dyDescent="0.25">
      <c r="B1450" s="103"/>
      <c r="D1450" s="80"/>
      <c r="E1450" s="80"/>
    </row>
    <row r="1451" spans="2:5" ht="14.25" customHeight="1" x14ac:dyDescent="0.25">
      <c r="B1451" s="103"/>
      <c r="D1451" s="80"/>
      <c r="E1451" s="80"/>
    </row>
    <row r="1452" spans="2:5" ht="14.25" customHeight="1" x14ac:dyDescent="0.25">
      <c r="B1452" s="103"/>
      <c r="D1452" s="80"/>
      <c r="E1452" s="80"/>
    </row>
    <row r="1453" spans="2:5" ht="14.25" customHeight="1" x14ac:dyDescent="0.25">
      <c r="B1453" s="103"/>
      <c r="D1453" s="80"/>
      <c r="E1453" s="80"/>
    </row>
    <row r="1454" spans="2:5" ht="14.25" customHeight="1" x14ac:dyDescent="0.25">
      <c r="B1454" s="103"/>
      <c r="D1454" s="80"/>
      <c r="E1454" s="80"/>
    </row>
    <row r="1455" spans="2:5" ht="14.25" customHeight="1" x14ac:dyDescent="0.25">
      <c r="B1455" s="103"/>
      <c r="D1455" s="80"/>
      <c r="E1455" s="80"/>
    </row>
    <row r="1456" spans="2:5" ht="14.25" customHeight="1" x14ac:dyDescent="0.25">
      <c r="B1456" s="103"/>
      <c r="D1456" s="80"/>
      <c r="E1456" s="80"/>
    </row>
    <row r="1457" spans="2:5" ht="14.25" customHeight="1" x14ac:dyDescent="0.25">
      <c r="B1457" s="103"/>
      <c r="D1457" s="80"/>
      <c r="E1457" s="80"/>
    </row>
    <row r="1458" spans="2:5" ht="14.25" customHeight="1" x14ac:dyDescent="0.25">
      <c r="B1458" s="103"/>
      <c r="D1458" s="80"/>
      <c r="E1458" s="80"/>
    </row>
    <row r="1459" spans="2:5" ht="14.25" customHeight="1" x14ac:dyDescent="0.25">
      <c r="B1459" s="103"/>
      <c r="D1459" s="80"/>
      <c r="E1459" s="80"/>
    </row>
    <row r="1460" spans="2:5" ht="14.25" customHeight="1" x14ac:dyDescent="0.25">
      <c r="B1460" s="103"/>
      <c r="D1460" s="80"/>
      <c r="E1460" s="80"/>
    </row>
    <row r="1461" spans="2:5" ht="14.25" customHeight="1" x14ac:dyDescent="0.25">
      <c r="B1461" s="103"/>
      <c r="D1461" s="80"/>
      <c r="E1461" s="80"/>
    </row>
    <row r="1462" spans="2:5" ht="14.25" customHeight="1" x14ac:dyDescent="0.25">
      <c r="B1462" s="103"/>
      <c r="D1462" s="80"/>
      <c r="E1462" s="80"/>
    </row>
    <row r="1463" spans="2:5" ht="14.25" customHeight="1" x14ac:dyDescent="0.25">
      <c r="B1463" s="103"/>
      <c r="D1463" s="80"/>
      <c r="E1463" s="80"/>
    </row>
    <row r="1464" spans="2:5" ht="14.25" customHeight="1" x14ac:dyDescent="0.25">
      <c r="B1464" s="103"/>
      <c r="D1464" s="80"/>
      <c r="E1464" s="80"/>
    </row>
    <row r="1465" spans="2:5" ht="14.25" customHeight="1" x14ac:dyDescent="0.25">
      <c r="B1465" s="103"/>
      <c r="D1465" s="80"/>
      <c r="E1465" s="80"/>
    </row>
    <row r="1466" spans="2:5" ht="14.25" customHeight="1" x14ac:dyDescent="0.25">
      <c r="B1466" s="103"/>
      <c r="D1466" s="80"/>
      <c r="E1466" s="80"/>
    </row>
    <row r="1467" spans="2:5" ht="14.25" customHeight="1" x14ac:dyDescent="0.25">
      <c r="B1467" s="103"/>
      <c r="D1467" s="80"/>
      <c r="E1467" s="80"/>
    </row>
    <row r="1468" spans="2:5" ht="14.25" customHeight="1" x14ac:dyDescent="0.25">
      <c r="B1468" s="103"/>
      <c r="D1468" s="80"/>
      <c r="E1468" s="80"/>
    </row>
    <row r="1469" spans="2:5" ht="14.25" customHeight="1" x14ac:dyDescent="0.25">
      <c r="B1469" s="103"/>
      <c r="D1469" s="80"/>
      <c r="E1469" s="80"/>
    </row>
    <row r="1470" spans="2:5" ht="14.25" customHeight="1" x14ac:dyDescent="0.25">
      <c r="B1470" s="103"/>
      <c r="D1470" s="80"/>
      <c r="E1470" s="80"/>
    </row>
    <row r="1471" spans="2:5" ht="14.25" customHeight="1" x14ac:dyDescent="0.25">
      <c r="B1471" s="103"/>
      <c r="D1471" s="80"/>
      <c r="E1471" s="80"/>
    </row>
    <row r="1472" spans="2:5" ht="14.25" customHeight="1" x14ac:dyDescent="0.25">
      <c r="B1472" s="103"/>
      <c r="D1472" s="80"/>
      <c r="E1472" s="80"/>
    </row>
    <row r="1473" spans="2:5" ht="14.25" customHeight="1" x14ac:dyDescent="0.25">
      <c r="B1473" s="103"/>
      <c r="D1473" s="80"/>
      <c r="E1473" s="80"/>
    </row>
    <row r="1474" spans="2:5" ht="14.25" customHeight="1" x14ac:dyDescent="0.25">
      <c r="B1474" s="103"/>
      <c r="D1474" s="80"/>
      <c r="E1474" s="80"/>
    </row>
    <row r="1475" spans="2:5" ht="14.25" customHeight="1" x14ac:dyDescent="0.25">
      <c r="B1475" s="103"/>
      <c r="D1475" s="80"/>
      <c r="E1475" s="80"/>
    </row>
    <row r="1476" spans="2:5" ht="14.25" customHeight="1" x14ac:dyDescent="0.25">
      <c r="B1476" s="103"/>
      <c r="D1476" s="80"/>
      <c r="E1476" s="80"/>
    </row>
    <row r="1477" spans="2:5" ht="14.25" customHeight="1" x14ac:dyDescent="0.25">
      <c r="B1477" s="103"/>
      <c r="D1477" s="80"/>
      <c r="E1477" s="80"/>
    </row>
    <row r="1478" spans="2:5" ht="14.25" customHeight="1" x14ac:dyDescent="0.25">
      <c r="B1478" s="103"/>
      <c r="D1478" s="80"/>
      <c r="E1478" s="80"/>
    </row>
    <row r="1479" spans="2:5" ht="14.25" customHeight="1" x14ac:dyDescent="0.25">
      <c r="B1479" s="103"/>
      <c r="D1479" s="80"/>
      <c r="E1479" s="80"/>
    </row>
    <row r="1480" spans="2:5" ht="14.25" customHeight="1" x14ac:dyDescent="0.25">
      <c r="B1480" s="103"/>
      <c r="D1480" s="80"/>
      <c r="E1480" s="80"/>
    </row>
    <row r="1481" spans="2:5" ht="14.25" customHeight="1" x14ac:dyDescent="0.25">
      <c r="B1481" s="103"/>
      <c r="D1481" s="80"/>
      <c r="E1481" s="80"/>
    </row>
    <row r="1482" spans="2:5" ht="14.25" customHeight="1" x14ac:dyDescent="0.25">
      <c r="B1482" s="103"/>
      <c r="D1482" s="80"/>
      <c r="E1482" s="80"/>
    </row>
    <row r="1483" spans="2:5" ht="14.25" customHeight="1" x14ac:dyDescent="0.25">
      <c r="B1483" s="103"/>
      <c r="D1483" s="80"/>
      <c r="E1483" s="80"/>
    </row>
    <row r="1484" spans="2:5" ht="14.25" customHeight="1" x14ac:dyDescent="0.25">
      <c r="B1484" s="103"/>
      <c r="D1484" s="80"/>
      <c r="E1484" s="80"/>
    </row>
    <row r="1485" spans="2:5" ht="14.25" customHeight="1" x14ac:dyDescent="0.25">
      <c r="B1485" s="103"/>
      <c r="D1485" s="80"/>
      <c r="E1485" s="80"/>
    </row>
    <row r="1486" spans="2:5" ht="14.25" customHeight="1" x14ac:dyDescent="0.25">
      <c r="B1486" s="103"/>
      <c r="D1486" s="80"/>
      <c r="E1486" s="80"/>
    </row>
    <row r="1487" spans="2:5" ht="14.25" customHeight="1" x14ac:dyDescent="0.25">
      <c r="B1487" s="103"/>
      <c r="D1487" s="80"/>
      <c r="E1487" s="80"/>
    </row>
    <row r="1488" spans="2:5" ht="14.25" customHeight="1" x14ac:dyDescent="0.25">
      <c r="B1488" s="103"/>
      <c r="D1488" s="80"/>
      <c r="E1488" s="80"/>
    </row>
    <row r="1489" spans="2:5" ht="14.25" customHeight="1" x14ac:dyDescent="0.25">
      <c r="B1489" s="103"/>
      <c r="D1489" s="80"/>
      <c r="E1489" s="80"/>
    </row>
    <row r="1490" spans="2:5" ht="14.25" customHeight="1" x14ac:dyDescent="0.25">
      <c r="B1490" s="103"/>
      <c r="D1490" s="80"/>
      <c r="E1490" s="80"/>
    </row>
    <row r="1491" spans="2:5" ht="14.25" customHeight="1" x14ac:dyDescent="0.25">
      <c r="B1491" s="103"/>
      <c r="D1491" s="80"/>
      <c r="E1491" s="80"/>
    </row>
    <row r="1492" spans="2:5" ht="14.25" customHeight="1" x14ac:dyDescent="0.25">
      <c r="B1492" s="103"/>
      <c r="D1492" s="80"/>
      <c r="E1492" s="80"/>
    </row>
    <row r="1493" spans="2:5" ht="14.25" customHeight="1" x14ac:dyDescent="0.25">
      <c r="B1493" s="103"/>
      <c r="D1493" s="80"/>
      <c r="E1493" s="80"/>
    </row>
    <row r="1494" spans="2:5" ht="14.25" customHeight="1" x14ac:dyDescent="0.25">
      <c r="B1494" s="103"/>
      <c r="D1494" s="80"/>
      <c r="E1494" s="80"/>
    </row>
    <row r="1495" spans="2:5" ht="14.25" customHeight="1" x14ac:dyDescent="0.25">
      <c r="B1495" s="103"/>
      <c r="D1495" s="80"/>
      <c r="E1495" s="80"/>
    </row>
    <row r="1496" spans="2:5" ht="14.25" customHeight="1" x14ac:dyDescent="0.25">
      <c r="B1496" s="103"/>
      <c r="D1496" s="80"/>
      <c r="E1496" s="80"/>
    </row>
    <row r="1497" spans="2:5" ht="14.25" customHeight="1" x14ac:dyDescent="0.25">
      <c r="B1497" s="103"/>
      <c r="D1497" s="80"/>
      <c r="E1497" s="80"/>
    </row>
    <row r="1498" spans="2:5" ht="14.25" customHeight="1" x14ac:dyDescent="0.25">
      <c r="B1498" s="103"/>
      <c r="D1498" s="80"/>
      <c r="E1498" s="80"/>
    </row>
    <row r="1499" spans="2:5" ht="14.25" customHeight="1" x14ac:dyDescent="0.25">
      <c r="B1499" s="103"/>
      <c r="D1499" s="80"/>
      <c r="E1499" s="80"/>
    </row>
    <row r="1500" spans="2:5" ht="14.25" customHeight="1" x14ac:dyDescent="0.25">
      <c r="B1500" s="103"/>
      <c r="D1500" s="80"/>
      <c r="E1500" s="80"/>
    </row>
    <row r="1501" spans="2:5" ht="14.25" customHeight="1" x14ac:dyDescent="0.25">
      <c r="B1501" s="103"/>
      <c r="D1501" s="80"/>
      <c r="E1501" s="80"/>
    </row>
    <row r="1502" spans="2:5" ht="14.25" customHeight="1" x14ac:dyDescent="0.25">
      <c r="B1502" s="103"/>
      <c r="D1502" s="80"/>
      <c r="E1502" s="80"/>
    </row>
    <row r="1503" spans="2:5" ht="14.25" customHeight="1" x14ac:dyDescent="0.25">
      <c r="B1503" s="103"/>
      <c r="D1503" s="80"/>
      <c r="E1503" s="80"/>
    </row>
    <row r="1504" spans="2:5" ht="14.25" customHeight="1" x14ac:dyDescent="0.25">
      <c r="B1504" s="103"/>
      <c r="D1504" s="80"/>
      <c r="E1504" s="80"/>
    </row>
    <row r="1505" spans="2:5" ht="14.25" customHeight="1" x14ac:dyDescent="0.25">
      <c r="B1505" s="103"/>
      <c r="D1505" s="80"/>
      <c r="E1505" s="80"/>
    </row>
    <row r="1506" spans="2:5" ht="14.25" customHeight="1" x14ac:dyDescent="0.25">
      <c r="B1506" s="103"/>
      <c r="D1506" s="80"/>
      <c r="E1506" s="80"/>
    </row>
    <row r="1507" spans="2:5" ht="14.25" customHeight="1" x14ac:dyDescent="0.25">
      <c r="B1507" s="103"/>
      <c r="D1507" s="80"/>
      <c r="E1507" s="80"/>
    </row>
    <row r="1508" spans="2:5" ht="14.25" customHeight="1" x14ac:dyDescent="0.25">
      <c r="B1508" s="103"/>
      <c r="D1508" s="80"/>
      <c r="E1508" s="80"/>
    </row>
    <row r="1509" spans="2:5" ht="14.25" customHeight="1" x14ac:dyDescent="0.25">
      <c r="B1509" s="103"/>
      <c r="D1509" s="80"/>
      <c r="E1509" s="80"/>
    </row>
    <row r="1510" spans="2:5" ht="14.25" customHeight="1" x14ac:dyDescent="0.25">
      <c r="B1510" s="103"/>
      <c r="D1510" s="80"/>
      <c r="E1510" s="80"/>
    </row>
    <row r="1511" spans="2:5" ht="14.25" customHeight="1" x14ac:dyDescent="0.25">
      <c r="B1511" s="103"/>
      <c r="D1511" s="80"/>
      <c r="E1511" s="80"/>
    </row>
    <row r="1512" spans="2:5" ht="14.25" customHeight="1" x14ac:dyDescent="0.25">
      <c r="B1512" s="103"/>
      <c r="D1512" s="80"/>
      <c r="E1512" s="80"/>
    </row>
    <row r="1513" spans="2:5" ht="14.25" customHeight="1" x14ac:dyDescent="0.25">
      <c r="B1513" s="103"/>
      <c r="D1513" s="80"/>
      <c r="E1513" s="80"/>
    </row>
    <row r="1514" spans="2:5" ht="14.25" customHeight="1" x14ac:dyDescent="0.25">
      <c r="B1514" s="103"/>
      <c r="D1514" s="80"/>
      <c r="E1514" s="80"/>
    </row>
    <row r="1515" spans="2:5" ht="14.25" customHeight="1" x14ac:dyDescent="0.25">
      <c r="B1515" s="103"/>
      <c r="D1515" s="80"/>
      <c r="E1515" s="80"/>
    </row>
    <row r="1516" spans="2:5" ht="14.25" customHeight="1" x14ac:dyDescent="0.25">
      <c r="B1516" s="103"/>
      <c r="D1516" s="80"/>
      <c r="E1516" s="80"/>
    </row>
    <row r="1517" spans="2:5" ht="14.25" customHeight="1" x14ac:dyDescent="0.25">
      <c r="B1517" s="103"/>
      <c r="D1517" s="80"/>
      <c r="E1517" s="80"/>
    </row>
    <row r="1518" spans="2:5" ht="14.25" customHeight="1" x14ac:dyDescent="0.25">
      <c r="B1518" s="103"/>
      <c r="D1518" s="80"/>
      <c r="E1518" s="80"/>
    </row>
    <row r="1519" spans="2:5" ht="14.25" customHeight="1" x14ac:dyDescent="0.25">
      <c r="B1519" s="103"/>
      <c r="D1519" s="80"/>
      <c r="E1519" s="80"/>
    </row>
    <row r="1520" spans="2:5" ht="14.25" customHeight="1" x14ac:dyDescent="0.25">
      <c r="B1520" s="103"/>
      <c r="D1520" s="80"/>
      <c r="E1520" s="80"/>
    </row>
    <row r="1521" spans="2:5" ht="14.25" customHeight="1" x14ac:dyDescent="0.25">
      <c r="B1521" s="103"/>
      <c r="D1521" s="80"/>
      <c r="E1521" s="80"/>
    </row>
    <row r="1522" spans="2:5" ht="14.25" customHeight="1" x14ac:dyDescent="0.25">
      <c r="B1522" s="103"/>
      <c r="D1522" s="80"/>
      <c r="E1522" s="80"/>
    </row>
    <row r="1523" spans="2:5" ht="14.25" customHeight="1" x14ac:dyDescent="0.25">
      <c r="B1523" s="103"/>
      <c r="D1523" s="80"/>
      <c r="E1523" s="80"/>
    </row>
    <row r="1524" spans="2:5" ht="14.25" customHeight="1" x14ac:dyDescent="0.25">
      <c r="B1524" s="103"/>
      <c r="D1524" s="80"/>
      <c r="E1524" s="80"/>
    </row>
    <row r="1525" spans="2:5" ht="14.25" customHeight="1" x14ac:dyDescent="0.25">
      <c r="B1525" s="103"/>
      <c r="D1525" s="80"/>
      <c r="E1525" s="80"/>
    </row>
    <row r="1526" spans="2:5" ht="14.25" customHeight="1" x14ac:dyDescent="0.25">
      <c r="B1526" s="103"/>
      <c r="D1526" s="80"/>
      <c r="E1526" s="80"/>
    </row>
    <row r="1527" spans="2:5" ht="14.25" customHeight="1" x14ac:dyDescent="0.25">
      <c r="B1527" s="103"/>
      <c r="D1527" s="80"/>
      <c r="E1527" s="80"/>
    </row>
    <row r="1528" spans="2:5" ht="14.25" customHeight="1" x14ac:dyDescent="0.25">
      <c r="B1528" s="103"/>
      <c r="D1528" s="80"/>
      <c r="E1528" s="80"/>
    </row>
    <row r="1529" spans="2:5" ht="14.25" customHeight="1" x14ac:dyDescent="0.25">
      <c r="B1529" s="103"/>
      <c r="D1529" s="80"/>
      <c r="E1529" s="80"/>
    </row>
    <row r="1530" spans="2:5" ht="14.25" customHeight="1" x14ac:dyDescent="0.25">
      <c r="B1530" s="103"/>
      <c r="D1530" s="80"/>
      <c r="E1530" s="80"/>
    </row>
    <row r="1531" spans="2:5" ht="14.25" customHeight="1" x14ac:dyDescent="0.25">
      <c r="B1531" s="103"/>
      <c r="D1531" s="80"/>
      <c r="E1531" s="80"/>
    </row>
    <row r="1532" spans="2:5" ht="14.25" customHeight="1" x14ac:dyDescent="0.25">
      <c r="B1532" s="103"/>
      <c r="D1532" s="80"/>
      <c r="E1532" s="80"/>
    </row>
    <row r="1533" spans="2:5" ht="14.25" customHeight="1" x14ac:dyDescent="0.25">
      <c r="B1533" s="103"/>
      <c r="D1533" s="80"/>
      <c r="E1533" s="80"/>
    </row>
    <row r="1534" spans="2:5" ht="14.25" customHeight="1" x14ac:dyDescent="0.25">
      <c r="B1534" s="103"/>
      <c r="D1534" s="80"/>
      <c r="E1534" s="80"/>
    </row>
    <row r="1535" spans="2:5" ht="14.25" customHeight="1" x14ac:dyDescent="0.25">
      <c r="B1535" s="103"/>
      <c r="D1535" s="80"/>
      <c r="E1535" s="80"/>
    </row>
    <row r="1536" spans="2:5" ht="14.25" customHeight="1" x14ac:dyDescent="0.25">
      <c r="B1536" s="103"/>
      <c r="D1536" s="80"/>
      <c r="E1536" s="80"/>
    </row>
    <row r="1537" spans="2:5" ht="14.25" customHeight="1" x14ac:dyDescent="0.25">
      <c r="B1537" s="103"/>
      <c r="D1537" s="80"/>
      <c r="E1537" s="80"/>
    </row>
    <row r="1538" spans="2:5" ht="14.25" customHeight="1" x14ac:dyDescent="0.25">
      <c r="B1538" s="103"/>
      <c r="D1538" s="80"/>
      <c r="E1538" s="80"/>
    </row>
    <row r="1539" spans="2:5" ht="14.25" customHeight="1" x14ac:dyDescent="0.25">
      <c r="B1539" s="103"/>
      <c r="D1539" s="80"/>
      <c r="E1539" s="80"/>
    </row>
    <row r="1540" spans="2:5" ht="14.25" customHeight="1" x14ac:dyDescent="0.25">
      <c r="B1540" s="103"/>
      <c r="D1540" s="80"/>
      <c r="E1540" s="80"/>
    </row>
    <row r="1541" spans="2:5" ht="14.25" customHeight="1" x14ac:dyDescent="0.25">
      <c r="B1541" s="103"/>
      <c r="D1541" s="80"/>
      <c r="E1541" s="80"/>
    </row>
    <row r="1542" spans="2:5" ht="14.25" customHeight="1" x14ac:dyDescent="0.25">
      <c r="B1542" s="103"/>
      <c r="D1542" s="80"/>
      <c r="E1542" s="80"/>
    </row>
    <row r="1543" spans="2:5" ht="14.25" customHeight="1" x14ac:dyDescent="0.25">
      <c r="B1543" s="103"/>
      <c r="D1543" s="80"/>
      <c r="E1543" s="80"/>
    </row>
    <row r="1544" spans="2:5" ht="14.25" customHeight="1" x14ac:dyDescent="0.25">
      <c r="B1544" s="103"/>
      <c r="D1544" s="80"/>
      <c r="E1544" s="80"/>
    </row>
    <row r="1545" spans="2:5" ht="14.25" customHeight="1" x14ac:dyDescent="0.25">
      <c r="B1545" s="103"/>
      <c r="D1545" s="80"/>
      <c r="E1545" s="80"/>
    </row>
    <row r="1546" spans="2:5" ht="14.25" customHeight="1" x14ac:dyDescent="0.25">
      <c r="B1546" s="103"/>
      <c r="D1546" s="80"/>
      <c r="E1546" s="80"/>
    </row>
    <row r="1547" spans="2:5" ht="14.25" customHeight="1" x14ac:dyDescent="0.25">
      <c r="B1547" s="103"/>
      <c r="D1547" s="80"/>
      <c r="E1547" s="80"/>
    </row>
    <row r="1548" spans="2:5" ht="14.25" customHeight="1" x14ac:dyDescent="0.25">
      <c r="B1548" s="103"/>
      <c r="D1548" s="80"/>
      <c r="E1548" s="80"/>
    </row>
    <row r="1549" spans="2:5" ht="14.25" customHeight="1" x14ac:dyDescent="0.25">
      <c r="B1549" s="103"/>
      <c r="D1549" s="80"/>
      <c r="E1549" s="80"/>
    </row>
    <row r="1550" spans="2:5" ht="14.25" customHeight="1" x14ac:dyDescent="0.25">
      <c r="B1550" s="103"/>
      <c r="D1550" s="80"/>
      <c r="E1550" s="80"/>
    </row>
    <row r="1551" spans="2:5" ht="14.25" customHeight="1" x14ac:dyDescent="0.25">
      <c r="B1551" s="103"/>
      <c r="D1551" s="80"/>
      <c r="E1551" s="80"/>
    </row>
    <row r="1552" spans="2:5" ht="14.25" customHeight="1" x14ac:dyDescent="0.25">
      <c r="B1552" s="103"/>
      <c r="D1552" s="80"/>
      <c r="E1552" s="80"/>
    </row>
    <row r="1553" spans="2:5" ht="14.25" customHeight="1" x14ac:dyDescent="0.25">
      <c r="B1553" s="103"/>
      <c r="D1553" s="80"/>
      <c r="E1553" s="80"/>
    </row>
    <row r="1554" spans="2:5" ht="14.25" customHeight="1" x14ac:dyDescent="0.25">
      <c r="B1554" s="103"/>
      <c r="D1554" s="80"/>
      <c r="E1554" s="80"/>
    </row>
    <row r="1555" spans="2:5" ht="14.25" customHeight="1" x14ac:dyDescent="0.25">
      <c r="B1555" s="103"/>
      <c r="D1555" s="80"/>
      <c r="E1555" s="80"/>
    </row>
    <row r="1556" spans="2:5" ht="14.25" customHeight="1" x14ac:dyDescent="0.25">
      <c r="B1556" s="103"/>
      <c r="D1556" s="80"/>
      <c r="E1556" s="80"/>
    </row>
    <row r="1557" spans="2:5" ht="14.25" customHeight="1" x14ac:dyDescent="0.25">
      <c r="B1557" s="103"/>
      <c r="D1557" s="80"/>
      <c r="E1557" s="80"/>
    </row>
    <row r="1558" spans="2:5" ht="14.25" customHeight="1" x14ac:dyDescent="0.25">
      <c r="B1558" s="103"/>
      <c r="D1558" s="80"/>
      <c r="E1558" s="80"/>
    </row>
    <row r="1559" spans="2:5" ht="14.25" customHeight="1" x14ac:dyDescent="0.25">
      <c r="B1559" s="103"/>
      <c r="D1559" s="80"/>
      <c r="E1559" s="80"/>
    </row>
    <row r="1560" spans="2:5" ht="14.25" customHeight="1" x14ac:dyDescent="0.25">
      <c r="B1560" s="103"/>
      <c r="D1560" s="80"/>
      <c r="E1560" s="80"/>
    </row>
    <row r="1561" spans="2:5" ht="14.25" customHeight="1" x14ac:dyDescent="0.25">
      <c r="B1561" s="103"/>
      <c r="D1561" s="80"/>
      <c r="E1561" s="80"/>
    </row>
    <row r="1562" spans="2:5" ht="14.25" customHeight="1" x14ac:dyDescent="0.25">
      <c r="B1562" s="103"/>
      <c r="D1562" s="80"/>
      <c r="E1562" s="80"/>
    </row>
    <row r="1563" spans="2:5" ht="14.25" customHeight="1" x14ac:dyDescent="0.25">
      <c r="B1563" s="103"/>
      <c r="D1563" s="80"/>
      <c r="E1563" s="80"/>
    </row>
    <row r="1564" spans="2:5" ht="14.25" customHeight="1" x14ac:dyDescent="0.25">
      <c r="B1564" s="103"/>
      <c r="D1564" s="80"/>
      <c r="E1564" s="80"/>
    </row>
    <row r="1565" spans="2:5" ht="14.25" customHeight="1" x14ac:dyDescent="0.25">
      <c r="B1565" s="103"/>
      <c r="D1565" s="80"/>
      <c r="E1565" s="80"/>
    </row>
    <row r="1566" spans="2:5" ht="14.25" customHeight="1" x14ac:dyDescent="0.25">
      <c r="B1566" s="103"/>
      <c r="D1566" s="80"/>
      <c r="E1566" s="80"/>
    </row>
    <row r="1567" spans="2:5" ht="14.25" customHeight="1" x14ac:dyDescent="0.25">
      <c r="B1567" s="103"/>
      <c r="D1567" s="80"/>
      <c r="E1567" s="80"/>
    </row>
    <row r="1568" spans="2:5" ht="14.25" customHeight="1" x14ac:dyDescent="0.25">
      <c r="B1568" s="103"/>
      <c r="D1568" s="80"/>
      <c r="E1568" s="80"/>
    </row>
    <row r="1569" spans="2:5" ht="14.25" customHeight="1" x14ac:dyDescent="0.25">
      <c r="B1569" s="103"/>
      <c r="D1569" s="80"/>
      <c r="E1569" s="80"/>
    </row>
    <row r="1570" spans="2:5" ht="14.25" customHeight="1" x14ac:dyDescent="0.25">
      <c r="B1570" s="103"/>
      <c r="D1570" s="80"/>
      <c r="E1570" s="80"/>
    </row>
    <row r="1571" spans="2:5" ht="14.25" customHeight="1" x14ac:dyDescent="0.25">
      <c r="B1571" s="103"/>
      <c r="D1571" s="80"/>
      <c r="E1571" s="80"/>
    </row>
    <row r="1572" spans="2:5" ht="14.25" customHeight="1" x14ac:dyDescent="0.25">
      <c r="B1572" s="103"/>
      <c r="D1572" s="80"/>
      <c r="E1572" s="80"/>
    </row>
    <row r="1573" spans="2:5" ht="14.25" customHeight="1" x14ac:dyDescent="0.25">
      <c r="B1573" s="103"/>
      <c r="D1573" s="80"/>
      <c r="E1573" s="80"/>
    </row>
    <row r="1574" spans="2:5" ht="14.25" customHeight="1" x14ac:dyDescent="0.25">
      <c r="B1574" s="103"/>
      <c r="D1574" s="80"/>
      <c r="E1574" s="80"/>
    </row>
    <row r="1575" spans="2:5" ht="14.25" customHeight="1" x14ac:dyDescent="0.25">
      <c r="B1575" s="103"/>
      <c r="D1575" s="80"/>
      <c r="E1575" s="80"/>
    </row>
    <row r="1576" spans="2:5" ht="14.25" customHeight="1" x14ac:dyDescent="0.25">
      <c r="B1576" s="103"/>
      <c r="D1576" s="80"/>
      <c r="E1576" s="80"/>
    </row>
    <row r="1577" spans="2:5" ht="14.25" customHeight="1" x14ac:dyDescent="0.25">
      <c r="B1577" s="103"/>
      <c r="D1577" s="80"/>
      <c r="E1577" s="80"/>
    </row>
    <row r="1578" spans="2:5" ht="14.25" customHeight="1" x14ac:dyDescent="0.25">
      <c r="B1578" s="103"/>
      <c r="D1578" s="80"/>
      <c r="E1578" s="80"/>
    </row>
    <row r="1579" spans="2:5" ht="14.25" customHeight="1" x14ac:dyDescent="0.25">
      <c r="B1579" s="103"/>
      <c r="D1579" s="80"/>
      <c r="E1579" s="80"/>
    </row>
    <row r="1580" spans="2:5" ht="14.25" customHeight="1" x14ac:dyDescent="0.25">
      <c r="B1580" s="103"/>
      <c r="D1580" s="80"/>
      <c r="E1580" s="80"/>
    </row>
    <row r="1581" spans="2:5" ht="14.25" customHeight="1" x14ac:dyDescent="0.25">
      <c r="B1581" s="103"/>
      <c r="D1581" s="80"/>
      <c r="E1581" s="80"/>
    </row>
    <row r="1582" spans="2:5" ht="14.25" customHeight="1" x14ac:dyDescent="0.25">
      <c r="B1582" s="103"/>
      <c r="D1582" s="80"/>
      <c r="E1582" s="80"/>
    </row>
    <row r="1583" spans="2:5" ht="14.25" customHeight="1" x14ac:dyDescent="0.25">
      <c r="B1583" s="103"/>
      <c r="D1583" s="80"/>
      <c r="E1583" s="80"/>
    </row>
    <row r="1584" spans="2:5" ht="14.25" customHeight="1" x14ac:dyDescent="0.25">
      <c r="B1584" s="103"/>
      <c r="D1584" s="80"/>
      <c r="E1584" s="80"/>
    </row>
    <row r="1585" spans="2:5" ht="14.25" customHeight="1" x14ac:dyDescent="0.25">
      <c r="B1585" s="103"/>
      <c r="D1585" s="80"/>
      <c r="E1585" s="80"/>
    </row>
    <row r="1586" spans="2:5" ht="14.25" customHeight="1" x14ac:dyDescent="0.25">
      <c r="B1586" s="103"/>
      <c r="D1586" s="80"/>
      <c r="E1586" s="80"/>
    </row>
    <row r="1587" spans="2:5" ht="14.25" customHeight="1" x14ac:dyDescent="0.25">
      <c r="B1587" s="103"/>
      <c r="D1587" s="80"/>
      <c r="E1587" s="80"/>
    </row>
    <row r="1588" spans="2:5" ht="14.25" customHeight="1" x14ac:dyDescent="0.25">
      <c r="B1588" s="103"/>
      <c r="D1588" s="80"/>
      <c r="E1588" s="80"/>
    </row>
    <row r="1589" spans="2:5" ht="14.25" customHeight="1" x14ac:dyDescent="0.25">
      <c r="B1589" s="103"/>
      <c r="D1589" s="80"/>
      <c r="E1589" s="80"/>
    </row>
    <row r="1590" spans="2:5" ht="14.25" customHeight="1" x14ac:dyDescent="0.25">
      <c r="B1590" s="103"/>
      <c r="D1590" s="80"/>
      <c r="E1590" s="80"/>
    </row>
    <row r="1591" spans="2:5" ht="14.25" customHeight="1" x14ac:dyDescent="0.25">
      <c r="B1591" s="103"/>
      <c r="D1591" s="80"/>
      <c r="E1591" s="80"/>
    </row>
    <row r="1592" spans="2:5" ht="14.25" customHeight="1" x14ac:dyDescent="0.25">
      <c r="B1592" s="103"/>
      <c r="D1592" s="80"/>
      <c r="E1592" s="80"/>
    </row>
    <row r="1593" spans="2:5" ht="14.25" customHeight="1" x14ac:dyDescent="0.25">
      <c r="B1593" s="103"/>
      <c r="D1593" s="80"/>
      <c r="E1593" s="80"/>
    </row>
    <row r="1594" spans="2:5" ht="14.25" customHeight="1" x14ac:dyDescent="0.25">
      <c r="B1594" s="103"/>
      <c r="D1594" s="80"/>
      <c r="E1594" s="80"/>
    </row>
    <row r="1595" spans="2:5" ht="14.25" customHeight="1" x14ac:dyDescent="0.25">
      <c r="B1595" s="103"/>
      <c r="D1595" s="80"/>
      <c r="E1595" s="80"/>
    </row>
    <row r="1596" spans="2:5" ht="14.25" customHeight="1" x14ac:dyDescent="0.25">
      <c r="B1596" s="103"/>
      <c r="D1596" s="80"/>
      <c r="E1596" s="80"/>
    </row>
    <row r="1597" spans="2:5" ht="14.25" customHeight="1" x14ac:dyDescent="0.25">
      <c r="B1597" s="103"/>
      <c r="D1597" s="80"/>
      <c r="E1597" s="80"/>
    </row>
    <row r="1598" spans="2:5" ht="14.25" customHeight="1" x14ac:dyDescent="0.25">
      <c r="B1598" s="103"/>
      <c r="D1598" s="80"/>
      <c r="E1598" s="80"/>
    </row>
    <row r="1599" spans="2:5" ht="14.25" customHeight="1" x14ac:dyDescent="0.25">
      <c r="B1599" s="103"/>
      <c r="D1599" s="80"/>
      <c r="E1599" s="80"/>
    </row>
    <row r="1600" spans="2:5" ht="14.25" customHeight="1" x14ac:dyDescent="0.25">
      <c r="B1600" s="103"/>
      <c r="D1600" s="80"/>
      <c r="E1600" s="80"/>
    </row>
    <row r="1601" spans="2:5" ht="14.25" customHeight="1" x14ac:dyDescent="0.25">
      <c r="B1601" s="103"/>
      <c r="D1601" s="80"/>
      <c r="E1601" s="80"/>
    </row>
    <row r="1602" spans="2:5" ht="14.25" customHeight="1" x14ac:dyDescent="0.25">
      <c r="B1602" s="103"/>
      <c r="D1602" s="80"/>
      <c r="E1602" s="80"/>
    </row>
    <row r="1603" spans="2:5" ht="14.25" customHeight="1" x14ac:dyDescent="0.25">
      <c r="B1603" s="103"/>
      <c r="D1603" s="80"/>
      <c r="E1603" s="80"/>
    </row>
    <row r="1604" spans="2:5" ht="14.25" customHeight="1" x14ac:dyDescent="0.25">
      <c r="B1604" s="103"/>
      <c r="D1604" s="80"/>
      <c r="E1604" s="80"/>
    </row>
    <row r="1605" spans="2:5" ht="14.25" customHeight="1" x14ac:dyDescent="0.25">
      <c r="B1605" s="103"/>
      <c r="D1605" s="80"/>
      <c r="E1605" s="80"/>
    </row>
    <row r="1606" spans="2:5" ht="14.25" customHeight="1" x14ac:dyDescent="0.25">
      <c r="B1606" s="103"/>
      <c r="D1606" s="80"/>
      <c r="E1606" s="80"/>
    </row>
    <row r="1607" spans="2:5" ht="14.25" customHeight="1" x14ac:dyDescent="0.25">
      <c r="B1607" s="103"/>
      <c r="D1607" s="80"/>
      <c r="E1607" s="80"/>
    </row>
    <row r="1608" spans="2:5" ht="14.25" customHeight="1" x14ac:dyDescent="0.25">
      <c r="B1608" s="103"/>
      <c r="D1608" s="80"/>
      <c r="E1608" s="80"/>
    </row>
    <row r="1609" spans="2:5" ht="14.25" customHeight="1" x14ac:dyDescent="0.25">
      <c r="B1609" s="103"/>
      <c r="D1609" s="80"/>
      <c r="E1609" s="80"/>
    </row>
    <row r="1610" spans="2:5" ht="14.25" customHeight="1" x14ac:dyDescent="0.25">
      <c r="B1610" s="103"/>
      <c r="D1610" s="80"/>
      <c r="E1610" s="80"/>
    </row>
    <row r="1611" spans="2:5" ht="14.25" customHeight="1" x14ac:dyDescent="0.25">
      <c r="B1611" s="103"/>
      <c r="D1611" s="80"/>
      <c r="E1611" s="80"/>
    </row>
    <row r="1612" spans="2:5" ht="14.25" customHeight="1" x14ac:dyDescent="0.25">
      <c r="B1612" s="103"/>
      <c r="D1612" s="80"/>
      <c r="E1612" s="80"/>
    </row>
    <row r="1613" spans="2:5" ht="14.25" customHeight="1" x14ac:dyDescent="0.25">
      <c r="B1613" s="103"/>
      <c r="D1613" s="80"/>
      <c r="E1613" s="80"/>
    </row>
    <row r="1614" spans="2:5" ht="14.25" customHeight="1" x14ac:dyDescent="0.25">
      <c r="B1614" s="103"/>
      <c r="D1614" s="80"/>
      <c r="E1614" s="80"/>
    </row>
    <row r="1615" spans="2:5" ht="14.25" customHeight="1" x14ac:dyDescent="0.25">
      <c r="B1615" s="103"/>
      <c r="D1615" s="80"/>
      <c r="E1615" s="80"/>
    </row>
    <row r="1616" spans="2:5" ht="14.25" customHeight="1" x14ac:dyDescent="0.25">
      <c r="B1616" s="103"/>
      <c r="D1616" s="80"/>
      <c r="E1616" s="80"/>
    </row>
    <row r="1617" spans="2:5" ht="14.25" customHeight="1" x14ac:dyDescent="0.25">
      <c r="B1617" s="103"/>
      <c r="D1617" s="80"/>
      <c r="E1617" s="80"/>
    </row>
    <row r="1618" spans="2:5" ht="14.25" customHeight="1" x14ac:dyDescent="0.25">
      <c r="B1618" s="103"/>
      <c r="D1618" s="80"/>
      <c r="E1618" s="80"/>
    </row>
    <row r="1619" spans="2:5" ht="14.25" customHeight="1" x14ac:dyDescent="0.25">
      <c r="B1619" s="103"/>
      <c r="D1619" s="80"/>
      <c r="E1619" s="80"/>
    </row>
    <row r="1620" spans="2:5" ht="14.25" customHeight="1" x14ac:dyDescent="0.25">
      <c r="B1620" s="103"/>
      <c r="D1620" s="80"/>
      <c r="E1620" s="80"/>
    </row>
    <row r="1621" spans="2:5" ht="14.25" customHeight="1" x14ac:dyDescent="0.25">
      <c r="B1621" s="103"/>
      <c r="D1621" s="80"/>
      <c r="E1621" s="80"/>
    </row>
    <row r="1622" spans="2:5" ht="14.25" customHeight="1" x14ac:dyDescent="0.25">
      <c r="B1622" s="103"/>
      <c r="D1622" s="80"/>
      <c r="E1622" s="80"/>
    </row>
    <row r="1623" spans="2:5" ht="14.25" customHeight="1" x14ac:dyDescent="0.25">
      <c r="B1623" s="103"/>
      <c r="D1623" s="80"/>
      <c r="E1623" s="80"/>
    </row>
    <row r="1624" spans="2:5" ht="14.25" customHeight="1" x14ac:dyDescent="0.25">
      <c r="B1624" s="103"/>
      <c r="D1624" s="80"/>
      <c r="E1624" s="80"/>
    </row>
    <row r="1625" spans="2:5" ht="14.25" customHeight="1" x14ac:dyDescent="0.25">
      <c r="B1625" s="103"/>
      <c r="D1625" s="80"/>
      <c r="E1625" s="80"/>
    </row>
    <row r="1626" spans="2:5" ht="14.25" customHeight="1" x14ac:dyDescent="0.25">
      <c r="B1626" s="103"/>
      <c r="D1626" s="80"/>
      <c r="E1626" s="80"/>
    </row>
    <row r="1627" spans="2:5" ht="14.25" customHeight="1" x14ac:dyDescent="0.25">
      <c r="B1627" s="103"/>
      <c r="D1627" s="80"/>
      <c r="E1627" s="80"/>
    </row>
    <row r="1628" spans="2:5" ht="14.25" customHeight="1" x14ac:dyDescent="0.25">
      <c r="B1628" s="103"/>
      <c r="D1628" s="80"/>
      <c r="E1628" s="80"/>
    </row>
    <row r="1629" spans="2:5" ht="14.25" customHeight="1" x14ac:dyDescent="0.25">
      <c r="B1629" s="103"/>
      <c r="D1629" s="80"/>
      <c r="E1629" s="80"/>
    </row>
    <row r="1630" spans="2:5" ht="14.25" customHeight="1" x14ac:dyDescent="0.25">
      <c r="B1630" s="103"/>
      <c r="D1630" s="80"/>
      <c r="E1630" s="80"/>
    </row>
    <row r="1631" spans="2:5" ht="14.25" customHeight="1" x14ac:dyDescent="0.25">
      <c r="B1631" s="103"/>
      <c r="D1631" s="80"/>
      <c r="E1631" s="80"/>
    </row>
    <row r="1632" spans="2:5" ht="14.25" customHeight="1" x14ac:dyDescent="0.25">
      <c r="B1632" s="103"/>
      <c r="D1632" s="80"/>
      <c r="E1632" s="80"/>
    </row>
    <row r="1633" spans="2:5" ht="14.25" customHeight="1" x14ac:dyDescent="0.25">
      <c r="B1633" s="103"/>
      <c r="D1633" s="80"/>
      <c r="E1633" s="80"/>
    </row>
    <row r="1634" spans="2:5" ht="14.25" customHeight="1" x14ac:dyDescent="0.25">
      <c r="B1634" s="103"/>
      <c r="D1634" s="80"/>
      <c r="E1634" s="80"/>
    </row>
    <row r="1635" spans="2:5" ht="14.25" customHeight="1" x14ac:dyDescent="0.25">
      <c r="B1635" s="103"/>
      <c r="D1635" s="80"/>
      <c r="E1635" s="80"/>
    </row>
    <row r="1636" spans="2:5" ht="14.25" customHeight="1" x14ac:dyDescent="0.25">
      <c r="B1636" s="103"/>
      <c r="D1636" s="80"/>
      <c r="E1636" s="80"/>
    </row>
    <row r="1637" spans="2:5" ht="14.25" customHeight="1" x14ac:dyDescent="0.25">
      <c r="B1637" s="103"/>
      <c r="D1637" s="80"/>
      <c r="E1637" s="80"/>
    </row>
    <row r="1638" spans="2:5" ht="14.25" customHeight="1" x14ac:dyDescent="0.25">
      <c r="B1638" s="103"/>
      <c r="D1638" s="80"/>
      <c r="E1638" s="80"/>
    </row>
    <row r="1639" spans="2:5" ht="14.25" customHeight="1" x14ac:dyDescent="0.25">
      <c r="B1639" s="103"/>
      <c r="D1639" s="80"/>
      <c r="E1639" s="80"/>
    </row>
    <row r="1640" spans="2:5" ht="14.25" customHeight="1" x14ac:dyDescent="0.25">
      <c r="B1640" s="103"/>
      <c r="D1640" s="80"/>
      <c r="E1640" s="80"/>
    </row>
    <row r="1641" spans="2:5" ht="14.25" customHeight="1" x14ac:dyDescent="0.25">
      <c r="B1641" s="103"/>
      <c r="D1641" s="80"/>
      <c r="E1641" s="80"/>
    </row>
    <row r="1642" spans="2:5" ht="14.25" customHeight="1" x14ac:dyDescent="0.25">
      <c r="B1642" s="103"/>
      <c r="D1642" s="80"/>
      <c r="E1642" s="80"/>
    </row>
    <row r="1643" spans="2:5" ht="14.25" customHeight="1" x14ac:dyDescent="0.25">
      <c r="B1643" s="103"/>
      <c r="D1643" s="80"/>
      <c r="E1643" s="80"/>
    </row>
    <row r="1644" spans="2:5" ht="14.25" customHeight="1" x14ac:dyDescent="0.25">
      <c r="B1644" s="103"/>
      <c r="D1644" s="80"/>
      <c r="E1644" s="80"/>
    </row>
    <row r="1645" spans="2:5" ht="14.25" customHeight="1" x14ac:dyDescent="0.25">
      <c r="B1645" s="103"/>
      <c r="D1645" s="80"/>
      <c r="E1645" s="80"/>
    </row>
    <row r="1646" spans="2:5" ht="14.25" customHeight="1" x14ac:dyDescent="0.25">
      <c r="B1646" s="103"/>
      <c r="D1646" s="80"/>
      <c r="E1646" s="80"/>
    </row>
    <row r="1647" spans="2:5" ht="14.25" customHeight="1" x14ac:dyDescent="0.25">
      <c r="B1647" s="103"/>
      <c r="D1647" s="80"/>
      <c r="E1647" s="80"/>
    </row>
    <row r="1648" spans="2:5" ht="14.25" customHeight="1" x14ac:dyDescent="0.25">
      <c r="B1648" s="103"/>
      <c r="D1648" s="80"/>
      <c r="E1648" s="80"/>
    </row>
    <row r="1649" spans="2:5" ht="14.25" customHeight="1" x14ac:dyDescent="0.25">
      <c r="B1649" s="103"/>
      <c r="D1649" s="80"/>
      <c r="E1649" s="80"/>
    </row>
    <row r="1650" spans="2:5" ht="14.25" customHeight="1" x14ac:dyDescent="0.25">
      <c r="B1650" s="103"/>
      <c r="D1650" s="80"/>
      <c r="E1650" s="80"/>
    </row>
    <row r="1651" spans="2:5" ht="14.25" customHeight="1" x14ac:dyDescent="0.25">
      <c r="B1651" s="103"/>
      <c r="D1651" s="80"/>
      <c r="E1651" s="80"/>
    </row>
    <row r="1652" spans="2:5" ht="14.25" customHeight="1" x14ac:dyDescent="0.25">
      <c r="B1652" s="103"/>
      <c r="D1652" s="80"/>
      <c r="E1652" s="80"/>
    </row>
    <row r="1653" spans="2:5" ht="14.25" customHeight="1" x14ac:dyDescent="0.25">
      <c r="B1653" s="103"/>
      <c r="D1653" s="80"/>
      <c r="E1653" s="80"/>
    </row>
    <row r="1654" spans="2:5" ht="14.25" customHeight="1" x14ac:dyDescent="0.25">
      <c r="B1654" s="103"/>
      <c r="D1654" s="80"/>
      <c r="E1654" s="80"/>
    </row>
    <row r="1655" spans="2:5" ht="14.25" customHeight="1" x14ac:dyDescent="0.25">
      <c r="B1655" s="103"/>
      <c r="D1655" s="80"/>
      <c r="E1655" s="80"/>
    </row>
    <row r="1656" spans="2:5" ht="14.25" customHeight="1" x14ac:dyDescent="0.25">
      <c r="B1656" s="103"/>
      <c r="D1656" s="80"/>
      <c r="E1656" s="80"/>
    </row>
    <row r="1657" spans="2:5" ht="14.25" customHeight="1" x14ac:dyDescent="0.25">
      <c r="B1657" s="103"/>
      <c r="D1657" s="80"/>
      <c r="E1657" s="80"/>
    </row>
    <row r="1658" spans="2:5" ht="14.25" customHeight="1" x14ac:dyDescent="0.25">
      <c r="B1658" s="103"/>
      <c r="D1658" s="80"/>
      <c r="E1658" s="80"/>
    </row>
    <row r="1659" spans="2:5" ht="14.25" customHeight="1" x14ac:dyDescent="0.25">
      <c r="B1659" s="103"/>
      <c r="D1659" s="80"/>
      <c r="E1659" s="80"/>
    </row>
    <row r="1660" spans="2:5" ht="14.25" customHeight="1" x14ac:dyDescent="0.25">
      <c r="B1660" s="103"/>
      <c r="D1660" s="80"/>
      <c r="E1660" s="80"/>
    </row>
    <row r="1661" spans="2:5" ht="14.25" customHeight="1" x14ac:dyDescent="0.25">
      <c r="B1661" s="103"/>
      <c r="D1661" s="80"/>
      <c r="E1661" s="80"/>
    </row>
    <row r="1662" spans="2:5" ht="14.25" customHeight="1" x14ac:dyDescent="0.25">
      <c r="B1662" s="103"/>
      <c r="D1662" s="80"/>
      <c r="E1662" s="80"/>
    </row>
    <row r="1663" spans="2:5" ht="14.25" customHeight="1" x14ac:dyDescent="0.25">
      <c r="B1663" s="103"/>
      <c r="D1663" s="80"/>
      <c r="E1663" s="80"/>
    </row>
    <row r="1664" spans="2:5" ht="14.25" customHeight="1" x14ac:dyDescent="0.25">
      <c r="B1664" s="103"/>
      <c r="D1664" s="80"/>
      <c r="E1664" s="80"/>
    </row>
    <row r="1665" spans="2:5" ht="14.25" customHeight="1" x14ac:dyDescent="0.25">
      <c r="B1665" s="103"/>
      <c r="D1665" s="80"/>
      <c r="E1665" s="80"/>
    </row>
    <row r="1666" spans="2:5" ht="14.25" customHeight="1" x14ac:dyDescent="0.25">
      <c r="B1666" s="103"/>
      <c r="D1666" s="80"/>
      <c r="E1666" s="80"/>
    </row>
    <row r="1667" spans="2:5" ht="14.25" customHeight="1" x14ac:dyDescent="0.25">
      <c r="B1667" s="103"/>
      <c r="D1667" s="80"/>
      <c r="E1667" s="80"/>
    </row>
    <row r="1668" spans="2:5" ht="14.25" customHeight="1" x14ac:dyDescent="0.25">
      <c r="B1668" s="103"/>
      <c r="D1668" s="80"/>
      <c r="E1668" s="80"/>
    </row>
    <row r="1669" spans="2:5" ht="14.25" customHeight="1" x14ac:dyDescent="0.25">
      <c r="B1669" s="103"/>
      <c r="D1669" s="80"/>
      <c r="E1669" s="80"/>
    </row>
    <row r="1670" spans="2:5" ht="14.25" customHeight="1" x14ac:dyDescent="0.25">
      <c r="B1670" s="103"/>
      <c r="D1670" s="80"/>
      <c r="E1670" s="80"/>
    </row>
    <row r="1671" spans="2:5" ht="14.25" customHeight="1" x14ac:dyDescent="0.25">
      <c r="B1671" s="103"/>
      <c r="D1671" s="80"/>
      <c r="E1671" s="80"/>
    </row>
    <row r="1672" spans="2:5" ht="14.25" customHeight="1" x14ac:dyDescent="0.25">
      <c r="B1672" s="103"/>
      <c r="D1672" s="80"/>
      <c r="E1672" s="80"/>
    </row>
    <row r="1673" spans="2:5" ht="14.25" customHeight="1" x14ac:dyDescent="0.25">
      <c r="B1673" s="103"/>
      <c r="D1673" s="80"/>
      <c r="E1673" s="80"/>
    </row>
    <row r="1674" spans="2:5" ht="14.25" customHeight="1" x14ac:dyDescent="0.25">
      <c r="B1674" s="103"/>
      <c r="D1674" s="80"/>
      <c r="E1674" s="80"/>
    </row>
    <row r="1675" spans="2:5" ht="14.25" customHeight="1" x14ac:dyDescent="0.25">
      <c r="B1675" s="103"/>
      <c r="D1675" s="80"/>
      <c r="E1675" s="80"/>
    </row>
    <row r="1676" spans="2:5" ht="14.25" customHeight="1" x14ac:dyDescent="0.25">
      <c r="B1676" s="103"/>
      <c r="D1676" s="80"/>
      <c r="E1676" s="80"/>
    </row>
    <row r="1677" spans="2:5" ht="14.25" customHeight="1" x14ac:dyDescent="0.25">
      <c r="B1677" s="103"/>
      <c r="D1677" s="80"/>
      <c r="E1677" s="80"/>
    </row>
    <row r="1678" spans="2:5" ht="14.25" customHeight="1" x14ac:dyDescent="0.25">
      <c r="B1678" s="103"/>
      <c r="D1678" s="80"/>
      <c r="E1678" s="80"/>
    </row>
    <row r="1679" spans="2:5" ht="14.25" customHeight="1" x14ac:dyDescent="0.25">
      <c r="B1679" s="103"/>
      <c r="D1679" s="80"/>
      <c r="E1679" s="80"/>
    </row>
    <row r="1680" spans="2:5" ht="14.25" customHeight="1" x14ac:dyDescent="0.25">
      <c r="B1680" s="103"/>
      <c r="D1680" s="80"/>
      <c r="E1680" s="80"/>
    </row>
    <row r="1681" spans="2:5" ht="14.25" customHeight="1" x14ac:dyDescent="0.25">
      <c r="B1681" s="103"/>
      <c r="D1681" s="80"/>
      <c r="E1681" s="80"/>
    </row>
    <row r="1682" spans="2:5" ht="14.25" customHeight="1" x14ac:dyDescent="0.25">
      <c r="B1682" s="103"/>
      <c r="D1682" s="80"/>
      <c r="E1682" s="80"/>
    </row>
    <row r="1683" spans="2:5" ht="14.25" customHeight="1" x14ac:dyDescent="0.25">
      <c r="B1683" s="103"/>
      <c r="D1683" s="80"/>
      <c r="E1683" s="80"/>
    </row>
    <row r="1684" spans="2:5" ht="14.25" customHeight="1" x14ac:dyDescent="0.25">
      <c r="B1684" s="103"/>
      <c r="D1684" s="80"/>
      <c r="E1684" s="80"/>
    </row>
    <row r="1685" spans="2:5" ht="14.25" customHeight="1" x14ac:dyDescent="0.25">
      <c r="B1685" s="103"/>
      <c r="D1685" s="80"/>
      <c r="E1685" s="80"/>
    </row>
    <row r="1686" spans="2:5" ht="14.25" customHeight="1" x14ac:dyDescent="0.25">
      <c r="B1686" s="103"/>
      <c r="D1686" s="80"/>
      <c r="E1686" s="80"/>
    </row>
    <row r="1687" spans="2:5" ht="14.25" customHeight="1" x14ac:dyDescent="0.25">
      <c r="B1687" s="103"/>
      <c r="D1687" s="80"/>
      <c r="E1687" s="80"/>
    </row>
    <row r="1688" spans="2:5" ht="14.25" customHeight="1" x14ac:dyDescent="0.25">
      <c r="B1688" s="103"/>
      <c r="D1688" s="80"/>
      <c r="E1688" s="80"/>
    </row>
    <row r="1689" spans="2:5" ht="14.25" customHeight="1" x14ac:dyDescent="0.25">
      <c r="B1689" s="103"/>
      <c r="D1689" s="80"/>
      <c r="E1689" s="80"/>
    </row>
    <row r="1690" spans="2:5" ht="14.25" customHeight="1" x14ac:dyDescent="0.25">
      <c r="B1690" s="103"/>
      <c r="D1690" s="80"/>
      <c r="E1690" s="80"/>
    </row>
    <row r="1691" spans="2:5" ht="14.25" customHeight="1" x14ac:dyDescent="0.25">
      <c r="B1691" s="103"/>
      <c r="D1691" s="80"/>
      <c r="E1691" s="80"/>
    </row>
    <row r="1692" spans="2:5" ht="14.25" customHeight="1" x14ac:dyDescent="0.25">
      <c r="B1692" s="103"/>
      <c r="D1692" s="80"/>
      <c r="E1692" s="80"/>
    </row>
    <row r="1693" spans="2:5" ht="14.25" customHeight="1" x14ac:dyDescent="0.25">
      <c r="B1693" s="103"/>
      <c r="D1693" s="80"/>
      <c r="E1693" s="80"/>
    </row>
    <row r="1694" spans="2:5" ht="14.25" customHeight="1" x14ac:dyDescent="0.25">
      <c r="B1694" s="103"/>
      <c r="D1694" s="80"/>
      <c r="E1694" s="80"/>
    </row>
    <row r="1695" spans="2:5" ht="14.25" customHeight="1" x14ac:dyDescent="0.25">
      <c r="B1695" s="103"/>
      <c r="D1695" s="80"/>
      <c r="E1695" s="80"/>
    </row>
    <row r="1696" spans="2:5" ht="14.25" customHeight="1" x14ac:dyDescent="0.25">
      <c r="B1696" s="103"/>
      <c r="D1696" s="80"/>
      <c r="E1696" s="80"/>
    </row>
    <row r="1697" spans="2:5" ht="14.25" customHeight="1" x14ac:dyDescent="0.25">
      <c r="B1697" s="103"/>
      <c r="D1697" s="80"/>
      <c r="E1697" s="80"/>
    </row>
    <row r="1698" spans="2:5" ht="14.25" customHeight="1" x14ac:dyDescent="0.25">
      <c r="B1698" s="103"/>
      <c r="D1698" s="80"/>
      <c r="E1698" s="80"/>
    </row>
    <row r="1699" spans="2:5" ht="14.25" customHeight="1" x14ac:dyDescent="0.25">
      <c r="B1699" s="103"/>
      <c r="D1699" s="80"/>
      <c r="E1699" s="80"/>
    </row>
    <row r="1700" spans="2:5" ht="14.25" customHeight="1" x14ac:dyDescent="0.25">
      <c r="B1700" s="103"/>
      <c r="D1700" s="80"/>
      <c r="E1700" s="80"/>
    </row>
    <row r="1701" spans="2:5" ht="14.25" customHeight="1" x14ac:dyDescent="0.25">
      <c r="B1701" s="103"/>
      <c r="D1701" s="80"/>
      <c r="E1701" s="80"/>
    </row>
    <row r="1702" spans="2:5" ht="14.25" customHeight="1" x14ac:dyDescent="0.25">
      <c r="B1702" s="103"/>
      <c r="D1702" s="80"/>
      <c r="E1702" s="80"/>
    </row>
    <row r="1703" spans="2:5" ht="14.25" customHeight="1" x14ac:dyDescent="0.25">
      <c r="B1703" s="103"/>
      <c r="D1703" s="80"/>
      <c r="E1703" s="80"/>
    </row>
    <row r="1704" spans="2:5" ht="14.25" customHeight="1" x14ac:dyDescent="0.25">
      <c r="B1704" s="103"/>
      <c r="D1704" s="80"/>
      <c r="E1704" s="80"/>
    </row>
    <row r="1705" spans="2:5" ht="14.25" customHeight="1" x14ac:dyDescent="0.25">
      <c r="B1705" s="103"/>
      <c r="D1705" s="80"/>
      <c r="E1705" s="80"/>
    </row>
    <row r="1706" spans="2:5" ht="14.25" customHeight="1" x14ac:dyDescent="0.25">
      <c r="B1706" s="103"/>
      <c r="D1706" s="80"/>
      <c r="E1706" s="80"/>
    </row>
    <row r="1707" spans="2:5" ht="14.25" customHeight="1" x14ac:dyDescent="0.25">
      <c r="B1707" s="103"/>
      <c r="D1707" s="80"/>
      <c r="E1707" s="80"/>
    </row>
    <row r="1708" spans="2:5" ht="14.25" customHeight="1" x14ac:dyDescent="0.25">
      <c r="B1708" s="103"/>
      <c r="D1708" s="80"/>
      <c r="E1708" s="80"/>
    </row>
    <row r="1709" spans="2:5" ht="14.25" customHeight="1" x14ac:dyDescent="0.25">
      <c r="B1709" s="103"/>
      <c r="D1709" s="80"/>
      <c r="E1709" s="80"/>
    </row>
    <row r="1710" spans="2:5" ht="14.25" customHeight="1" x14ac:dyDescent="0.25">
      <c r="B1710" s="103"/>
      <c r="D1710" s="80"/>
      <c r="E1710" s="80"/>
    </row>
    <row r="1711" spans="2:5" ht="14.25" customHeight="1" x14ac:dyDescent="0.25">
      <c r="B1711" s="103"/>
      <c r="D1711" s="80"/>
      <c r="E1711" s="80"/>
    </row>
    <row r="1712" spans="2:5" ht="14.25" customHeight="1" x14ac:dyDescent="0.25">
      <c r="B1712" s="103"/>
      <c r="D1712" s="80"/>
      <c r="E1712" s="80"/>
    </row>
    <row r="1713" spans="2:5" ht="14.25" customHeight="1" x14ac:dyDescent="0.25">
      <c r="B1713" s="103"/>
      <c r="D1713" s="80"/>
      <c r="E1713" s="80"/>
    </row>
    <row r="1714" spans="2:5" ht="14.25" customHeight="1" x14ac:dyDescent="0.25">
      <c r="B1714" s="103"/>
      <c r="D1714" s="80"/>
      <c r="E1714" s="80"/>
    </row>
    <row r="1715" spans="2:5" ht="14.25" customHeight="1" x14ac:dyDescent="0.25">
      <c r="B1715" s="103"/>
      <c r="D1715" s="80"/>
      <c r="E1715" s="80"/>
    </row>
    <row r="1716" spans="2:5" ht="14.25" customHeight="1" x14ac:dyDescent="0.25">
      <c r="B1716" s="103"/>
      <c r="D1716" s="80"/>
      <c r="E1716" s="80"/>
    </row>
    <row r="1717" spans="2:5" ht="14.25" customHeight="1" x14ac:dyDescent="0.25">
      <c r="B1717" s="103"/>
      <c r="D1717" s="80"/>
      <c r="E1717" s="80"/>
    </row>
    <row r="1718" spans="2:5" ht="14.25" customHeight="1" x14ac:dyDescent="0.25">
      <c r="B1718" s="103"/>
      <c r="D1718" s="80"/>
      <c r="E1718" s="80"/>
    </row>
    <row r="1719" spans="2:5" ht="14.25" customHeight="1" x14ac:dyDescent="0.25">
      <c r="B1719" s="103"/>
      <c r="D1719" s="80"/>
      <c r="E1719" s="80"/>
    </row>
    <row r="1720" spans="2:5" ht="14.25" customHeight="1" x14ac:dyDescent="0.25">
      <c r="B1720" s="103"/>
      <c r="D1720" s="80"/>
      <c r="E1720" s="80"/>
    </row>
    <row r="1721" spans="2:5" ht="14.25" customHeight="1" x14ac:dyDescent="0.25">
      <c r="B1721" s="103"/>
      <c r="D1721" s="80"/>
      <c r="E1721" s="80"/>
    </row>
    <row r="1722" spans="2:5" ht="14.25" customHeight="1" x14ac:dyDescent="0.25">
      <c r="B1722" s="103"/>
      <c r="D1722" s="80"/>
      <c r="E1722" s="80"/>
    </row>
    <row r="1723" spans="2:5" ht="14.25" customHeight="1" x14ac:dyDescent="0.25">
      <c r="B1723" s="103"/>
      <c r="D1723" s="80"/>
      <c r="E1723" s="80"/>
    </row>
    <row r="1724" spans="2:5" ht="14.25" customHeight="1" x14ac:dyDescent="0.25">
      <c r="B1724" s="103"/>
      <c r="D1724" s="80"/>
      <c r="E1724" s="80"/>
    </row>
    <row r="1725" spans="2:5" ht="14.25" customHeight="1" x14ac:dyDescent="0.25">
      <c r="B1725" s="103"/>
      <c r="D1725" s="80"/>
      <c r="E1725" s="80"/>
    </row>
    <row r="1726" spans="2:5" ht="14.25" customHeight="1" x14ac:dyDescent="0.25">
      <c r="B1726" s="103"/>
      <c r="D1726" s="80"/>
      <c r="E1726" s="80"/>
    </row>
    <row r="1727" spans="2:5" ht="14.25" customHeight="1" x14ac:dyDescent="0.25">
      <c r="B1727" s="103"/>
      <c r="D1727" s="80"/>
      <c r="E1727" s="80"/>
    </row>
    <row r="1728" spans="2:5" ht="14.25" customHeight="1" x14ac:dyDescent="0.25">
      <c r="B1728" s="103"/>
      <c r="D1728" s="80"/>
      <c r="E1728" s="80"/>
    </row>
    <row r="1729" spans="2:5" ht="14.25" customHeight="1" x14ac:dyDescent="0.25">
      <c r="B1729" s="103"/>
      <c r="D1729" s="80"/>
      <c r="E1729" s="80"/>
    </row>
    <row r="1730" spans="2:5" ht="14.25" customHeight="1" x14ac:dyDescent="0.25">
      <c r="B1730" s="103"/>
      <c r="D1730" s="80"/>
      <c r="E1730" s="80"/>
    </row>
    <row r="1731" spans="2:5" ht="14.25" customHeight="1" x14ac:dyDescent="0.25">
      <c r="B1731" s="103"/>
      <c r="D1731" s="80"/>
      <c r="E1731" s="80"/>
    </row>
    <row r="1732" spans="2:5" ht="14.25" customHeight="1" x14ac:dyDescent="0.25">
      <c r="B1732" s="103"/>
      <c r="D1732" s="80"/>
      <c r="E1732" s="80"/>
    </row>
    <row r="1733" spans="2:5" ht="14.25" customHeight="1" x14ac:dyDescent="0.25">
      <c r="B1733" s="103"/>
      <c r="D1733" s="80"/>
      <c r="E1733" s="80"/>
    </row>
    <row r="1734" spans="2:5" ht="14.25" customHeight="1" x14ac:dyDescent="0.25">
      <c r="B1734" s="103"/>
      <c r="D1734" s="80"/>
      <c r="E1734" s="80"/>
    </row>
    <row r="1735" spans="2:5" ht="14.25" customHeight="1" x14ac:dyDescent="0.25">
      <c r="B1735" s="103"/>
      <c r="D1735" s="80"/>
      <c r="E1735" s="80"/>
    </row>
    <row r="1736" spans="2:5" ht="14.25" customHeight="1" x14ac:dyDescent="0.25">
      <c r="B1736" s="103"/>
      <c r="D1736" s="80"/>
      <c r="E1736" s="80"/>
    </row>
    <row r="1737" spans="2:5" ht="14.25" customHeight="1" x14ac:dyDescent="0.25">
      <c r="B1737" s="103"/>
      <c r="D1737" s="80"/>
      <c r="E1737" s="80"/>
    </row>
    <row r="1738" spans="2:5" ht="14.25" customHeight="1" x14ac:dyDescent="0.25">
      <c r="B1738" s="103"/>
      <c r="D1738" s="80"/>
      <c r="E1738" s="80"/>
    </row>
    <row r="1739" spans="2:5" ht="14.25" customHeight="1" x14ac:dyDescent="0.25">
      <c r="B1739" s="103"/>
      <c r="D1739" s="80"/>
      <c r="E1739" s="80"/>
    </row>
    <row r="1740" spans="2:5" ht="14.25" customHeight="1" x14ac:dyDescent="0.25">
      <c r="B1740" s="103"/>
      <c r="D1740" s="80"/>
      <c r="E1740" s="80"/>
    </row>
    <row r="1741" spans="2:5" ht="14.25" customHeight="1" x14ac:dyDescent="0.25">
      <c r="B1741" s="103"/>
      <c r="D1741" s="80"/>
      <c r="E1741" s="80"/>
    </row>
    <row r="1742" spans="2:5" ht="14.25" customHeight="1" x14ac:dyDescent="0.25">
      <c r="B1742" s="103"/>
      <c r="D1742" s="80"/>
      <c r="E1742" s="80"/>
    </row>
    <row r="1743" spans="2:5" ht="14.25" customHeight="1" x14ac:dyDescent="0.25">
      <c r="B1743" s="103"/>
      <c r="D1743" s="80"/>
      <c r="E1743" s="80"/>
    </row>
    <row r="1744" spans="2:5" ht="14.25" customHeight="1" x14ac:dyDescent="0.25">
      <c r="B1744" s="103"/>
      <c r="D1744" s="80"/>
      <c r="E1744" s="80"/>
    </row>
    <row r="1745" spans="2:5" ht="14.25" customHeight="1" x14ac:dyDescent="0.25">
      <c r="B1745" s="103"/>
      <c r="D1745" s="80"/>
      <c r="E1745" s="80"/>
    </row>
    <row r="1746" spans="2:5" ht="14.25" customHeight="1" x14ac:dyDescent="0.25">
      <c r="B1746" s="103"/>
      <c r="D1746" s="80"/>
      <c r="E1746" s="80"/>
    </row>
    <row r="1747" spans="2:5" ht="14.25" customHeight="1" x14ac:dyDescent="0.25">
      <c r="B1747" s="103"/>
      <c r="D1747" s="80"/>
      <c r="E1747" s="80"/>
    </row>
    <row r="1748" spans="2:5" ht="14.25" customHeight="1" x14ac:dyDescent="0.25">
      <c r="B1748" s="103"/>
      <c r="D1748" s="80"/>
      <c r="E1748" s="80"/>
    </row>
    <row r="1749" spans="2:5" ht="14.25" customHeight="1" x14ac:dyDescent="0.25">
      <c r="B1749" s="103"/>
      <c r="D1749" s="80"/>
      <c r="E1749" s="80"/>
    </row>
    <row r="1750" spans="2:5" ht="14.25" customHeight="1" x14ac:dyDescent="0.25">
      <c r="B1750" s="103"/>
      <c r="D1750" s="80"/>
      <c r="E1750" s="80"/>
    </row>
    <row r="1751" spans="2:5" ht="14.25" customHeight="1" x14ac:dyDescent="0.25">
      <c r="B1751" s="103"/>
      <c r="D1751" s="80"/>
      <c r="E1751" s="80"/>
    </row>
    <row r="1752" spans="2:5" ht="14.25" customHeight="1" x14ac:dyDescent="0.25">
      <c r="B1752" s="103"/>
      <c r="D1752" s="80"/>
      <c r="E1752" s="80"/>
    </row>
    <row r="1753" spans="2:5" ht="14.25" customHeight="1" x14ac:dyDescent="0.25">
      <c r="B1753" s="103"/>
      <c r="D1753" s="80"/>
      <c r="E1753" s="80"/>
    </row>
    <row r="1754" spans="2:5" ht="14.25" customHeight="1" x14ac:dyDescent="0.25">
      <c r="B1754" s="103"/>
      <c r="D1754" s="80"/>
      <c r="E1754" s="80"/>
    </row>
    <row r="1755" spans="2:5" ht="14.25" customHeight="1" x14ac:dyDescent="0.25">
      <c r="B1755" s="103"/>
      <c r="D1755" s="80"/>
      <c r="E1755" s="80"/>
    </row>
    <row r="1756" spans="2:5" ht="14.25" customHeight="1" x14ac:dyDescent="0.25">
      <c r="B1756" s="103"/>
      <c r="D1756" s="80"/>
      <c r="E1756" s="80"/>
    </row>
    <row r="1757" spans="2:5" ht="14.25" customHeight="1" x14ac:dyDescent="0.25">
      <c r="B1757" s="103"/>
      <c r="D1757" s="80"/>
      <c r="E1757" s="80"/>
    </row>
    <row r="1758" spans="2:5" ht="14.25" customHeight="1" x14ac:dyDescent="0.25">
      <c r="B1758" s="103"/>
      <c r="D1758" s="80"/>
      <c r="E1758" s="80"/>
    </row>
    <row r="1759" spans="2:5" ht="14.25" customHeight="1" x14ac:dyDescent="0.25">
      <c r="B1759" s="103"/>
      <c r="D1759" s="80"/>
      <c r="E1759" s="80"/>
    </row>
    <row r="1760" spans="2:5" ht="14.25" customHeight="1" x14ac:dyDescent="0.25">
      <c r="B1760" s="103"/>
      <c r="D1760" s="80"/>
      <c r="E1760" s="80"/>
    </row>
    <row r="1761" spans="2:5" ht="14.25" customHeight="1" x14ac:dyDescent="0.25">
      <c r="B1761" s="103"/>
      <c r="D1761" s="80"/>
      <c r="E1761" s="80"/>
    </row>
    <row r="1762" spans="2:5" ht="14.25" customHeight="1" x14ac:dyDescent="0.25">
      <c r="B1762" s="103"/>
      <c r="D1762" s="80"/>
      <c r="E1762" s="80"/>
    </row>
    <row r="1763" spans="2:5" ht="14.25" customHeight="1" x14ac:dyDescent="0.25">
      <c r="B1763" s="103"/>
      <c r="D1763" s="80"/>
      <c r="E1763" s="80"/>
    </row>
    <row r="1764" spans="2:5" ht="14.25" customHeight="1" x14ac:dyDescent="0.25">
      <c r="B1764" s="103"/>
      <c r="D1764" s="80"/>
      <c r="E1764" s="80"/>
    </row>
    <row r="1765" spans="2:5" ht="14.25" customHeight="1" x14ac:dyDescent="0.25">
      <c r="B1765" s="103"/>
      <c r="D1765" s="80"/>
      <c r="E1765" s="80"/>
    </row>
    <row r="1766" spans="2:5" ht="14.25" customHeight="1" x14ac:dyDescent="0.25">
      <c r="B1766" s="103"/>
      <c r="D1766" s="80"/>
      <c r="E1766" s="80"/>
    </row>
    <row r="1767" spans="2:5" ht="14.25" customHeight="1" x14ac:dyDescent="0.25">
      <c r="B1767" s="103"/>
      <c r="D1767" s="80"/>
      <c r="E1767" s="80"/>
    </row>
    <row r="1768" spans="2:5" ht="14.25" customHeight="1" x14ac:dyDescent="0.25">
      <c r="B1768" s="103"/>
      <c r="D1768" s="80"/>
      <c r="E1768" s="80"/>
    </row>
    <row r="1769" spans="2:5" ht="14.25" customHeight="1" x14ac:dyDescent="0.25">
      <c r="B1769" s="103"/>
      <c r="D1769" s="80"/>
      <c r="E1769" s="80"/>
    </row>
    <row r="1770" spans="2:5" ht="14.25" customHeight="1" x14ac:dyDescent="0.25">
      <c r="B1770" s="103"/>
      <c r="D1770" s="80"/>
      <c r="E1770" s="80"/>
    </row>
    <row r="1771" spans="2:5" ht="14.25" customHeight="1" x14ac:dyDescent="0.25">
      <c r="B1771" s="103"/>
      <c r="D1771" s="80"/>
      <c r="E1771" s="80"/>
    </row>
    <row r="1772" spans="2:5" ht="14.25" customHeight="1" x14ac:dyDescent="0.25">
      <c r="B1772" s="103"/>
      <c r="D1772" s="80"/>
      <c r="E1772" s="80"/>
    </row>
    <row r="1773" spans="2:5" ht="14.25" customHeight="1" x14ac:dyDescent="0.25">
      <c r="B1773" s="103"/>
      <c r="D1773" s="80"/>
      <c r="E1773" s="80"/>
    </row>
    <row r="1774" spans="2:5" ht="14.25" customHeight="1" x14ac:dyDescent="0.25">
      <c r="B1774" s="103"/>
      <c r="D1774" s="80"/>
      <c r="E1774" s="80"/>
    </row>
    <row r="1775" spans="2:5" ht="14.25" customHeight="1" x14ac:dyDescent="0.25">
      <c r="B1775" s="103"/>
      <c r="D1775" s="80"/>
      <c r="E1775" s="80"/>
    </row>
    <row r="1776" spans="2:5" ht="14.25" customHeight="1" x14ac:dyDescent="0.25">
      <c r="B1776" s="103"/>
      <c r="D1776" s="80"/>
      <c r="E1776" s="80"/>
    </row>
    <row r="1777" spans="2:5" ht="14.25" customHeight="1" x14ac:dyDescent="0.25">
      <c r="B1777" s="103"/>
      <c r="D1777" s="80"/>
      <c r="E1777" s="80"/>
    </row>
    <row r="1778" spans="2:5" ht="14.25" customHeight="1" x14ac:dyDescent="0.25">
      <c r="B1778" s="103"/>
      <c r="D1778" s="80"/>
      <c r="E1778" s="80"/>
    </row>
    <row r="1779" spans="2:5" ht="14.25" customHeight="1" x14ac:dyDescent="0.25">
      <c r="B1779" s="103"/>
      <c r="D1779" s="80"/>
      <c r="E1779" s="80"/>
    </row>
    <row r="1780" spans="2:5" ht="14.25" customHeight="1" x14ac:dyDescent="0.25">
      <c r="B1780" s="103"/>
      <c r="D1780" s="80"/>
      <c r="E1780" s="80"/>
    </row>
    <row r="1781" spans="2:5" ht="14.25" customHeight="1" x14ac:dyDescent="0.25">
      <c r="B1781" s="103"/>
      <c r="D1781" s="80"/>
      <c r="E1781" s="80"/>
    </row>
    <row r="1782" spans="2:5" ht="14.25" customHeight="1" x14ac:dyDescent="0.25">
      <c r="B1782" s="103"/>
      <c r="D1782" s="80"/>
      <c r="E1782" s="80"/>
    </row>
    <row r="1783" spans="2:5" ht="14.25" customHeight="1" x14ac:dyDescent="0.25">
      <c r="B1783" s="103"/>
      <c r="D1783" s="80"/>
      <c r="E1783" s="80"/>
    </row>
    <row r="1784" spans="2:5" ht="14.25" customHeight="1" x14ac:dyDescent="0.25">
      <c r="B1784" s="103"/>
      <c r="D1784" s="80"/>
      <c r="E1784" s="80"/>
    </row>
    <row r="1785" spans="2:5" ht="14.25" customHeight="1" x14ac:dyDescent="0.25">
      <c r="B1785" s="103"/>
      <c r="D1785" s="80"/>
      <c r="E1785" s="80"/>
    </row>
    <row r="1786" spans="2:5" ht="14.25" customHeight="1" x14ac:dyDescent="0.25">
      <c r="B1786" s="103"/>
      <c r="D1786" s="80"/>
      <c r="E1786" s="80"/>
    </row>
    <row r="1787" spans="2:5" ht="14.25" customHeight="1" x14ac:dyDescent="0.25">
      <c r="B1787" s="103"/>
      <c r="D1787" s="80"/>
      <c r="E1787" s="80"/>
    </row>
    <row r="1788" spans="2:5" ht="14.25" customHeight="1" x14ac:dyDescent="0.25">
      <c r="B1788" s="103"/>
      <c r="D1788" s="80"/>
      <c r="E1788" s="80"/>
    </row>
    <row r="1789" spans="2:5" ht="14.25" customHeight="1" x14ac:dyDescent="0.25">
      <c r="B1789" s="103"/>
      <c r="D1789" s="80"/>
      <c r="E1789" s="80"/>
    </row>
    <row r="1790" spans="2:5" ht="14.25" customHeight="1" x14ac:dyDescent="0.25">
      <c r="B1790" s="103"/>
      <c r="D1790" s="80"/>
      <c r="E1790" s="80"/>
    </row>
    <row r="1791" spans="2:5" ht="14.25" customHeight="1" x14ac:dyDescent="0.25">
      <c r="B1791" s="103"/>
      <c r="D1791" s="80"/>
      <c r="E1791" s="80"/>
    </row>
    <row r="1792" spans="2:5" ht="14.25" customHeight="1" x14ac:dyDescent="0.25">
      <c r="B1792" s="103"/>
      <c r="D1792" s="80"/>
      <c r="E1792" s="80"/>
    </row>
    <row r="1793" spans="2:5" ht="14.25" customHeight="1" x14ac:dyDescent="0.25">
      <c r="B1793" s="103"/>
      <c r="D1793" s="80"/>
      <c r="E1793" s="80"/>
    </row>
    <row r="1794" spans="2:5" ht="14.25" customHeight="1" x14ac:dyDescent="0.25">
      <c r="B1794" s="103"/>
      <c r="D1794" s="80"/>
      <c r="E1794" s="80"/>
    </row>
    <row r="1795" spans="2:5" ht="14.25" customHeight="1" x14ac:dyDescent="0.25">
      <c r="B1795" s="103"/>
      <c r="D1795" s="80"/>
      <c r="E1795" s="80"/>
    </row>
    <row r="1796" spans="2:5" ht="14.25" customHeight="1" x14ac:dyDescent="0.25">
      <c r="B1796" s="103"/>
      <c r="D1796" s="80"/>
      <c r="E1796" s="80"/>
    </row>
    <row r="1797" spans="2:5" ht="14.25" customHeight="1" x14ac:dyDescent="0.25">
      <c r="B1797" s="103"/>
      <c r="D1797" s="80"/>
      <c r="E1797" s="80"/>
    </row>
    <row r="1798" spans="2:5" ht="14.25" customHeight="1" x14ac:dyDescent="0.25">
      <c r="B1798" s="103"/>
      <c r="D1798" s="80"/>
      <c r="E1798" s="80"/>
    </row>
    <row r="1799" spans="2:5" ht="14.25" customHeight="1" x14ac:dyDescent="0.25">
      <c r="B1799" s="103"/>
      <c r="D1799" s="80"/>
      <c r="E1799" s="80"/>
    </row>
    <row r="1800" spans="2:5" ht="14.25" customHeight="1" x14ac:dyDescent="0.25">
      <c r="B1800" s="103"/>
      <c r="D1800" s="80"/>
      <c r="E1800" s="80"/>
    </row>
    <row r="1801" spans="2:5" ht="14.25" customHeight="1" x14ac:dyDescent="0.25">
      <c r="B1801" s="103"/>
      <c r="D1801" s="80"/>
      <c r="E1801" s="80"/>
    </row>
    <row r="1802" spans="2:5" ht="14.25" customHeight="1" x14ac:dyDescent="0.25">
      <c r="B1802" s="103"/>
      <c r="D1802" s="80"/>
      <c r="E1802" s="80"/>
    </row>
    <row r="1803" spans="2:5" ht="14.25" customHeight="1" x14ac:dyDescent="0.25">
      <c r="B1803" s="103"/>
      <c r="D1803" s="80"/>
      <c r="E1803" s="80"/>
    </row>
    <row r="1804" spans="2:5" ht="14.25" customHeight="1" x14ac:dyDescent="0.25">
      <c r="B1804" s="103"/>
      <c r="D1804" s="80"/>
      <c r="E1804" s="80"/>
    </row>
    <row r="1805" spans="2:5" ht="14.25" customHeight="1" x14ac:dyDescent="0.25">
      <c r="B1805" s="103"/>
      <c r="D1805" s="80"/>
      <c r="E1805" s="80"/>
    </row>
    <row r="1806" spans="2:5" ht="14.25" customHeight="1" x14ac:dyDescent="0.25">
      <c r="B1806" s="103"/>
      <c r="D1806" s="80"/>
      <c r="E1806" s="80"/>
    </row>
    <row r="1807" spans="2:5" ht="14.25" customHeight="1" x14ac:dyDescent="0.25">
      <c r="B1807" s="103"/>
      <c r="D1807" s="80"/>
      <c r="E1807" s="80"/>
    </row>
    <row r="1808" spans="2:5" ht="14.25" customHeight="1" x14ac:dyDescent="0.25">
      <c r="B1808" s="103"/>
      <c r="D1808" s="80"/>
      <c r="E1808" s="80"/>
    </row>
    <row r="1809" spans="2:5" ht="14.25" customHeight="1" x14ac:dyDescent="0.25">
      <c r="B1809" s="103"/>
      <c r="D1809" s="80"/>
      <c r="E1809" s="80"/>
    </row>
    <row r="1810" spans="2:5" ht="14.25" customHeight="1" x14ac:dyDescent="0.25">
      <c r="B1810" s="103"/>
      <c r="D1810" s="80"/>
      <c r="E1810" s="80"/>
    </row>
    <row r="1811" spans="2:5" ht="14.25" customHeight="1" x14ac:dyDescent="0.25">
      <c r="B1811" s="103"/>
      <c r="D1811" s="80"/>
      <c r="E1811" s="80"/>
    </row>
    <row r="1812" spans="2:5" ht="14.25" customHeight="1" x14ac:dyDescent="0.25">
      <c r="B1812" s="103"/>
      <c r="D1812" s="80"/>
      <c r="E1812" s="80"/>
    </row>
    <row r="1813" spans="2:5" ht="14.25" customHeight="1" x14ac:dyDescent="0.25">
      <c r="B1813" s="103"/>
      <c r="D1813" s="80"/>
      <c r="E1813" s="80"/>
    </row>
    <row r="1814" spans="2:5" ht="14.25" customHeight="1" x14ac:dyDescent="0.25">
      <c r="B1814" s="103"/>
      <c r="D1814" s="80"/>
      <c r="E1814" s="80"/>
    </row>
    <row r="1815" spans="2:5" ht="14.25" customHeight="1" x14ac:dyDescent="0.25">
      <c r="B1815" s="103"/>
      <c r="D1815" s="80"/>
      <c r="E1815" s="80"/>
    </row>
    <row r="1816" spans="2:5" ht="14.25" customHeight="1" x14ac:dyDescent="0.25">
      <c r="B1816" s="103"/>
      <c r="D1816" s="80"/>
      <c r="E1816" s="80"/>
    </row>
    <row r="1817" spans="2:5" ht="14.25" customHeight="1" x14ac:dyDescent="0.25">
      <c r="B1817" s="103"/>
      <c r="D1817" s="80"/>
      <c r="E1817" s="80"/>
    </row>
    <row r="1818" spans="2:5" ht="14.25" customHeight="1" x14ac:dyDescent="0.25">
      <c r="B1818" s="103"/>
      <c r="D1818" s="80"/>
      <c r="E1818" s="80"/>
    </row>
    <row r="1819" spans="2:5" ht="14.25" customHeight="1" x14ac:dyDescent="0.25">
      <c r="B1819" s="103"/>
      <c r="D1819" s="80"/>
      <c r="E1819" s="80"/>
    </row>
    <row r="1820" spans="2:5" ht="14.25" customHeight="1" x14ac:dyDescent="0.25">
      <c r="B1820" s="103"/>
      <c r="D1820" s="80"/>
      <c r="E1820" s="80"/>
    </row>
    <row r="1821" spans="2:5" ht="14.25" customHeight="1" x14ac:dyDescent="0.25">
      <c r="B1821" s="103"/>
      <c r="D1821" s="80"/>
      <c r="E1821" s="80"/>
    </row>
    <row r="1822" spans="2:5" ht="14.25" customHeight="1" x14ac:dyDescent="0.25">
      <c r="B1822" s="103"/>
      <c r="D1822" s="80"/>
      <c r="E1822" s="80"/>
    </row>
    <row r="1823" spans="2:5" ht="14.25" customHeight="1" x14ac:dyDescent="0.25">
      <c r="B1823" s="103"/>
      <c r="D1823" s="80"/>
      <c r="E1823" s="80"/>
    </row>
    <row r="1824" spans="2:5" ht="14.25" customHeight="1" x14ac:dyDescent="0.25">
      <c r="B1824" s="103"/>
      <c r="D1824" s="80"/>
      <c r="E1824" s="80"/>
    </row>
    <row r="1825" spans="2:5" ht="14.25" customHeight="1" x14ac:dyDescent="0.25">
      <c r="B1825" s="103"/>
      <c r="D1825" s="80"/>
      <c r="E1825" s="80"/>
    </row>
    <row r="1826" spans="2:5" ht="14.25" customHeight="1" x14ac:dyDescent="0.25">
      <c r="B1826" s="103"/>
      <c r="D1826" s="80"/>
      <c r="E1826" s="80"/>
    </row>
    <row r="1827" spans="2:5" ht="14.25" customHeight="1" x14ac:dyDescent="0.25">
      <c r="B1827" s="103"/>
      <c r="D1827" s="80"/>
      <c r="E1827" s="80"/>
    </row>
    <row r="1828" spans="2:5" ht="14.25" customHeight="1" x14ac:dyDescent="0.25">
      <c r="B1828" s="103"/>
      <c r="D1828" s="80"/>
      <c r="E1828" s="80"/>
    </row>
    <row r="1829" spans="2:5" ht="14.25" customHeight="1" x14ac:dyDescent="0.25">
      <c r="B1829" s="103"/>
      <c r="D1829" s="80"/>
      <c r="E1829" s="80"/>
    </row>
    <row r="1830" spans="2:5" ht="14.25" customHeight="1" x14ac:dyDescent="0.25">
      <c r="B1830" s="103"/>
      <c r="D1830" s="80"/>
      <c r="E1830" s="80"/>
    </row>
    <row r="1831" spans="2:5" ht="14.25" customHeight="1" x14ac:dyDescent="0.25">
      <c r="B1831" s="103"/>
      <c r="D1831" s="80"/>
      <c r="E1831" s="80"/>
    </row>
    <row r="1832" spans="2:5" ht="14.25" customHeight="1" x14ac:dyDescent="0.25">
      <c r="B1832" s="103"/>
      <c r="D1832" s="80"/>
      <c r="E1832" s="80"/>
    </row>
    <row r="1833" spans="2:5" ht="14.25" customHeight="1" x14ac:dyDescent="0.25">
      <c r="B1833" s="103"/>
      <c r="D1833" s="80"/>
      <c r="E1833" s="80"/>
    </row>
    <row r="1834" spans="2:5" ht="14.25" customHeight="1" x14ac:dyDescent="0.25">
      <c r="B1834" s="103"/>
      <c r="D1834" s="80"/>
      <c r="E1834" s="80"/>
    </row>
    <row r="1835" spans="2:5" ht="14.25" customHeight="1" x14ac:dyDescent="0.25">
      <c r="B1835" s="103"/>
      <c r="D1835" s="80"/>
      <c r="E1835" s="80"/>
    </row>
    <row r="1836" spans="2:5" ht="14.25" customHeight="1" x14ac:dyDescent="0.25">
      <c r="B1836" s="103"/>
      <c r="D1836" s="80"/>
      <c r="E1836" s="80"/>
    </row>
    <row r="1837" spans="2:5" ht="14.25" customHeight="1" x14ac:dyDescent="0.25">
      <c r="B1837" s="103"/>
      <c r="D1837" s="80"/>
      <c r="E1837" s="80"/>
    </row>
    <row r="1838" spans="2:5" ht="14.25" customHeight="1" x14ac:dyDescent="0.25">
      <c r="B1838" s="103"/>
      <c r="D1838" s="80"/>
      <c r="E1838" s="80"/>
    </row>
    <row r="1839" spans="2:5" ht="14.25" customHeight="1" x14ac:dyDescent="0.25">
      <c r="B1839" s="103"/>
      <c r="D1839" s="80"/>
      <c r="E1839" s="80"/>
    </row>
    <row r="1840" spans="2:5" ht="14.25" customHeight="1" x14ac:dyDescent="0.25">
      <c r="B1840" s="103"/>
      <c r="D1840" s="80"/>
      <c r="E1840" s="80"/>
    </row>
    <row r="1841" spans="2:5" ht="14.25" customHeight="1" x14ac:dyDescent="0.25">
      <c r="B1841" s="103"/>
      <c r="D1841" s="80"/>
      <c r="E1841" s="80"/>
    </row>
    <row r="1842" spans="2:5" ht="14.25" customHeight="1" x14ac:dyDescent="0.25">
      <c r="B1842" s="103"/>
      <c r="D1842" s="80"/>
      <c r="E1842" s="80"/>
    </row>
    <row r="1843" spans="2:5" ht="14.25" customHeight="1" x14ac:dyDescent="0.25">
      <c r="B1843" s="103"/>
      <c r="D1843" s="80"/>
      <c r="E1843" s="80"/>
    </row>
    <row r="1844" spans="2:5" ht="14.25" customHeight="1" x14ac:dyDescent="0.25">
      <c r="B1844" s="103"/>
      <c r="D1844" s="80"/>
      <c r="E1844" s="80"/>
    </row>
    <row r="1845" spans="2:5" ht="14.25" customHeight="1" x14ac:dyDescent="0.25">
      <c r="B1845" s="103"/>
      <c r="D1845" s="80"/>
      <c r="E1845" s="80"/>
    </row>
    <row r="1846" spans="2:5" ht="14.25" customHeight="1" x14ac:dyDescent="0.25">
      <c r="B1846" s="103"/>
      <c r="D1846" s="80"/>
      <c r="E1846" s="80"/>
    </row>
    <row r="1847" spans="2:5" ht="14.25" customHeight="1" x14ac:dyDescent="0.25">
      <c r="B1847" s="103"/>
      <c r="D1847" s="80"/>
      <c r="E1847" s="80"/>
    </row>
    <row r="1848" spans="2:5" ht="14.25" customHeight="1" x14ac:dyDescent="0.25">
      <c r="B1848" s="103"/>
      <c r="D1848" s="80"/>
      <c r="E1848" s="80"/>
    </row>
    <row r="1849" spans="2:5" ht="14.25" customHeight="1" x14ac:dyDescent="0.25">
      <c r="B1849" s="103"/>
      <c r="D1849" s="80"/>
      <c r="E1849" s="80"/>
    </row>
    <row r="1850" spans="2:5" ht="14.25" customHeight="1" x14ac:dyDescent="0.25">
      <c r="B1850" s="103"/>
      <c r="D1850" s="80"/>
      <c r="E1850" s="80"/>
    </row>
    <row r="1851" spans="2:5" ht="14.25" customHeight="1" x14ac:dyDescent="0.25">
      <c r="B1851" s="103"/>
      <c r="D1851" s="80"/>
      <c r="E1851" s="80"/>
    </row>
    <row r="1852" spans="2:5" ht="14.25" customHeight="1" x14ac:dyDescent="0.25">
      <c r="B1852" s="103"/>
      <c r="D1852" s="80"/>
      <c r="E1852" s="80"/>
    </row>
    <row r="1853" spans="2:5" ht="14.25" customHeight="1" x14ac:dyDescent="0.25">
      <c r="B1853" s="103"/>
      <c r="D1853" s="80"/>
      <c r="E1853" s="80"/>
    </row>
    <row r="1854" spans="2:5" ht="14.25" customHeight="1" x14ac:dyDescent="0.25">
      <c r="B1854" s="103"/>
      <c r="D1854" s="80"/>
      <c r="E1854" s="80"/>
    </row>
    <row r="1855" spans="2:5" ht="14.25" customHeight="1" x14ac:dyDescent="0.25">
      <c r="B1855" s="103"/>
      <c r="D1855" s="80"/>
      <c r="E1855" s="80"/>
    </row>
    <row r="1856" spans="2:5" ht="14.25" customHeight="1" x14ac:dyDescent="0.25">
      <c r="B1856" s="103"/>
      <c r="D1856" s="80"/>
      <c r="E1856" s="80"/>
    </row>
    <row r="1857" spans="2:5" ht="14.25" customHeight="1" x14ac:dyDescent="0.25">
      <c r="B1857" s="103"/>
      <c r="D1857" s="80"/>
      <c r="E1857" s="80"/>
    </row>
    <row r="1858" spans="2:5" ht="14.25" customHeight="1" x14ac:dyDescent="0.25">
      <c r="B1858" s="103"/>
      <c r="D1858" s="80"/>
      <c r="E1858" s="80"/>
    </row>
    <row r="1859" spans="2:5" ht="14.25" customHeight="1" x14ac:dyDescent="0.25">
      <c r="B1859" s="103"/>
      <c r="D1859" s="80"/>
      <c r="E1859" s="80"/>
    </row>
    <row r="1860" spans="2:5" ht="14.25" customHeight="1" x14ac:dyDescent="0.25">
      <c r="B1860" s="103"/>
      <c r="D1860" s="80"/>
      <c r="E1860" s="80"/>
    </row>
    <row r="1861" spans="2:5" ht="14.25" customHeight="1" x14ac:dyDescent="0.25">
      <c r="B1861" s="103"/>
      <c r="D1861" s="80"/>
      <c r="E1861" s="80"/>
    </row>
    <row r="1862" spans="2:5" ht="14.25" customHeight="1" x14ac:dyDescent="0.25">
      <c r="B1862" s="103"/>
      <c r="D1862" s="80"/>
      <c r="E1862" s="80"/>
    </row>
    <row r="1863" spans="2:5" ht="14.25" customHeight="1" x14ac:dyDescent="0.25">
      <c r="B1863" s="103"/>
      <c r="D1863" s="80"/>
      <c r="E1863" s="80"/>
    </row>
    <row r="1864" spans="2:5" ht="14.25" customHeight="1" x14ac:dyDescent="0.25">
      <c r="B1864" s="103"/>
      <c r="D1864" s="80"/>
      <c r="E1864" s="80"/>
    </row>
    <row r="1865" spans="2:5" ht="14.25" customHeight="1" x14ac:dyDescent="0.25">
      <c r="B1865" s="103"/>
      <c r="D1865" s="80"/>
      <c r="E1865" s="80"/>
    </row>
    <row r="1866" spans="2:5" ht="14.25" customHeight="1" x14ac:dyDescent="0.25">
      <c r="B1866" s="103"/>
      <c r="D1866" s="80"/>
      <c r="E1866" s="80"/>
    </row>
    <row r="1867" spans="2:5" ht="14.25" customHeight="1" x14ac:dyDescent="0.25">
      <c r="B1867" s="103"/>
      <c r="D1867" s="80"/>
      <c r="E1867" s="80"/>
    </row>
    <row r="1868" spans="2:5" ht="14.25" customHeight="1" x14ac:dyDescent="0.25">
      <c r="B1868" s="103"/>
      <c r="D1868" s="80"/>
      <c r="E1868" s="80"/>
    </row>
    <row r="1869" spans="2:5" ht="14.25" customHeight="1" x14ac:dyDescent="0.25">
      <c r="B1869" s="103"/>
      <c r="D1869" s="80"/>
      <c r="E1869" s="80"/>
    </row>
    <row r="1870" spans="2:5" ht="14.25" customHeight="1" x14ac:dyDescent="0.25">
      <c r="B1870" s="103"/>
      <c r="D1870" s="80"/>
      <c r="E1870" s="80"/>
    </row>
    <row r="1871" spans="2:5" ht="14.25" customHeight="1" x14ac:dyDescent="0.25">
      <c r="B1871" s="103"/>
      <c r="D1871" s="80"/>
      <c r="E1871" s="80"/>
    </row>
    <row r="1872" spans="2:5" ht="14.25" customHeight="1" x14ac:dyDescent="0.25">
      <c r="B1872" s="103"/>
      <c r="D1872" s="80"/>
      <c r="E1872" s="80"/>
    </row>
    <row r="1873" spans="2:5" ht="14.25" customHeight="1" x14ac:dyDescent="0.25">
      <c r="B1873" s="103"/>
      <c r="D1873" s="80"/>
      <c r="E1873" s="80"/>
    </row>
    <row r="1874" spans="2:5" ht="14.25" customHeight="1" x14ac:dyDescent="0.25">
      <c r="B1874" s="103"/>
      <c r="D1874" s="80"/>
      <c r="E1874" s="80"/>
    </row>
    <row r="1875" spans="2:5" ht="14.25" customHeight="1" x14ac:dyDescent="0.25">
      <c r="B1875" s="103"/>
      <c r="D1875" s="80"/>
      <c r="E1875" s="80"/>
    </row>
    <row r="1876" spans="2:5" ht="14.25" customHeight="1" x14ac:dyDescent="0.25">
      <c r="B1876" s="103"/>
      <c r="D1876" s="80"/>
      <c r="E1876" s="80"/>
    </row>
    <row r="1877" spans="2:5" ht="14.25" customHeight="1" x14ac:dyDescent="0.25">
      <c r="B1877" s="103"/>
      <c r="D1877" s="80"/>
      <c r="E1877" s="80"/>
    </row>
    <row r="1878" spans="2:5" ht="14.25" customHeight="1" x14ac:dyDescent="0.25">
      <c r="B1878" s="103"/>
      <c r="D1878" s="80"/>
      <c r="E1878" s="80"/>
    </row>
    <row r="1879" spans="2:5" ht="14.25" customHeight="1" x14ac:dyDescent="0.25">
      <c r="B1879" s="103"/>
      <c r="D1879" s="80"/>
      <c r="E1879" s="80"/>
    </row>
    <row r="1880" spans="2:5" ht="14.25" customHeight="1" x14ac:dyDescent="0.25">
      <c r="B1880" s="103"/>
      <c r="D1880" s="80"/>
      <c r="E1880" s="80"/>
    </row>
    <row r="1881" spans="2:5" ht="14.25" customHeight="1" x14ac:dyDescent="0.25">
      <c r="B1881" s="103"/>
      <c r="D1881" s="80"/>
      <c r="E1881" s="80"/>
    </row>
    <row r="1882" spans="2:5" ht="14.25" customHeight="1" x14ac:dyDescent="0.25">
      <c r="B1882" s="103"/>
      <c r="D1882" s="80"/>
      <c r="E1882" s="80"/>
    </row>
    <row r="1883" spans="2:5" ht="14.25" customHeight="1" x14ac:dyDescent="0.25">
      <c r="B1883" s="103"/>
      <c r="D1883" s="80"/>
      <c r="E1883" s="80"/>
    </row>
    <row r="1884" spans="2:5" ht="14.25" customHeight="1" x14ac:dyDescent="0.25">
      <c r="B1884" s="103"/>
      <c r="D1884" s="80"/>
      <c r="E1884" s="80"/>
    </row>
    <row r="1885" spans="2:5" ht="14.25" customHeight="1" x14ac:dyDescent="0.25">
      <c r="B1885" s="103"/>
      <c r="D1885" s="80"/>
      <c r="E1885" s="80"/>
    </row>
    <row r="1886" spans="2:5" ht="14.25" customHeight="1" x14ac:dyDescent="0.25">
      <c r="B1886" s="103"/>
      <c r="D1886" s="80"/>
      <c r="E1886" s="80"/>
    </row>
    <row r="1887" spans="2:5" ht="14.25" customHeight="1" x14ac:dyDescent="0.25">
      <c r="B1887" s="103"/>
      <c r="D1887" s="80"/>
      <c r="E1887" s="80"/>
    </row>
    <row r="1888" spans="2:5" ht="14.25" customHeight="1" x14ac:dyDescent="0.25">
      <c r="B1888" s="103"/>
      <c r="D1888" s="80"/>
      <c r="E1888" s="80"/>
    </row>
    <row r="1889" spans="2:5" ht="14.25" customHeight="1" x14ac:dyDescent="0.25">
      <c r="B1889" s="103"/>
      <c r="D1889" s="80"/>
      <c r="E1889" s="80"/>
    </row>
    <row r="1890" spans="2:5" ht="14.25" customHeight="1" x14ac:dyDescent="0.25">
      <c r="B1890" s="103"/>
      <c r="D1890" s="80"/>
      <c r="E1890" s="80"/>
    </row>
    <row r="1891" spans="2:5" ht="14.25" customHeight="1" x14ac:dyDescent="0.25">
      <c r="B1891" s="103"/>
      <c r="D1891" s="80"/>
      <c r="E1891" s="80"/>
    </row>
    <row r="1892" spans="2:5" ht="14.25" customHeight="1" x14ac:dyDescent="0.25">
      <c r="B1892" s="103"/>
      <c r="D1892" s="80"/>
      <c r="E1892" s="80"/>
    </row>
    <row r="1893" spans="2:5" ht="14.25" customHeight="1" x14ac:dyDescent="0.25">
      <c r="B1893" s="103"/>
      <c r="D1893" s="80"/>
      <c r="E1893" s="80"/>
    </row>
    <row r="1894" spans="2:5" ht="14.25" customHeight="1" x14ac:dyDescent="0.25">
      <c r="B1894" s="103"/>
      <c r="D1894" s="80"/>
      <c r="E1894" s="80"/>
    </row>
    <row r="1895" spans="2:5" ht="14.25" customHeight="1" x14ac:dyDescent="0.25">
      <c r="B1895" s="103"/>
      <c r="D1895" s="80"/>
      <c r="E1895" s="80"/>
    </row>
    <row r="1896" spans="2:5" ht="14.25" customHeight="1" x14ac:dyDescent="0.25">
      <c r="B1896" s="103"/>
      <c r="D1896" s="80"/>
      <c r="E1896" s="80"/>
    </row>
    <row r="1897" spans="2:5" ht="14.25" customHeight="1" x14ac:dyDescent="0.25">
      <c r="B1897" s="103"/>
      <c r="D1897" s="80"/>
      <c r="E1897" s="80"/>
    </row>
    <row r="1898" spans="2:5" ht="14.25" customHeight="1" x14ac:dyDescent="0.25">
      <c r="B1898" s="103"/>
      <c r="D1898" s="80"/>
      <c r="E1898" s="80"/>
    </row>
    <row r="1899" spans="2:5" ht="14.25" customHeight="1" x14ac:dyDescent="0.25">
      <c r="B1899" s="103"/>
      <c r="D1899" s="80"/>
      <c r="E1899" s="80"/>
    </row>
    <row r="1900" spans="2:5" ht="14.25" customHeight="1" x14ac:dyDescent="0.25">
      <c r="B1900" s="103"/>
      <c r="D1900" s="80"/>
      <c r="E1900" s="80"/>
    </row>
    <row r="1901" spans="2:5" ht="14.25" customHeight="1" x14ac:dyDescent="0.25">
      <c r="B1901" s="103"/>
      <c r="D1901" s="80"/>
      <c r="E1901" s="80"/>
    </row>
    <row r="1902" spans="2:5" ht="14.25" customHeight="1" x14ac:dyDescent="0.25">
      <c r="B1902" s="103"/>
      <c r="D1902" s="80"/>
      <c r="E1902" s="80"/>
    </row>
    <row r="1903" spans="2:5" ht="14.25" customHeight="1" x14ac:dyDescent="0.25">
      <c r="B1903" s="103"/>
      <c r="D1903" s="80"/>
      <c r="E1903" s="80"/>
    </row>
    <row r="1904" spans="2:5" ht="14.25" customHeight="1" x14ac:dyDescent="0.25">
      <c r="B1904" s="103"/>
      <c r="D1904" s="80"/>
      <c r="E1904" s="80"/>
    </row>
    <row r="1905" spans="2:5" ht="14.25" customHeight="1" x14ac:dyDescent="0.25">
      <c r="B1905" s="103"/>
      <c r="D1905" s="80"/>
      <c r="E1905" s="80"/>
    </row>
    <row r="1906" spans="2:5" ht="14.25" customHeight="1" x14ac:dyDescent="0.25">
      <c r="B1906" s="103"/>
      <c r="D1906" s="80"/>
      <c r="E1906" s="80"/>
    </row>
    <row r="1907" spans="2:5" ht="14.25" customHeight="1" x14ac:dyDescent="0.25">
      <c r="B1907" s="103"/>
      <c r="D1907" s="80"/>
      <c r="E1907" s="80"/>
    </row>
    <row r="1908" spans="2:5" ht="14.25" customHeight="1" x14ac:dyDescent="0.25">
      <c r="B1908" s="103"/>
      <c r="D1908" s="80"/>
      <c r="E1908" s="80"/>
    </row>
    <row r="1909" spans="2:5" ht="14.25" customHeight="1" x14ac:dyDescent="0.25">
      <c r="B1909" s="103"/>
      <c r="D1909" s="80"/>
      <c r="E1909" s="80"/>
    </row>
    <row r="1910" spans="2:5" ht="14.25" customHeight="1" x14ac:dyDescent="0.25">
      <c r="B1910" s="103"/>
      <c r="D1910" s="80"/>
      <c r="E1910" s="80"/>
    </row>
    <row r="1911" spans="2:5" ht="14.25" customHeight="1" x14ac:dyDescent="0.25">
      <c r="B1911" s="103"/>
      <c r="D1911" s="80"/>
      <c r="E1911" s="80"/>
    </row>
    <row r="1912" spans="2:5" ht="14.25" customHeight="1" x14ac:dyDescent="0.25">
      <c r="B1912" s="103"/>
      <c r="D1912" s="80"/>
      <c r="E1912" s="80"/>
    </row>
    <row r="1913" spans="2:5" ht="14.25" customHeight="1" x14ac:dyDescent="0.25">
      <c r="B1913" s="103"/>
      <c r="D1913" s="80"/>
      <c r="E1913" s="80"/>
    </row>
    <row r="1914" spans="2:5" ht="14.25" customHeight="1" x14ac:dyDescent="0.25">
      <c r="B1914" s="103"/>
      <c r="D1914" s="80"/>
      <c r="E1914" s="80"/>
    </row>
    <row r="1915" spans="2:5" ht="14.25" customHeight="1" x14ac:dyDescent="0.25">
      <c r="B1915" s="103"/>
      <c r="D1915" s="80"/>
      <c r="E1915" s="80"/>
    </row>
    <row r="1916" spans="2:5" ht="14.25" customHeight="1" x14ac:dyDescent="0.25">
      <c r="B1916" s="103"/>
      <c r="D1916" s="80"/>
      <c r="E1916" s="80"/>
    </row>
    <row r="1917" spans="2:5" ht="14.25" customHeight="1" x14ac:dyDescent="0.25">
      <c r="B1917" s="103"/>
      <c r="D1917" s="80"/>
      <c r="E1917" s="80"/>
    </row>
    <row r="1918" spans="2:5" ht="14.25" customHeight="1" x14ac:dyDescent="0.25">
      <c r="B1918" s="103"/>
      <c r="D1918" s="80"/>
      <c r="E1918" s="80"/>
    </row>
    <row r="1919" spans="2:5" ht="14.25" customHeight="1" x14ac:dyDescent="0.25">
      <c r="B1919" s="103"/>
      <c r="D1919" s="80"/>
      <c r="E1919" s="80"/>
    </row>
    <row r="1920" spans="2:5" ht="14.25" customHeight="1" x14ac:dyDescent="0.25">
      <c r="B1920" s="103"/>
      <c r="D1920" s="80"/>
      <c r="E1920" s="80"/>
    </row>
    <row r="1921" spans="2:5" ht="14.25" customHeight="1" x14ac:dyDescent="0.25">
      <c r="B1921" s="103"/>
      <c r="D1921" s="80"/>
      <c r="E1921" s="80"/>
    </row>
    <row r="1922" spans="2:5" ht="14.25" customHeight="1" x14ac:dyDescent="0.25">
      <c r="B1922" s="103"/>
      <c r="D1922" s="80"/>
      <c r="E1922" s="80"/>
    </row>
    <row r="1923" spans="2:5" ht="14.25" customHeight="1" x14ac:dyDescent="0.25">
      <c r="B1923" s="103"/>
      <c r="D1923" s="80"/>
      <c r="E1923" s="80"/>
    </row>
    <row r="1924" spans="2:5" ht="14.25" customHeight="1" x14ac:dyDescent="0.25">
      <c r="B1924" s="103"/>
      <c r="D1924" s="80"/>
      <c r="E1924" s="80"/>
    </row>
    <row r="1925" spans="2:5" ht="14.25" customHeight="1" x14ac:dyDescent="0.25">
      <c r="B1925" s="103"/>
      <c r="D1925" s="80"/>
      <c r="E1925" s="80"/>
    </row>
    <row r="1926" spans="2:5" ht="14.25" customHeight="1" x14ac:dyDescent="0.25">
      <c r="B1926" s="103"/>
      <c r="D1926" s="80"/>
      <c r="E1926" s="80"/>
    </row>
    <row r="1927" spans="2:5" ht="14.25" customHeight="1" x14ac:dyDescent="0.25">
      <c r="B1927" s="103"/>
      <c r="D1927" s="80"/>
      <c r="E1927" s="80"/>
    </row>
    <row r="1928" spans="2:5" ht="14.25" customHeight="1" x14ac:dyDescent="0.25">
      <c r="B1928" s="103"/>
      <c r="D1928" s="80"/>
      <c r="E1928" s="80"/>
    </row>
    <row r="1929" spans="2:5" ht="14.25" customHeight="1" x14ac:dyDescent="0.25">
      <c r="B1929" s="103"/>
      <c r="D1929" s="80"/>
      <c r="E1929" s="80"/>
    </row>
    <row r="1930" spans="2:5" ht="14.25" customHeight="1" x14ac:dyDescent="0.25">
      <c r="B1930" s="103"/>
      <c r="D1930" s="80"/>
      <c r="E1930" s="80"/>
    </row>
    <row r="1931" spans="2:5" ht="14.25" customHeight="1" x14ac:dyDescent="0.25">
      <c r="B1931" s="103"/>
      <c r="D1931" s="80"/>
      <c r="E1931" s="80"/>
    </row>
    <row r="1932" spans="2:5" ht="14.25" customHeight="1" x14ac:dyDescent="0.25">
      <c r="B1932" s="103"/>
      <c r="D1932" s="80"/>
      <c r="E1932" s="80"/>
    </row>
    <row r="1933" spans="2:5" ht="14.25" customHeight="1" x14ac:dyDescent="0.25">
      <c r="B1933" s="103"/>
      <c r="D1933" s="80"/>
      <c r="E1933" s="80"/>
    </row>
    <row r="1934" spans="2:5" ht="14.25" customHeight="1" x14ac:dyDescent="0.25">
      <c r="B1934" s="103"/>
      <c r="D1934" s="80"/>
      <c r="E1934" s="80"/>
    </row>
    <row r="1935" spans="2:5" ht="14.25" customHeight="1" x14ac:dyDescent="0.25">
      <c r="B1935" s="103"/>
      <c r="D1935" s="80"/>
      <c r="E1935" s="80"/>
    </row>
    <row r="1936" spans="2:5" ht="14.25" customHeight="1" x14ac:dyDescent="0.25">
      <c r="B1936" s="103"/>
      <c r="D1936" s="80"/>
      <c r="E1936" s="80"/>
    </row>
    <row r="1937" spans="2:5" ht="14.25" customHeight="1" x14ac:dyDescent="0.25">
      <c r="B1937" s="103"/>
      <c r="D1937" s="80"/>
      <c r="E1937" s="80"/>
    </row>
    <row r="1938" spans="2:5" ht="14.25" customHeight="1" x14ac:dyDescent="0.25">
      <c r="B1938" s="103"/>
      <c r="D1938" s="80"/>
      <c r="E1938" s="80"/>
    </row>
    <row r="1939" spans="2:5" ht="14.25" customHeight="1" x14ac:dyDescent="0.25">
      <c r="B1939" s="103"/>
      <c r="D1939" s="80"/>
      <c r="E1939" s="80"/>
    </row>
    <row r="1940" spans="2:5" ht="14.25" customHeight="1" x14ac:dyDescent="0.25">
      <c r="B1940" s="103"/>
      <c r="D1940" s="80"/>
      <c r="E1940" s="80"/>
    </row>
    <row r="1941" spans="2:5" ht="14.25" customHeight="1" x14ac:dyDescent="0.25">
      <c r="B1941" s="103"/>
      <c r="D1941" s="80"/>
      <c r="E1941" s="80"/>
    </row>
    <row r="1942" spans="2:5" ht="14.25" customHeight="1" x14ac:dyDescent="0.25">
      <c r="B1942" s="103"/>
      <c r="D1942" s="80"/>
      <c r="E1942" s="80"/>
    </row>
    <row r="1943" spans="2:5" ht="14.25" customHeight="1" x14ac:dyDescent="0.25">
      <c r="B1943" s="103"/>
      <c r="D1943" s="80"/>
      <c r="E1943" s="80"/>
    </row>
    <row r="1944" spans="2:5" ht="14.25" customHeight="1" x14ac:dyDescent="0.25">
      <c r="B1944" s="103"/>
      <c r="D1944" s="80"/>
      <c r="E1944" s="80"/>
    </row>
    <row r="1945" spans="2:5" ht="14.25" customHeight="1" x14ac:dyDescent="0.25">
      <c r="B1945" s="103"/>
      <c r="D1945" s="80"/>
      <c r="E1945" s="80"/>
    </row>
    <row r="1946" spans="2:5" ht="14.25" customHeight="1" x14ac:dyDescent="0.25">
      <c r="B1946" s="103"/>
      <c r="D1946" s="80"/>
      <c r="E1946" s="80"/>
    </row>
    <row r="1947" spans="2:5" ht="14.25" customHeight="1" x14ac:dyDescent="0.25">
      <c r="B1947" s="103"/>
      <c r="D1947" s="80"/>
      <c r="E1947" s="80"/>
    </row>
    <row r="1948" spans="2:5" ht="14.25" customHeight="1" x14ac:dyDescent="0.25">
      <c r="B1948" s="103"/>
      <c r="D1948" s="80"/>
      <c r="E1948" s="80"/>
    </row>
    <row r="1949" spans="2:5" ht="14.25" customHeight="1" x14ac:dyDescent="0.25">
      <c r="B1949" s="103"/>
      <c r="D1949" s="80"/>
      <c r="E1949" s="80"/>
    </row>
    <row r="1950" spans="2:5" ht="14.25" customHeight="1" x14ac:dyDescent="0.25">
      <c r="B1950" s="103"/>
      <c r="D1950" s="80"/>
      <c r="E1950" s="80"/>
    </row>
    <row r="1951" spans="2:5" ht="14.25" customHeight="1" x14ac:dyDescent="0.25">
      <c r="B1951" s="103"/>
      <c r="D1951" s="80"/>
      <c r="E1951" s="80"/>
    </row>
    <row r="1952" spans="2:5" ht="14.25" customHeight="1" x14ac:dyDescent="0.25">
      <c r="B1952" s="103"/>
      <c r="D1952" s="80"/>
      <c r="E1952" s="80"/>
    </row>
    <row r="1953" spans="2:5" ht="14.25" customHeight="1" x14ac:dyDescent="0.25">
      <c r="B1953" s="103"/>
      <c r="D1953" s="80"/>
      <c r="E1953" s="80"/>
    </row>
    <row r="1954" spans="2:5" ht="14.25" customHeight="1" x14ac:dyDescent="0.25">
      <c r="B1954" s="103"/>
      <c r="D1954" s="80"/>
      <c r="E1954" s="80"/>
    </row>
    <row r="1955" spans="2:5" ht="14.25" customHeight="1" x14ac:dyDescent="0.25">
      <c r="B1955" s="103"/>
      <c r="D1955" s="80"/>
      <c r="E1955" s="80"/>
    </row>
    <row r="1956" spans="2:5" ht="14.25" customHeight="1" x14ac:dyDescent="0.25">
      <c r="B1956" s="103"/>
      <c r="D1956" s="80"/>
      <c r="E1956" s="80"/>
    </row>
    <row r="1957" spans="2:5" ht="14.25" customHeight="1" x14ac:dyDescent="0.25">
      <c r="B1957" s="103"/>
      <c r="D1957" s="80"/>
      <c r="E1957" s="80"/>
    </row>
    <row r="1958" spans="2:5" ht="14.25" customHeight="1" x14ac:dyDescent="0.25">
      <c r="B1958" s="103"/>
      <c r="D1958" s="80"/>
      <c r="E1958" s="80"/>
    </row>
    <row r="1959" spans="2:5" ht="14.25" customHeight="1" x14ac:dyDescent="0.25">
      <c r="B1959" s="103"/>
      <c r="D1959" s="80"/>
      <c r="E1959" s="80"/>
    </row>
    <row r="1960" spans="2:5" ht="14.25" customHeight="1" x14ac:dyDescent="0.25">
      <c r="B1960" s="103"/>
      <c r="D1960" s="80"/>
      <c r="E1960" s="80"/>
    </row>
    <row r="1961" spans="2:5" ht="14.25" customHeight="1" x14ac:dyDescent="0.25">
      <c r="B1961" s="103"/>
      <c r="D1961" s="80"/>
      <c r="E1961" s="80"/>
    </row>
    <row r="1962" spans="2:5" ht="14.25" customHeight="1" x14ac:dyDescent="0.25">
      <c r="B1962" s="103"/>
      <c r="D1962" s="80"/>
      <c r="E1962" s="80"/>
    </row>
    <row r="1963" spans="2:5" ht="14.25" customHeight="1" x14ac:dyDescent="0.25">
      <c r="B1963" s="103"/>
      <c r="D1963" s="80"/>
      <c r="E1963" s="80"/>
    </row>
    <row r="1964" spans="2:5" ht="14.25" customHeight="1" x14ac:dyDescent="0.25">
      <c r="B1964" s="103"/>
      <c r="D1964" s="80"/>
      <c r="E1964" s="80"/>
    </row>
    <row r="1965" spans="2:5" ht="14.25" customHeight="1" x14ac:dyDescent="0.25">
      <c r="B1965" s="103"/>
      <c r="D1965" s="80"/>
      <c r="E1965" s="80"/>
    </row>
    <row r="1966" spans="2:5" ht="14.25" customHeight="1" x14ac:dyDescent="0.25">
      <c r="B1966" s="103"/>
      <c r="D1966" s="80"/>
      <c r="E1966" s="80"/>
    </row>
    <row r="1967" spans="2:5" ht="14.25" customHeight="1" x14ac:dyDescent="0.25">
      <c r="B1967" s="103"/>
      <c r="D1967" s="80"/>
      <c r="E1967" s="80"/>
    </row>
    <row r="1968" spans="2:5" ht="14.25" customHeight="1" x14ac:dyDescent="0.25">
      <c r="B1968" s="103"/>
      <c r="D1968" s="80"/>
      <c r="E1968" s="80"/>
    </row>
    <row r="1969" spans="2:5" ht="14.25" customHeight="1" x14ac:dyDescent="0.25">
      <c r="B1969" s="103"/>
      <c r="D1969" s="80"/>
      <c r="E1969" s="80"/>
    </row>
    <row r="1970" spans="2:5" ht="14.25" customHeight="1" x14ac:dyDescent="0.25">
      <c r="B1970" s="103"/>
      <c r="D1970" s="80"/>
      <c r="E1970" s="80"/>
    </row>
    <row r="1971" spans="2:5" ht="14.25" customHeight="1" x14ac:dyDescent="0.25">
      <c r="B1971" s="103"/>
      <c r="D1971" s="80"/>
      <c r="E1971" s="80"/>
    </row>
    <row r="1972" spans="2:5" ht="14.25" customHeight="1" x14ac:dyDescent="0.25">
      <c r="B1972" s="103"/>
      <c r="D1972" s="80"/>
      <c r="E1972" s="80"/>
    </row>
    <row r="1973" spans="2:5" ht="14.25" customHeight="1" x14ac:dyDescent="0.25">
      <c r="B1973" s="103"/>
      <c r="D1973" s="80"/>
      <c r="E1973" s="80"/>
    </row>
    <row r="1974" spans="2:5" ht="14.25" customHeight="1" x14ac:dyDescent="0.25">
      <c r="B1974" s="103"/>
      <c r="D1974" s="80"/>
      <c r="E1974" s="80"/>
    </row>
    <row r="1975" spans="2:5" ht="14.25" customHeight="1" x14ac:dyDescent="0.25">
      <c r="B1975" s="103"/>
      <c r="D1975" s="80"/>
      <c r="E1975" s="80"/>
    </row>
    <row r="1976" spans="2:5" ht="14.25" customHeight="1" x14ac:dyDescent="0.25">
      <c r="B1976" s="103"/>
      <c r="D1976" s="80"/>
      <c r="E1976" s="80"/>
    </row>
    <row r="1977" spans="2:5" ht="14.25" customHeight="1" x14ac:dyDescent="0.25">
      <c r="B1977" s="103"/>
      <c r="D1977" s="80"/>
      <c r="E1977" s="80"/>
    </row>
    <row r="1978" spans="2:5" ht="14.25" customHeight="1" x14ac:dyDescent="0.25">
      <c r="B1978" s="103"/>
      <c r="D1978" s="80"/>
      <c r="E1978" s="80"/>
    </row>
    <row r="1979" spans="2:5" ht="14.25" customHeight="1" x14ac:dyDescent="0.25">
      <c r="B1979" s="103"/>
      <c r="D1979" s="80"/>
      <c r="E1979" s="80"/>
    </row>
    <row r="1980" spans="2:5" ht="14.25" customHeight="1" x14ac:dyDescent="0.25">
      <c r="B1980" s="103"/>
      <c r="D1980" s="80"/>
      <c r="E1980" s="80"/>
    </row>
    <row r="1981" spans="2:5" ht="14.25" customHeight="1" x14ac:dyDescent="0.25">
      <c r="B1981" s="103"/>
      <c r="D1981" s="80"/>
      <c r="E1981" s="80"/>
    </row>
    <row r="1982" spans="2:5" ht="14.25" customHeight="1" x14ac:dyDescent="0.25">
      <c r="B1982" s="103"/>
      <c r="D1982" s="80"/>
      <c r="E1982" s="80"/>
    </row>
    <row r="1983" spans="2:5" ht="14.25" customHeight="1" x14ac:dyDescent="0.25">
      <c r="B1983" s="103"/>
      <c r="D1983" s="80"/>
      <c r="E1983" s="80"/>
    </row>
    <row r="1984" spans="2:5" ht="14.25" customHeight="1" x14ac:dyDescent="0.25">
      <c r="B1984" s="103"/>
      <c r="D1984" s="80"/>
      <c r="E1984" s="80"/>
    </row>
    <row r="1985" spans="2:5" ht="14.25" customHeight="1" x14ac:dyDescent="0.25">
      <c r="B1985" s="103"/>
      <c r="D1985" s="80"/>
      <c r="E1985" s="80"/>
    </row>
    <row r="1986" spans="2:5" ht="14.25" customHeight="1" x14ac:dyDescent="0.25">
      <c r="B1986" s="103"/>
      <c r="D1986" s="80"/>
      <c r="E1986" s="80"/>
    </row>
    <row r="1987" spans="2:5" ht="14.25" customHeight="1" x14ac:dyDescent="0.25">
      <c r="B1987" s="103"/>
      <c r="D1987" s="80"/>
      <c r="E1987" s="80"/>
    </row>
    <row r="1988" spans="2:5" ht="14.25" customHeight="1" x14ac:dyDescent="0.25">
      <c r="B1988" s="103"/>
      <c r="D1988" s="80"/>
      <c r="E1988" s="80"/>
    </row>
    <row r="1989" spans="2:5" ht="14.25" customHeight="1" x14ac:dyDescent="0.25">
      <c r="B1989" s="103"/>
      <c r="D1989" s="80"/>
      <c r="E1989" s="80"/>
    </row>
    <row r="1990" spans="2:5" ht="14.25" customHeight="1" x14ac:dyDescent="0.25">
      <c r="B1990" s="103"/>
      <c r="D1990" s="80"/>
      <c r="E1990" s="80"/>
    </row>
    <row r="1991" spans="2:5" ht="14.25" customHeight="1" x14ac:dyDescent="0.25">
      <c r="B1991" s="103"/>
      <c r="D1991" s="80"/>
      <c r="E1991" s="80"/>
    </row>
    <row r="1992" spans="2:5" ht="14.25" customHeight="1" x14ac:dyDescent="0.25">
      <c r="B1992" s="103"/>
      <c r="D1992" s="80"/>
      <c r="E1992" s="80"/>
    </row>
    <row r="1993" spans="2:5" ht="14.25" customHeight="1" x14ac:dyDescent="0.25">
      <c r="B1993" s="103"/>
      <c r="D1993" s="80"/>
      <c r="E1993" s="80"/>
    </row>
    <row r="1994" spans="2:5" ht="14.25" customHeight="1" x14ac:dyDescent="0.25">
      <c r="B1994" s="103"/>
      <c r="D1994" s="80"/>
      <c r="E1994" s="80"/>
    </row>
    <row r="1995" spans="2:5" ht="14.25" customHeight="1" x14ac:dyDescent="0.25">
      <c r="B1995" s="103"/>
      <c r="D1995" s="80"/>
      <c r="E1995" s="80"/>
    </row>
    <row r="1996" spans="2:5" ht="14.25" customHeight="1" x14ac:dyDescent="0.25">
      <c r="B1996" s="103"/>
      <c r="D1996" s="80"/>
      <c r="E1996" s="80"/>
    </row>
    <row r="1997" spans="2:5" ht="14.25" customHeight="1" x14ac:dyDescent="0.25">
      <c r="B1997" s="103"/>
      <c r="D1997" s="80"/>
      <c r="E1997" s="80"/>
    </row>
    <row r="1998" spans="2:5" ht="14.25" customHeight="1" x14ac:dyDescent="0.25">
      <c r="B1998" s="103"/>
      <c r="D1998" s="80"/>
      <c r="E1998" s="80"/>
    </row>
    <row r="1999" spans="2:5" ht="14.25" customHeight="1" x14ac:dyDescent="0.25">
      <c r="B1999" s="103"/>
      <c r="D1999" s="80"/>
      <c r="E1999" s="80"/>
    </row>
    <row r="2000" spans="2:5" ht="14.25" customHeight="1" x14ac:dyDescent="0.25">
      <c r="B2000" s="103"/>
      <c r="D2000" s="80"/>
      <c r="E2000" s="80"/>
    </row>
    <row r="2001" spans="2:5" ht="14.25" customHeight="1" x14ac:dyDescent="0.25">
      <c r="B2001" s="103"/>
      <c r="D2001" s="80"/>
      <c r="E2001" s="80"/>
    </row>
    <row r="2002" spans="2:5" ht="14.25" customHeight="1" x14ac:dyDescent="0.25">
      <c r="B2002" s="103"/>
      <c r="D2002" s="80"/>
      <c r="E2002" s="80"/>
    </row>
    <row r="2003" spans="2:5" ht="14.25" customHeight="1" x14ac:dyDescent="0.25">
      <c r="B2003" s="103"/>
      <c r="D2003" s="80"/>
      <c r="E2003" s="80"/>
    </row>
    <row r="2004" spans="2:5" ht="14.25" customHeight="1" x14ac:dyDescent="0.25">
      <c r="B2004" s="103"/>
      <c r="D2004" s="80"/>
      <c r="E2004" s="80"/>
    </row>
    <row r="2005" spans="2:5" ht="14.25" customHeight="1" x14ac:dyDescent="0.25">
      <c r="B2005" s="103"/>
      <c r="D2005" s="80"/>
      <c r="E2005" s="80"/>
    </row>
    <row r="2006" spans="2:5" ht="14.25" customHeight="1" x14ac:dyDescent="0.25">
      <c r="B2006" s="103"/>
      <c r="D2006" s="80"/>
      <c r="E2006" s="80"/>
    </row>
    <row r="2007" spans="2:5" ht="14.25" customHeight="1" x14ac:dyDescent="0.25">
      <c r="B2007" s="103"/>
      <c r="D2007" s="80"/>
      <c r="E2007" s="80"/>
    </row>
    <row r="2008" spans="2:5" ht="14.25" customHeight="1" x14ac:dyDescent="0.25">
      <c r="B2008" s="103"/>
      <c r="D2008" s="80"/>
      <c r="E2008" s="80"/>
    </row>
    <row r="2009" spans="2:5" ht="14.25" customHeight="1" x14ac:dyDescent="0.25">
      <c r="B2009" s="103"/>
      <c r="D2009" s="80"/>
      <c r="E2009" s="80"/>
    </row>
    <row r="2010" spans="2:5" ht="14.25" customHeight="1" x14ac:dyDescent="0.25">
      <c r="B2010" s="103"/>
      <c r="D2010" s="80"/>
      <c r="E2010" s="80"/>
    </row>
    <row r="2011" spans="2:5" ht="14.25" customHeight="1" x14ac:dyDescent="0.25">
      <c r="B2011" s="103"/>
      <c r="D2011" s="80"/>
      <c r="E2011" s="80"/>
    </row>
    <row r="2012" spans="2:5" ht="14.25" customHeight="1" x14ac:dyDescent="0.25">
      <c r="B2012" s="103"/>
      <c r="D2012" s="80"/>
      <c r="E2012" s="80"/>
    </row>
    <row r="2013" spans="2:5" ht="14.25" customHeight="1" x14ac:dyDescent="0.25">
      <c r="B2013" s="103"/>
      <c r="D2013" s="80"/>
      <c r="E2013" s="80"/>
    </row>
    <row r="2014" spans="2:5" ht="14.25" customHeight="1" x14ac:dyDescent="0.25">
      <c r="B2014" s="103"/>
      <c r="D2014" s="80"/>
      <c r="E2014" s="80"/>
    </row>
    <row r="2015" spans="2:5" ht="14.25" customHeight="1" x14ac:dyDescent="0.25">
      <c r="B2015" s="103"/>
      <c r="D2015" s="80"/>
      <c r="E2015" s="80"/>
    </row>
    <row r="2016" spans="2:5" ht="14.25" customHeight="1" x14ac:dyDescent="0.25">
      <c r="B2016" s="103"/>
      <c r="D2016" s="80"/>
      <c r="E2016" s="80"/>
    </row>
    <row r="2017" spans="2:5" ht="14.25" customHeight="1" x14ac:dyDescent="0.25">
      <c r="B2017" s="103"/>
      <c r="D2017" s="80"/>
      <c r="E2017" s="80"/>
    </row>
    <row r="2018" spans="2:5" ht="14.25" customHeight="1" x14ac:dyDescent="0.25">
      <c r="B2018" s="103"/>
      <c r="D2018" s="80"/>
      <c r="E2018" s="80"/>
    </row>
    <row r="2019" spans="2:5" ht="14.25" customHeight="1" x14ac:dyDescent="0.25">
      <c r="B2019" s="103"/>
      <c r="D2019" s="80"/>
      <c r="E2019" s="80"/>
    </row>
    <row r="2020" spans="2:5" ht="14.25" customHeight="1" x14ac:dyDescent="0.25">
      <c r="B2020" s="103"/>
      <c r="D2020" s="80"/>
      <c r="E2020" s="80"/>
    </row>
    <row r="2021" spans="2:5" ht="14.25" customHeight="1" x14ac:dyDescent="0.25">
      <c r="B2021" s="103"/>
      <c r="D2021" s="80"/>
      <c r="E2021" s="80"/>
    </row>
    <row r="2022" spans="2:5" ht="14.25" customHeight="1" x14ac:dyDescent="0.25">
      <c r="B2022" s="103"/>
      <c r="D2022" s="80"/>
      <c r="E2022" s="80"/>
    </row>
    <row r="2023" spans="2:5" ht="14.25" customHeight="1" x14ac:dyDescent="0.25">
      <c r="B2023" s="103"/>
      <c r="D2023" s="80"/>
      <c r="E2023" s="80"/>
    </row>
    <row r="2024" spans="2:5" ht="14.25" customHeight="1" x14ac:dyDescent="0.25">
      <c r="B2024" s="103"/>
      <c r="D2024" s="80"/>
      <c r="E2024" s="80"/>
    </row>
    <row r="2025" spans="2:5" ht="14.25" customHeight="1" x14ac:dyDescent="0.25">
      <c r="B2025" s="103"/>
      <c r="D2025" s="80"/>
      <c r="E2025" s="80"/>
    </row>
    <row r="2026" spans="2:5" ht="14.25" customHeight="1" x14ac:dyDescent="0.25">
      <c r="B2026" s="103"/>
      <c r="D2026" s="80"/>
      <c r="E2026" s="80"/>
    </row>
    <row r="2027" spans="2:5" ht="14.25" customHeight="1" x14ac:dyDescent="0.25">
      <c r="B2027" s="103"/>
      <c r="D2027" s="80"/>
      <c r="E2027" s="80"/>
    </row>
    <row r="2028" spans="2:5" ht="14.25" customHeight="1" x14ac:dyDescent="0.25">
      <c r="B2028" s="103"/>
      <c r="D2028" s="80"/>
      <c r="E2028" s="80"/>
    </row>
    <row r="2029" spans="2:5" ht="14.25" customHeight="1" x14ac:dyDescent="0.25">
      <c r="B2029" s="103"/>
      <c r="D2029" s="80"/>
      <c r="E2029" s="80"/>
    </row>
    <row r="2030" spans="2:5" ht="14.25" customHeight="1" x14ac:dyDescent="0.25">
      <c r="B2030" s="103"/>
      <c r="D2030" s="80"/>
      <c r="E2030" s="80"/>
    </row>
    <row r="2031" spans="2:5" ht="14.25" customHeight="1" x14ac:dyDescent="0.25">
      <c r="B2031" s="103"/>
      <c r="D2031" s="80"/>
      <c r="E2031" s="80"/>
    </row>
    <row r="2032" spans="2:5" ht="14.25" customHeight="1" x14ac:dyDescent="0.25">
      <c r="B2032" s="103"/>
      <c r="D2032" s="80"/>
      <c r="E2032" s="80"/>
    </row>
    <row r="2033" spans="2:5" ht="14.25" customHeight="1" x14ac:dyDescent="0.25">
      <c r="B2033" s="103"/>
      <c r="D2033" s="80"/>
      <c r="E2033" s="80"/>
    </row>
    <row r="2034" spans="2:5" ht="14.25" customHeight="1" x14ac:dyDescent="0.25">
      <c r="B2034" s="103"/>
      <c r="D2034" s="80"/>
      <c r="E2034" s="80"/>
    </row>
    <row r="2035" spans="2:5" ht="14.25" customHeight="1" x14ac:dyDescent="0.25">
      <c r="B2035" s="103"/>
      <c r="D2035" s="80"/>
      <c r="E2035" s="80"/>
    </row>
    <row r="2036" spans="2:5" ht="14.25" customHeight="1" x14ac:dyDescent="0.25">
      <c r="B2036" s="103"/>
      <c r="D2036" s="80"/>
      <c r="E2036" s="80"/>
    </row>
    <row r="2037" spans="2:5" ht="14.25" customHeight="1" x14ac:dyDescent="0.25">
      <c r="B2037" s="103"/>
      <c r="D2037" s="80"/>
      <c r="E2037" s="80"/>
    </row>
    <row r="2038" spans="2:5" ht="14.25" customHeight="1" x14ac:dyDescent="0.25">
      <c r="B2038" s="103"/>
      <c r="D2038" s="80"/>
      <c r="E2038" s="80"/>
    </row>
    <row r="2039" spans="2:5" ht="14.25" customHeight="1" x14ac:dyDescent="0.25">
      <c r="B2039" s="103"/>
      <c r="D2039" s="80"/>
      <c r="E2039" s="80"/>
    </row>
    <row r="2040" spans="2:5" ht="14.25" customHeight="1" x14ac:dyDescent="0.25">
      <c r="B2040" s="103"/>
      <c r="D2040" s="80"/>
      <c r="E2040" s="80"/>
    </row>
    <row r="2041" spans="2:5" ht="14.25" customHeight="1" x14ac:dyDescent="0.25">
      <c r="B2041" s="103"/>
      <c r="D2041" s="80"/>
      <c r="E2041" s="80"/>
    </row>
    <row r="2042" spans="2:5" ht="14.25" customHeight="1" x14ac:dyDescent="0.25">
      <c r="B2042" s="103"/>
      <c r="D2042" s="80"/>
      <c r="E2042" s="80"/>
    </row>
    <row r="2043" spans="2:5" ht="14.25" customHeight="1" x14ac:dyDescent="0.25">
      <c r="B2043" s="103"/>
      <c r="D2043" s="80"/>
      <c r="E2043" s="80"/>
    </row>
    <row r="2044" spans="2:5" ht="14.25" customHeight="1" x14ac:dyDescent="0.25">
      <c r="B2044" s="103"/>
      <c r="D2044" s="80"/>
      <c r="E2044" s="80"/>
    </row>
    <row r="2045" spans="2:5" ht="14.25" customHeight="1" x14ac:dyDescent="0.25">
      <c r="B2045" s="103"/>
      <c r="D2045" s="80"/>
      <c r="E2045" s="80"/>
    </row>
    <row r="2046" spans="2:5" ht="14.25" customHeight="1" x14ac:dyDescent="0.25">
      <c r="B2046" s="103"/>
      <c r="D2046" s="80"/>
      <c r="E2046" s="80"/>
    </row>
    <row r="2047" spans="2:5" ht="14.25" customHeight="1" x14ac:dyDescent="0.25">
      <c r="B2047" s="103"/>
      <c r="D2047" s="80"/>
      <c r="E2047" s="80"/>
    </row>
    <row r="2048" spans="2:5" ht="14.25" customHeight="1" x14ac:dyDescent="0.25">
      <c r="B2048" s="103"/>
      <c r="D2048" s="80"/>
      <c r="E2048" s="80"/>
    </row>
    <row r="2049" spans="2:5" ht="14.25" customHeight="1" x14ac:dyDescent="0.25">
      <c r="B2049" s="103"/>
      <c r="D2049" s="80"/>
      <c r="E2049" s="80"/>
    </row>
    <row r="2050" spans="2:5" ht="14.25" customHeight="1" x14ac:dyDescent="0.25">
      <c r="B2050" s="103"/>
      <c r="D2050" s="80"/>
      <c r="E2050" s="80"/>
    </row>
    <row r="2051" spans="2:5" ht="14.25" customHeight="1" x14ac:dyDescent="0.25">
      <c r="B2051" s="103"/>
      <c r="D2051" s="80"/>
      <c r="E2051" s="80"/>
    </row>
    <row r="2052" spans="2:5" ht="14.25" customHeight="1" x14ac:dyDescent="0.25">
      <c r="B2052" s="103"/>
      <c r="D2052" s="80"/>
      <c r="E2052" s="80"/>
    </row>
    <row r="2053" spans="2:5" ht="14.25" customHeight="1" x14ac:dyDescent="0.25">
      <c r="B2053" s="103"/>
      <c r="D2053" s="80"/>
      <c r="E2053" s="80"/>
    </row>
    <row r="2054" spans="2:5" ht="14.25" customHeight="1" x14ac:dyDescent="0.25">
      <c r="B2054" s="103"/>
      <c r="D2054" s="80"/>
      <c r="E2054" s="80"/>
    </row>
    <row r="2055" spans="2:5" ht="14.25" customHeight="1" x14ac:dyDescent="0.25">
      <c r="B2055" s="103"/>
      <c r="D2055" s="80"/>
      <c r="E2055" s="80"/>
    </row>
    <row r="2056" spans="2:5" ht="14.25" customHeight="1" x14ac:dyDescent="0.25">
      <c r="B2056" s="103"/>
      <c r="D2056" s="80"/>
      <c r="E2056" s="80"/>
    </row>
    <row r="2057" spans="2:5" ht="14.25" customHeight="1" x14ac:dyDescent="0.25">
      <c r="B2057" s="103"/>
      <c r="D2057" s="80"/>
      <c r="E2057" s="80"/>
    </row>
    <row r="2058" spans="2:5" ht="14.25" customHeight="1" x14ac:dyDescent="0.25">
      <c r="B2058" s="103"/>
      <c r="D2058" s="80"/>
      <c r="E2058" s="80"/>
    </row>
    <row r="2059" spans="2:5" ht="14.25" customHeight="1" x14ac:dyDescent="0.25">
      <c r="B2059" s="103"/>
      <c r="D2059" s="80"/>
      <c r="E2059" s="80"/>
    </row>
    <row r="2060" spans="2:5" ht="14.25" customHeight="1" x14ac:dyDescent="0.25">
      <c r="B2060" s="103"/>
      <c r="D2060" s="80"/>
      <c r="E2060" s="80"/>
    </row>
    <row r="2061" spans="2:5" ht="14.25" customHeight="1" x14ac:dyDescent="0.25">
      <c r="B2061" s="103"/>
      <c r="D2061" s="80"/>
      <c r="E2061" s="80"/>
    </row>
    <row r="2062" spans="2:5" ht="14.25" customHeight="1" x14ac:dyDescent="0.25">
      <c r="B2062" s="103"/>
      <c r="D2062" s="80"/>
      <c r="E2062" s="80"/>
    </row>
    <row r="2063" spans="2:5" ht="14.25" customHeight="1" x14ac:dyDescent="0.25">
      <c r="B2063" s="103"/>
      <c r="D2063" s="80"/>
      <c r="E2063" s="80"/>
    </row>
    <row r="2064" spans="2:5" ht="14.25" customHeight="1" x14ac:dyDescent="0.25">
      <c r="B2064" s="103"/>
      <c r="D2064" s="80"/>
      <c r="E2064" s="80"/>
    </row>
    <row r="2065" spans="2:5" ht="14.25" customHeight="1" x14ac:dyDescent="0.25">
      <c r="B2065" s="103"/>
      <c r="D2065" s="80"/>
      <c r="E2065" s="80"/>
    </row>
    <row r="2066" spans="2:5" ht="14.25" customHeight="1" x14ac:dyDescent="0.25">
      <c r="B2066" s="103"/>
      <c r="D2066" s="80"/>
      <c r="E2066" s="80"/>
    </row>
    <row r="2067" spans="2:5" ht="14.25" customHeight="1" x14ac:dyDescent="0.25">
      <c r="B2067" s="103"/>
      <c r="D2067" s="80"/>
      <c r="E2067" s="80"/>
    </row>
    <row r="2068" spans="2:5" ht="14.25" customHeight="1" x14ac:dyDescent="0.25">
      <c r="B2068" s="103"/>
      <c r="D2068" s="80"/>
      <c r="E2068" s="80"/>
    </row>
    <row r="2069" spans="2:5" ht="14.25" customHeight="1" x14ac:dyDescent="0.25">
      <c r="B2069" s="103"/>
      <c r="D2069" s="80"/>
      <c r="E2069" s="80"/>
    </row>
    <row r="2070" spans="2:5" ht="14.25" customHeight="1" x14ac:dyDescent="0.25">
      <c r="B2070" s="103"/>
      <c r="D2070" s="80"/>
      <c r="E2070" s="80"/>
    </row>
    <row r="2071" spans="2:5" ht="14.25" customHeight="1" x14ac:dyDescent="0.25">
      <c r="B2071" s="103"/>
      <c r="D2071" s="80"/>
      <c r="E2071" s="80"/>
    </row>
    <row r="2072" spans="2:5" ht="14.25" customHeight="1" x14ac:dyDescent="0.25">
      <c r="B2072" s="103"/>
      <c r="D2072" s="80"/>
      <c r="E2072" s="80"/>
    </row>
    <row r="2073" spans="2:5" ht="14.25" customHeight="1" x14ac:dyDescent="0.25">
      <c r="B2073" s="103"/>
      <c r="D2073" s="80"/>
      <c r="E2073" s="80"/>
    </row>
    <row r="2074" spans="2:5" ht="14.25" customHeight="1" x14ac:dyDescent="0.25">
      <c r="B2074" s="103"/>
      <c r="D2074" s="80"/>
      <c r="E2074" s="80"/>
    </row>
    <row r="2075" spans="2:5" ht="14.25" customHeight="1" x14ac:dyDescent="0.25">
      <c r="B2075" s="103"/>
      <c r="D2075" s="80"/>
      <c r="E2075" s="80"/>
    </row>
    <row r="2076" spans="2:5" ht="14.25" customHeight="1" x14ac:dyDescent="0.25">
      <c r="B2076" s="103"/>
      <c r="D2076" s="80"/>
      <c r="E2076" s="80"/>
    </row>
    <row r="2077" spans="2:5" ht="14.25" customHeight="1" x14ac:dyDescent="0.25">
      <c r="B2077" s="103"/>
      <c r="D2077" s="80"/>
      <c r="E2077" s="80"/>
    </row>
    <row r="2078" spans="2:5" ht="14.25" customHeight="1" x14ac:dyDescent="0.25">
      <c r="B2078" s="103"/>
      <c r="D2078" s="80"/>
      <c r="E2078" s="80"/>
    </row>
    <row r="2079" spans="2:5" ht="14.25" customHeight="1" x14ac:dyDescent="0.25">
      <c r="B2079" s="103"/>
      <c r="D2079" s="80"/>
      <c r="E2079" s="80"/>
    </row>
    <row r="2080" spans="2:5" ht="14.25" customHeight="1" x14ac:dyDescent="0.25">
      <c r="B2080" s="103"/>
      <c r="D2080" s="80"/>
      <c r="E2080" s="80"/>
    </row>
    <row r="2081" spans="2:5" ht="14.25" customHeight="1" x14ac:dyDescent="0.25">
      <c r="B2081" s="103"/>
      <c r="D2081" s="80"/>
      <c r="E2081" s="80"/>
    </row>
    <row r="2082" spans="2:5" ht="14.25" customHeight="1" x14ac:dyDescent="0.25">
      <c r="B2082" s="103"/>
      <c r="D2082" s="80"/>
      <c r="E2082" s="80"/>
    </row>
    <row r="2083" spans="2:5" ht="14.25" customHeight="1" x14ac:dyDescent="0.25">
      <c r="B2083" s="103"/>
      <c r="D2083" s="80"/>
      <c r="E2083" s="80"/>
    </row>
    <row r="2084" spans="2:5" ht="14.25" customHeight="1" x14ac:dyDescent="0.25">
      <c r="B2084" s="103"/>
      <c r="D2084" s="80"/>
      <c r="E2084" s="80"/>
    </row>
    <row r="2085" spans="2:5" ht="14.25" customHeight="1" x14ac:dyDescent="0.25">
      <c r="B2085" s="103"/>
      <c r="D2085" s="80"/>
      <c r="E2085" s="80"/>
    </row>
    <row r="2086" spans="2:5" ht="14.25" customHeight="1" x14ac:dyDescent="0.25">
      <c r="B2086" s="103"/>
      <c r="D2086" s="80"/>
      <c r="E2086" s="80"/>
    </row>
    <row r="2087" spans="2:5" ht="14.25" customHeight="1" x14ac:dyDescent="0.25">
      <c r="B2087" s="103"/>
      <c r="D2087" s="80"/>
      <c r="E2087" s="80"/>
    </row>
    <row r="2088" spans="2:5" ht="14.25" customHeight="1" x14ac:dyDescent="0.25">
      <c r="B2088" s="103"/>
      <c r="D2088" s="80"/>
      <c r="E2088" s="80"/>
    </row>
    <row r="2089" spans="2:5" ht="14.25" customHeight="1" x14ac:dyDescent="0.25">
      <c r="B2089" s="103"/>
      <c r="D2089" s="80"/>
      <c r="E2089" s="80"/>
    </row>
    <row r="2090" spans="2:5" ht="14.25" customHeight="1" x14ac:dyDescent="0.25">
      <c r="B2090" s="103"/>
      <c r="D2090" s="80"/>
      <c r="E2090" s="80"/>
    </row>
    <row r="2091" spans="2:5" ht="14.25" customHeight="1" x14ac:dyDescent="0.25">
      <c r="B2091" s="103"/>
      <c r="D2091" s="80"/>
      <c r="E2091" s="80"/>
    </row>
    <row r="2092" spans="2:5" ht="14.25" customHeight="1" x14ac:dyDescent="0.25">
      <c r="B2092" s="103"/>
      <c r="D2092" s="80"/>
      <c r="E2092" s="80"/>
    </row>
    <row r="2093" spans="2:5" ht="14.25" customHeight="1" x14ac:dyDescent="0.25">
      <c r="B2093" s="103"/>
      <c r="D2093" s="80"/>
      <c r="E2093" s="80"/>
    </row>
    <row r="2094" spans="2:5" ht="14.25" customHeight="1" x14ac:dyDescent="0.25">
      <c r="B2094" s="103"/>
      <c r="D2094" s="80"/>
      <c r="E2094" s="80"/>
    </row>
    <row r="2095" spans="2:5" ht="14.25" customHeight="1" x14ac:dyDescent="0.25">
      <c r="B2095" s="103"/>
      <c r="D2095" s="80"/>
      <c r="E2095" s="80"/>
    </row>
    <row r="2096" spans="2:5" ht="14.25" customHeight="1" x14ac:dyDescent="0.25">
      <c r="B2096" s="103"/>
      <c r="D2096" s="80"/>
      <c r="E2096" s="80"/>
    </row>
    <row r="2097" spans="2:5" ht="14.25" customHeight="1" x14ac:dyDescent="0.25">
      <c r="B2097" s="103"/>
      <c r="D2097" s="80"/>
      <c r="E2097" s="80"/>
    </row>
    <row r="2098" spans="2:5" ht="14.25" customHeight="1" x14ac:dyDescent="0.25">
      <c r="B2098" s="103"/>
      <c r="D2098" s="80"/>
      <c r="E2098" s="80"/>
    </row>
    <row r="2099" spans="2:5" ht="14.25" customHeight="1" x14ac:dyDescent="0.25">
      <c r="B2099" s="103"/>
      <c r="D2099" s="80"/>
      <c r="E2099" s="80"/>
    </row>
    <row r="2100" spans="2:5" ht="14.25" customHeight="1" x14ac:dyDescent="0.25">
      <c r="B2100" s="103"/>
      <c r="D2100" s="80"/>
      <c r="E2100" s="80"/>
    </row>
    <row r="2101" spans="2:5" ht="14.25" customHeight="1" x14ac:dyDescent="0.25">
      <c r="B2101" s="103"/>
      <c r="D2101" s="80"/>
      <c r="E2101" s="80"/>
    </row>
    <row r="2102" spans="2:5" ht="14.25" customHeight="1" x14ac:dyDescent="0.25">
      <c r="B2102" s="103"/>
      <c r="D2102" s="80"/>
      <c r="E2102" s="80"/>
    </row>
    <row r="2103" spans="2:5" ht="14.25" customHeight="1" x14ac:dyDescent="0.25">
      <c r="B2103" s="103"/>
      <c r="D2103" s="80"/>
      <c r="E2103" s="80"/>
    </row>
    <row r="2104" spans="2:5" ht="14.25" customHeight="1" x14ac:dyDescent="0.25">
      <c r="B2104" s="103"/>
      <c r="D2104" s="80"/>
      <c r="E2104" s="80"/>
    </row>
    <row r="2105" spans="2:5" ht="14.25" customHeight="1" x14ac:dyDescent="0.25">
      <c r="B2105" s="103"/>
      <c r="D2105" s="80"/>
      <c r="E2105" s="80"/>
    </row>
    <row r="2106" spans="2:5" ht="14.25" customHeight="1" x14ac:dyDescent="0.25">
      <c r="B2106" s="103"/>
      <c r="D2106" s="80"/>
      <c r="E2106" s="80"/>
    </row>
    <row r="2107" spans="2:5" ht="14.25" customHeight="1" x14ac:dyDescent="0.25">
      <c r="B2107" s="103"/>
      <c r="D2107" s="80"/>
      <c r="E2107" s="80"/>
    </row>
    <row r="2108" spans="2:5" ht="14.25" customHeight="1" x14ac:dyDescent="0.25">
      <c r="B2108" s="103"/>
      <c r="D2108" s="80"/>
      <c r="E2108" s="80"/>
    </row>
    <row r="2109" spans="2:5" ht="14.25" customHeight="1" x14ac:dyDescent="0.25">
      <c r="B2109" s="103"/>
      <c r="D2109" s="80"/>
      <c r="E2109" s="80"/>
    </row>
    <row r="2110" spans="2:5" ht="14.25" customHeight="1" x14ac:dyDescent="0.25">
      <c r="B2110" s="103"/>
      <c r="D2110" s="80"/>
      <c r="E2110" s="80"/>
    </row>
    <row r="2111" spans="2:5" ht="14.25" customHeight="1" x14ac:dyDescent="0.25">
      <c r="B2111" s="103"/>
      <c r="D2111" s="80"/>
      <c r="E2111" s="80"/>
    </row>
    <row r="2112" spans="2:5" ht="14.25" customHeight="1" x14ac:dyDescent="0.25">
      <c r="B2112" s="103"/>
      <c r="D2112" s="80"/>
      <c r="E2112" s="80"/>
    </row>
    <row r="2113" spans="2:5" ht="14.25" customHeight="1" x14ac:dyDescent="0.25">
      <c r="B2113" s="103"/>
      <c r="D2113" s="80"/>
      <c r="E2113" s="80"/>
    </row>
    <row r="2114" spans="2:5" ht="14.25" customHeight="1" x14ac:dyDescent="0.25">
      <c r="B2114" s="103"/>
      <c r="D2114" s="80"/>
      <c r="E2114" s="80"/>
    </row>
    <row r="2115" spans="2:5" ht="14.25" customHeight="1" x14ac:dyDescent="0.25">
      <c r="B2115" s="103"/>
      <c r="D2115" s="80"/>
      <c r="E2115" s="80"/>
    </row>
    <row r="2116" spans="2:5" ht="14.25" customHeight="1" x14ac:dyDescent="0.25">
      <c r="B2116" s="103"/>
      <c r="D2116" s="80"/>
      <c r="E2116" s="80"/>
    </row>
    <row r="2117" spans="2:5" ht="14.25" customHeight="1" x14ac:dyDescent="0.25">
      <c r="B2117" s="103"/>
      <c r="D2117" s="80"/>
      <c r="E2117" s="80"/>
    </row>
    <row r="2118" spans="2:5" ht="14.25" customHeight="1" x14ac:dyDescent="0.25">
      <c r="B2118" s="103"/>
      <c r="D2118" s="80"/>
      <c r="E2118" s="80"/>
    </row>
    <row r="2119" spans="2:5" ht="14.25" customHeight="1" x14ac:dyDescent="0.25">
      <c r="B2119" s="103"/>
      <c r="D2119" s="80"/>
      <c r="E2119" s="80"/>
    </row>
    <row r="2120" spans="2:5" ht="14.25" customHeight="1" x14ac:dyDescent="0.25">
      <c r="B2120" s="103"/>
      <c r="D2120" s="80"/>
      <c r="E2120" s="80"/>
    </row>
    <row r="2121" spans="2:5" ht="14.25" customHeight="1" x14ac:dyDescent="0.25">
      <c r="B2121" s="103"/>
      <c r="D2121" s="80"/>
      <c r="E2121" s="80"/>
    </row>
    <row r="2122" spans="2:5" ht="14.25" customHeight="1" x14ac:dyDescent="0.25">
      <c r="B2122" s="103"/>
      <c r="D2122" s="80"/>
      <c r="E2122" s="80"/>
    </row>
    <row r="2123" spans="2:5" ht="14.25" customHeight="1" x14ac:dyDescent="0.25">
      <c r="B2123" s="103"/>
      <c r="D2123" s="80"/>
      <c r="E2123" s="80"/>
    </row>
    <row r="2124" spans="2:5" ht="14.25" customHeight="1" x14ac:dyDescent="0.25">
      <c r="B2124" s="103"/>
      <c r="D2124" s="80"/>
      <c r="E2124" s="80"/>
    </row>
    <row r="2125" spans="2:5" ht="14.25" customHeight="1" x14ac:dyDescent="0.25">
      <c r="B2125" s="103"/>
      <c r="D2125" s="80"/>
      <c r="E2125" s="80"/>
    </row>
    <row r="2126" spans="2:5" ht="14.25" customHeight="1" x14ac:dyDescent="0.25">
      <c r="B2126" s="103"/>
      <c r="D2126" s="80"/>
      <c r="E2126" s="80"/>
    </row>
    <row r="2127" spans="2:5" ht="14.25" customHeight="1" x14ac:dyDescent="0.25">
      <c r="B2127" s="103"/>
      <c r="D2127" s="80"/>
      <c r="E2127" s="80"/>
    </row>
    <row r="2128" spans="2:5" ht="14.25" customHeight="1" x14ac:dyDescent="0.25">
      <c r="B2128" s="103"/>
      <c r="D2128" s="80"/>
      <c r="E2128" s="80"/>
    </row>
    <row r="2129" spans="2:5" ht="14.25" customHeight="1" x14ac:dyDescent="0.25">
      <c r="B2129" s="103"/>
      <c r="D2129" s="80"/>
      <c r="E2129" s="80"/>
    </row>
    <row r="2130" spans="2:5" ht="14.25" customHeight="1" x14ac:dyDescent="0.25">
      <c r="B2130" s="103"/>
      <c r="D2130" s="80"/>
      <c r="E2130" s="80"/>
    </row>
    <row r="2131" spans="2:5" ht="14.25" customHeight="1" x14ac:dyDescent="0.25">
      <c r="B2131" s="103"/>
      <c r="D2131" s="80"/>
      <c r="E2131" s="80"/>
    </row>
    <row r="2132" spans="2:5" ht="14.25" customHeight="1" x14ac:dyDescent="0.25">
      <c r="B2132" s="103"/>
      <c r="D2132" s="80"/>
      <c r="E2132" s="80"/>
    </row>
    <row r="2133" spans="2:5" ht="14.25" customHeight="1" x14ac:dyDescent="0.25">
      <c r="B2133" s="103"/>
      <c r="D2133" s="80"/>
      <c r="E2133" s="80"/>
    </row>
    <row r="2134" spans="2:5" ht="14.25" customHeight="1" x14ac:dyDescent="0.25">
      <c r="B2134" s="103"/>
      <c r="D2134" s="80"/>
      <c r="E2134" s="80"/>
    </row>
    <row r="2135" spans="2:5" ht="14.25" customHeight="1" x14ac:dyDescent="0.25">
      <c r="B2135" s="103"/>
      <c r="D2135" s="80"/>
      <c r="E2135" s="80"/>
    </row>
    <row r="2136" spans="2:5" ht="14.25" customHeight="1" x14ac:dyDescent="0.25">
      <c r="B2136" s="103"/>
      <c r="D2136" s="80"/>
      <c r="E2136" s="80"/>
    </row>
    <row r="2137" spans="2:5" ht="14.25" customHeight="1" x14ac:dyDescent="0.25">
      <c r="B2137" s="103"/>
      <c r="D2137" s="80"/>
      <c r="E2137" s="80"/>
    </row>
    <row r="2138" spans="2:5" ht="14.25" customHeight="1" x14ac:dyDescent="0.25">
      <c r="B2138" s="103"/>
      <c r="D2138" s="80"/>
      <c r="E2138" s="80"/>
    </row>
    <row r="2139" spans="2:5" ht="14.25" customHeight="1" x14ac:dyDescent="0.25">
      <c r="B2139" s="103"/>
      <c r="D2139" s="80"/>
      <c r="E2139" s="80"/>
    </row>
    <row r="2140" spans="2:5" ht="14.25" customHeight="1" x14ac:dyDescent="0.25">
      <c r="B2140" s="103"/>
      <c r="D2140" s="80"/>
      <c r="E2140" s="80"/>
    </row>
    <row r="2141" spans="2:5" ht="14.25" customHeight="1" x14ac:dyDescent="0.25">
      <c r="B2141" s="103"/>
      <c r="D2141" s="80"/>
      <c r="E2141" s="80"/>
    </row>
    <row r="2142" spans="2:5" ht="14.25" customHeight="1" x14ac:dyDescent="0.25">
      <c r="B2142" s="103"/>
      <c r="D2142" s="80"/>
      <c r="E2142" s="80"/>
    </row>
    <row r="2143" spans="2:5" ht="14.25" customHeight="1" x14ac:dyDescent="0.25">
      <c r="B2143" s="103"/>
      <c r="D2143" s="80"/>
      <c r="E2143" s="80"/>
    </row>
    <row r="2144" spans="2:5" ht="14.25" customHeight="1" x14ac:dyDescent="0.25">
      <c r="B2144" s="103"/>
      <c r="D2144" s="80"/>
      <c r="E2144" s="80"/>
    </row>
    <row r="2145" spans="2:5" ht="14.25" customHeight="1" x14ac:dyDescent="0.25">
      <c r="B2145" s="103"/>
      <c r="D2145" s="80"/>
      <c r="E2145" s="80"/>
    </row>
    <row r="2146" spans="2:5" ht="14.25" customHeight="1" x14ac:dyDescent="0.25">
      <c r="B2146" s="103"/>
      <c r="D2146" s="80"/>
      <c r="E2146" s="80"/>
    </row>
    <row r="2147" spans="2:5" ht="14.25" customHeight="1" x14ac:dyDescent="0.25">
      <c r="B2147" s="103"/>
      <c r="D2147" s="80"/>
      <c r="E2147" s="80"/>
    </row>
    <row r="2148" spans="2:5" ht="14.25" customHeight="1" x14ac:dyDescent="0.25">
      <c r="B2148" s="103"/>
      <c r="D2148" s="80"/>
      <c r="E2148" s="80"/>
    </row>
    <row r="2149" spans="2:5" ht="14.25" customHeight="1" x14ac:dyDescent="0.25">
      <c r="B2149" s="103"/>
      <c r="D2149" s="80"/>
      <c r="E2149" s="80"/>
    </row>
    <row r="2150" spans="2:5" ht="14.25" customHeight="1" x14ac:dyDescent="0.25">
      <c r="B2150" s="103"/>
      <c r="D2150" s="80"/>
      <c r="E2150" s="80"/>
    </row>
    <row r="2151" spans="2:5" ht="14.25" customHeight="1" x14ac:dyDescent="0.25">
      <c r="B2151" s="103"/>
      <c r="D2151" s="80"/>
      <c r="E2151" s="80"/>
    </row>
    <row r="2152" spans="2:5" ht="14.25" customHeight="1" x14ac:dyDescent="0.25">
      <c r="B2152" s="103"/>
      <c r="D2152" s="80"/>
      <c r="E2152" s="80"/>
    </row>
    <row r="2153" spans="2:5" ht="14.25" customHeight="1" x14ac:dyDescent="0.25">
      <c r="B2153" s="103"/>
      <c r="D2153" s="80"/>
      <c r="E2153" s="80"/>
    </row>
    <row r="2154" spans="2:5" ht="14.25" customHeight="1" x14ac:dyDescent="0.25">
      <c r="B2154" s="103"/>
      <c r="D2154" s="80"/>
      <c r="E2154" s="80"/>
    </row>
    <row r="2155" spans="2:5" ht="14.25" customHeight="1" x14ac:dyDescent="0.25">
      <c r="B2155" s="103"/>
      <c r="D2155" s="80"/>
      <c r="E2155" s="80"/>
    </row>
    <row r="2156" spans="2:5" ht="14.25" customHeight="1" x14ac:dyDescent="0.25">
      <c r="B2156" s="103"/>
      <c r="D2156" s="80"/>
      <c r="E2156" s="80"/>
    </row>
    <row r="2157" spans="2:5" ht="14.25" customHeight="1" x14ac:dyDescent="0.25">
      <c r="B2157" s="103"/>
      <c r="D2157" s="80"/>
      <c r="E2157" s="80"/>
    </row>
    <row r="2158" spans="2:5" ht="14.25" customHeight="1" x14ac:dyDescent="0.25">
      <c r="B2158" s="103"/>
      <c r="D2158" s="80"/>
      <c r="E2158" s="80"/>
    </row>
    <row r="2159" spans="2:5" ht="14.25" customHeight="1" x14ac:dyDescent="0.25">
      <c r="B2159" s="103"/>
      <c r="D2159" s="80"/>
      <c r="E2159" s="80"/>
    </row>
    <row r="2160" spans="2:5" ht="14.25" customHeight="1" x14ac:dyDescent="0.25">
      <c r="B2160" s="103"/>
      <c r="D2160" s="80"/>
      <c r="E2160" s="80"/>
    </row>
    <row r="2161" spans="2:5" ht="14.25" customHeight="1" x14ac:dyDescent="0.25">
      <c r="B2161" s="103"/>
      <c r="D2161" s="80"/>
      <c r="E2161" s="80"/>
    </row>
    <row r="2162" spans="2:5" ht="14.25" customHeight="1" x14ac:dyDescent="0.25">
      <c r="B2162" s="103"/>
      <c r="D2162" s="80"/>
      <c r="E2162" s="80"/>
    </row>
    <row r="2163" spans="2:5" ht="14.25" customHeight="1" x14ac:dyDescent="0.25">
      <c r="B2163" s="103"/>
      <c r="D2163" s="80"/>
      <c r="E2163" s="80"/>
    </row>
    <row r="2164" spans="2:5" ht="14.25" customHeight="1" x14ac:dyDescent="0.25">
      <c r="B2164" s="103"/>
      <c r="D2164" s="80"/>
      <c r="E2164" s="80"/>
    </row>
    <row r="2165" spans="2:5" ht="14.25" customHeight="1" x14ac:dyDescent="0.25">
      <c r="B2165" s="103"/>
      <c r="D2165" s="80"/>
      <c r="E2165" s="80"/>
    </row>
    <row r="2166" spans="2:5" ht="14.25" customHeight="1" x14ac:dyDescent="0.25">
      <c r="B2166" s="103"/>
      <c r="D2166" s="80"/>
      <c r="E2166" s="80"/>
    </row>
    <row r="2167" spans="2:5" ht="14.25" customHeight="1" x14ac:dyDescent="0.25">
      <c r="B2167" s="103"/>
      <c r="D2167" s="80"/>
      <c r="E2167" s="80"/>
    </row>
    <row r="2168" spans="2:5" ht="14.25" customHeight="1" x14ac:dyDescent="0.25">
      <c r="B2168" s="103"/>
      <c r="D2168" s="80"/>
      <c r="E2168" s="80"/>
    </row>
    <row r="2169" spans="2:5" ht="14.25" customHeight="1" x14ac:dyDescent="0.25">
      <c r="B2169" s="103"/>
      <c r="D2169" s="80"/>
      <c r="E2169" s="80"/>
    </row>
    <row r="2170" spans="2:5" ht="14.25" customHeight="1" x14ac:dyDescent="0.25">
      <c r="B2170" s="103"/>
      <c r="D2170" s="80"/>
      <c r="E2170" s="80"/>
    </row>
    <row r="2171" spans="2:5" ht="14.25" customHeight="1" x14ac:dyDescent="0.25">
      <c r="B2171" s="103"/>
      <c r="D2171" s="80"/>
      <c r="E2171" s="80"/>
    </row>
    <row r="2172" spans="2:5" ht="14.25" customHeight="1" x14ac:dyDescent="0.25">
      <c r="B2172" s="103"/>
      <c r="D2172" s="80"/>
      <c r="E2172" s="80"/>
    </row>
    <row r="2173" spans="2:5" ht="14.25" customHeight="1" x14ac:dyDescent="0.25">
      <c r="B2173" s="103"/>
      <c r="D2173" s="80"/>
      <c r="E2173" s="80"/>
    </row>
    <row r="2174" spans="2:5" ht="14.25" customHeight="1" x14ac:dyDescent="0.25">
      <c r="B2174" s="103"/>
      <c r="D2174" s="80"/>
      <c r="E2174" s="80"/>
    </row>
    <row r="2175" spans="2:5" ht="14.25" customHeight="1" x14ac:dyDescent="0.25">
      <c r="B2175" s="103"/>
      <c r="D2175" s="80"/>
      <c r="E2175" s="80"/>
    </row>
    <row r="2176" spans="2:5" ht="14.25" customHeight="1" x14ac:dyDescent="0.25">
      <c r="B2176" s="103"/>
      <c r="D2176" s="80"/>
      <c r="E2176" s="80"/>
    </row>
    <row r="2177" spans="2:5" ht="14.25" customHeight="1" x14ac:dyDescent="0.25">
      <c r="B2177" s="103"/>
      <c r="D2177" s="80"/>
      <c r="E2177" s="80"/>
    </row>
    <row r="2178" spans="2:5" ht="14.25" customHeight="1" x14ac:dyDescent="0.25">
      <c r="B2178" s="103"/>
      <c r="D2178" s="80"/>
      <c r="E2178" s="80"/>
    </row>
    <row r="2179" spans="2:5" ht="14.25" customHeight="1" x14ac:dyDescent="0.25">
      <c r="B2179" s="103"/>
      <c r="D2179" s="80"/>
      <c r="E2179" s="80"/>
    </row>
    <row r="2180" spans="2:5" ht="14.25" customHeight="1" x14ac:dyDescent="0.25">
      <c r="B2180" s="103"/>
      <c r="D2180" s="80"/>
      <c r="E2180" s="80"/>
    </row>
    <row r="2181" spans="2:5" ht="14.25" customHeight="1" x14ac:dyDescent="0.25">
      <c r="B2181" s="103"/>
      <c r="D2181" s="80"/>
      <c r="E2181" s="80"/>
    </row>
    <row r="2182" spans="2:5" ht="14.25" customHeight="1" x14ac:dyDescent="0.25">
      <c r="B2182" s="103"/>
      <c r="D2182" s="80"/>
      <c r="E2182" s="80"/>
    </row>
    <row r="2183" spans="2:5" ht="14.25" customHeight="1" x14ac:dyDescent="0.25">
      <c r="B2183" s="103"/>
      <c r="D2183" s="80"/>
      <c r="E2183" s="80"/>
    </row>
    <row r="2184" spans="2:5" ht="14.25" customHeight="1" x14ac:dyDescent="0.25">
      <c r="B2184" s="103"/>
      <c r="D2184" s="80"/>
      <c r="E2184" s="80"/>
    </row>
    <row r="2185" spans="2:5" ht="14.25" customHeight="1" x14ac:dyDescent="0.25">
      <c r="B2185" s="103"/>
      <c r="D2185" s="80"/>
      <c r="E2185" s="80"/>
    </row>
    <row r="2186" spans="2:5" ht="14.25" customHeight="1" x14ac:dyDescent="0.25">
      <c r="B2186" s="103"/>
      <c r="D2186" s="80"/>
      <c r="E2186" s="80"/>
    </row>
    <row r="2187" spans="2:5" ht="14.25" customHeight="1" x14ac:dyDescent="0.25">
      <c r="B2187" s="103"/>
      <c r="D2187" s="80"/>
      <c r="E2187" s="80"/>
    </row>
    <row r="2188" spans="2:5" ht="14.25" customHeight="1" x14ac:dyDescent="0.25">
      <c r="B2188" s="103"/>
      <c r="D2188" s="80"/>
      <c r="E2188" s="80"/>
    </row>
    <row r="2189" spans="2:5" ht="14.25" customHeight="1" x14ac:dyDescent="0.25">
      <c r="B2189" s="103"/>
      <c r="D2189" s="80"/>
      <c r="E2189" s="80"/>
    </row>
    <row r="2190" spans="2:5" ht="14.25" customHeight="1" x14ac:dyDescent="0.25">
      <c r="B2190" s="103"/>
      <c r="D2190" s="80"/>
      <c r="E2190" s="80"/>
    </row>
    <row r="2191" spans="2:5" ht="14.25" customHeight="1" x14ac:dyDescent="0.25">
      <c r="B2191" s="103"/>
      <c r="D2191" s="80"/>
      <c r="E2191" s="80"/>
    </row>
    <row r="2192" spans="2:5" ht="14.25" customHeight="1" x14ac:dyDescent="0.25">
      <c r="B2192" s="103"/>
      <c r="D2192" s="80"/>
      <c r="E2192" s="80"/>
    </row>
    <row r="2193" spans="2:5" ht="14.25" customHeight="1" x14ac:dyDescent="0.25">
      <c r="B2193" s="103"/>
      <c r="D2193" s="80"/>
      <c r="E2193" s="80"/>
    </row>
    <row r="2194" spans="2:5" ht="14.25" customHeight="1" x14ac:dyDescent="0.25">
      <c r="B2194" s="103"/>
      <c r="D2194" s="80"/>
      <c r="E2194" s="80"/>
    </row>
    <row r="2195" spans="2:5" ht="14.25" customHeight="1" x14ac:dyDescent="0.25">
      <c r="B2195" s="103"/>
      <c r="D2195" s="80"/>
      <c r="E2195" s="80"/>
    </row>
    <row r="2196" spans="2:5" ht="14.25" customHeight="1" x14ac:dyDescent="0.25">
      <c r="B2196" s="103"/>
      <c r="D2196" s="80"/>
      <c r="E2196" s="80"/>
    </row>
    <row r="2197" spans="2:5" ht="14.25" customHeight="1" x14ac:dyDescent="0.25">
      <c r="B2197" s="103"/>
      <c r="D2197" s="80"/>
      <c r="E2197" s="80"/>
    </row>
    <row r="2198" spans="2:5" ht="14.25" customHeight="1" x14ac:dyDescent="0.25">
      <c r="B2198" s="103"/>
      <c r="D2198" s="80"/>
      <c r="E2198" s="80"/>
    </row>
    <row r="2199" spans="2:5" ht="14.25" customHeight="1" x14ac:dyDescent="0.25">
      <c r="B2199" s="103"/>
      <c r="D2199" s="80"/>
      <c r="E2199" s="80"/>
    </row>
    <row r="2200" spans="2:5" ht="14.25" customHeight="1" x14ac:dyDescent="0.25">
      <c r="B2200" s="103"/>
      <c r="D2200" s="80"/>
      <c r="E2200" s="80"/>
    </row>
    <row r="2201" spans="2:5" ht="14.25" customHeight="1" x14ac:dyDescent="0.25">
      <c r="B2201" s="103"/>
      <c r="D2201" s="80"/>
      <c r="E2201" s="80"/>
    </row>
    <row r="2202" spans="2:5" ht="14.25" customHeight="1" x14ac:dyDescent="0.25">
      <c r="B2202" s="103"/>
      <c r="D2202" s="80"/>
      <c r="E2202" s="80"/>
    </row>
    <row r="2203" spans="2:5" ht="14.25" customHeight="1" x14ac:dyDescent="0.25">
      <c r="B2203" s="103"/>
      <c r="D2203" s="80"/>
      <c r="E2203" s="80"/>
    </row>
    <row r="2204" spans="2:5" ht="14.25" customHeight="1" x14ac:dyDescent="0.25">
      <c r="B2204" s="103"/>
      <c r="D2204" s="80"/>
      <c r="E2204" s="80"/>
    </row>
    <row r="2205" spans="2:5" ht="14.25" customHeight="1" x14ac:dyDescent="0.25">
      <c r="B2205" s="103"/>
      <c r="D2205" s="80"/>
      <c r="E2205" s="80"/>
    </row>
    <row r="2206" spans="2:5" ht="14.25" customHeight="1" x14ac:dyDescent="0.25">
      <c r="B2206" s="103"/>
      <c r="D2206" s="80"/>
      <c r="E2206" s="80"/>
    </row>
    <row r="2207" spans="2:5" ht="14.25" customHeight="1" x14ac:dyDescent="0.25">
      <c r="B2207" s="103"/>
      <c r="D2207" s="80"/>
      <c r="E2207" s="80"/>
    </row>
    <row r="2208" spans="2:5" ht="14.25" customHeight="1" x14ac:dyDescent="0.25">
      <c r="B2208" s="103"/>
      <c r="D2208" s="80"/>
      <c r="E2208" s="80"/>
    </row>
    <row r="2209" spans="2:5" ht="14.25" customHeight="1" x14ac:dyDescent="0.25">
      <c r="B2209" s="103"/>
      <c r="D2209" s="80"/>
      <c r="E2209" s="80"/>
    </row>
    <row r="2210" spans="2:5" ht="14.25" customHeight="1" x14ac:dyDescent="0.25">
      <c r="B2210" s="103"/>
      <c r="D2210" s="80"/>
      <c r="E2210" s="80"/>
    </row>
    <row r="2211" spans="2:5" ht="14.25" customHeight="1" x14ac:dyDescent="0.25">
      <c r="B2211" s="103"/>
      <c r="D2211" s="80"/>
      <c r="E2211" s="80"/>
    </row>
    <row r="2212" spans="2:5" ht="14.25" customHeight="1" x14ac:dyDescent="0.25">
      <c r="B2212" s="103"/>
      <c r="D2212" s="80"/>
      <c r="E2212" s="80"/>
    </row>
    <row r="2213" spans="2:5" ht="14.25" customHeight="1" x14ac:dyDescent="0.25">
      <c r="B2213" s="103"/>
      <c r="D2213" s="80"/>
      <c r="E2213" s="80"/>
    </row>
    <row r="2214" spans="2:5" ht="14.25" customHeight="1" x14ac:dyDescent="0.25">
      <c r="B2214" s="103"/>
      <c r="D2214" s="80"/>
      <c r="E2214" s="80"/>
    </row>
    <row r="2215" spans="2:5" ht="14.25" customHeight="1" x14ac:dyDescent="0.25">
      <c r="B2215" s="103"/>
      <c r="D2215" s="80"/>
      <c r="E2215" s="80"/>
    </row>
    <row r="2216" spans="2:5" ht="14.25" customHeight="1" x14ac:dyDescent="0.25">
      <c r="B2216" s="103"/>
      <c r="D2216" s="80"/>
      <c r="E2216" s="80"/>
    </row>
    <row r="2217" spans="2:5" ht="14.25" customHeight="1" x14ac:dyDescent="0.25">
      <c r="B2217" s="103"/>
      <c r="D2217" s="80"/>
      <c r="E2217" s="80"/>
    </row>
    <row r="2218" spans="2:5" ht="14.25" customHeight="1" x14ac:dyDescent="0.25">
      <c r="B2218" s="103"/>
      <c r="D2218" s="80"/>
      <c r="E2218" s="80"/>
    </row>
    <row r="2219" spans="2:5" ht="14.25" customHeight="1" x14ac:dyDescent="0.25">
      <c r="B2219" s="103"/>
      <c r="D2219" s="80"/>
      <c r="E2219" s="80"/>
    </row>
    <row r="2220" spans="2:5" ht="14.25" customHeight="1" x14ac:dyDescent="0.25">
      <c r="B2220" s="103"/>
      <c r="D2220" s="80"/>
      <c r="E2220" s="80"/>
    </row>
    <row r="2221" spans="2:5" ht="14.25" customHeight="1" x14ac:dyDescent="0.25">
      <c r="B2221" s="103"/>
      <c r="D2221" s="80"/>
      <c r="E2221" s="80"/>
    </row>
    <row r="2222" spans="2:5" ht="14.25" customHeight="1" x14ac:dyDescent="0.25">
      <c r="B2222" s="103"/>
      <c r="D2222" s="80"/>
      <c r="E2222" s="80"/>
    </row>
    <row r="2223" spans="2:5" ht="14.25" customHeight="1" x14ac:dyDescent="0.25">
      <c r="B2223" s="103"/>
      <c r="D2223" s="80"/>
      <c r="E2223" s="80"/>
    </row>
    <row r="2224" spans="2:5" ht="14.25" customHeight="1" x14ac:dyDescent="0.25">
      <c r="B2224" s="103"/>
      <c r="D2224" s="80"/>
      <c r="E2224" s="80"/>
    </row>
    <row r="2225" spans="2:5" ht="14.25" customHeight="1" x14ac:dyDescent="0.25">
      <c r="B2225" s="103"/>
      <c r="D2225" s="80"/>
      <c r="E2225" s="80"/>
    </row>
    <row r="2226" spans="2:5" ht="14.25" customHeight="1" x14ac:dyDescent="0.25">
      <c r="B2226" s="103"/>
      <c r="D2226" s="80"/>
      <c r="E2226" s="80"/>
    </row>
    <row r="2227" spans="2:5" ht="14.25" customHeight="1" x14ac:dyDescent="0.25">
      <c r="B2227" s="103"/>
      <c r="D2227" s="80"/>
      <c r="E2227" s="80"/>
    </row>
    <row r="2228" spans="2:5" ht="14.25" customHeight="1" x14ac:dyDescent="0.25">
      <c r="B2228" s="103"/>
      <c r="D2228" s="80"/>
      <c r="E2228" s="80"/>
    </row>
    <row r="2229" spans="2:5" ht="14.25" customHeight="1" x14ac:dyDescent="0.25">
      <c r="B2229" s="103"/>
      <c r="D2229" s="80"/>
      <c r="E2229" s="80"/>
    </row>
    <row r="2230" spans="2:5" ht="14.25" customHeight="1" x14ac:dyDescent="0.25">
      <c r="B2230" s="103"/>
      <c r="D2230" s="80"/>
      <c r="E2230" s="80"/>
    </row>
    <row r="2231" spans="2:5" ht="14.25" customHeight="1" x14ac:dyDescent="0.25">
      <c r="B2231" s="103"/>
      <c r="D2231" s="80"/>
      <c r="E2231" s="80"/>
    </row>
    <row r="2232" spans="2:5" ht="14.25" customHeight="1" x14ac:dyDescent="0.25">
      <c r="B2232" s="103"/>
      <c r="D2232" s="80"/>
      <c r="E2232" s="80"/>
    </row>
    <row r="2233" spans="2:5" ht="14.25" customHeight="1" x14ac:dyDescent="0.25">
      <c r="B2233" s="103"/>
      <c r="D2233" s="80"/>
      <c r="E2233" s="80"/>
    </row>
    <row r="2234" spans="2:5" ht="14.25" customHeight="1" x14ac:dyDescent="0.25">
      <c r="B2234" s="103"/>
      <c r="D2234" s="80"/>
      <c r="E2234" s="80"/>
    </row>
    <row r="2235" spans="2:5" ht="14.25" customHeight="1" x14ac:dyDescent="0.25">
      <c r="B2235" s="103"/>
      <c r="D2235" s="80"/>
      <c r="E2235" s="80"/>
    </row>
    <row r="2236" spans="2:5" ht="14.25" customHeight="1" x14ac:dyDescent="0.25">
      <c r="B2236" s="103"/>
      <c r="D2236" s="80"/>
      <c r="E2236" s="80"/>
    </row>
    <row r="2237" spans="2:5" ht="14.25" customHeight="1" x14ac:dyDescent="0.25">
      <c r="B2237" s="103"/>
      <c r="D2237" s="80"/>
      <c r="E2237" s="80"/>
    </row>
    <row r="2238" spans="2:5" ht="14.25" customHeight="1" x14ac:dyDescent="0.25">
      <c r="B2238" s="103"/>
      <c r="D2238" s="80"/>
      <c r="E2238" s="80"/>
    </row>
    <row r="2239" spans="2:5" ht="14.25" customHeight="1" x14ac:dyDescent="0.25">
      <c r="B2239" s="103"/>
      <c r="D2239" s="80"/>
      <c r="E2239" s="80"/>
    </row>
    <row r="2240" spans="2:5" ht="14.25" customHeight="1" x14ac:dyDescent="0.25">
      <c r="B2240" s="103"/>
      <c r="D2240" s="80"/>
      <c r="E2240" s="80"/>
    </row>
    <row r="2241" spans="2:5" ht="14.25" customHeight="1" x14ac:dyDescent="0.25">
      <c r="B2241" s="103"/>
      <c r="D2241" s="80"/>
      <c r="E2241" s="80"/>
    </row>
    <row r="2242" spans="2:5" ht="14.25" customHeight="1" x14ac:dyDescent="0.25">
      <c r="B2242" s="103"/>
      <c r="D2242" s="80"/>
      <c r="E2242" s="80"/>
    </row>
    <row r="2243" spans="2:5" ht="14.25" customHeight="1" x14ac:dyDescent="0.25">
      <c r="B2243" s="103"/>
      <c r="D2243" s="80"/>
      <c r="E2243" s="80"/>
    </row>
    <row r="2244" spans="2:5" ht="14.25" customHeight="1" x14ac:dyDescent="0.25">
      <c r="B2244" s="103"/>
      <c r="D2244" s="80"/>
      <c r="E2244" s="80"/>
    </row>
    <row r="2245" spans="2:5" ht="14.25" customHeight="1" x14ac:dyDescent="0.25">
      <c r="B2245" s="103"/>
      <c r="D2245" s="80"/>
      <c r="E2245" s="80"/>
    </row>
    <row r="2246" spans="2:5" ht="14.25" customHeight="1" x14ac:dyDescent="0.25">
      <c r="B2246" s="103"/>
      <c r="D2246" s="80"/>
      <c r="E2246" s="80"/>
    </row>
    <row r="2247" spans="2:5" ht="14.25" customHeight="1" x14ac:dyDescent="0.25">
      <c r="B2247" s="103"/>
      <c r="D2247" s="80"/>
      <c r="E2247" s="80"/>
    </row>
    <row r="2248" spans="2:5" ht="14.25" customHeight="1" x14ac:dyDescent="0.25">
      <c r="B2248" s="103"/>
      <c r="D2248" s="80"/>
      <c r="E2248" s="80"/>
    </row>
    <row r="2249" spans="2:5" ht="14.25" customHeight="1" x14ac:dyDescent="0.25">
      <c r="B2249" s="103"/>
      <c r="D2249" s="80"/>
      <c r="E2249" s="80"/>
    </row>
    <row r="2250" spans="2:5" ht="14.25" customHeight="1" x14ac:dyDescent="0.25">
      <c r="B2250" s="103"/>
      <c r="D2250" s="80"/>
      <c r="E2250" s="80"/>
    </row>
    <row r="2251" spans="2:5" ht="14.25" customHeight="1" x14ac:dyDescent="0.25">
      <c r="B2251" s="103"/>
      <c r="D2251" s="80"/>
      <c r="E2251" s="80"/>
    </row>
    <row r="2252" spans="2:5" ht="14.25" customHeight="1" x14ac:dyDescent="0.25">
      <c r="B2252" s="103"/>
      <c r="D2252" s="80"/>
      <c r="E2252" s="80"/>
    </row>
    <row r="2253" spans="2:5" ht="14.25" customHeight="1" x14ac:dyDescent="0.25">
      <c r="B2253" s="103"/>
      <c r="D2253" s="80"/>
      <c r="E2253" s="80"/>
    </row>
    <row r="2254" spans="2:5" ht="14.25" customHeight="1" x14ac:dyDescent="0.25">
      <c r="B2254" s="103"/>
      <c r="D2254" s="80"/>
      <c r="E2254" s="80"/>
    </row>
    <row r="2255" spans="2:5" ht="14.25" customHeight="1" x14ac:dyDescent="0.25">
      <c r="B2255" s="103"/>
      <c r="D2255" s="80"/>
      <c r="E2255" s="80"/>
    </row>
    <row r="2256" spans="2:5" ht="14.25" customHeight="1" x14ac:dyDescent="0.25">
      <c r="B2256" s="103"/>
      <c r="D2256" s="80"/>
      <c r="E2256" s="80"/>
    </row>
    <row r="2257" spans="2:5" ht="14.25" customHeight="1" x14ac:dyDescent="0.25">
      <c r="B2257" s="103"/>
      <c r="D2257" s="80"/>
      <c r="E2257" s="80"/>
    </row>
    <row r="2258" spans="2:5" ht="14.25" customHeight="1" x14ac:dyDescent="0.25">
      <c r="B2258" s="103"/>
      <c r="D2258" s="80"/>
      <c r="E2258" s="80"/>
    </row>
    <row r="2259" spans="2:5" ht="14.25" customHeight="1" x14ac:dyDescent="0.25">
      <c r="B2259" s="103"/>
      <c r="D2259" s="80"/>
      <c r="E2259" s="80"/>
    </row>
    <row r="2260" spans="2:5" ht="14.25" customHeight="1" x14ac:dyDescent="0.25">
      <c r="B2260" s="103"/>
      <c r="D2260" s="80"/>
      <c r="E2260" s="80"/>
    </row>
    <row r="2261" spans="2:5" ht="14.25" customHeight="1" x14ac:dyDescent="0.25">
      <c r="B2261" s="103"/>
      <c r="D2261" s="80"/>
      <c r="E2261" s="80"/>
    </row>
    <row r="2262" spans="2:5" ht="14.25" customHeight="1" x14ac:dyDescent="0.25">
      <c r="B2262" s="103"/>
      <c r="D2262" s="80"/>
      <c r="E2262" s="80"/>
    </row>
    <row r="2263" spans="2:5" ht="14.25" customHeight="1" x14ac:dyDescent="0.25">
      <c r="B2263" s="103"/>
      <c r="D2263" s="80"/>
      <c r="E2263" s="80"/>
    </row>
    <row r="2264" spans="2:5" ht="14.25" customHeight="1" x14ac:dyDescent="0.25">
      <c r="B2264" s="103"/>
      <c r="D2264" s="80"/>
      <c r="E2264" s="80"/>
    </row>
    <row r="2265" spans="2:5" ht="14.25" customHeight="1" x14ac:dyDescent="0.25">
      <c r="B2265" s="103"/>
      <c r="D2265" s="80"/>
      <c r="E2265" s="80"/>
    </row>
    <row r="2266" spans="2:5" ht="14.25" customHeight="1" x14ac:dyDescent="0.25">
      <c r="B2266" s="103"/>
      <c r="D2266" s="80"/>
      <c r="E2266" s="80"/>
    </row>
    <row r="2267" spans="2:5" ht="14.25" customHeight="1" x14ac:dyDescent="0.25">
      <c r="B2267" s="103"/>
      <c r="D2267" s="80"/>
      <c r="E2267" s="80"/>
    </row>
    <row r="2268" spans="2:5" ht="14.25" customHeight="1" x14ac:dyDescent="0.25">
      <c r="B2268" s="103"/>
      <c r="D2268" s="80"/>
      <c r="E2268" s="80"/>
    </row>
    <row r="2269" spans="2:5" ht="14.25" customHeight="1" x14ac:dyDescent="0.25">
      <c r="B2269" s="103"/>
      <c r="D2269" s="80"/>
      <c r="E2269" s="80"/>
    </row>
    <row r="2270" spans="2:5" ht="14.25" customHeight="1" x14ac:dyDescent="0.25">
      <c r="B2270" s="103"/>
      <c r="D2270" s="80"/>
      <c r="E2270" s="80"/>
    </row>
    <row r="2271" spans="2:5" ht="14.25" customHeight="1" x14ac:dyDescent="0.25">
      <c r="B2271" s="103"/>
      <c r="D2271" s="80"/>
      <c r="E2271" s="80"/>
    </row>
    <row r="2272" spans="2:5" ht="14.25" customHeight="1" x14ac:dyDescent="0.25">
      <c r="B2272" s="103"/>
      <c r="D2272" s="80"/>
      <c r="E2272" s="80"/>
    </row>
    <row r="2273" spans="2:5" ht="14.25" customHeight="1" x14ac:dyDescent="0.25">
      <c r="B2273" s="103"/>
      <c r="D2273" s="80"/>
      <c r="E2273" s="80"/>
    </row>
    <row r="2274" spans="2:5" ht="14.25" customHeight="1" x14ac:dyDescent="0.25">
      <c r="B2274" s="103"/>
      <c r="D2274" s="80"/>
      <c r="E2274" s="80"/>
    </row>
    <row r="2275" spans="2:5" ht="14.25" customHeight="1" x14ac:dyDescent="0.25">
      <c r="B2275" s="103"/>
      <c r="D2275" s="80"/>
      <c r="E2275" s="80"/>
    </row>
    <row r="2276" spans="2:5" ht="14.25" customHeight="1" x14ac:dyDescent="0.25">
      <c r="B2276" s="103"/>
      <c r="D2276" s="80"/>
      <c r="E2276" s="80"/>
    </row>
    <row r="2277" spans="2:5" ht="14.25" customHeight="1" x14ac:dyDescent="0.25">
      <c r="B2277" s="103"/>
      <c r="D2277" s="80"/>
      <c r="E2277" s="80"/>
    </row>
    <row r="2278" spans="2:5" ht="14.25" customHeight="1" x14ac:dyDescent="0.25">
      <c r="B2278" s="103"/>
      <c r="D2278" s="80"/>
      <c r="E2278" s="80"/>
    </row>
    <row r="2279" spans="2:5" ht="14.25" customHeight="1" x14ac:dyDescent="0.25">
      <c r="B2279" s="103"/>
      <c r="D2279" s="80"/>
      <c r="E2279" s="80"/>
    </row>
    <row r="2280" spans="2:5" ht="14.25" customHeight="1" x14ac:dyDescent="0.25">
      <c r="B2280" s="103"/>
      <c r="D2280" s="80"/>
      <c r="E2280" s="80"/>
    </row>
    <row r="2281" spans="2:5" ht="14.25" customHeight="1" x14ac:dyDescent="0.25">
      <c r="B2281" s="103"/>
      <c r="D2281" s="80"/>
      <c r="E2281" s="80"/>
    </row>
    <row r="2282" spans="2:5" ht="14.25" customHeight="1" x14ac:dyDescent="0.25">
      <c r="B2282" s="103"/>
      <c r="D2282" s="80"/>
      <c r="E2282" s="80"/>
    </row>
    <row r="2283" spans="2:5" ht="14.25" customHeight="1" x14ac:dyDescent="0.25">
      <c r="B2283" s="103"/>
      <c r="D2283" s="80"/>
      <c r="E2283" s="80"/>
    </row>
    <row r="2284" spans="2:5" ht="14.25" customHeight="1" x14ac:dyDescent="0.25">
      <c r="B2284" s="103"/>
      <c r="D2284" s="80"/>
      <c r="E2284" s="80"/>
    </row>
    <row r="2285" spans="2:5" ht="14.25" customHeight="1" x14ac:dyDescent="0.25">
      <c r="B2285" s="103"/>
      <c r="D2285" s="80"/>
      <c r="E2285" s="80"/>
    </row>
    <row r="2286" spans="2:5" ht="14.25" customHeight="1" x14ac:dyDescent="0.25">
      <c r="B2286" s="103"/>
      <c r="D2286" s="80"/>
      <c r="E2286" s="80"/>
    </row>
    <row r="2287" spans="2:5" ht="14.25" customHeight="1" x14ac:dyDescent="0.25">
      <c r="B2287" s="103"/>
      <c r="D2287" s="80"/>
      <c r="E2287" s="80"/>
    </row>
    <row r="2288" spans="2:5" ht="14.25" customHeight="1" x14ac:dyDescent="0.25">
      <c r="B2288" s="103"/>
      <c r="D2288" s="80"/>
      <c r="E2288" s="80"/>
    </row>
    <row r="2289" spans="2:5" ht="14.25" customHeight="1" x14ac:dyDescent="0.25">
      <c r="B2289" s="103"/>
      <c r="D2289" s="80"/>
      <c r="E2289" s="80"/>
    </row>
    <row r="2290" spans="2:5" ht="14.25" customHeight="1" x14ac:dyDescent="0.25">
      <c r="B2290" s="103"/>
      <c r="D2290" s="80"/>
      <c r="E2290" s="80"/>
    </row>
    <row r="2291" spans="2:5" ht="14.25" customHeight="1" x14ac:dyDescent="0.25">
      <c r="B2291" s="103"/>
      <c r="D2291" s="80"/>
      <c r="E2291" s="80"/>
    </row>
    <row r="2292" spans="2:5" ht="14.25" customHeight="1" x14ac:dyDescent="0.25">
      <c r="B2292" s="103"/>
      <c r="D2292" s="80"/>
      <c r="E2292" s="80"/>
    </row>
    <row r="2293" spans="2:5" ht="14.25" customHeight="1" x14ac:dyDescent="0.25">
      <c r="B2293" s="103"/>
      <c r="D2293" s="80"/>
      <c r="E2293" s="80"/>
    </row>
    <row r="2294" spans="2:5" ht="14.25" customHeight="1" x14ac:dyDescent="0.25">
      <c r="B2294" s="103"/>
      <c r="D2294" s="80"/>
      <c r="E2294" s="80"/>
    </row>
    <row r="2295" spans="2:5" ht="14.25" customHeight="1" x14ac:dyDescent="0.25">
      <c r="B2295" s="103"/>
      <c r="D2295" s="80"/>
      <c r="E2295" s="80"/>
    </row>
    <row r="2296" spans="2:5" ht="14.25" customHeight="1" x14ac:dyDescent="0.25">
      <c r="B2296" s="103"/>
      <c r="D2296" s="80"/>
      <c r="E2296" s="80"/>
    </row>
    <row r="2297" spans="2:5" ht="14.25" customHeight="1" x14ac:dyDescent="0.25">
      <c r="B2297" s="103"/>
      <c r="D2297" s="80"/>
      <c r="E2297" s="80"/>
    </row>
    <row r="2298" spans="2:5" ht="14.25" customHeight="1" x14ac:dyDescent="0.25">
      <c r="B2298" s="103"/>
      <c r="D2298" s="80"/>
      <c r="E2298" s="80"/>
    </row>
    <row r="2299" spans="2:5" ht="14.25" customHeight="1" x14ac:dyDescent="0.25">
      <c r="B2299" s="103"/>
      <c r="D2299" s="80"/>
      <c r="E2299" s="80"/>
    </row>
    <row r="2300" spans="2:5" ht="14.25" customHeight="1" x14ac:dyDescent="0.25">
      <c r="B2300" s="103"/>
      <c r="D2300" s="80"/>
      <c r="E2300" s="80"/>
    </row>
    <row r="2301" spans="2:5" ht="14.25" customHeight="1" x14ac:dyDescent="0.25">
      <c r="B2301" s="103"/>
      <c r="D2301" s="80"/>
      <c r="E2301" s="80"/>
    </row>
    <row r="2302" spans="2:5" ht="14.25" customHeight="1" x14ac:dyDescent="0.25">
      <c r="B2302" s="103"/>
      <c r="D2302" s="80"/>
      <c r="E2302" s="80"/>
    </row>
    <row r="2303" spans="2:5" ht="14.25" customHeight="1" x14ac:dyDescent="0.25">
      <c r="B2303" s="103"/>
      <c r="D2303" s="80"/>
      <c r="E2303" s="80"/>
    </row>
    <row r="2304" spans="2:5" ht="14.25" customHeight="1" x14ac:dyDescent="0.25">
      <c r="B2304" s="103"/>
      <c r="D2304" s="80"/>
      <c r="E2304" s="80"/>
    </row>
    <row r="2305" spans="2:5" ht="14.25" customHeight="1" x14ac:dyDescent="0.25">
      <c r="B2305" s="103"/>
      <c r="D2305" s="80"/>
      <c r="E2305" s="80"/>
    </row>
    <row r="2306" spans="2:5" ht="14.25" customHeight="1" x14ac:dyDescent="0.25">
      <c r="B2306" s="103"/>
      <c r="D2306" s="80"/>
      <c r="E2306" s="80"/>
    </row>
    <row r="2307" spans="2:5" ht="14.25" customHeight="1" x14ac:dyDescent="0.25">
      <c r="B2307" s="103"/>
      <c r="D2307" s="80"/>
      <c r="E2307" s="80"/>
    </row>
    <row r="2308" spans="2:5" ht="14.25" customHeight="1" x14ac:dyDescent="0.25">
      <c r="B2308" s="103"/>
      <c r="D2308" s="80"/>
      <c r="E2308" s="80"/>
    </row>
    <row r="2309" spans="2:5" ht="14.25" customHeight="1" x14ac:dyDescent="0.25">
      <c r="B2309" s="103"/>
      <c r="D2309" s="80"/>
      <c r="E2309" s="80"/>
    </row>
    <row r="2310" spans="2:5" ht="14.25" customHeight="1" x14ac:dyDescent="0.25">
      <c r="B2310" s="103"/>
      <c r="D2310" s="80"/>
      <c r="E2310" s="80"/>
    </row>
    <row r="2311" spans="2:5" ht="14.25" customHeight="1" x14ac:dyDescent="0.25">
      <c r="B2311" s="103"/>
      <c r="D2311" s="80"/>
      <c r="E2311" s="80"/>
    </row>
    <row r="2312" spans="2:5" ht="14.25" customHeight="1" x14ac:dyDescent="0.25">
      <c r="B2312" s="103"/>
      <c r="D2312" s="80"/>
      <c r="E2312" s="80"/>
    </row>
    <row r="2313" spans="2:5" ht="14.25" customHeight="1" x14ac:dyDescent="0.25">
      <c r="B2313" s="103"/>
      <c r="D2313" s="80"/>
      <c r="E2313" s="80"/>
    </row>
    <row r="2314" spans="2:5" ht="14.25" customHeight="1" x14ac:dyDescent="0.25">
      <c r="B2314" s="103"/>
      <c r="D2314" s="80"/>
      <c r="E2314" s="80"/>
    </row>
    <row r="2315" spans="2:5" ht="14.25" customHeight="1" x14ac:dyDescent="0.25">
      <c r="B2315" s="103"/>
      <c r="D2315" s="80"/>
      <c r="E2315" s="80"/>
    </row>
    <row r="2316" spans="2:5" ht="14.25" customHeight="1" x14ac:dyDescent="0.25">
      <c r="B2316" s="103"/>
      <c r="D2316" s="80"/>
      <c r="E2316" s="80"/>
    </row>
    <row r="2317" spans="2:5" ht="14.25" customHeight="1" x14ac:dyDescent="0.25">
      <c r="B2317" s="103"/>
      <c r="D2317" s="80"/>
      <c r="E2317" s="80"/>
    </row>
    <row r="2318" spans="2:5" ht="14.25" customHeight="1" x14ac:dyDescent="0.25">
      <c r="B2318" s="103"/>
      <c r="D2318" s="80"/>
      <c r="E2318" s="80"/>
    </row>
    <row r="2319" spans="2:5" ht="14.25" customHeight="1" x14ac:dyDescent="0.25">
      <c r="B2319" s="103"/>
      <c r="D2319" s="80"/>
      <c r="E2319" s="80"/>
    </row>
    <row r="2320" spans="2:5" ht="14.25" customHeight="1" x14ac:dyDescent="0.25">
      <c r="B2320" s="103"/>
      <c r="D2320" s="80"/>
      <c r="E2320" s="80"/>
    </row>
    <row r="2321" spans="2:5" ht="14.25" customHeight="1" x14ac:dyDescent="0.25">
      <c r="B2321" s="103"/>
      <c r="D2321" s="80"/>
      <c r="E2321" s="80"/>
    </row>
    <row r="2322" spans="2:5" ht="14.25" customHeight="1" x14ac:dyDescent="0.25">
      <c r="B2322" s="103"/>
      <c r="D2322" s="80"/>
      <c r="E2322" s="80"/>
    </row>
    <row r="2323" spans="2:5" ht="14.25" customHeight="1" x14ac:dyDescent="0.25">
      <c r="B2323" s="103"/>
      <c r="D2323" s="80"/>
      <c r="E2323" s="80"/>
    </row>
    <row r="2324" spans="2:5" ht="14.25" customHeight="1" x14ac:dyDescent="0.25">
      <c r="B2324" s="103"/>
      <c r="D2324" s="80"/>
      <c r="E2324" s="80"/>
    </row>
    <row r="2325" spans="2:5" ht="14.25" customHeight="1" x14ac:dyDescent="0.25">
      <c r="B2325" s="103"/>
      <c r="D2325" s="80"/>
      <c r="E2325" s="80"/>
    </row>
    <row r="2326" spans="2:5" ht="14.25" customHeight="1" x14ac:dyDescent="0.25">
      <c r="B2326" s="103"/>
      <c r="D2326" s="80"/>
      <c r="E2326" s="80"/>
    </row>
    <row r="2327" spans="2:5" ht="14.25" customHeight="1" x14ac:dyDescent="0.25">
      <c r="B2327" s="103"/>
      <c r="D2327" s="80"/>
      <c r="E2327" s="80"/>
    </row>
    <row r="2328" spans="2:5" ht="14.25" customHeight="1" x14ac:dyDescent="0.25">
      <c r="B2328" s="103"/>
      <c r="D2328" s="80"/>
      <c r="E2328" s="80"/>
    </row>
    <row r="2329" spans="2:5" ht="14.25" customHeight="1" x14ac:dyDescent="0.25">
      <c r="B2329" s="103"/>
      <c r="D2329" s="80"/>
      <c r="E2329" s="80"/>
    </row>
    <row r="2330" spans="2:5" ht="14.25" customHeight="1" x14ac:dyDescent="0.25">
      <c r="B2330" s="103"/>
      <c r="D2330" s="80"/>
      <c r="E2330" s="80"/>
    </row>
    <row r="2331" spans="2:5" ht="14.25" customHeight="1" x14ac:dyDescent="0.25">
      <c r="B2331" s="103"/>
      <c r="D2331" s="80"/>
      <c r="E2331" s="80"/>
    </row>
    <row r="2332" spans="2:5" ht="14.25" customHeight="1" x14ac:dyDescent="0.25">
      <c r="B2332" s="103"/>
      <c r="D2332" s="80"/>
      <c r="E2332" s="80"/>
    </row>
    <row r="2333" spans="2:5" ht="14.25" customHeight="1" x14ac:dyDescent="0.25">
      <c r="B2333" s="103"/>
      <c r="D2333" s="80"/>
      <c r="E2333" s="80"/>
    </row>
    <row r="2334" spans="2:5" ht="14.25" customHeight="1" x14ac:dyDescent="0.25">
      <c r="B2334" s="103"/>
      <c r="D2334" s="80"/>
      <c r="E2334" s="80"/>
    </row>
    <row r="2335" spans="2:5" ht="14.25" customHeight="1" x14ac:dyDescent="0.25">
      <c r="B2335" s="103"/>
      <c r="D2335" s="80"/>
      <c r="E2335" s="80"/>
    </row>
    <row r="2336" spans="2:5" ht="14.25" customHeight="1" x14ac:dyDescent="0.25">
      <c r="B2336" s="103"/>
      <c r="D2336" s="80"/>
      <c r="E2336" s="80"/>
    </row>
    <row r="2337" spans="2:5" ht="14.25" customHeight="1" x14ac:dyDescent="0.25">
      <c r="B2337" s="103"/>
      <c r="D2337" s="80"/>
      <c r="E2337" s="80"/>
    </row>
    <row r="2338" spans="2:5" ht="14.25" customHeight="1" x14ac:dyDescent="0.25">
      <c r="B2338" s="103"/>
      <c r="D2338" s="80"/>
      <c r="E2338" s="80"/>
    </row>
    <row r="2339" spans="2:5" ht="14.25" customHeight="1" x14ac:dyDescent="0.25">
      <c r="B2339" s="103"/>
      <c r="D2339" s="80"/>
      <c r="E2339" s="80"/>
    </row>
    <row r="2340" spans="2:5" ht="14.25" customHeight="1" x14ac:dyDescent="0.25">
      <c r="B2340" s="103"/>
      <c r="D2340" s="80"/>
      <c r="E2340" s="80"/>
    </row>
    <row r="2341" spans="2:5" ht="14.25" customHeight="1" x14ac:dyDescent="0.25">
      <c r="B2341" s="103"/>
      <c r="D2341" s="80"/>
      <c r="E2341" s="80"/>
    </row>
    <row r="2342" spans="2:5" ht="14.25" customHeight="1" x14ac:dyDescent="0.25">
      <c r="B2342" s="103"/>
      <c r="D2342" s="80"/>
      <c r="E2342" s="80"/>
    </row>
    <row r="2343" spans="2:5" ht="14.25" customHeight="1" x14ac:dyDescent="0.25">
      <c r="B2343" s="103"/>
      <c r="D2343" s="80"/>
      <c r="E2343" s="80"/>
    </row>
    <row r="2344" spans="2:5" ht="14.25" customHeight="1" x14ac:dyDescent="0.25">
      <c r="B2344" s="103"/>
      <c r="D2344" s="80"/>
      <c r="E2344" s="80"/>
    </row>
    <row r="2345" spans="2:5" ht="14.25" customHeight="1" x14ac:dyDescent="0.25">
      <c r="B2345" s="103"/>
      <c r="D2345" s="80"/>
      <c r="E2345" s="80"/>
    </row>
    <row r="2346" spans="2:5" ht="14.25" customHeight="1" x14ac:dyDescent="0.25">
      <c r="B2346" s="103"/>
      <c r="D2346" s="80"/>
      <c r="E2346" s="80"/>
    </row>
    <row r="2347" spans="2:5" ht="14.25" customHeight="1" x14ac:dyDescent="0.25">
      <c r="B2347" s="103"/>
      <c r="D2347" s="80"/>
      <c r="E2347" s="80"/>
    </row>
    <row r="2348" spans="2:5" ht="14.25" customHeight="1" x14ac:dyDescent="0.25">
      <c r="B2348" s="103"/>
      <c r="D2348" s="80"/>
      <c r="E2348" s="80"/>
    </row>
    <row r="2349" spans="2:5" ht="14.25" customHeight="1" x14ac:dyDescent="0.25">
      <c r="B2349" s="103"/>
      <c r="D2349" s="80"/>
      <c r="E2349" s="80"/>
    </row>
    <row r="2350" spans="2:5" ht="14.25" customHeight="1" x14ac:dyDescent="0.25">
      <c r="B2350" s="103"/>
      <c r="D2350" s="80"/>
      <c r="E2350" s="80"/>
    </row>
    <row r="2351" spans="2:5" ht="14.25" customHeight="1" x14ac:dyDescent="0.25">
      <c r="B2351" s="103"/>
      <c r="D2351" s="80"/>
      <c r="E2351" s="80"/>
    </row>
    <row r="2352" spans="2:5" ht="14.25" customHeight="1" x14ac:dyDescent="0.25">
      <c r="B2352" s="103"/>
      <c r="D2352" s="80"/>
      <c r="E2352" s="80"/>
    </row>
    <row r="2353" spans="2:5" ht="14.25" customHeight="1" x14ac:dyDescent="0.25">
      <c r="B2353" s="103"/>
      <c r="D2353" s="80"/>
      <c r="E2353" s="80"/>
    </row>
    <row r="2354" spans="2:5" ht="14.25" customHeight="1" x14ac:dyDescent="0.25">
      <c r="B2354" s="103"/>
      <c r="D2354" s="80"/>
      <c r="E2354" s="80"/>
    </row>
    <row r="2355" spans="2:5" ht="14.25" customHeight="1" x14ac:dyDescent="0.25">
      <c r="B2355" s="103"/>
      <c r="D2355" s="80"/>
      <c r="E2355" s="80"/>
    </row>
    <row r="2356" spans="2:5" ht="14.25" customHeight="1" x14ac:dyDescent="0.25">
      <c r="B2356" s="103"/>
      <c r="D2356" s="80"/>
      <c r="E2356" s="80"/>
    </row>
    <row r="2357" spans="2:5" ht="14.25" customHeight="1" x14ac:dyDescent="0.25">
      <c r="B2357" s="103"/>
      <c r="D2357" s="80"/>
      <c r="E2357" s="80"/>
    </row>
    <row r="2358" spans="2:5" ht="14.25" customHeight="1" x14ac:dyDescent="0.25">
      <c r="B2358" s="103"/>
      <c r="D2358" s="80"/>
      <c r="E2358" s="80"/>
    </row>
    <row r="2359" spans="2:5" ht="14.25" customHeight="1" x14ac:dyDescent="0.25">
      <c r="B2359" s="103"/>
      <c r="D2359" s="80"/>
      <c r="E2359" s="80"/>
    </row>
    <row r="2360" spans="2:5" ht="14.25" customHeight="1" x14ac:dyDescent="0.25">
      <c r="B2360" s="103"/>
      <c r="D2360" s="80"/>
      <c r="E2360" s="80"/>
    </row>
    <row r="2361" spans="2:5" ht="14.25" customHeight="1" x14ac:dyDescent="0.25">
      <c r="B2361" s="103"/>
      <c r="D2361" s="80"/>
      <c r="E2361" s="80"/>
    </row>
    <row r="2362" spans="2:5" ht="14.25" customHeight="1" x14ac:dyDescent="0.25">
      <c r="B2362" s="103"/>
      <c r="D2362" s="80"/>
      <c r="E2362" s="80"/>
    </row>
    <row r="2363" spans="2:5" ht="14.25" customHeight="1" x14ac:dyDescent="0.25">
      <c r="B2363" s="103"/>
      <c r="D2363" s="80"/>
      <c r="E2363" s="80"/>
    </row>
    <row r="2364" spans="2:5" ht="14.25" customHeight="1" x14ac:dyDescent="0.25">
      <c r="B2364" s="103"/>
      <c r="D2364" s="80"/>
      <c r="E2364" s="80"/>
    </row>
    <row r="2365" spans="2:5" ht="14.25" customHeight="1" x14ac:dyDescent="0.25">
      <c r="B2365" s="103"/>
      <c r="D2365" s="80"/>
      <c r="E2365" s="80"/>
    </row>
    <row r="2366" spans="2:5" ht="14.25" customHeight="1" x14ac:dyDescent="0.25">
      <c r="B2366" s="103"/>
      <c r="D2366" s="80"/>
      <c r="E2366" s="80"/>
    </row>
    <row r="2367" spans="2:5" ht="14.25" customHeight="1" x14ac:dyDescent="0.25">
      <c r="B2367" s="103"/>
      <c r="D2367" s="80"/>
      <c r="E2367" s="80"/>
    </row>
    <row r="2368" spans="2:5" ht="14.25" customHeight="1" x14ac:dyDescent="0.25">
      <c r="B2368" s="103"/>
      <c r="D2368" s="80"/>
      <c r="E2368" s="80"/>
    </row>
    <row r="2369" spans="2:5" ht="14.25" customHeight="1" x14ac:dyDescent="0.25">
      <c r="B2369" s="103"/>
      <c r="D2369" s="80"/>
      <c r="E2369" s="80"/>
    </row>
    <row r="2370" spans="2:5" ht="14.25" customHeight="1" x14ac:dyDescent="0.25">
      <c r="B2370" s="103"/>
      <c r="D2370" s="80"/>
      <c r="E2370" s="80"/>
    </row>
    <row r="2371" spans="2:5" ht="14.25" customHeight="1" x14ac:dyDescent="0.25">
      <c r="B2371" s="103"/>
      <c r="D2371" s="80"/>
      <c r="E2371" s="80"/>
    </row>
    <row r="2372" spans="2:5" ht="14.25" customHeight="1" x14ac:dyDescent="0.25">
      <c r="B2372" s="103"/>
      <c r="D2372" s="80"/>
      <c r="E2372" s="80"/>
    </row>
    <row r="2373" spans="2:5" ht="14.25" customHeight="1" x14ac:dyDescent="0.25">
      <c r="B2373" s="103"/>
      <c r="D2373" s="80"/>
      <c r="E2373" s="80"/>
    </row>
    <row r="2374" spans="2:5" ht="14.25" customHeight="1" x14ac:dyDescent="0.25">
      <c r="B2374" s="103"/>
      <c r="D2374" s="80"/>
      <c r="E2374" s="80"/>
    </row>
    <row r="2375" spans="2:5" ht="14.25" customHeight="1" x14ac:dyDescent="0.25">
      <c r="B2375" s="103"/>
      <c r="D2375" s="80"/>
      <c r="E2375" s="80"/>
    </row>
    <row r="2376" spans="2:5" ht="14.25" customHeight="1" x14ac:dyDescent="0.25">
      <c r="B2376" s="103"/>
      <c r="D2376" s="80"/>
      <c r="E2376" s="80"/>
    </row>
    <row r="2377" spans="2:5" ht="14.25" customHeight="1" x14ac:dyDescent="0.25">
      <c r="B2377" s="103"/>
      <c r="D2377" s="80"/>
      <c r="E2377" s="80"/>
    </row>
    <row r="2378" spans="2:5" ht="14.25" customHeight="1" x14ac:dyDescent="0.25">
      <c r="B2378" s="103"/>
      <c r="D2378" s="80"/>
      <c r="E2378" s="80"/>
    </row>
    <row r="2379" spans="2:5" ht="14.25" customHeight="1" x14ac:dyDescent="0.25">
      <c r="B2379" s="103"/>
      <c r="D2379" s="80"/>
      <c r="E2379" s="80"/>
    </row>
    <row r="2380" spans="2:5" ht="14.25" customHeight="1" x14ac:dyDescent="0.25">
      <c r="B2380" s="103"/>
      <c r="D2380" s="80"/>
      <c r="E2380" s="80"/>
    </row>
    <row r="2381" spans="2:5" ht="14.25" customHeight="1" x14ac:dyDescent="0.25">
      <c r="B2381" s="103"/>
      <c r="D2381" s="80"/>
      <c r="E2381" s="80"/>
    </row>
    <row r="2382" spans="2:5" ht="14.25" customHeight="1" x14ac:dyDescent="0.25">
      <c r="B2382" s="103"/>
      <c r="D2382" s="80"/>
      <c r="E2382" s="80"/>
    </row>
    <row r="2383" spans="2:5" ht="14.25" customHeight="1" x14ac:dyDescent="0.25">
      <c r="B2383" s="103"/>
      <c r="D2383" s="80"/>
      <c r="E2383" s="80"/>
    </row>
    <row r="2384" spans="2:5" ht="14.25" customHeight="1" x14ac:dyDescent="0.25">
      <c r="B2384" s="103"/>
      <c r="D2384" s="80"/>
      <c r="E2384" s="80"/>
    </row>
    <row r="2385" spans="2:5" ht="14.25" customHeight="1" x14ac:dyDescent="0.25">
      <c r="B2385" s="103"/>
      <c r="D2385" s="80"/>
      <c r="E2385" s="80"/>
    </row>
    <row r="2386" spans="2:5" ht="14.25" customHeight="1" x14ac:dyDescent="0.25">
      <c r="B2386" s="103"/>
      <c r="D2386" s="80"/>
      <c r="E2386" s="80"/>
    </row>
    <row r="2387" spans="2:5" ht="14.25" customHeight="1" x14ac:dyDescent="0.25">
      <c r="B2387" s="103"/>
      <c r="D2387" s="80"/>
      <c r="E2387" s="80"/>
    </row>
    <row r="2388" spans="2:5" ht="14.25" customHeight="1" x14ac:dyDescent="0.25">
      <c r="B2388" s="103"/>
      <c r="D2388" s="80"/>
      <c r="E2388" s="80"/>
    </row>
    <row r="2389" spans="2:5" ht="14.25" customHeight="1" x14ac:dyDescent="0.25">
      <c r="B2389" s="103"/>
      <c r="D2389" s="80"/>
      <c r="E2389" s="80"/>
    </row>
    <row r="2390" spans="2:5" ht="14.25" customHeight="1" x14ac:dyDescent="0.25">
      <c r="B2390" s="103"/>
      <c r="D2390" s="80"/>
      <c r="E2390" s="80"/>
    </row>
    <row r="2391" spans="2:5" ht="14.25" customHeight="1" x14ac:dyDescent="0.25">
      <c r="B2391" s="103"/>
      <c r="D2391" s="80"/>
      <c r="E2391" s="80"/>
    </row>
    <row r="2392" spans="2:5" ht="14.25" customHeight="1" x14ac:dyDescent="0.25">
      <c r="B2392" s="103"/>
      <c r="D2392" s="80"/>
      <c r="E2392" s="80"/>
    </row>
    <row r="2393" spans="2:5" ht="14.25" customHeight="1" x14ac:dyDescent="0.25">
      <c r="B2393" s="103"/>
      <c r="D2393" s="80"/>
      <c r="E2393" s="80"/>
    </row>
    <row r="2394" spans="2:5" ht="14.25" customHeight="1" x14ac:dyDescent="0.25">
      <c r="B2394" s="103"/>
      <c r="D2394" s="80"/>
      <c r="E2394" s="80"/>
    </row>
    <row r="2395" spans="2:5" ht="14.25" customHeight="1" x14ac:dyDescent="0.25">
      <c r="B2395" s="103"/>
      <c r="D2395" s="80"/>
      <c r="E2395" s="80"/>
    </row>
    <row r="2396" spans="2:5" ht="14.25" customHeight="1" x14ac:dyDescent="0.25">
      <c r="B2396" s="103"/>
      <c r="D2396" s="80"/>
      <c r="E2396" s="80"/>
    </row>
    <row r="2397" spans="2:5" ht="14.25" customHeight="1" x14ac:dyDescent="0.25">
      <c r="B2397" s="103"/>
      <c r="D2397" s="80"/>
      <c r="E2397" s="80"/>
    </row>
    <row r="2398" spans="2:5" ht="14.25" customHeight="1" x14ac:dyDescent="0.25">
      <c r="B2398" s="103"/>
      <c r="D2398" s="80"/>
      <c r="E2398" s="80"/>
    </row>
    <row r="2399" spans="2:5" ht="14.25" customHeight="1" x14ac:dyDescent="0.25">
      <c r="B2399" s="103"/>
      <c r="D2399" s="80"/>
      <c r="E2399" s="80"/>
    </row>
    <row r="2400" spans="2:5" ht="14.25" customHeight="1" x14ac:dyDescent="0.25">
      <c r="B2400" s="103"/>
      <c r="D2400" s="80"/>
      <c r="E2400" s="80"/>
    </row>
    <row r="2401" spans="2:5" ht="14.25" customHeight="1" x14ac:dyDescent="0.25">
      <c r="B2401" s="103"/>
      <c r="D2401" s="80"/>
      <c r="E2401" s="80"/>
    </row>
    <row r="2402" spans="2:5" ht="14.25" customHeight="1" x14ac:dyDescent="0.25">
      <c r="B2402" s="103"/>
      <c r="D2402" s="80"/>
      <c r="E2402" s="80"/>
    </row>
    <row r="2403" spans="2:5" ht="14.25" customHeight="1" x14ac:dyDescent="0.25">
      <c r="B2403" s="103"/>
      <c r="D2403" s="80"/>
      <c r="E2403" s="80"/>
    </row>
    <row r="2404" spans="2:5" ht="14.25" customHeight="1" x14ac:dyDescent="0.25">
      <c r="B2404" s="103"/>
      <c r="D2404" s="80"/>
      <c r="E2404" s="80"/>
    </row>
    <row r="2405" spans="2:5" ht="14.25" customHeight="1" x14ac:dyDescent="0.25">
      <c r="B2405" s="103"/>
      <c r="D2405" s="80"/>
      <c r="E2405" s="80"/>
    </row>
    <row r="2406" spans="2:5" ht="14.25" customHeight="1" x14ac:dyDescent="0.25">
      <c r="B2406" s="103"/>
      <c r="D2406" s="80"/>
      <c r="E2406" s="80"/>
    </row>
    <row r="2407" spans="2:5" ht="14.25" customHeight="1" x14ac:dyDescent="0.25">
      <c r="B2407" s="103"/>
      <c r="D2407" s="80"/>
      <c r="E2407" s="80"/>
    </row>
    <row r="2408" spans="2:5" ht="14.25" customHeight="1" x14ac:dyDescent="0.25">
      <c r="B2408" s="103"/>
      <c r="D2408" s="80"/>
      <c r="E2408" s="80"/>
    </row>
    <row r="2409" spans="2:5" ht="14.25" customHeight="1" x14ac:dyDescent="0.25">
      <c r="B2409" s="103"/>
      <c r="D2409" s="80"/>
      <c r="E2409" s="80"/>
    </row>
    <row r="2410" spans="2:5" ht="14.25" customHeight="1" x14ac:dyDescent="0.25">
      <c r="B2410" s="103"/>
      <c r="D2410" s="80"/>
      <c r="E2410" s="80"/>
    </row>
    <row r="2411" spans="2:5" ht="14.25" customHeight="1" x14ac:dyDescent="0.25">
      <c r="B2411" s="103"/>
      <c r="D2411" s="80"/>
      <c r="E2411" s="80"/>
    </row>
    <row r="2412" spans="2:5" ht="14.25" customHeight="1" x14ac:dyDescent="0.25">
      <c r="B2412" s="103"/>
      <c r="D2412" s="80"/>
      <c r="E2412" s="80"/>
    </row>
    <row r="2413" spans="2:5" ht="14.25" customHeight="1" x14ac:dyDescent="0.25">
      <c r="B2413" s="103"/>
      <c r="D2413" s="80"/>
      <c r="E2413" s="80"/>
    </row>
    <row r="2414" spans="2:5" ht="14.25" customHeight="1" x14ac:dyDescent="0.25">
      <c r="B2414" s="103"/>
      <c r="D2414" s="80"/>
      <c r="E2414" s="80"/>
    </row>
    <row r="2415" spans="2:5" ht="14.25" customHeight="1" x14ac:dyDescent="0.25">
      <c r="B2415" s="103"/>
      <c r="D2415" s="80"/>
      <c r="E2415" s="80"/>
    </row>
    <row r="2416" spans="2:5" ht="14.25" customHeight="1" x14ac:dyDescent="0.25">
      <c r="B2416" s="103"/>
      <c r="D2416" s="80"/>
      <c r="E2416" s="80"/>
    </row>
    <row r="2417" spans="2:5" ht="14.25" customHeight="1" x14ac:dyDescent="0.25">
      <c r="B2417" s="103"/>
      <c r="D2417" s="80"/>
      <c r="E2417" s="80"/>
    </row>
    <row r="2418" spans="2:5" ht="14.25" customHeight="1" x14ac:dyDescent="0.25">
      <c r="B2418" s="103"/>
      <c r="D2418" s="80"/>
      <c r="E2418" s="80"/>
    </row>
    <row r="2419" spans="2:5" ht="14.25" customHeight="1" x14ac:dyDescent="0.25">
      <c r="B2419" s="103"/>
      <c r="D2419" s="80"/>
      <c r="E2419" s="80"/>
    </row>
    <row r="2420" spans="2:5" ht="14.25" customHeight="1" x14ac:dyDescent="0.25">
      <c r="B2420" s="103"/>
      <c r="D2420" s="80"/>
      <c r="E2420" s="80"/>
    </row>
    <row r="2421" spans="2:5" ht="14.25" customHeight="1" x14ac:dyDescent="0.25">
      <c r="B2421" s="103"/>
      <c r="D2421" s="80"/>
      <c r="E2421" s="80"/>
    </row>
    <row r="2422" spans="2:5" ht="14.25" customHeight="1" x14ac:dyDescent="0.25">
      <c r="B2422" s="103"/>
      <c r="D2422" s="80"/>
      <c r="E2422" s="80"/>
    </row>
    <row r="2423" spans="2:5" ht="14.25" customHeight="1" x14ac:dyDescent="0.25">
      <c r="B2423" s="103"/>
      <c r="D2423" s="80"/>
      <c r="E2423" s="80"/>
    </row>
    <row r="2424" spans="2:5" ht="14.25" customHeight="1" x14ac:dyDescent="0.25">
      <c r="B2424" s="103"/>
      <c r="D2424" s="80"/>
      <c r="E2424" s="80"/>
    </row>
    <row r="2425" spans="2:5" ht="14.25" customHeight="1" x14ac:dyDescent="0.25">
      <c r="B2425" s="103"/>
      <c r="D2425" s="80"/>
      <c r="E2425" s="80"/>
    </row>
    <row r="2426" spans="2:5" ht="14.25" customHeight="1" x14ac:dyDescent="0.25">
      <c r="B2426" s="103"/>
      <c r="D2426" s="80"/>
      <c r="E2426" s="80"/>
    </row>
    <row r="2427" spans="2:5" ht="14.25" customHeight="1" x14ac:dyDescent="0.25">
      <c r="B2427" s="103"/>
      <c r="D2427" s="80"/>
      <c r="E2427" s="80"/>
    </row>
    <row r="2428" spans="2:5" ht="14.25" customHeight="1" x14ac:dyDescent="0.25">
      <c r="B2428" s="103"/>
      <c r="D2428" s="80"/>
      <c r="E2428" s="80"/>
    </row>
    <row r="2429" spans="2:5" ht="14.25" customHeight="1" x14ac:dyDescent="0.25">
      <c r="B2429" s="103"/>
      <c r="D2429" s="80"/>
      <c r="E2429" s="80"/>
    </row>
    <row r="2430" spans="2:5" ht="14.25" customHeight="1" x14ac:dyDescent="0.25">
      <c r="B2430" s="103"/>
      <c r="D2430" s="80"/>
      <c r="E2430" s="80"/>
    </row>
    <row r="2431" spans="2:5" ht="14.25" customHeight="1" x14ac:dyDescent="0.25">
      <c r="B2431" s="103"/>
      <c r="D2431" s="80"/>
      <c r="E2431" s="80"/>
    </row>
    <row r="2432" spans="2:5" ht="14.25" customHeight="1" x14ac:dyDescent="0.25">
      <c r="B2432" s="103"/>
      <c r="D2432" s="80"/>
      <c r="E2432" s="80"/>
    </row>
    <row r="2433" spans="2:5" ht="14.25" customHeight="1" x14ac:dyDescent="0.25">
      <c r="B2433" s="103"/>
      <c r="D2433" s="80"/>
      <c r="E2433" s="80"/>
    </row>
    <row r="2434" spans="2:5" ht="14.25" customHeight="1" x14ac:dyDescent="0.25">
      <c r="B2434" s="103"/>
      <c r="D2434" s="80"/>
      <c r="E2434" s="80"/>
    </row>
    <row r="2435" spans="2:5" ht="14.25" customHeight="1" x14ac:dyDescent="0.25">
      <c r="B2435" s="103"/>
      <c r="D2435" s="80"/>
      <c r="E2435" s="80"/>
    </row>
    <row r="2436" spans="2:5" ht="14.25" customHeight="1" x14ac:dyDescent="0.25">
      <c r="B2436" s="103"/>
      <c r="D2436" s="80"/>
      <c r="E2436" s="80"/>
    </row>
    <row r="2437" spans="2:5" ht="14.25" customHeight="1" x14ac:dyDescent="0.25">
      <c r="B2437" s="103"/>
      <c r="D2437" s="80"/>
      <c r="E2437" s="80"/>
    </row>
    <row r="2438" spans="2:5" ht="14.25" customHeight="1" x14ac:dyDescent="0.25">
      <c r="B2438" s="103"/>
      <c r="D2438" s="80"/>
      <c r="E2438" s="80"/>
    </row>
    <row r="2439" spans="2:5" ht="14.25" customHeight="1" x14ac:dyDescent="0.25">
      <c r="B2439" s="103"/>
      <c r="D2439" s="80"/>
      <c r="E2439" s="80"/>
    </row>
    <row r="2440" spans="2:5" ht="14.25" customHeight="1" x14ac:dyDescent="0.25">
      <c r="B2440" s="103"/>
      <c r="D2440" s="80"/>
      <c r="E2440" s="80"/>
    </row>
    <row r="2441" spans="2:5" ht="14.25" customHeight="1" x14ac:dyDescent="0.25">
      <c r="B2441" s="103"/>
      <c r="D2441" s="80"/>
      <c r="E2441" s="80"/>
    </row>
    <row r="2442" spans="2:5" ht="14.25" customHeight="1" x14ac:dyDescent="0.25">
      <c r="B2442" s="103"/>
      <c r="D2442" s="80"/>
      <c r="E2442" s="80"/>
    </row>
    <row r="2443" spans="2:5" ht="14.25" customHeight="1" x14ac:dyDescent="0.25">
      <c r="B2443" s="103"/>
      <c r="D2443" s="80"/>
      <c r="E2443" s="80"/>
    </row>
    <row r="2444" spans="2:5" ht="14.25" customHeight="1" x14ac:dyDescent="0.25">
      <c r="B2444" s="103"/>
      <c r="D2444" s="80"/>
      <c r="E2444" s="80"/>
    </row>
    <row r="2445" spans="2:5" ht="14.25" customHeight="1" x14ac:dyDescent="0.25">
      <c r="B2445" s="103"/>
      <c r="D2445" s="80"/>
      <c r="E2445" s="80"/>
    </row>
    <row r="2446" spans="2:5" ht="14.25" customHeight="1" x14ac:dyDescent="0.25">
      <c r="B2446" s="103"/>
      <c r="D2446" s="80"/>
      <c r="E2446" s="80"/>
    </row>
    <row r="2447" spans="2:5" ht="14.25" customHeight="1" x14ac:dyDescent="0.25">
      <c r="B2447" s="103"/>
      <c r="D2447" s="80"/>
      <c r="E2447" s="80"/>
    </row>
    <row r="2448" spans="2:5" ht="14.25" customHeight="1" x14ac:dyDescent="0.25">
      <c r="B2448" s="103"/>
      <c r="D2448" s="80"/>
      <c r="E2448" s="80"/>
    </row>
    <row r="2449" spans="2:5" ht="14.25" customHeight="1" x14ac:dyDescent="0.25">
      <c r="B2449" s="103"/>
      <c r="D2449" s="80"/>
      <c r="E2449" s="80"/>
    </row>
    <row r="2450" spans="2:5" ht="14.25" customHeight="1" x14ac:dyDescent="0.25">
      <c r="B2450" s="103"/>
      <c r="D2450" s="80"/>
      <c r="E2450" s="80"/>
    </row>
    <row r="2451" spans="2:5" ht="14.25" customHeight="1" x14ac:dyDescent="0.25">
      <c r="B2451" s="103"/>
      <c r="D2451" s="80"/>
      <c r="E2451" s="80"/>
    </row>
    <row r="2452" spans="2:5" ht="14.25" customHeight="1" x14ac:dyDescent="0.25">
      <c r="B2452" s="103"/>
      <c r="D2452" s="80"/>
      <c r="E2452" s="80"/>
    </row>
    <row r="2453" spans="2:5" ht="14.25" customHeight="1" x14ac:dyDescent="0.25">
      <c r="B2453" s="103"/>
      <c r="D2453" s="80"/>
      <c r="E2453" s="80"/>
    </row>
    <row r="2454" spans="2:5" ht="14.25" customHeight="1" x14ac:dyDescent="0.25">
      <c r="B2454" s="103"/>
      <c r="D2454" s="80"/>
      <c r="E2454" s="80"/>
    </row>
    <row r="2455" spans="2:5" ht="14.25" customHeight="1" x14ac:dyDescent="0.25">
      <c r="B2455" s="103"/>
      <c r="D2455" s="80"/>
      <c r="E2455" s="80"/>
    </row>
    <row r="2456" spans="2:5" ht="14.25" customHeight="1" x14ac:dyDescent="0.25">
      <c r="B2456" s="103"/>
      <c r="D2456" s="80"/>
      <c r="E2456" s="80"/>
    </row>
    <row r="2457" spans="2:5" ht="14.25" customHeight="1" x14ac:dyDescent="0.25">
      <c r="B2457" s="103"/>
      <c r="D2457" s="80"/>
      <c r="E2457" s="80"/>
    </row>
    <row r="2458" spans="2:5" ht="14.25" customHeight="1" x14ac:dyDescent="0.25">
      <c r="B2458" s="103"/>
      <c r="D2458" s="80"/>
      <c r="E2458" s="80"/>
    </row>
    <row r="2459" spans="2:5" ht="14.25" customHeight="1" x14ac:dyDescent="0.25">
      <c r="B2459" s="103"/>
      <c r="D2459" s="80"/>
      <c r="E2459" s="80"/>
    </row>
    <row r="2460" spans="2:5" ht="14.25" customHeight="1" x14ac:dyDescent="0.25">
      <c r="B2460" s="103"/>
      <c r="D2460" s="80"/>
      <c r="E2460" s="80"/>
    </row>
    <row r="2461" spans="2:5" ht="14.25" customHeight="1" x14ac:dyDescent="0.25">
      <c r="B2461" s="103"/>
      <c r="D2461" s="80"/>
      <c r="E2461" s="80"/>
    </row>
    <row r="2462" spans="2:5" ht="14.25" customHeight="1" x14ac:dyDescent="0.25">
      <c r="B2462" s="103"/>
      <c r="D2462" s="80"/>
      <c r="E2462" s="80"/>
    </row>
    <row r="2463" spans="2:5" ht="14.25" customHeight="1" x14ac:dyDescent="0.25">
      <c r="B2463" s="103"/>
      <c r="D2463" s="80"/>
      <c r="E2463" s="80"/>
    </row>
    <row r="2464" spans="2:5" ht="14.25" customHeight="1" x14ac:dyDescent="0.25">
      <c r="B2464" s="103"/>
      <c r="D2464" s="80"/>
      <c r="E2464" s="80"/>
    </row>
    <row r="2465" spans="2:5" ht="14.25" customHeight="1" x14ac:dyDescent="0.25">
      <c r="B2465" s="103"/>
      <c r="D2465" s="80"/>
      <c r="E2465" s="80"/>
    </row>
    <row r="2466" spans="2:5" ht="14.25" customHeight="1" x14ac:dyDescent="0.25">
      <c r="B2466" s="103"/>
      <c r="D2466" s="80"/>
      <c r="E2466" s="80"/>
    </row>
    <row r="2467" spans="2:5" ht="14.25" customHeight="1" x14ac:dyDescent="0.25">
      <c r="B2467" s="103"/>
      <c r="D2467" s="80"/>
      <c r="E2467" s="80"/>
    </row>
    <row r="2468" spans="2:5" ht="14.25" customHeight="1" x14ac:dyDescent="0.25">
      <c r="B2468" s="103"/>
      <c r="D2468" s="80"/>
      <c r="E2468" s="80"/>
    </row>
    <row r="2469" spans="2:5" ht="14.25" customHeight="1" x14ac:dyDescent="0.25">
      <c r="B2469" s="103"/>
      <c r="D2469" s="80"/>
      <c r="E2469" s="80"/>
    </row>
    <row r="2470" spans="2:5" ht="14.25" customHeight="1" x14ac:dyDescent="0.25">
      <c r="B2470" s="103"/>
      <c r="D2470" s="80"/>
      <c r="E2470" s="80"/>
    </row>
    <row r="2471" spans="2:5" ht="14.25" customHeight="1" x14ac:dyDescent="0.25">
      <c r="B2471" s="103"/>
      <c r="D2471" s="80"/>
      <c r="E2471" s="80"/>
    </row>
    <row r="2472" spans="2:5" ht="14.25" customHeight="1" x14ac:dyDescent="0.25">
      <c r="B2472" s="103"/>
      <c r="D2472" s="80"/>
      <c r="E2472" s="80"/>
    </row>
    <row r="2473" spans="2:5" ht="14.25" customHeight="1" x14ac:dyDescent="0.25">
      <c r="B2473" s="103"/>
      <c r="D2473" s="80"/>
      <c r="E2473" s="80"/>
    </row>
    <row r="2474" spans="2:5" ht="14.25" customHeight="1" x14ac:dyDescent="0.25">
      <c r="B2474" s="103"/>
      <c r="D2474" s="80"/>
      <c r="E2474" s="80"/>
    </row>
    <row r="2475" spans="2:5" ht="14.25" customHeight="1" x14ac:dyDescent="0.25">
      <c r="B2475" s="103"/>
      <c r="D2475" s="80"/>
      <c r="E2475" s="80"/>
    </row>
    <row r="2476" spans="2:5" ht="14.25" customHeight="1" x14ac:dyDescent="0.25">
      <c r="B2476" s="103"/>
      <c r="D2476" s="80"/>
      <c r="E2476" s="80"/>
    </row>
    <row r="2477" spans="2:5" ht="14.25" customHeight="1" x14ac:dyDescent="0.25">
      <c r="B2477" s="103"/>
      <c r="D2477" s="80"/>
      <c r="E2477" s="80"/>
    </row>
    <row r="2478" spans="2:5" ht="14.25" customHeight="1" x14ac:dyDescent="0.25">
      <c r="B2478" s="103"/>
      <c r="D2478" s="80"/>
      <c r="E2478" s="80"/>
    </row>
    <row r="2479" spans="2:5" ht="14.25" customHeight="1" x14ac:dyDescent="0.25">
      <c r="B2479" s="103"/>
      <c r="D2479" s="80"/>
      <c r="E2479" s="80"/>
    </row>
    <row r="2480" spans="2:5" ht="14.25" customHeight="1" x14ac:dyDescent="0.25">
      <c r="B2480" s="103"/>
      <c r="D2480" s="80"/>
      <c r="E2480" s="80"/>
    </row>
    <row r="2481" spans="2:5" ht="14.25" customHeight="1" x14ac:dyDescent="0.25">
      <c r="B2481" s="103"/>
      <c r="D2481" s="80"/>
      <c r="E2481" s="80"/>
    </row>
    <row r="2482" spans="2:5" ht="14.25" customHeight="1" x14ac:dyDescent="0.25">
      <c r="B2482" s="103"/>
      <c r="D2482" s="80"/>
      <c r="E2482" s="80"/>
    </row>
    <row r="2483" spans="2:5" ht="14.25" customHeight="1" x14ac:dyDescent="0.25">
      <c r="B2483" s="103"/>
      <c r="D2483" s="80"/>
      <c r="E2483" s="80"/>
    </row>
    <row r="2484" spans="2:5" ht="14.25" customHeight="1" x14ac:dyDescent="0.25">
      <c r="B2484" s="103"/>
      <c r="D2484" s="80"/>
      <c r="E2484" s="80"/>
    </row>
    <row r="2485" spans="2:5" ht="14.25" customHeight="1" x14ac:dyDescent="0.25">
      <c r="B2485" s="103"/>
      <c r="D2485" s="80"/>
      <c r="E2485" s="80"/>
    </row>
    <row r="2486" spans="2:5" ht="14.25" customHeight="1" x14ac:dyDescent="0.25">
      <c r="B2486" s="103"/>
      <c r="D2486" s="80"/>
      <c r="E2486" s="80"/>
    </row>
    <row r="2487" spans="2:5" ht="14.25" customHeight="1" x14ac:dyDescent="0.25">
      <c r="B2487" s="103"/>
      <c r="D2487" s="80"/>
      <c r="E2487" s="80"/>
    </row>
    <row r="2488" spans="2:5" ht="14.25" customHeight="1" x14ac:dyDescent="0.25">
      <c r="B2488" s="103"/>
      <c r="D2488" s="80"/>
      <c r="E2488" s="80"/>
    </row>
    <row r="2489" spans="2:5" ht="14.25" customHeight="1" x14ac:dyDescent="0.25">
      <c r="B2489" s="103"/>
      <c r="D2489" s="80"/>
      <c r="E2489" s="80"/>
    </row>
    <row r="2490" spans="2:5" ht="14.25" customHeight="1" x14ac:dyDescent="0.25">
      <c r="B2490" s="103"/>
      <c r="D2490" s="80"/>
      <c r="E2490" s="80"/>
    </row>
    <row r="2491" spans="2:5" ht="14.25" customHeight="1" x14ac:dyDescent="0.25">
      <c r="B2491" s="103"/>
      <c r="D2491" s="80"/>
      <c r="E2491" s="80"/>
    </row>
    <row r="2492" spans="2:5" ht="14.25" customHeight="1" x14ac:dyDescent="0.25">
      <c r="B2492" s="103"/>
      <c r="D2492" s="80"/>
      <c r="E2492" s="80"/>
    </row>
    <row r="2493" spans="2:5" ht="14.25" customHeight="1" x14ac:dyDescent="0.25">
      <c r="B2493" s="103"/>
      <c r="D2493" s="80"/>
      <c r="E2493" s="80"/>
    </row>
    <row r="2494" spans="2:5" ht="14.25" customHeight="1" x14ac:dyDescent="0.25">
      <c r="B2494" s="103"/>
      <c r="D2494" s="80"/>
      <c r="E2494" s="80"/>
    </row>
    <row r="2495" spans="2:5" ht="14.25" customHeight="1" x14ac:dyDescent="0.25">
      <c r="B2495" s="103"/>
      <c r="D2495" s="80"/>
      <c r="E2495" s="80"/>
    </row>
    <row r="2496" spans="2:5" ht="14.25" customHeight="1" x14ac:dyDescent="0.25">
      <c r="B2496" s="103"/>
      <c r="D2496" s="80"/>
      <c r="E2496" s="80"/>
    </row>
    <row r="2497" spans="2:5" ht="14.25" customHeight="1" x14ac:dyDescent="0.25">
      <c r="B2497" s="103"/>
      <c r="D2497" s="80"/>
      <c r="E2497" s="80"/>
    </row>
    <row r="2498" spans="2:5" ht="14.25" customHeight="1" x14ac:dyDescent="0.25">
      <c r="B2498" s="103"/>
      <c r="D2498" s="80"/>
      <c r="E2498" s="80"/>
    </row>
    <row r="2499" spans="2:5" ht="14.25" customHeight="1" x14ac:dyDescent="0.25">
      <c r="B2499" s="103"/>
      <c r="D2499" s="80"/>
      <c r="E2499" s="80"/>
    </row>
    <row r="2500" spans="2:5" ht="14.25" customHeight="1" x14ac:dyDescent="0.25">
      <c r="B2500" s="103"/>
      <c r="D2500" s="80"/>
      <c r="E2500" s="80"/>
    </row>
    <row r="2501" spans="2:5" ht="14.25" customHeight="1" x14ac:dyDescent="0.25">
      <c r="B2501" s="103"/>
      <c r="D2501" s="80"/>
      <c r="E2501" s="80"/>
    </row>
    <row r="2502" spans="2:5" ht="14.25" customHeight="1" x14ac:dyDescent="0.25">
      <c r="B2502" s="103"/>
      <c r="D2502" s="80"/>
      <c r="E2502" s="80"/>
    </row>
    <row r="2503" spans="2:5" ht="14.25" customHeight="1" x14ac:dyDescent="0.25">
      <c r="B2503" s="103"/>
      <c r="D2503" s="80"/>
      <c r="E2503" s="80"/>
    </row>
    <row r="2504" spans="2:5" ht="14.25" customHeight="1" x14ac:dyDescent="0.25">
      <c r="B2504" s="103"/>
      <c r="D2504" s="80"/>
      <c r="E2504" s="80"/>
    </row>
    <row r="2505" spans="2:5" ht="14.25" customHeight="1" x14ac:dyDescent="0.25">
      <c r="B2505" s="103"/>
      <c r="D2505" s="80"/>
      <c r="E2505" s="80"/>
    </row>
    <row r="2506" spans="2:5" ht="14.25" customHeight="1" x14ac:dyDescent="0.25">
      <c r="B2506" s="103"/>
      <c r="D2506" s="80"/>
      <c r="E2506" s="80"/>
    </row>
    <row r="2507" spans="2:5" ht="14.25" customHeight="1" x14ac:dyDescent="0.25">
      <c r="B2507" s="103"/>
      <c r="D2507" s="80"/>
      <c r="E2507" s="80"/>
    </row>
    <row r="2508" spans="2:5" ht="14.25" customHeight="1" x14ac:dyDescent="0.25">
      <c r="B2508" s="103"/>
      <c r="D2508" s="80"/>
      <c r="E2508" s="80"/>
    </row>
    <row r="2509" spans="2:5" ht="14.25" customHeight="1" x14ac:dyDescent="0.25">
      <c r="B2509" s="103"/>
      <c r="D2509" s="80"/>
      <c r="E2509" s="80"/>
    </row>
    <row r="2510" spans="2:5" ht="14.25" customHeight="1" x14ac:dyDescent="0.25">
      <c r="B2510" s="103"/>
      <c r="D2510" s="80"/>
      <c r="E2510" s="80"/>
    </row>
    <row r="2511" spans="2:5" ht="14.25" customHeight="1" x14ac:dyDescent="0.25">
      <c r="B2511" s="103"/>
      <c r="D2511" s="80"/>
      <c r="E2511" s="80"/>
    </row>
    <row r="2512" spans="2:5" ht="14.25" customHeight="1" x14ac:dyDescent="0.25">
      <c r="B2512" s="103"/>
      <c r="D2512" s="80"/>
      <c r="E2512" s="80"/>
    </row>
    <row r="2513" spans="2:5" ht="14.25" customHeight="1" x14ac:dyDescent="0.25">
      <c r="B2513" s="103"/>
      <c r="D2513" s="80"/>
      <c r="E2513" s="80"/>
    </row>
    <row r="2514" spans="2:5" ht="14.25" customHeight="1" x14ac:dyDescent="0.25">
      <c r="B2514" s="103"/>
      <c r="D2514" s="80"/>
      <c r="E2514" s="80"/>
    </row>
    <row r="2515" spans="2:5" ht="14.25" customHeight="1" x14ac:dyDescent="0.25">
      <c r="B2515" s="103"/>
      <c r="D2515" s="80"/>
      <c r="E2515" s="80"/>
    </row>
    <row r="2516" spans="2:5" ht="14.25" customHeight="1" x14ac:dyDescent="0.25">
      <c r="B2516" s="103"/>
      <c r="D2516" s="80"/>
      <c r="E2516" s="80"/>
    </row>
    <row r="2517" spans="2:5" ht="14.25" customHeight="1" x14ac:dyDescent="0.25">
      <c r="B2517" s="103"/>
      <c r="D2517" s="80"/>
      <c r="E2517" s="80"/>
    </row>
    <row r="2518" spans="2:5" ht="14.25" customHeight="1" x14ac:dyDescent="0.25">
      <c r="B2518" s="103"/>
      <c r="D2518" s="80"/>
      <c r="E2518" s="80"/>
    </row>
    <row r="2519" spans="2:5" ht="14.25" customHeight="1" x14ac:dyDescent="0.25">
      <c r="B2519" s="103"/>
      <c r="D2519" s="80"/>
      <c r="E2519" s="80"/>
    </row>
    <row r="2520" spans="2:5" ht="14.25" customHeight="1" x14ac:dyDescent="0.25">
      <c r="B2520" s="103"/>
      <c r="D2520" s="80"/>
      <c r="E2520" s="80"/>
    </row>
    <row r="2521" spans="2:5" ht="14.25" customHeight="1" x14ac:dyDescent="0.25">
      <c r="B2521" s="103"/>
      <c r="D2521" s="80"/>
      <c r="E2521" s="80"/>
    </row>
    <row r="2522" spans="2:5" ht="14.25" customHeight="1" x14ac:dyDescent="0.25">
      <c r="B2522" s="103"/>
      <c r="D2522" s="80"/>
      <c r="E2522" s="80"/>
    </row>
    <row r="2523" spans="2:5" ht="14.25" customHeight="1" x14ac:dyDescent="0.25">
      <c r="B2523" s="103"/>
      <c r="D2523" s="80"/>
      <c r="E2523" s="80"/>
    </row>
    <row r="2524" spans="2:5" ht="14.25" customHeight="1" x14ac:dyDescent="0.25">
      <c r="B2524" s="103"/>
      <c r="D2524" s="80"/>
      <c r="E2524" s="80"/>
    </row>
    <row r="2525" spans="2:5" ht="14.25" customHeight="1" x14ac:dyDescent="0.25">
      <c r="B2525" s="103"/>
      <c r="D2525" s="80"/>
      <c r="E2525" s="80"/>
    </row>
    <row r="2526" spans="2:5" ht="14.25" customHeight="1" x14ac:dyDescent="0.25">
      <c r="B2526" s="103"/>
      <c r="D2526" s="80"/>
      <c r="E2526" s="80"/>
    </row>
    <row r="2527" spans="2:5" ht="14.25" customHeight="1" x14ac:dyDescent="0.25">
      <c r="B2527" s="103"/>
      <c r="D2527" s="80"/>
      <c r="E2527" s="80"/>
    </row>
    <row r="2528" spans="2:5" ht="14.25" customHeight="1" x14ac:dyDescent="0.25">
      <c r="B2528" s="103"/>
      <c r="D2528" s="80"/>
      <c r="E2528" s="80"/>
    </row>
    <row r="2529" spans="2:5" ht="14.25" customHeight="1" x14ac:dyDescent="0.25">
      <c r="B2529" s="103"/>
      <c r="D2529" s="80"/>
      <c r="E2529" s="80"/>
    </row>
    <row r="2530" spans="2:5" ht="14.25" customHeight="1" x14ac:dyDescent="0.25">
      <c r="B2530" s="103"/>
      <c r="D2530" s="80"/>
      <c r="E2530" s="80"/>
    </row>
    <row r="2531" spans="2:5" ht="14.25" customHeight="1" x14ac:dyDescent="0.25">
      <c r="B2531" s="103"/>
      <c r="D2531" s="80"/>
      <c r="E2531" s="80"/>
    </row>
    <row r="2532" spans="2:5" ht="14.25" customHeight="1" x14ac:dyDescent="0.25">
      <c r="B2532" s="103"/>
      <c r="D2532" s="80"/>
      <c r="E2532" s="80"/>
    </row>
    <row r="2533" spans="2:5" ht="14.25" customHeight="1" x14ac:dyDescent="0.25">
      <c r="B2533" s="103"/>
      <c r="D2533" s="80"/>
      <c r="E2533" s="80"/>
    </row>
    <row r="2534" spans="2:5" ht="14.25" customHeight="1" x14ac:dyDescent="0.25">
      <c r="B2534" s="103"/>
      <c r="D2534" s="80"/>
      <c r="E2534" s="80"/>
    </row>
    <row r="2535" spans="2:5" ht="14.25" customHeight="1" x14ac:dyDescent="0.25">
      <c r="B2535" s="103"/>
      <c r="D2535" s="80"/>
      <c r="E2535" s="80"/>
    </row>
    <row r="2536" spans="2:5" ht="14.25" customHeight="1" x14ac:dyDescent="0.25">
      <c r="B2536" s="103"/>
      <c r="D2536" s="80"/>
      <c r="E2536" s="80"/>
    </row>
    <row r="2537" spans="2:5" ht="14.25" customHeight="1" x14ac:dyDescent="0.25">
      <c r="B2537" s="103"/>
      <c r="D2537" s="80"/>
      <c r="E2537" s="80"/>
    </row>
    <row r="2538" spans="2:5" ht="14.25" customHeight="1" x14ac:dyDescent="0.25">
      <c r="B2538" s="103"/>
      <c r="D2538" s="80"/>
      <c r="E2538" s="80"/>
    </row>
    <row r="2539" spans="2:5" ht="14.25" customHeight="1" x14ac:dyDescent="0.25">
      <c r="B2539" s="103"/>
      <c r="D2539" s="80"/>
      <c r="E2539" s="80"/>
    </row>
    <row r="2540" spans="2:5" ht="14.25" customHeight="1" x14ac:dyDescent="0.25">
      <c r="B2540" s="103"/>
      <c r="D2540" s="80"/>
      <c r="E2540" s="80"/>
    </row>
    <row r="2541" spans="2:5" ht="14.25" customHeight="1" x14ac:dyDescent="0.25">
      <c r="B2541" s="103"/>
      <c r="D2541" s="80"/>
      <c r="E2541" s="80"/>
    </row>
    <row r="2542" spans="2:5" ht="14.25" customHeight="1" x14ac:dyDescent="0.25">
      <c r="B2542" s="103"/>
      <c r="D2542" s="80"/>
      <c r="E2542" s="80"/>
    </row>
    <row r="2543" spans="2:5" ht="14.25" customHeight="1" x14ac:dyDescent="0.25">
      <c r="B2543" s="103"/>
      <c r="D2543" s="80"/>
      <c r="E2543" s="80"/>
    </row>
    <row r="2544" spans="2:5" ht="14.25" customHeight="1" x14ac:dyDescent="0.25">
      <c r="B2544" s="103"/>
      <c r="D2544" s="80"/>
      <c r="E2544" s="80"/>
    </row>
    <row r="2545" spans="2:5" ht="14.25" customHeight="1" x14ac:dyDescent="0.25">
      <c r="B2545" s="103"/>
      <c r="D2545" s="80"/>
      <c r="E2545" s="80"/>
    </row>
    <row r="2546" spans="2:5" ht="14.25" customHeight="1" x14ac:dyDescent="0.25">
      <c r="B2546" s="103"/>
      <c r="D2546" s="80"/>
      <c r="E2546" s="80"/>
    </row>
    <row r="2547" spans="2:5" ht="14.25" customHeight="1" x14ac:dyDescent="0.25">
      <c r="B2547" s="103"/>
      <c r="D2547" s="80"/>
      <c r="E2547" s="80"/>
    </row>
    <row r="2548" spans="2:5" ht="14.25" customHeight="1" x14ac:dyDescent="0.25">
      <c r="B2548" s="103"/>
      <c r="D2548" s="80"/>
      <c r="E2548" s="80"/>
    </row>
    <row r="2549" spans="2:5" ht="14.25" customHeight="1" x14ac:dyDescent="0.25">
      <c r="B2549" s="103"/>
      <c r="D2549" s="80"/>
      <c r="E2549" s="80"/>
    </row>
    <row r="2550" spans="2:5" ht="14.25" customHeight="1" x14ac:dyDescent="0.25">
      <c r="B2550" s="103"/>
      <c r="D2550" s="80"/>
      <c r="E2550" s="80"/>
    </row>
    <row r="2551" spans="2:5" ht="14.25" customHeight="1" x14ac:dyDescent="0.25">
      <c r="B2551" s="103"/>
      <c r="D2551" s="80"/>
      <c r="E2551" s="80"/>
    </row>
    <row r="2552" spans="2:5" ht="14.25" customHeight="1" x14ac:dyDescent="0.25">
      <c r="B2552" s="103"/>
      <c r="D2552" s="80"/>
      <c r="E2552" s="80"/>
    </row>
    <row r="2553" spans="2:5" ht="14.25" customHeight="1" x14ac:dyDescent="0.25">
      <c r="B2553" s="103"/>
      <c r="D2553" s="80"/>
      <c r="E2553" s="80"/>
    </row>
    <row r="2554" spans="2:5" ht="14.25" customHeight="1" x14ac:dyDescent="0.25">
      <c r="B2554" s="103"/>
      <c r="D2554" s="80"/>
      <c r="E2554" s="80"/>
    </row>
    <row r="2555" spans="2:5" ht="14.25" customHeight="1" x14ac:dyDescent="0.25">
      <c r="B2555" s="103"/>
      <c r="D2555" s="80"/>
      <c r="E2555" s="80"/>
    </row>
    <row r="2556" spans="2:5" ht="14.25" customHeight="1" x14ac:dyDescent="0.25">
      <c r="B2556" s="103"/>
      <c r="D2556" s="80"/>
      <c r="E2556" s="80"/>
    </row>
    <row r="2557" spans="2:5" ht="14.25" customHeight="1" x14ac:dyDescent="0.25">
      <c r="B2557" s="103"/>
      <c r="D2557" s="80"/>
      <c r="E2557" s="80"/>
    </row>
    <row r="2558" spans="2:5" ht="14.25" customHeight="1" x14ac:dyDescent="0.25">
      <c r="B2558" s="103"/>
      <c r="D2558" s="80"/>
      <c r="E2558" s="80"/>
    </row>
    <row r="2559" spans="2:5" ht="14.25" customHeight="1" x14ac:dyDescent="0.25">
      <c r="B2559" s="103"/>
      <c r="D2559" s="80"/>
      <c r="E2559" s="80"/>
    </row>
    <row r="2560" spans="2:5" ht="14.25" customHeight="1" x14ac:dyDescent="0.25">
      <c r="B2560" s="103"/>
      <c r="D2560" s="80"/>
      <c r="E2560" s="80"/>
    </row>
    <row r="2561" spans="2:5" ht="14.25" customHeight="1" x14ac:dyDescent="0.25">
      <c r="B2561" s="103"/>
      <c r="D2561" s="80"/>
      <c r="E2561" s="80"/>
    </row>
    <row r="2562" spans="2:5" ht="14.25" customHeight="1" x14ac:dyDescent="0.25">
      <c r="B2562" s="103"/>
      <c r="D2562" s="80"/>
      <c r="E2562" s="80"/>
    </row>
    <row r="2563" spans="2:5" ht="14.25" customHeight="1" x14ac:dyDescent="0.25">
      <c r="B2563" s="103"/>
      <c r="D2563" s="80"/>
      <c r="E2563" s="80"/>
    </row>
    <row r="2564" spans="2:5" ht="14.25" customHeight="1" x14ac:dyDescent="0.25">
      <c r="B2564" s="103"/>
      <c r="D2564" s="80"/>
      <c r="E2564" s="80"/>
    </row>
    <row r="2565" spans="2:5" ht="14.25" customHeight="1" x14ac:dyDescent="0.25">
      <c r="B2565" s="103"/>
      <c r="D2565" s="80"/>
      <c r="E2565" s="80"/>
    </row>
    <row r="2566" spans="2:5" ht="14.25" customHeight="1" x14ac:dyDescent="0.25">
      <c r="B2566" s="103"/>
      <c r="D2566" s="80"/>
      <c r="E2566" s="80"/>
    </row>
    <row r="2567" spans="2:5" ht="14.25" customHeight="1" x14ac:dyDescent="0.25">
      <c r="B2567" s="103"/>
      <c r="D2567" s="80"/>
      <c r="E2567" s="80"/>
    </row>
    <row r="2568" spans="2:5" ht="14.25" customHeight="1" x14ac:dyDescent="0.25">
      <c r="B2568" s="103"/>
      <c r="D2568" s="80"/>
      <c r="E2568" s="80"/>
    </row>
    <row r="2569" spans="2:5" ht="14.25" customHeight="1" x14ac:dyDescent="0.25">
      <c r="B2569" s="103"/>
      <c r="D2569" s="80"/>
      <c r="E2569" s="80"/>
    </row>
    <row r="2570" spans="2:5" ht="14.25" customHeight="1" x14ac:dyDescent="0.25">
      <c r="B2570" s="103"/>
      <c r="D2570" s="80"/>
      <c r="E2570" s="80"/>
    </row>
    <row r="2571" spans="2:5" ht="14.25" customHeight="1" x14ac:dyDescent="0.25">
      <c r="B2571" s="103"/>
      <c r="D2571" s="80"/>
      <c r="E2571" s="80"/>
    </row>
    <row r="2572" spans="2:5" ht="14.25" customHeight="1" x14ac:dyDescent="0.25">
      <c r="B2572" s="103"/>
      <c r="D2572" s="80"/>
      <c r="E2572" s="80"/>
    </row>
    <row r="2573" spans="2:5" ht="14.25" customHeight="1" x14ac:dyDescent="0.25">
      <c r="B2573" s="103"/>
      <c r="D2573" s="80"/>
      <c r="E2573" s="80"/>
    </row>
    <row r="2574" spans="2:5" ht="14.25" customHeight="1" x14ac:dyDescent="0.25">
      <c r="B2574" s="103"/>
      <c r="D2574" s="80"/>
      <c r="E2574" s="80"/>
    </row>
    <row r="2575" spans="2:5" ht="14.25" customHeight="1" x14ac:dyDescent="0.25">
      <c r="B2575" s="103"/>
      <c r="D2575" s="80"/>
      <c r="E2575" s="80"/>
    </row>
    <row r="2576" spans="2:5" ht="14.25" customHeight="1" x14ac:dyDescent="0.25">
      <c r="B2576" s="103"/>
      <c r="D2576" s="80"/>
      <c r="E2576" s="80"/>
    </row>
    <row r="2577" spans="2:5" ht="14.25" customHeight="1" x14ac:dyDescent="0.25">
      <c r="B2577" s="103"/>
      <c r="D2577" s="80"/>
      <c r="E2577" s="80"/>
    </row>
    <row r="2578" spans="2:5" ht="14.25" customHeight="1" x14ac:dyDescent="0.25">
      <c r="B2578" s="103"/>
      <c r="D2578" s="80"/>
      <c r="E2578" s="80"/>
    </row>
    <row r="2579" spans="2:5" ht="14.25" customHeight="1" x14ac:dyDescent="0.25">
      <c r="B2579" s="103"/>
      <c r="D2579" s="80"/>
      <c r="E2579" s="80"/>
    </row>
    <row r="2580" spans="2:5" ht="14.25" customHeight="1" x14ac:dyDescent="0.25">
      <c r="B2580" s="103"/>
      <c r="D2580" s="80"/>
      <c r="E2580" s="80"/>
    </row>
    <row r="2581" spans="2:5" ht="14.25" customHeight="1" x14ac:dyDescent="0.25">
      <c r="B2581" s="103"/>
      <c r="D2581" s="80"/>
      <c r="E2581" s="80"/>
    </row>
    <row r="2582" spans="2:5" ht="14.25" customHeight="1" x14ac:dyDescent="0.25">
      <c r="B2582" s="103"/>
      <c r="D2582" s="80"/>
      <c r="E2582" s="80"/>
    </row>
    <row r="2583" spans="2:5" ht="14.25" customHeight="1" x14ac:dyDescent="0.25">
      <c r="B2583" s="103"/>
      <c r="D2583" s="80"/>
      <c r="E2583" s="80"/>
    </row>
    <row r="2584" spans="2:5" ht="14.25" customHeight="1" x14ac:dyDescent="0.25">
      <c r="B2584" s="103"/>
      <c r="D2584" s="80"/>
      <c r="E2584" s="80"/>
    </row>
    <row r="2585" spans="2:5" ht="14.25" customHeight="1" x14ac:dyDescent="0.25">
      <c r="B2585" s="103"/>
      <c r="D2585" s="80"/>
      <c r="E2585" s="80"/>
    </row>
    <row r="2586" spans="2:5" ht="14.25" customHeight="1" x14ac:dyDescent="0.25">
      <c r="B2586" s="103"/>
      <c r="D2586" s="80"/>
      <c r="E2586" s="80"/>
    </row>
    <row r="2587" spans="2:5" ht="14.25" customHeight="1" x14ac:dyDescent="0.25">
      <c r="B2587" s="103"/>
      <c r="D2587" s="80"/>
      <c r="E2587" s="80"/>
    </row>
    <row r="2588" spans="2:5" ht="14.25" customHeight="1" x14ac:dyDescent="0.25">
      <c r="B2588" s="103"/>
      <c r="D2588" s="80"/>
      <c r="E2588" s="80"/>
    </row>
    <row r="2589" spans="2:5" ht="14.25" customHeight="1" x14ac:dyDescent="0.25">
      <c r="B2589" s="103"/>
      <c r="D2589" s="80"/>
      <c r="E2589" s="80"/>
    </row>
    <row r="2590" spans="2:5" ht="14.25" customHeight="1" x14ac:dyDescent="0.25">
      <c r="B2590" s="103"/>
      <c r="D2590" s="80"/>
      <c r="E2590" s="80"/>
    </row>
    <row r="2591" spans="2:5" ht="14.25" customHeight="1" x14ac:dyDescent="0.25">
      <c r="B2591" s="103"/>
      <c r="D2591" s="80"/>
      <c r="E2591" s="80"/>
    </row>
    <row r="2592" spans="2:5" ht="14.25" customHeight="1" x14ac:dyDescent="0.25">
      <c r="B2592" s="103"/>
      <c r="D2592" s="80"/>
      <c r="E2592" s="80"/>
    </row>
    <row r="2593" spans="2:5" ht="14.25" customHeight="1" x14ac:dyDescent="0.25">
      <c r="B2593" s="103"/>
      <c r="D2593" s="80"/>
      <c r="E2593" s="80"/>
    </row>
    <row r="2594" spans="2:5" ht="14.25" customHeight="1" x14ac:dyDescent="0.25">
      <c r="B2594" s="103"/>
      <c r="D2594" s="80"/>
      <c r="E2594" s="80"/>
    </row>
    <row r="2595" spans="2:5" ht="14.25" customHeight="1" x14ac:dyDescent="0.25">
      <c r="B2595" s="103"/>
      <c r="D2595" s="80"/>
      <c r="E2595" s="80"/>
    </row>
    <row r="2596" spans="2:5" ht="14.25" customHeight="1" x14ac:dyDescent="0.25">
      <c r="B2596" s="103"/>
      <c r="D2596" s="80"/>
      <c r="E2596" s="80"/>
    </row>
    <row r="2597" spans="2:5" ht="14.25" customHeight="1" x14ac:dyDescent="0.25">
      <c r="B2597" s="103"/>
      <c r="D2597" s="80"/>
      <c r="E2597" s="80"/>
    </row>
    <row r="2598" spans="2:5" ht="14.25" customHeight="1" x14ac:dyDescent="0.25">
      <c r="B2598" s="103"/>
      <c r="D2598" s="80"/>
      <c r="E2598" s="80"/>
    </row>
    <row r="2599" spans="2:5" ht="14.25" customHeight="1" x14ac:dyDescent="0.25">
      <c r="B2599" s="103"/>
      <c r="D2599" s="80"/>
      <c r="E2599" s="80"/>
    </row>
    <row r="2600" spans="2:5" ht="14.25" customHeight="1" x14ac:dyDescent="0.25">
      <c r="B2600" s="103"/>
      <c r="D2600" s="80"/>
      <c r="E2600" s="80"/>
    </row>
    <row r="2601" spans="2:5" ht="14.25" customHeight="1" x14ac:dyDescent="0.25">
      <c r="B2601" s="103"/>
      <c r="D2601" s="80"/>
      <c r="E2601" s="80"/>
    </row>
    <row r="2602" spans="2:5" ht="14.25" customHeight="1" x14ac:dyDescent="0.25">
      <c r="B2602" s="103"/>
      <c r="D2602" s="80"/>
      <c r="E2602" s="80"/>
    </row>
    <row r="2603" spans="2:5" ht="14.25" customHeight="1" x14ac:dyDescent="0.25">
      <c r="B2603" s="103"/>
      <c r="D2603" s="80"/>
      <c r="E2603" s="80"/>
    </row>
    <row r="2604" spans="2:5" ht="14.25" customHeight="1" x14ac:dyDescent="0.25">
      <c r="B2604" s="103"/>
      <c r="D2604" s="80"/>
      <c r="E2604" s="80"/>
    </row>
    <row r="2605" spans="2:5" ht="14.25" customHeight="1" x14ac:dyDescent="0.25">
      <c r="B2605" s="103"/>
      <c r="D2605" s="80"/>
      <c r="E2605" s="80"/>
    </row>
    <row r="2606" spans="2:5" ht="14.25" customHeight="1" x14ac:dyDescent="0.25">
      <c r="B2606" s="103"/>
      <c r="D2606" s="80"/>
      <c r="E2606" s="80"/>
    </row>
    <row r="2607" spans="2:5" ht="14.25" customHeight="1" x14ac:dyDescent="0.25">
      <c r="B2607" s="103"/>
      <c r="D2607" s="80"/>
      <c r="E2607" s="80"/>
    </row>
    <row r="2608" spans="2:5" ht="14.25" customHeight="1" x14ac:dyDescent="0.25">
      <c r="B2608" s="103"/>
      <c r="D2608" s="80"/>
      <c r="E2608" s="80"/>
    </row>
    <row r="2609" spans="2:5" ht="14.25" customHeight="1" x14ac:dyDescent="0.25">
      <c r="B2609" s="103"/>
      <c r="D2609" s="80"/>
      <c r="E2609" s="80"/>
    </row>
    <row r="2610" spans="2:5" ht="14.25" customHeight="1" x14ac:dyDescent="0.25">
      <c r="B2610" s="103"/>
      <c r="D2610" s="80"/>
      <c r="E2610" s="80"/>
    </row>
    <row r="2611" spans="2:5" ht="14.25" customHeight="1" x14ac:dyDescent="0.25">
      <c r="B2611" s="103"/>
      <c r="D2611" s="80"/>
      <c r="E2611" s="80"/>
    </row>
    <row r="2612" spans="2:5" ht="14.25" customHeight="1" x14ac:dyDescent="0.25">
      <c r="B2612" s="103"/>
      <c r="D2612" s="80"/>
      <c r="E2612" s="80"/>
    </row>
    <row r="2613" spans="2:5" ht="14.25" customHeight="1" x14ac:dyDescent="0.25">
      <c r="B2613" s="103"/>
      <c r="D2613" s="80"/>
      <c r="E2613" s="80"/>
    </row>
    <row r="2614" spans="2:5" ht="14.25" customHeight="1" x14ac:dyDescent="0.25">
      <c r="B2614" s="103"/>
      <c r="D2614" s="80"/>
      <c r="E2614" s="80"/>
    </row>
    <row r="2615" spans="2:5" ht="14.25" customHeight="1" x14ac:dyDescent="0.25">
      <c r="B2615" s="103"/>
      <c r="D2615" s="80"/>
      <c r="E2615" s="80"/>
    </row>
    <row r="2616" spans="2:5" ht="14.25" customHeight="1" x14ac:dyDescent="0.25">
      <c r="B2616" s="103"/>
      <c r="D2616" s="80"/>
      <c r="E2616" s="80"/>
    </row>
    <row r="2617" spans="2:5" ht="14.25" customHeight="1" x14ac:dyDescent="0.25">
      <c r="B2617" s="103"/>
      <c r="D2617" s="80"/>
      <c r="E2617" s="80"/>
    </row>
    <row r="2618" spans="2:5" ht="14.25" customHeight="1" x14ac:dyDescent="0.25">
      <c r="B2618" s="103"/>
      <c r="D2618" s="80"/>
      <c r="E2618" s="80"/>
    </row>
    <row r="2619" spans="2:5" ht="14.25" customHeight="1" x14ac:dyDescent="0.25">
      <c r="B2619" s="103"/>
      <c r="D2619" s="80"/>
      <c r="E2619" s="80"/>
    </row>
    <row r="2620" spans="2:5" ht="14.25" customHeight="1" x14ac:dyDescent="0.25">
      <c r="B2620" s="103"/>
      <c r="D2620" s="80"/>
      <c r="E2620" s="80"/>
    </row>
    <row r="2621" spans="2:5" ht="14.25" customHeight="1" x14ac:dyDescent="0.25">
      <c r="B2621" s="103"/>
      <c r="D2621" s="80"/>
      <c r="E2621" s="80"/>
    </row>
    <row r="2622" spans="2:5" ht="14.25" customHeight="1" x14ac:dyDescent="0.25">
      <c r="B2622" s="103"/>
      <c r="D2622" s="80"/>
      <c r="E2622" s="80"/>
    </row>
    <row r="2623" spans="2:5" ht="14.25" customHeight="1" x14ac:dyDescent="0.25">
      <c r="B2623" s="103"/>
      <c r="D2623" s="80"/>
      <c r="E2623" s="80"/>
    </row>
    <row r="2624" spans="2:5" ht="14.25" customHeight="1" x14ac:dyDescent="0.25">
      <c r="B2624" s="103"/>
      <c r="D2624" s="80"/>
      <c r="E2624" s="80"/>
    </row>
    <row r="2625" spans="2:5" ht="14.25" customHeight="1" x14ac:dyDescent="0.25">
      <c r="B2625" s="103"/>
      <c r="D2625" s="80"/>
      <c r="E2625" s="80"/>
    </row>
    <row r="2626" spans="2:5" ht="14.25" customHeight="1" x14ac:dyDescent="0.25">
      <c r="B2626" s="103"/>
      <c r="D2626" s="80"/>
      <c r="E2626" s="80"/>
    </row>
    <row r="2627" spans="2:5" ht="14.25" customHeight="1" x14ac:dyDescent="0.25">
      <c r="B2627" s="103"/>
      <c r="D2627" s="80"/>
      <c r="E2627" s="80"/>
    </row>
    <row r="2628" spans="2:5" ht="14.25" customHeight="1" x14ac:dyDescent="0.25">
      <c r="B2628" s="103"/>
      <c r="D2628" s="80"/>
      <c r="E2628" s="80"/>
    </row>
    <row r="2629" spans="2:5" ht="14.25" customHeight="1" x14ac:dyDescent="0.25">
      <c r="B2629" s="103"/>
      <c r="D2629" s="80"/>
      <c r="E2629" s="80"/>
    </row>
    <row r="2630" spans="2:5" ht="14.25" customHeight="1" x14ac:dyDescent="0.25">
      <c r="B2630" s="103"/>
      <c r="D2630" s="80"/>
      <c r="E2630" s="80"/>
    </row>
    <row r="2631" spans="2:5" ht="14.25" customHeight="1" x14ac:dyDescent="0.25">
      <c r="B2631" s="103"/>
      <c r="D2631" s="80"/>
      <c r="E2631" s="80"/>
    </row>
    <row r="2632" spans="2:5" ht="14.25" customHeight="1" x14ac:dyDescent="0.25">
      <c r="B2632" s="103"/>
      <c r="D2632" s="80"/>
      <c r="E2632" s="80"/>
    </row>
    <row r="2633" spans="2:5" ht="14.25" customHeight="1" x14ac:dyDescent="0.25">
      <c r="B2633" s="103"/>
      <c r="D2633" s="80"/>
      <c r="E2633" s="80"/>
    </row>
    <row r="2634" spans="2:5" ht="14.25" customHeight="1" x14ac:dyDescent="0.25">
      <c r="B2634" s="103"/>
      <c r="D2634" s="80"/>
      <c r="E2634" s="80"/>
    </row>
    <row r="2635" spans="2:5" ht="14.25" customHeight="1" x14ac:dyDescent="0.25">
      <c r="B2635" s="103"/>
      <c r="D2635" s="80"/>
      <c r="E2635" s="80"/>
    </row>
    <row r="2636" spans="2:5" ht="14.25" customHeight="1" x14ac:dyDescent="0.25">
      <c r="B2636" s="103"/>
      <c r="D2636" s="80"/>
      <c r="E2636" s="80"/>
    </row>
    <row r="2637" spans="2:5" ht="14.25" customHeight="1" x14ac:dyDescent="0.25">
      <c r="B2637" s="103"/>
      <c r="D2637" s="80"/>
      <c r="E2637" s="80"/>
    </row>
    <row r="2638" spans="2:5" ht="14.25" customHeight="1" x14ac:dyDescent="0.25">
      <c r="B2638" s="103"/>
      <c r="D2638" s="80"/>
      <c r="E2638" s="80"/>
    </row>
    <row r="2639" spans="2:5" ht="14.25" customHeight="1" x14ac:dyDescent="0.25">
      <c r="B2639" s="103"/>
      <c r="D2639" s="80"/>
      <c r="E2639" s="80"/>
    </row>
    <row r="2640" spans="2:5" ht="14.25" customHeight="1" x14ac:dyDescent="0.25">
      <c r="B2640" s="103"/>
      <c r="D2640" s="80"/>
      <c r="E2640" s="80"/>
    </row>
    <row r="2641" spans="2:5" ht="14.25" customHeight="1" x14ac:dyDescent="0.25">
      <c r="B2641" s="103"/>
      <c r="D2641" s="80"/>
      <c r="E2641" s="80"/>
    </row>
    <row r="2642" spans="2:5" ht="14.25" customHeight="1" x14ac:dyDescent="0.25">
      <c r="B2642" s="103"/>
      <c r="D2642" s="80"/>
      <c r="E2642" s="80"/>
    </row>
    <row r="2643" spans="2:5" ht="14.25" customHeight="1" x14ac:dyDescent="0.25">
      <c r="B2643" s="103"/>
      <c r="D2643" s="80"/>
      <c r="E2643" s="80"/>
    </row>
    <row r="2644" spans="2:5" ht="14.25" customHeight="1" x14ac:dyDescent="0.25">
      <c r="B2644" s="103"/>
      <c r="D2644" s="80"/>
      <c r="E2644" s="80"/>
    </row>
    <row r="2645" spans="2:5" ht="14.25" customHeight="1" x14ac:dyDescent="0.25">
      <c r="B2645" s="103"/>
      <c r="D2645" s="80"/>
      <c r="E2645" s="80"/>
    </row>
    <row r="2646" spans="2:5" ht="14.25" customHeight="1" x14ac:dyDescent="0.25">
      <c r="B2646" s="103"/>
      <c r="D2646" s="80"/>
      <c r="E2646" s="80"/>
    </row>
    <row r="2647" spans="2:5" ht="14.25" customHeight="1" x14ac:dyDescent="0.25">
      <c r="B2647" s="103"/>
      <c r="D2647" s="80"/>
      <c r="E2647" s="80"/>
    </row>
    <row r="2648" spans="2:5" ht="14.25" customHeight="1" x14ac:dyDescent="0.25">
      <c r="B2648" s="103"/>
      <c r="D2648" s="80"/>
      <c r="E2648" s="80"/>
    </row>
    <row r="2649" spans="2:5" ht="14.25" customHeight="1" x14ac:dyDescent="0.25">
      <c r="B2649" s="103"/>
      <c r="D2649" s="80"/>
      <c r="E2649" s="80"/>
    </row>
    <row r="2650" spans="2:5" ht="14.25" customHeight="1" x14ac:dyDescent="0.25">
      <c r="B2650" s="103"/>
      <c r="D2650" s="80"/>
      <c r="E2650" s="80"/>
    </row>
    <row r="2651" spans="2:5" ht="14.25" customHeight="1" x14ac:dyDescent="0.25">
      <c r="B2651" s="103"/>
      <c r="D2651" s="80"/>
      <c r="E2651" s="80"/>
    </row>
    <row r="2652" spans="2:5" ht="14.25" customHeight="1" x14ac:dyDescent="0.25">
      <c r="B2652" s="103"/>
      <c r="D2652" s="80"/>
      <c r="E2652" s="80"/>
    </row>
    <row r="2653" spans="2:5" ht="14.25" customHeight="1" x14ac:dyDescent="0.25">
      <c r="B2653" s="103"/>
      <c r="D2653" s="80"/>
      <c r="E2653" s="80"/>
    </row>
    <row r="2654" spans="2:5" ht="14.25" customHeight="1" x14ac:dyDescent="0.25">
      <c r="B2654" s="103"/>
      <c r="D2654" s="80"/>
      <c r="E2654" s="80"/>
    </row>
    <row r="2655" spans="2:5" ht="14.25" customHeight="1" x14ac:dyDescent="0.25">
      <c r="B2655" s="103"/>
      <c r="D2655" s="80"/>
      <c r="E2655" s="80"/>
    </row>
    <row r="2656" spans="2:5" ht="14.25" customHeight="1" x14ac:dyDescent="0.25">
      <c r="B2656" s="103"/>
      <c r="D2656" s="80"/>
      <c r="E2656" s="80"/>
    </row>
    <row r="2657" spans="2:5" ht="14.25" customHeight="1" x14ac:dyDescent="0.25">
      <c r="B2657" s="103"/>
      <c r="D2657" s="80"/>
      <c r="E2657" s="80"/>
    </row>
    <row r="2658" spans="2:5" ht="14.25" customHeight="1" x14ac:dyDescent="0.25">
      <c r="B2658" s="103"/>
      <c r="D2658" s="80"/>
      <c r="E2658" s="80"/>
    </row>
    <row r="2659" spans="2:5" ht="14.25" customHeight="1" x14ac:dyDescent="0.25">
      <c r="B2659" s="103"/>
      <c r="D2659" s="80"/>
      <c r="E2659" s="80"/>
    </row>
    <row r="2660" spans="2:5" ht="14.25" customHeight="1" x14ac:dyDescent="0.25">
      <c r="B2660" s="103"/>
      <c r="D2660" s="80"/>
      <c r="E2660" s="80"/>
    </row>
    <row r="2661" spans="2:5" ht="14.25" customHeight="1" x14ac:dyDescent="0.25">
      <c r="B2661" s="103"/>
      <c r="D2661" s="80"/>
      <c r="E2661" s="80"/>
    </row>
    <row r="2662" spans="2:5" ht="14.25" customHeight="1" x14ac:dyDescent="0.25">
      <c r="B2662" s="103"/>
      <c r="D2662" s="80"/>
      <c r="E2662" s="80"/>
    </row>
    <row r="2663" spans="2:5" ht="14.25" customHeight="1" x14ac:dyDescent="0.25">
      <c r="B2663" s="103"/>
      <c r="D2663" s="80"/>
      <c r="E2663" s="80"/>
    </row>
    <row r="2664" spans="2:5" ht="14.25" customHeight="1" x14ac:dyDescent="0.25">
      <c r="B2664" s="103"/>
      <c r="D2664" s="80"/>
      <c r="E2664" s="80"/>
    </row>
    <row r="2665" spans="2:5" ht="14.25" customHeight="1" x14ac:dyDescent="0.25">
      <c r="B2665" s="103"/>
      <c r="D2665" s="80"/>
      <c r="E2665" s="80"/>
    </row>
    <row r="2666" spans="2:5" ht="14.25" customHeight="1" x14ac:dyDescent="0.25">
      <c r="B2666" s="103"/>
      <c r="D2666" s="80"/>
      <c r="E2666" s="80"/>
    </row>
    <row r="2667" spans="2:5" ht="14.25" customHeight="1" x14ac:dyDescent="0.25">
      <c r="B2667" s="103"/>
      <c r="D2667" s="80"/>
      <c r="E2667" s="80"/>
    </row>
    <row r="2668" spans="2:5" ht="14.25" customHeight="1" x14ac:dyDescent="0.25">
      <c r="B2668" s="103"/>
      <c r="D2668" s="80"/>
      <c r="E2668" s="80"/>
    </row>
    <row r="2669" spans="2:5" ht="14.25" customHeight="1" x14ac:dyDescent="0.25">
      <c r="B2669" s="103"/>
      <c r="D2669" s="80"/>
      <c r="E2669" s="80"/>
    </row>
    <row r="2670" spans="2:5" ht="14.25" customHeight="1" x14ac:dyDescent="0.25">
      <c r="B2670" s="103"/>
      <c r="D2670" s="80"/>
      <c r="E2670" s="80"/>
    </row>
    <row r="2671" spans="2:5" ht="14.25" customHeight="1" x14ac:dyDescent="0.25">
      <c r="B2671" s="103"/>
      <c r="D2671" s="80"/>
      <c r="E2671" s="80"/>
    </row>
    <row r="2672" spans="2:5" ht="14.25" customHeight="1" x14ac:dyDescent="0.25">
      <c r="B2672" s="103"/>
      <c r="D2672" s="80"/>
      <c r="E2672" s="80"/>
    </row>
    <row r="2673" spans="2:5" ht="14.25" customHeight="1" x14ac:dyDescent="0.25">
      <c r="B2673" s="103"/>
      <c r="D2673" s="80"/>
      <c r="E2673" s="80"/>
    </row>
    <row r="2674" spans="2:5" ht="14.25" customHeight="1" x14ac:dyDescent="0.25">
      <c r="B2674" s="103"/>
      <c r="D2674" s="80"/>
      <c r="E2674" s="80"/>
    </row>
    <row r="2675" spans="2:5" ht="14.25" customHeight="1" x14ac:dyDescent="0.25">
      <c r="B2675" s="103"/>
      <c r="D2675" s="80"/>
      <c r="E2675" s="80"/>
    </row>
    <row r="2676" spans="2:5" ht="14.25" customHeight="1" x14ac:dyDescent="0.25">
      <c r="B2676" s="103"/>
      <c r="D2676" s="80"/>
      <c r="E2676" s="80"/>
    </row>
    <row r="2677" spans="2:5" ht="14.25" customHeight="1" x14ac:dyDescent="0.25">
      <c r="B2677" s="103"/>
      <c r="D2677" s="80"/>
      <c r="E2677" s="80"/>
    </row>
    <row r="2678" spans="2:5" ht="14.25" customHeight="1" x14ac:dyDescent="0.25">
      <c r="B2678" s="103"/>
      <c r="D2678" s="80"/>
      <c r="E2678" s="80"/>
    </row>
    <row r="2679" spans="2:5" ht="14.25" customHeight="1" x14ac:dyDescent="0.25">
      <c r="B2679" s="103"/>
      <c r="D2679" s="80"/>
      <c r="E2679" s="80"/>
    </row>
    <row r="2680" spans="2:5" ht="14.25" customHeight="1" x14ac:dyDescent="0.25">
      <c r="B2680" s="103"/>
      <c r="D2680" s="80"/>
      <c r="E2680" s="80"/>
    </row>
    <row r="2681" spans="2:5" ht="14.25" customHeight="1" x14ac:dyDescent="0.25">
      <c r="B2681" s="103"/>
      <c r="D2681" s="80"/>
      <c r="E2681" s="80"/>
    </row>
    <row r="2682" spans="2:5" ht="14.25" customHeight="1" x14ac:dyDescent="0.25">
      <c r="B2682" s="103"/>
      <c r="D2682" s="80"/>
      <c r="E2682" s="80"/>
    </row>
    <row r="2683" spans="2:5" ht="14.25" customHeight="1" x14ac:dyDescent="0.25">
      <c r="B2683" s="103"/>
      <c r="D2683" s="80"/>
      <c r="E2683" s="80"/>
    </row>
    <row r="2684" spans="2:5" ht="14.25" customHeight="1" x14ac:dyDescent="0.25">
      <c r="B2684" s="103"/>
      <c r="D2684" s="80"/>
      <c r="E2684" s="80"/>
    </row>
    <row r="2685" spans="2:5" ht="14.25" customHeight="1" x14ac:dyDescent="0.25">
      <c r="B2685" s="103"/>
      <c r="D2685" s="80"/>
      <c r="E2685" s="80"/>
    </row>
    <row r="2686" spans="2:5" ht="14.25" customHeight="1" x14ac:dyDescent="0.25">
      <c r="B2686" s="103"/>
      <c r="D2686" s="80"/>
      <c r="E2686" s="80"/>
    </row>
    <row r="2687" spans="2:5" ht="14.25" customHeight="1" x14ac:dyDescent="0.25">
      <c r="B2687" s="103"/>
      <c r="D2687" s="80"/>
      <c r="E2687" s="80"/>
    </row>
    <row r="2688" spans="2:5" ht="14.25" customHeight="1" x14ac:dyDescent="0.25">
      <c r="B2688" s="103"/>
      <c r="D2688" s="80"/>
      <c r="E2688" s="80"/>
    </row>
    <row r="2689" spans="2:5" ht="14.25" customHeight="1" x14ac:dyDescent="0.25">
      <c r="B2689" s="103"/>
      <c r="D2689" s="80"/>
      <c r="E2689" s="80"/>
    </row>
    <row r="2690" spans="2:5" ht="14.25" customHeight="1" x14ac:dyDescent="0.25">
      <c r="B2690" s="103"/>
      <c r="D2690" s="80"/>
      <c r="E2690" s="80"/>
    </row>
    <row r="2691" spans="2:5" ht="14.25" customHeight="1" x14ac:dyDescent="0.25">
      <c r="B2691" s="103"/>
      <c r="D2691" s="80"/>
      <c r="E2691" s="80"/>
    </row>
    <row r="2692" spans="2:5" ht="14.25" customHeight="1" x14ac:dyDescent="0.25">
      <c r="B2692" s="103"/>
      <c r="D2692" s="80"/>
      <c r="E2692" s="80"/>
    </row>
    <row r="2693" spans="2:5" ht="14.25" customHeight="1" x14ac:dyDescent="0.25">
      <c r="B2693" s="103"/>
      <c r="D2693" s="80"/>
      <c r="E2693" s="80"/>
    </row>
    <row r="2694" spans="2:5" ht="14.25" customHeight="1" x14ac:dyDescent="0.25">
      <c r="B2694" s="103"/>
      <c r="D2694" s="80"/>
      <c r="E2694" s="80"/>
    </row>
    <row r="2695" spans="2:5" ht="14.25" customHeight="1" x14ac:dyDescent="0.25">
      <c r="B2695" s="103"/>
      <c r="D2695" s="80"/>
      <c r="E2695" s="80"/>
    </row>
    <row r="2696" spans="2:5" ht="14.25" customHeight="1" x14ac:dyDescent="0.25">
      <c r="B2696" s="103"/>
      <c r="D2696" s="80"/>
      <c r="E2696" s="80"/>
    </row>
    <row r="2697" spans="2:5" ht="14.25" customHeight="1" x14ac:dyDescent="0.25">
      <c r="B2697" s="103"/>
      <c r="D2697" s="80"/>
      <c r="E2697" s="80"/>
    </row>
    <row r="2698" spans="2:5" ht="14.25" customHeight="1" x14ac:dyDescent="0.25">
      <c r="B2698" s="103"/>
      <c r="D2698" s="80"/>
      <c r="E2698" s="80"/>
    </row>
    <row r="2699" spans="2:5" ht="14.25" customHeight="1" x14ac:dyDescent="0.25">
      <c r="B2699" s="103"/>
      <c r="D2699" s="80"/>
      <c r="E2699" s="80"/>
    </row>
    <row r="2700" spans="2:5" ht="14.25" customHeight="1" x14ac:dyDescent="0.25">
      <c r="B2700" s="103"/>
      <c r="D2700" s="80"/>
      <c r="E2700" s="80"/>
    </row>
    <row r="2701" spans="2:5" ht="14.25" customHeight="1" x14ac:dyDescent="0.25">
      <c r="B2701" s="103"/>
      <c r="D2701" s="80"/>
      <c r="E2701" s="80"/>
    </row>
    <row r="2702" spans="2:5" ht="14.25" customHeight="1" x14ac:dyDescent="0.25">
      <c r="B2702" s="103"/>
      <c r="D2702" s="80"/>
      <c r="E2702" s="80"/>
    </row>
    <row r="2703" spans="2:5" ht="14.25" customHeight="1" x14ac:dyDescent="0.25">
      <c r="B2703" s="103"/>
      <c r="D2703" s="80"/>
      <c r="E2703" s="80"/>
    </row>
    <row r="2704" spans="2:5" ht="14.25" customHeight="1" x14ac:dyDescent="0.25">
      <c r="B2704" s="103"/>
      <c r="D2704" s="80"/>
      <c r="E2704" s="80"/>
    </row>
    <row r="2705" spans="2:5" ht="14.25" customHeight="1" x14ac:dyDescent="0.25">
      <c r="B2705" s="103"/>
      <c r="D2705" s="80"/>
      <c r="E2705" s="80"/>
    </row>
    <row r="2706" spans="2:5" ht="14.25" customHeight="1" x14ac:dyDescent="0.25">
      <c r="B2706" s="103"/>
      <c r="D2706" s="80"/>
      <c r="E2706" s="80"/>
    </row>
    <row r="2707" spans="2:5" ht="14.25" customHeight="1" x14ac:dyDescent="0.25">
      <c r="B2707" s="103"/>
      <c r="D2707" s="80"/>
      <c r="E2707" s="80"/>
    </row>
    <row r="2708" spans="2:5" ht="14.25" customHeight="1" x14ac:dyDescent="0.25">
      <c r="B2708" s="103"/>
      <c r="D2708" s="80"/>
      <c r="E2708" s="80"/>
    </row>
    <row r="2709" spans="2:5" ht="14.25" customHeight="1" x14ac:dyDescent="0.25">
      <c r="B2709" s="103"/>
      <c r="D2709" s="80"/>
      <c r="E2709" s="80"/>
    </row>
    <row r="2710" spans="2:5" ht="14.25" customHeight="1" x14ac:dyDescent="0.25">
      <c r="B2710" s="103"/>
      <c r="D2710" s="80"/>
      <c r="E2710" s="80"/>
    </row>
    <row r="2711" spans="2:5" ht="14.25" customHeight="1" x14ac:dyDescent="0.25">
      <c r="B2711" s="103"/>
      <c r="D2711" s="80"/>
      <c r="E2711" s="80"/>
    </row>
    <row r="2712" spans="2:5" ht="14.25" customHeight="1" x14ac:dyDescent="0.25">
      <c r="B2712" s="103"/>
      <c r="D2712" s="80"/>
      <c r="E2712" s="80"/>
    </row>
    <row r="2713" spans="2:5" ht="14.25" customHeight="1" x14ac:dyDescent="0.25">
      <c r="B2713" s="103"/>
      <c r="D2713" s="80"/>
      <c r="E2713" s="80"/>
    </row>
    <row r="2714" spans="2:5" ht="14.25" customHeight="1" x14ac:dyDescent="0.25">
      <c r="B2714" s="103"/>
      <c r="D2714" s="80"/>
      <c r="E2714" s="80"/>
    </row>
    <row r="2715" spans="2:5" ht="14.25" customHeight="1" x14ac:dyDescent="0.25">
      <c r="B2715" s="103"/>
      <c r="D2715" s="80"/>
      <c r="E2715" s="80"/>
    </row>
    <row r="2716" spans="2:5" ht="14.25" customHeight="1" x14ac:dyDescent="0.25">
      <c r="B2716" s="103"/>
      <c r="D2716" s="80"/>
      <c r="E2716" s="80"/>
    </row>
    <row r="2717" spans="2:5" ht="14.25" customHeight="1" x14ac:dyDescent="0.25">
      <c r="B2717" s="103"/>
      <c r="D2717" s="80"/>
      <c r="E2717" s="80"/>
    </row>
    <row r="2718" spans="2:5" ht="14.25" customHeight="1" x14ac:dyDescent="0.25">
      <c r="B2718" s="103"/>
      <c r="D2718" s="80"/>
      <c r="E2718" s="80"/>
    </row>
    <row r="2719" spans="2:5" ht="14.25" customHeight="1" x14ac:dyDescent="0.25">
      <c r="B2719" s="103"/>
      <c r="D2719" s="80"/>
      <c r="E2719" s="80"/>
    </row>
    <row r="2720" spans="2:5" ht="14.25" customHeight="1" x14ac:dyDescent="0.25">
      <c r="B2720" s="103"/>
      <c r="D2720" s="80"/>
      <c r="E2720" s="80"/>
    </row>
    <row r="2721" spans="2:5" ht="14.25" customHeight="1" x14ac:dyDescent="0.25">
      <c r="B2721" s="103"/>
      <c r="D2721" s="80"/>
      <c r="E2721" s="80"/>
    </row>
    <row r="2722" spans="2:5" ht="14.25" customHeight="1" x14ac:dyDescent="0.25">
      <c r="B2722" s="103"/>
      <c r="D2722" s="80"/>
      <c r="E2722" s="80"/>
    </row>
    <row r="2723" spans="2:5" ht="14.25" customHeight="1" x14ac:dyDescent="0.25">
      <c r="B2723" s="103"/>
      <c r="D2723" s="80"/>
      <c r="E2723" s="80"/>
    </row>
    <row r="2724" spans="2:5" ht="14.25" customHeight="1" x14ac:dyDescent="0.25">
      <c r="B2724" s="103"/>
      <c r="D2724" s="80"/>
      <c r="E2724" s="80"/>
    </row>
    <row r="2725" spans="2:5" ht="14.25" customHeight="1" x14ac:dyDescent="0.25">
      <c r="B2725" s="103"/>
      <c r="D2725" s="80"/>
      <c r="E2725" s="80"/>
    </row>
    <row r="2726" spans="2:5" ht="14.25" customHeight="1" x14ac:dyDescent="0.25">
      <c r="B2726" s="103"/>
      <c r="D2726" s="80"/>
      <c r="E2726" s="80"/>
    </row>
    <row r="2727" spans="2:5" ht="14.25" customHeight="1" x14ac:dyDescent="0.25">
      <c r="B2727" s="103"/>
      <c r="D2727" s="80"/>
      <c r="E2727" s="80"/>
    </row>
    <row r="2728" spans="2:5" ht="14.25" customHeight="1" x14ac:dyDescent="0.25">
      <c r="B2728" s="103"/>
      <c r="D2728" s="80"/>
      <c r="E2728" s="80"/>
    </row>
    <row r="2729" spans="2:5" ht="14.25" customHeight="1" x14ac:dyDescent="0.25">
      <c r="B2729" s="103"/>
      <c r="D2729" s="80"/>
      <c r="E2729" s="80"/>
    </row>
    <row r="2730" spans="2:5" ht="14.25" customHeight="1" x14ac:dyDescent="0.25">
      <c r="B2730" s="103"/>
      <c r="D2730" s="80"/>
      <c r="E2730" s="80"/>
    </row>
    <row r="2731" spans="2:5" ht="14.25" customHeight="1" x14ac:dyDescent="0.25">
      <c r="B2731" s="103"/>
      <c r="D2731" s="80"/>
      <c r="E2731" s="80"/>
    </row>
    <row r="2732" spans="2:5" ht="14.25" customHeight="1" x14ac:dyDescent="0.25">
      <c r="B2732" s="103"/>
      <c r="D2732" s="80"/>
      <c r="E2732" s="80"/>
    </row>
    <row r="2733" spans="2:5" ht="14.25" customHeight="1" x14ac:dyDescent="0.25">
      <c r="B2733" s="103"/>
      <c r="D2733" s="80"/>
      <c r="E2733" s="80"/>
    </row>
    <row r="2734" spans="2:5" ht="14.25" customHeight="1" x14ac:dyDescent="0.25">
      <c r="B2734" s="103"/>
      <c r="D2734" s="80"/>
      <c r="E2734" s="80"/>
    </row>
    <row r="2735" spans="2:5" ht="14.25" customHeight="1" x14ac:dyDescent="0.25">
      <c r="B2735" s="103"/>
      <c r="D2735" s="80"/>
      <c r="E2735" s="80"/>
    </row>
    <row r="2736" spans="2:5" ht="14.25" customHeight="1" x14ac:dyDescent="0.25">
      <c r="B2736" s="103"/>
      <c r="D2736" s="80"/>
      <c r="E2736" s="80"/>
    </row>
    <row r="2737" spans="2:5" ht="14.25" customHeight="1" x14ac:dyDescent="0.25">
      <c r="B2737" s="103"/>
      <c r="D2737" s="80"/>
      <c r="E2737" s="80"/>
    </row>
    <row r="2738" spans="2:5" ht="14.25" customHeight="1" x14ac:dyDescent="0.25">
      <c r="B2738" s="103"/>
      <c r="D2738" s="80"/>
      <c r="E2738" s="80"/>
    </row>
    <row r="2739" spans="2:5" ht="14.25" customHeight="1" x14ac:dyDescent="0.25">
      <c r="B2739" s="103"/>
      <c r="D2739" s="80"/>
      <c r="E2739" s="80"/>
    </row>
    <row r="2740" spans="2:5" ht="14.25" customHeight="1" x14ac:dyDescent="0.25">
      <c r="B2740" s="103"/>
      <c r="D2740" s="80"/>
      <c r="E2740" s="80"/>
    </row>
    <row r="2741" spans="2:5" ht="14.25" customHeight="1" x14ac:dyDescent="0.25">
      <c r="B2741" s="103"/>
      <c r="D2741" s="80"/>
      <c r="E2741" s="80"/>
    </row>
    <row r="2742" spans="2:5" ht="14.25" customHeight="1" x14ac:dyDescent="0.25">
      <c r="B2742" s="103"/>
      <c r="D2742" s="80"/>
      <c r="E2742" s="80"/>
    </row>
    <row r="2743" spans="2:5" ht="14.25" customHeight="1" x14ac:dyDescent="0.25">
      <c r="B2743" s="103"/>
      <c r="D2743" s="80"/>
      <c r="E2743" s="80"/>
    </row>
    <row r="2744" spans="2:5" ht="14.25" customHeight="1" x14ac:dyDescent="0.25">
      <c r="B2744" s="103"/>
      <c r="D2744" s="80"/>
      <c r="E2744" s="80"/>
    </row>
    <row r="2745" spans="2:5" ht="14.25" customHeight="1" x14ac:dyDescent="0.25">
      <c r="B2745" s="103"/>
      <c r="D2745" s="80"/>
      <c r="E2745" s="80"/>
    </row>
    <row r="2746" spans="2:5" ht="14.25" customHeight="1" x14ac:dyDescent="0.25">
      <c r="B2746" s="103"/>
      <c r="D2746" s="80"/>
      <c r="E2746" s="80"/>
    </row>
    <row r="2747" spans="2:5" ht="14.25" customHeight="1" x14ac:dyDescent="0.25">
      <c r="B2747" s="103"/>
      <c r="D2747" s="80"/>
      <c r="E2747" s="80"/>
    </row>
    <row r="2748" spans="2:5" ht="14.25" customHeight="1" x14ac:dyDescent="0.25">
      <c r="B2748" s="103"/>
      <c r="D2748" s="80"/>
      <c r="E2748" s="80"/>
    </row>
    <row r="2749" spans="2:5" ht="14.25" customHeight="1" x14ac:dyDescent="0.25">
      <c r="B2749" s="103"/>
      <c r="D2749" s="80"/>
      <c r="E2749" s="80"/>
    </row>
    <row r="2750" spans="2:5" ht="14.25" customHeight="1" x14ac:dyDescent="0.25">
      <c r="B2750" s="103"/>
      <c r="D2750" s="80"/>
      <c r="E2750" s="80"/>
    </row>
    <row r="2751" spans="2:5" ht="14.25" customHeight="1" x14ac:dyDescent="0.25">
      <c r="B2751" s="103"/>
      <c r="D2751" s="80"/>
      <c r="E2751" s="80"/>
    </row>
    <row r="2752" spans="2:5" ht="14.25" customHeight="1" x14ac:dyDescent="0.25">
      <c r="B2752" s="103"/>
      <c r="D2752" s="80"/>
      <c r="E2752" s="80"/>
    </row>
    <row r="2753" spans="2:5" ht="14.25" customHeight="1" x14ac:dyDescent="0.25">
      <c r="B2753" s="103"/>
      <c r="D2753" s="80"/>
      <c r="E2753" s="80"/>
    </row>
    <row r="2754" spans="2:5" ht="14.25" customHeight="1" x14ac:dyDescent="0.25">
      <c r="B2754" s="103"/>
      <c r="D2754" s="80"/>
      <c r="E2754" s="80"/>
    </row>
    <row r="2755" spans="2:5" ht="14.25" customHeight="1" x14ac:dyDescent="0.25">
      <c r="B2755" s="103"/>
      <c r="D2755" s="80"/>
      <c r="E2755" s="80"/>
    </row>
    <row r="2756" spans="2:5" ht="14.25" customHeight="1" x14ac:dyDescent="0.25">
      <c r="B2756" s="103"/>
      <c r="D2756" s="80"/>
      <c r="E2756" s="80"/>
    </row>
    <row r="2757" spans="2:5" ht="14.25" customHeight="1" x14ac:dyDescent="0.25">
      <c r="B2757" s="103"/>
      <c r="D2757" s="80"/>
      <c r="E2757" s="80"/>
    </row>
    <row r="2758" spans="2:5" ht="14.25" customHeight="1" x14ac:dyDescent="0.25">
      <c r="B2758" s="103"/>
      <c r="D2758" s="80"/>
      <c r="E2758" s="80"/>
    </row>
    <row r="2759" spans="2:5" ht="14.25" customHeight="1" x14ac:dyDescent="0.25">
      <c r="B2759" s="103"/>
      <c r="D2759" s="80"/>
      <c r="E2759" s="80"/>
    </row>
    <row r="2760" spans="2:5" ht="14.25" customHeight="1" x14ac:dyDescent="0.25">
      <c r="B2760" s="103"/>
      <c r="D2760" s="80"/>
      <c r="E2760" s="80"/>
    </row>
    <row r="2761" spans="2:5" ht="14.25" customHeight="1" x14ac:dyDescent="0.25">
      <c r="B2761" s="103"/>
      <c r="D2761" s="80"/>
      <c r="E2761" s="80"/>
    </row>
    <row r="2762" spans="2:5" ht="14.25" customHeight="1" x14ac:dyDescent="0.25">
      <c r="B2762" s="103"/>
      <c r="D2762" s="80"/>
      <c r="E2762" s="80"/>
    </row>
    <row r="2763" spans="2:5" ht="14.25" customHeight="1" x14ac:dyDescent="0.25">
      <c r="B2763" s="103"/>
      <c r="D2763" s="80"/>
      <c r="E2763" s="80"/>
    </row>
    <row r="2764" spans="2:5" ht="14.25" customHeight="1" x14ac:dyDescent="0.25">
      <c r="B2764" s="103"/>
      <c r="D2764" s="80"/>
      <c r="E2764" s="80"/>
    </row>
    <row r="2765" spans="2:5" ht="14.25" customHeight="1" x14ac:dyDescent="0.25">
      <c r="B2765" s="103"/>
      <c r="D2765" s="80"/>
      <c r="E2765" s="80"/>
    </row>
    <row r="2766" spans="2:5" ht="14.25" customHeight="1" x14ac:dyDescent="0.25">
      <c r="B2766" s="103"/>
      <c r="D2766" s="80"/>
      <c r="E2766" s="80"/>
    </row>
    <row r="2767" spans="2:5" ht="14.25" customHeight="1" x14ac:dyDescent="0.25">
      <c r="B2767" s="103"/>
      <c r="D2767" s="80"/>
      <c r="E2767" s="80"/>
    </row>
    <row r="2768" spans="2:5" ht="14.25" customHeight="1" x14ac:dyDescent="0.25">
      <c r="B2768" s="103"/>
      <c r="D2768" s="80"/>
      <c r="E2768" s="80"/>
    </row>
    <row r="2769" spans="2:5" ht="14.25" customHeight="1" x14ac:dyDescent="0.25">
      <c r="B2769" s="103"/>
      <c r="D2769" s="80"/>
      <c r="E2769" s="80"/>
    </row>
    <row r="2770" spans="2:5" ht="14.25" customHeight="1" x14ac:dyDescent="0.25">
      <c r="B2770" s="103"/>
      <c r="D2770" s="80"/>
      <c r="E2770" s="80"/>
    </row>
    <row r="2771" spans="2:5" ht="14.25" customHeight="1" x14ac:dyDescent="0.25">
      <c r="B2771" s="103"/>
      <c r="D2771" s="80"/>
      <c r="E2771" s="80"/>
    </row>
    <row r="2772" spans="2:5" ht="14.25" customHeight="1" x14ac:dyDescent="0.25">
      <c r="B2772" s="103"/>
      <c r="D2772" s="80"/>
      <c r="E2772" s="80"/>
    </row>
    <row r="2773" spans="2:5" ht="14.25" customHeight="1" x14ac:dyDescent="0.25">
      <c r="B2773" s="103"/>
      <c r="D2773" s="80"/>
      <c r="E2773" s="80"/>
    </row>
    <row r="2774" spans="2:5" ht="14.25" customHeight="1" x14ac:dyDescent="0.25">
      <c r="B2774" s="103"/>
      <c r="D2774" s="80"/>
      <c r="E2774" s="80"/>
    </row>
    <row r="2775" spans="2:5" ht="14.25" customHeight="1" x14ac:dyDescent="0.25">
      <c r="B2775" s="103"/>
      <c r="D2775" s="80"/>
      <c r="E2775" s="80"/>
    </row>
    <row r="2776" spans="2:5" ht="14.25" customHeight="1" x14ac:dyDescent="0.25">
      <c r="B2776" s="103"/>
      <c r="D2776" s="80"/>
      <c r="E2776" s="80"/>
    </row>
    <row r="2777" spans="2:5" ht="14.25" customHeight="1" x14ac:dyDescent="0.25">
      <c r="B2777" s="103"/>
      <c r="D2777" s="80"/>
      <c r="E2777" s="80"/>
    </row>
    <row r="2778" spans="2:5" ht="14.25" customHeight="1" x14ac:dyDescent="0.25">
      <c r="B2778" s="103"/>
      <c r="D2778" s="80"/>
      <c r="E2778" s="80"/>
    </row>
    <row r="2779" spans="2:5" ht="14.25" customHeight="1" x14ac:dyDescent="0.25">
      <c r="B2779" s="103"/>
      <c r="D2779" s="80"/>
      <c r="E2779" s="80"/>
    </row>
    <row r="2780" spans="2:5" ht="14.25" customHeight="1" x14ac:dyDescent="0.25">
      <c r="B2780" s="103"/>
      <c r="D2780" s="80"/>
      <c r="E2780" s="80"/>
    </row>
    <row r="2781" spans="2:5" ht="14.25" customHeight="1" x14ac:dyDescent="0.25">
      <c r="B2781" s="103"/>
      <c r="D2781" s="80"/>
      <c r="E2781" s="80"/>
    </row>
    <row r="2782" spans="2:5" ht="14.25" customHeight="1" x14ac:dyDescent="0.25">
      <c r="B2782" s="103"/>
      <c r="D2782" s="80"/>
      <c r="E2782" s="80"/>
    </row>
    <row r="2783" spans="2:5" ht="14.25" customHeight="1" x14ac:dyDescent="0.25">
      <c r="B2783" s="103"/>
      <c r="D2783" s="80"/>
      <c r="E2783" s="80"/>
    </row>
    <row r="2784" spans="2:5" ht="14.25" customHeight="1" x14ac:dyDescent="0.25">
      <c r="B2784" s="103"/>
      <c r="D2784" s="80"/>
      <c r="E2784" s="80"/>
    </row>
    <row r="2785" spans="2:5" ht="14.25" customHeight="1" x14ac:dyDescent="0.25">
      <c r="B2785" s="103"/>
      <c r="D2785" s="80"/>
      <c r="E2785" s="80"/>
    </row>
    <row r="2786" spans="2:5" ht="14.25" customHeight="1" x14ac:dyDescent="0.25">
      <c r="B2786" s="103"/>
      <c r="D2786" s="80"/>
      <c r="E2786" s="80"/>
    </row>
    <row r="2787" spans="2:5" ht="14.25" customHeight="1" x14ac:dyDescent="0.25">
      <c r="B2787" s="103"/>
      <c r="D2787" s="80"/>
      <c r="E2787" s="80"/>
    </row>
    <row r="2788" spans="2:5" ht="14.25" customHeight="1" x14ac:dyDescent="0.25">
      <c r="B2788" s="103"/>
      <c r="D2788" s="80"/>
      <c r="E2788" s="80"/>
    </row>
    <row r="2789" spans="2:5" ht="14.25" customHeight="1" x14ac:dyDescent="0.25">
      <c r="B2789" s="103"/>
      <c r="D2789" s="80"/>
      <c r="E2789" s="80"/>
    </row>
    <row r="2790" spans="2:5" ht="14.25" customHeight="1" x14ac:dyDescent="0.25">
      <c r="B2790" s="103"/>
      <c r="D2790" s="80"/>
      <c r="E2790" s="80"/>
    </row>
    <row r="2791" spans="2:5" ht="14.25" customHeight="1" x14ac:dyDescent="0.25">
      <c r="B2791" s="103"/>
      <c r="D2791" s="80"/>
      <c r="E2791" s="80"/>
    </row>
    <row r="2792" spans="2:5" ht="14.25" customHeight="1" x14ac:dyDescent="0.25">
      <c r="B2792" s="103"/>
      <c r="D2792" s="80"/>
      <c r="E2792" s="80"/>
    </row>
    <row r="2793" spans="2:5" ht="14.25" customHeight="1" x14ac:dyDescent="0.25">
      <c r="B2793" s="103"/>
      <c r="D2793" s="80"/>
      <c r="E2793" s="80"/>
    </row>
    <row r="2794" spans="2:5" ht="14.25" customHeight="1" x14ac:dyDescent="0.25">
      <c r="B2794" s="103"/>
      <c r="D2794" s="80"/>
      <c r="E2794" s="80"/>
    </row>
    <row r="2795" spans="2:5" ht="14.25" customHeight="1" x14ac:dyDescent="0.25">
      <c r="B2795" s="103"/>
      <c r="D2795" s="80"/>
      <c r="E2795" s="80"/>
    </row>
    <row r="2796" spans="2:5" ht="14.25" customHeight="1" x14ac:dyDescent="0.25">
      <c r="B2796" s="103"/>
      <c r="D2796" s="80"/>
      <c r="E2796" s="80"/>
    </row>
    <row r="2797" spans="2:5" ht="14.25" customHeight="1" x14ac:dyDescent="0.25">
      <c r="B2797" s="103"/>
      <c r="D2797" s="80"/>
      <c r="E2797" s="80"/>
    </row>
    <row r="2798" spans="2:5" ht="14.25" customHeight="1" x14ac:dyDescent="0.25">
      <c r="B2798" s="103"/>
      <c r="D2798" s="80"/>
      <c r="E2798" s="80"/>
    </row>
    <row r="2799" spans="2:5" ht="14.25" customHeight="1" x14ac:dyDescent="0.25">
      <c r="B2799" s="103"/>
      <c r="D2799" s="80"/>
      <c r="E2799" s="80"/>
    </row>
    <row r="2800" spans="2:5" ht="14.25" customHeight="1" x14ac:dyDescent="0.25">
      <c r="B2800" s="103"/>
      <c r="D2800" s="80"/>
      <c r="E2800" s="80"/>
    </row>
    <row r="2801" spans="2:5" ht="14.25" customHeight="1" x14ac:dyDescent="0.25">
      <c r="B2801" s="103"/>
      <c r="D2801" s="80"/>
      <c r="E2801" s="80"/>
    </row>
    <row r="2802" spans="2:5" ht="14.25" customHeight="1" x14ac:dyDescent="0.25">
      <c r="B2802" s="103"/>
      <c r="D2802" s="80"/>
      <c r="E2802" s="80"/>
    </row>
    <row r="2803" spans="2:5" ht="14.25" customHeight="1" x14ac:dyDescent="0.25">
      <c r="B2803" s="103"/>
      <c r="D2803" s="80"/>
      <c r="E2803" s="80"/>
    </row>
    <row r="2804" spans="2:5" ht="14.25" customHeight="1" x14ac:dyDescent="0.25">
      <c r="B2804" s="103"/>
      <c r="D2804" s="80"/>
      <c r="E2804" s="80"/>
    </row>
    <row r="2805" spans="2:5" ht="14.25" customHeight="1" x14ac:dyDescent="0.25">
      <c r="B2805" s="103"/>
      <c r="D2805" s="80"/>
      <c r="E2805" s="80"/>
    </row>
    <row r="2806" spans="2:5" ht="14.25" customHeight="1" x14ac:dyDescent="0.25">
      <c r="B2806" s="103"/>
      <c r="D2806" s="80"/>
      <c r="E2806" s="80"/>
    </row>
    <row r="2807" spans="2:5" ht="14.25" customHeight="1" x14ac:dyDescent="0.25">
      <c r="B2807" s="103"/>
      <c r="D2807" s="80"/>
      <c r="E2807" s="80"/>
    </row>
    <row r="2808" spans="2:5" ht="14.25" customHeight="1" x14ac:dyDescent="0.25">
      <c r="B2808" s="103"/>
      <c r="D2808" s="80"/>
      <c r="E2808" s="80"/>
    </row>
    <row r="2809" spans="2:5" ht="14.25" customHeight="1" x14ac:dyDescent="0.25">
      <c r="B2809" s="103"/>
      <c r="D2809" s="80"/>
      <c r="E2809" s="80"/>
    </row>
    <row r="2810" spans="2:5" ht="14.25" customHeight="1" x14ac:dyDescent="0.25">
      <c r="B2810" s="103"/>
      <c r="D2810" s="80"/>
      <c r="E2810" s="80"/>
    </row>
    <row r="2811" spans="2:5" ht="14.25" customHeight="1" x14ac:dyDescent="0.25">
      <c r="B2811" s="103"/>
      <c r="D2811" s="80"/>
      <c r="E2811" s="80"/>
    </row>
    <row r="2812" spans="2:5" ht="14.25" customHeight="1" x14ac:dyDescent="0.25">
      <c r="B2812" s="103"/>
      <c r="D2812" s="80"/>
      <c r="E2812" s="80"/>
    </row>
    <row r="2813" spans="2:5" ht="14.25" customHeight="1" x14ac:dyDescent="0.25">
      <c r="B2813" s="103"/>
      <c r="D2813" s="80"/>
      <c r="E2813" s="80"/>
    </row>
    <row r="2814" spans="2:5" ht="14.25" customHeight="1" x14ac:dyDescent="0.25">
      <c r="B2814" s="103"/>
      <c r="D2814" s="80"/>
      <c r="E2814" s="80"/>
    </row>
    <row r="2815" spans="2:5" ht="14.25" customHeight="1" x14ac:dyDescent="0.25">
      <c r="B2815" s="103"/>
      <c r="D2815" s="80"/>
      <c r="E2815" s="80"/>
    </row>
    <row r="2816" spans="2:5" ht="14.25" customHeight="1" x14ac:dyDescent="0.25">
      <c r="B2816" s="103"/>
      <c r="D2816" s="80"/>
      <c r="E2816" s="80"/>
    </row>
    <row r="2817" spans="2:5" ht="14.25" customHeight="1" x14ac:dyDescent="0.25">
      <c r="B2817" s="103"/>
      <c r="D2817" s="80"/>
      <c r="E2817" s="80"/>
    </row>
    <row r="2818" spans="2:5" ht="14.25" customHeight="1" x14ac:dyDescent="0.25">
      <c r="B2818" s="103"/>
      <c r="D2818" s="80"/>
      <c r="E2818" s="80"/>
    </row>
    <row r="2819" spans="2:5" ht="14.25" customHeight="1" x14ac:dyDescent="0.25">
      <c r="B2819" s="103"/>
      <c r="D2819" s="80"/>
      <c r="E2819" s="80"/>
    </row>
    <row r="2820" spans="2:5" ht="14.25" customHeight="1" x14ac:dyDescent="0.25">
      <c r="B2820" s="103"/>
      <c r="D2820" s="80"/>
      <c r="E2820" s="80"/>
    </row>
    <row r="2821" spans="2:5" ht="14.25" customHeight="1" x14ac:dyDescent="0.25">
      <c r="B2821" s="103"/>
      <c r="D2821" s="80"/>
      <c r="E2821" s="80"/>
    </row>
    <row r="2822" spans="2:5" ht="14.25" customHeight="1" x14ac:dyDescent="0.25">
      <c r="B2822" s="103"/>
      <c r="D2822" s="80"/>
      <c r="E2822" s="80"/>
    </row>
    <row r="2823" spans="2:5" ht="14.25" customHeight="1" x14ac:dyDescent="0.25">
      <c r="B2823" s="103"/>
      <c r="D2823" s="80"/>
      <c r="E2823" s="80"/>
    </row>
    <row r="2824" spans="2:5" ht="14.25" customHeight="1" x14ac:dyDescent="0.25">
      <c r="B2824" s="103"/>
      <c r="D2824" s="80"/>
      <c r="E2824" s="80"/>
    </row>
    <row r="2825" spans="2:5" ht="14.25" customHeight="1" x14ac:dyDescent="0.25">
      <c r="B2825" s="103"/>
      <c r="D2825" s="80"/>
      <c r="E2825" s="80"/>
    </row>
    <row r="2826" spans="2:5" ht="14.25" customHeight="1" x14ac:dyDescent="0.25">
      <c r="B2826" s="103"/>
      <c r="D2826" s="80"/>
      <c r="E2826" s="80"/>
    </row>
    <row r="2827" spans="2:5" ht="14.25" customHeight="1" x14ac:dyDescent="0.25">
      <c r="B2827" s="103"/>
      <c r="D2827" s="80"/>
      <c r="E2827" s="80"/>
    </row>
    <row r="2828" spans="2:5" ht="14.25" customHeight="1" x14ac:dyDescent="0.25">
      <c r="B2828" s="103"/>
      <c r="D2828" s="80"/>
      <c r="E2828" s="80"/>
    </row>
    <row r="2829" spans="2:5" ht="14.25" customHeight="1" x14ac:dyDescent="0.25">
      <c r="B2829" s="103"/>
      <c r="D2829" s="80"/>
      <c r="E2829" s="80"/>
    </row>
    <row r="2830" spans="2:5" ht="14.25" customHeight="1" x14ac:dyDescent="0.25">
      <c r="B2830" s="103"/>
      <c r="D2830" s="80"/>
      <c r="E2830" s="80"/>
    </row>
    <row r="2831" spans="2:5" ht="14.25" customHeight="1" x14ac:dyDescent="0.25">
      <c r="B2831" s="103"/>
      <c r="D2831" s="80"/>
      <c r="E2831" s="80"/>
    </row>
    <row r="2832" spans="2:5" ht="14.25" customHeight="1" x14ac:dyDescent="0.25">
      <c r="B2832" s="103"/>
      <c r="D2832" s="80"/>
      <c r="E2832" s="80"/>
    </row>
    <row r="2833" spans="2:5" ht="14.25" customHeight="1" x14ac:dyDescent="0.25">
      <c r="B2833" s="103"/>
      <c r="D2833" s="80"/>
      <c r="E2833" s="80"/>
    </row>
    <row r="2834" spans="2:5" ht="14.25" customHeight="1" x14ac:dyDescent="0.25">
      <c r="B2834" s="103"/>
      <c r="D2834" s="80"/>
      <c r="E2834" s="80"/>
    </row>
    <row r="2835" spans="2:5" ht="14.25" customHeight="1" x14ac:dyDescent="0.25">
      <c r="B2835" s="103"/>
      <c r="D2835" s="80"/>
      <c r="E2835" s="80"/>
    </row>
    <row r="2836" spans="2:5" ht="14.25" customHeight="1" x14ac:dyDescent="0.25">
      <c r="B2836" s="103"/>
      <c r="D2836" s="80"/>
      <c r="E2836" s="80"/>
    </row>
    <row r="2837" spans="2:5" ht="14.25" customHeight="1" x14ac:dyDescent="0.25">
      <c r="B2837" s="103"/>
      <c r="D2837" s="80"/>
      <c r="E2837" s="80"/>
    </row>
    <row r="2838" spans="2:5" ht="14.25" customHeight="1" x14ac:dyDescent="0.25">
      <c r="B2838" s="103"/>
      <c r="D2838" s="80"/>
      <c r="E2838" s="80"/>
    </row>
    <row r="2839" spans="2:5" ht="14.25" customHeight="1" x14ac:dyDescent="0.25">
      <c r="B2839" s="103"/>
      <c r="D2839" s="80"/>
      <c r="E2839" s="80"/>
    </row>
    <row r="2840" spans="2:5" ht="14.25" customHeight="1" x14ac:dyDescent="0.25">
      <c r="B2840" s="103"/>
      <c r="D2840" s="80"/>
      <c r="E2840" s="80"/>
    </row>
    <row r="2841" spans="2:5" ht="14.25" customHeight="1" x14ac:dyDescent="0.25">
      <c r="B2841" s="103"/>
      <c r="D2841" s="80"/>
      <c r="E2841" s="80"/>
    </row>
    <row r="2842" spans="2:5" ht="14.25" customHeight="1" x14ac:dyDescent="0.25">
      <c r="B2842" s="103"/>
      <c r="D2842" s="80"/>
      <c r="E2842" s="80"/>
    </row>
    <row r="2843" spans="2:5" ht="14.25" customHeight="1" x14ac:dyDescent="0.25">
      <c r="B2843" s="103"/>
      <c r="D2843" s="80"/>
      <c r="E2843" s="80"/>
    </row>
    <row r="2844" spans="2:5" ht="14.25" customHeight="1" x14ac:dyDescent="0.25">
      <c r="B2844" s="103"/>
      <c r="D2844" s="80"/>
      <c r="E2844" s="80"/>
    </row>
    <row r="2845" spans="2:5" ht="14.25" customHeight="1" x14ac:dyDescent="0.25">
      <c r="B2845" s="103"/>
      <c r="D2845" s="80"/>
      <c r="E2845" s="80"/>
    </row>
    <row r="2846" spans="2:5" ht="14.25" customHeight="1" x14ac:dyDescent="0.25">
      <c r="B2846" s="103"/>
      <c r="D2846" s="80"/>
      <c r="E2846" s="80"/>
    </row>
    <row r="2847" spans="2:5" ht="14.25" customHeight="1" x14ac:dyDescent="0.25">
      <c r="B2847" s="103"/>
      <c r="D2847" s="80"/>
      <c r="E2847" s="80"/>
    </row>
    <row r="2848" spans="2:5" ht="14.25" customHeight="1" x14ac:dyDescent="0.25">
      <c r="B2848" s="103"/>
      <c r="D2848" s="80"/>
      <c r="E2848" s="80"/>
    </row>
    <row r="2849" spans="2:5" ht="14.25" customHeight="1" x14ac:dyDescent="0.25">
      <c r="B2849" s="103"/>
      <c r="D2849" s="80"/>
      <c r="E2849" s="80"/>
    </row>
    <row r="2850" spans="2:5" ht="14.25" customHeight="1" x14ac:dyDescent="0.25">
      <c r="B2850" s="103"/>
      <c r="D2850" s="80"/>
      <c r="E2850" s="80"/>
    </row>
    <row r="2851" spans="2:5" ht="14.25" customHeight="1" x14ac:dyDescent="0.25">
      <c r="B2851" s="103"/>
      <c r="D2851" s="80"/>
      <c r="E2851" s="80"/>
    </row>
    <row r="2852" spans="2:5" ht="14.25" customHeight="1" x14ac:dyDescent="0.25">
      <c r="B2852" s="103"/>
      <c r="D2852" s="80"/>
      <c r="E2852" s="80"/>
    </row>
    <row r="2853" spans="2:5" ht="14.25" customHeight="1" x14ac:dyDescent="0.25">
      <c r="B2853" s="103"/>
      <c r="D2853" s="80"/>
      <c r="E2853" s="80"/>
    </row>
    <row r="2854" spans="2:5" ht="14.25" customHeight="1" x14ac:dyDescent="0.25">
      <c r="B2854" s="103"/>
      <c r="D2854" s="80"/>
      <c r="E2854" s="80"/>
    </row>
    <row r="2855" spans="2:5" ht="14.25" customHeight="1" x14ac:dyDescent="0.25">
      <c r="B2855" s="103"/>
      <c r="D2855" s="80"/>
      <c r="E2855" s="80"/>
    </row>
    <row r="2856" spans="2:5" ht="14.25" customHeight="1" x14ac:dyDescent="0.25">
      <c r="B2856" s="103"/>
      <c r="D2856" s="80"/>
      <c r="E2856" s="80"/>
    </row>
    <row r="2857" spans="2:5" ht="14.25" customHeight="1" x14ac:dyDescent="0.25">
      <c r="B2857" s="103"/>
      <c r="D2857" s="80"/>
      <c r="E2857" s="80"/>
    </row>
    <row r="2858" spans="2:5" ht="14.25" customHeight="1" x14ac:dyDescent="0.25">
      <c r="B2858" s="103"/>
      <c r="D2858" s="80"/>
      <c r="E2858" s="80"/>
    </row>
    <row r="2859" spans="2:5" ht="14.25" customHeight="1" x14ac:dyDescent="0.25">
      <c r="B2859" s="103"/>
      <c r="D2859" s="80"/>
      <c r="E2859" s="80"/>
    </row>
    <row r="2860" spans="2:5" ht="14.25" customHeight="1" x14ac:dyDescent="0.25">
      <c r="B2860" s="103"/>
      <c r="D2860" s="80"/>
      <c r="E2860" s="80"/>
    </row>
    <row r="2861" spans="2:5" ht="14.25" customHeight="1" x14ac:dyDescent="0.25">
      <c r="B2861" s="103"/>
      <c r="D2861" s="80"/>
      <c r="E2861" s="80"/>
    </row>
    <row r="2862" spans="2:5" ht="14.25" customHeight="1" x14ac:dyDescent="0.25">
      <c r="B2862" s="103"/>
      <c r="D2862" s="80"/>
      <c r="E2862" s="80"/>
    </row>
    <row r="2863" spans="2:5" ht="14.25" customHeight="1" x14ac:dyDescent="0.25">
      <c r="B2863" s="103"/>
      <c r="D2863" s="80"/>
      <c r="E2863" s="80"/>
    </row>
    <row r="2864" spans="2:5" ht="14.25" customHeight="1" x14ac:dyDescent="0.25">
      <c r="B2864" s="103"/>
      <c r="D2864" s="80"/>
      <c r="E2864" s="80"/>
    </row>
    <row r="2865" spans="2:5" ht="14.25" customHeight="1" x14ac:dyDescent="0.25">
      <c r="B2865" s="103"/>
      <c r="D2865" s="80"/>
      <c r="E2865" s="80"/>
    </row>
    <row r="2866" spans="2:5" ht="14.25" customHeight="1" x14ac:dyDescent="0.25">
      <c r="B2866" s="103"/>
      <c r="D2866" s="80"/>
      <c r="E2866" s="80"/>
    </row>
    <row r="2867" spans="2:5" ht="14.25" customHeight="1" x14ac:dyDescent="0.25">
      <c r="B2867" s="103"/>
      <c r="D2867" s="80"/>
      <c r="E2867" s="80"/>
    </row>
    <row r="2868" spans="2:5" ht="14.25" customHeight="1" x14ac:dyDescent="0.25">
      <c r="B2868" s="103"/>
      <c r="D2868" s="80"/>
      <c r="E2868" s="80"/>
    </row>
    <row r="2869" spans="2:5" ht="14.25" customHeight="1" x14ac:dyDescent="0.25">
      <c r="B2869" s="103"/>
      <c r="D2869" s="80"/>
      <c r="E2869" s="80"/>
    </row>
    <row r="2870" spans="2:5" ht="14.25" customHeight="1" x14ac:dyDescent="0.25">
      <c r="B2870" s="103"/>
      <c r="D2870" s="80"/>
      <c r="E2870" s="80"/>
    </row>
    <row r="2871" spans="2:5" ht="14.25" customHeight="1" x14ac:dyDescent="0.25">
      <c r="B2871" s="103"/>
      <c r="D2871" s="80"/>
      <c r="E2871" s="80"/>
    </row>
    <row r="2872" spans="2:5" ht="14.25" customHeight="1" x14ac:dyDescent="0.25">
      <c r="B2872" s="103"/>
      <c r="D2872" s="80"/>
      <c r="E2872" s="80"/>
    </row>
    <row r="2873" spans="2:5" ht="14.25" customHeight="1" x14ac:dyDescent="0.25">
      <c r="B2873" s="103"/>
      <c r="D2873" s="80"/>
      <c r="E2873" s="80"/>
    </row>
    <row r="2874" spans="2:5" ht="14.25" customHeight="1" x14ac:dyDescent="0.25">
      <c r="B2874" s="103"/>
      <c r="D2874" s="80"/>
      <c r="E2874" s="80"/>
    </row>
    <row r="2875" spans="2:5" ht="14.25" customHeight="1" x14ac:dyDescent="0.25">
      <c r="B2875" s="103"/>
      <c r="D2875" s="80"/>
      <c r="E2875" s="80"/>
    </row>
    <row r="2876" spans="2:5" ht="14.25" customHeight="1" x14ac:dyDescent="0.25">
      <c r="B2876" s="103"/>
      <c r="D2876" s="80"/>
      <c r="E2876" s="80"/>
    </row>
    <row r="2877" spans="2:5" ht="14.25" customHeight="1" x14ac:dyDescent="0.25">
      <c r="B2877" s="103"/>
      <c r="D2877" s="80"/>
      <c r="E2877" s="80"/>
    </row>
    <row r="2878" spans="2:5" ht="14.25" customHeight="1" x14ac:dyDescent="0.25">
      <c r="B2878" s="103"/>
      <c r="D2878" s="80"/>
      <c r="E2878" s="80"/>
    </row>
    <row r="2879" spans="2:5" ht="14.25" customHeight="1" x14ac:dyDescent="0.25">
      <c r="B2879" s="103"/>
      <c r="D2879" s="80"/>
      <c r="E2879" s="80"/>
    </row>
    <row r="2880" spans="2:5" ht="14.25" customHeight="1" x14ac:dyDescent="0.25">
      <c r="B2880" s="103"/>
      <c r="D2880" s="80"/>
      <c r="E2880" s="80"/>
    </row>
    <row r="2881" spans="2:5" ht="14.25" customHeight="1" x14ac:dyDescent="0.25">
      <c r="B2881" s="103"/>
      <c r="D2881" s="80"/>
      <c r="E2881" s="80"/>
    </row>
    <row r="2882" spans="2:5" ht="14.25" customHeight="1" x14ac:dyDescent="0.25">
      <c r="B2882" s="103"/>
      <c r="D2882" s="80"/>
      <c r="E2882" s="80"/>
    </row>
    <row r="2883" spans="2:5" ht="14.25" customHeight="1" x14ac:dyDescent="0.25">
      <c r="B2883" s="103"/>
      <c r="D2883" s="80"/>
      <c r="E2883" s="80"/>
    </row>
    <row r="2884" spans="2:5" ht="14.25" customHeight="1" x14ac:dyDescent="0.25">
      <c r="B2884" s="103"/>
      <c r="D2884" s="80"/>
      <c r="E2884" s="80"/>
    </row>
    <row r="2885" spans="2:5" ht="14.25" customHeight="1" x14ac:dyDescent="0.25">
      <c r="B2885" s="103"/>
      <c r="D2885" s="80"/>
      <c r="E2885" s="80"/>
    </row>
    <row r="2886" spans="2:5" ht="14.25" customHeight="1" x14ac:dyDescent="0.25">
      <c r="B2886" s="103"/>
      <c r="D2886" s="80"/>
      <c r="E2886" s="80"/>
    </row>
    <row r="2887" spans="2:5" ht="14.25" customHeight="1" x14ac:dyDescent="0.25">
      <c r="B2887" s="103"/>
      <c r="D2887" s="80"/>
      <c r="E2887" s="80"/>
    </row>
    <row r="2888" spans="2:5" ht="14.25" customHeight="1" x14ac:dyDescent="0.25">
      <c r="B2888" s="103"/>
      <c r="D2888" s="80"/>
      <c r="E2888" s="80"/>
    </row>
    <row r="2889" spans="2:5" ht="14.25" customHeight="1" x14ac:dyDescent="0.25">
      <c r="B2889" s="103"/>
      <c r="D2889" s="80"/>
      <c r="E2889" s="80"/>
    </row>
    <row r="2890" spans="2:5" ht="14.25" customHeight="1" x14ac:dyDescent="0.25">
      <c r="B2890" s="103"/>
      <c r="D2890" s="80"/>
      <c r="E2890" s="80"/>
    </row>
    <row r="2891" spans="2:5" ht="14.25" customHeight="1" x14ac:dyDescent="0.25">
      <c r="B2891" s="103"/>
      <c r="D2891" s="80"/>
      <c r="E2891" s="80"/>
    </row>
    <row r="2892" spans="2:5" ht="14.25" customHeight="1" x14ac:dyDescent="0.25">
      <c r="B2892" s="103"/>
      <c r="D2892" s="80"/>
      <c r="E2892" s="80"/>
    </row>
    <row r="2893" spans="2:5" ht="14.25" customHeight="1" x14ac:dyDescent="0.25">
      <c r="B2893" s="103"/>
      <c r="D2893" s="80"/>
      <c r="E2893" s="80"/>
    </row>
    <row r="2894" spans="2:5" ht="14.25" customHeight="1" x14ac:dyDescent="0.25">
      <c r="B2894" s="103"/>
      <c r="D2894" s="80"/>
      <c r="E2894" s="80"/>
    </row>
    <row r="2895" spans="2:5" ht="14.25" customHeight="1" x14ac:dyDescent="0.25">
      <c r="B2895" s="103"/>
      <c r="D2895" s="80"/>
      <c r="E2895" s="80"/>
    </row>
    <row r="2896" spans="2:5" ht="14.25" customHeight="1" x14ac:dyDescent="0.25">
      <c r="B2896" s="103"/>
      <c r="D2896" s="80"/>
      <c r="E2896" s="80"/>
    </row>
    <row r="2897" spans="2:5" ht="14.25" customHeight="1" x14ac:dyDescent="0.25">
      <c r="B2897" s="103"/>
      <c r="D2897" s="80"/>
      <c r="E2897" s="80"/>
    </row>
    <row r="2898" spans="2:5" ht="14.25" customHeight="1" x14ac:dyDescent="0.25">
      <c r="B2898" s="103"/>
      <c r="D2898" s="80"/>
      <c r="E2898" s="80"/>
    </row>
    <row r="2899" spans="2:5" ht="14.25" customHeight="1" x14ac:dyDescent="0.25">
      <c r="B2899" s="103"/>
      <c r="D2899" s="80"/>
      <c r="E2899" s="80"/>
    </row>
    <row r="2900" spans="2:5" ht="14.25" customHeight="1" x14ac:dyDescent="0.25">
      <c r="B2900" s="103"/>
      <c r="D2900" s="80"/>
      <c r="E2900" s="80"/>
    </row>
    <row r="2901" spans="2:5" ht="14.25" customHeight="1" x14ac:dyDescent="0.25">
      <c r="B2901" s="103"/>
      <c r="D2901" s="80"/>
      <c r="E2901" s="80"/>
    </row>
    <row r="2902" spans="2:5" ht="14.25" customHeight="1" x14ac:dyDescent="0.25">
      <c r="B2902" s="103"/>
      <c r="D2902" s="80"/>
      <c r="E2902" s="80"/>
    </row>
    <row r="2903" spans="2:5" ht="14.25" customHeight="1" x14ac:dyDescent="0.25">
      <c r="B2903" s="103"/>
      <c r="D2903" s="80"/>
      <c r="E2903" s="80"/>
    </row>
    <row r="2904" spans="2:5" ht="14.25" customHeight="1" x14ac:dyDescent="0.25">
      <c r="B2904" s="103"/>
      <c r="D2904" s="80"/>
      <c r="E2904" s="80"/>
    </row>
    <row r="2905" spans="2:5" ht="14.25" customHeight="1" x14ac:dyDescent="0.25">
      <c r="B2905" s="103"/>
      <c r="D2905" s="80"/>
      <c r="E2905" s="80"/>
    </row>
    <row r="2906" spans="2:5" ht="14.25" customHeight="1" x14ac:dyDescent="0.25">
      <c r="B2906" s="103"/>
      <c r="D2906" s="80"/>
      <c r="E2906" s="80"/>
    </row>
    <row r="2907" spans="2:5" ht="14.25" customHeight="1" x14ac:dyDescent="0.25">
      <c r="B2907" s="103"/>
      <c r="D2907" s="80"/>
      <c r="E2907" s="80"/>
    </row>
    <row r="2908" spans="2:5" ht="14.25" customHeight="1" x14ac:dyDescent="0.25">
      <c r="B2908" s="103"/>
      <c r="D2908" s="80"/>
      <c r="E2908" s="80"/>
    </row>
    <row r="2909" spans="2:5" ht="14.25" customHeight="1" x14ac:dyDescent="0.25">
      <c r="B2909" s="103"/>
      <c r="D2909" s="80"/>
      <c r="E2909" s="80"/>
    </row>
    <row r="2910" spans="2:5" ht="14.25" customHeight="1" x14ac:dyDescent="0.25">
      <c r="B2910" s="103"/>
      <c r="D2910" s="80"/>
      <c r="E2910" s="80"/>
    </row>
    <row r="2911" spans="2:5" ht="14.25" customHeight="1" x14ac:dyDescent="0.25">
      <c r="B2911" s="103"/>
      <c r="D2911" s="80"/>
      <c r="E2911" s="80"/>
    </row>
    <row r="2912" spans="2:5" ht="14.25" customHeight="1" x14ac:dyDescent="0.25">
      <c r="B2912" s="103"/>
      <c r="D2912" s="80"/>
      <c r="E2912" s="80"/>
    </row>
    <row r="2913" spans="2:5" ht="14.25" customHeight="1" x14ac:dyDescent="0.25">
      <c r="B2913" s="103"/>
      <c r="D2913" s="80"/>
      <c r="E2913" s="80"/>
    </row>
    <row r="2914" spans="2:5" ht="14.25" customHeight="1" x14ac:dyDescent="0.25">
      <c r="B2914" s="103"/>
      <c r="D2914" s="80"/>
      <c r="E2914" s="80"/>
    </row>
    <row r="2915" spans="2:5" ht="14.25" customHeight="1" x14ac:dyDescent="0.25">
      <c r="B2915" s="103"/>
      <c r="D2915" s="80"/>
      <c r="E2915" s="80"/>
    </row>
    <row r="2916" spans="2:5" ht="14.25" customHeight="1" x14ac:dyDescent="0.25">
      <c r="B2916" s="103"/>
      <c r="D2916" s="80"/>
      <c r="E2916" s="80"/>
    </row>
    <row r="2917" spans="2:5" ht="14.25" customHeight="1" x14ac:dyDescent="0.25">
      <c r="B2917" s="103"/>
      <c r="D2917" s="80"/>
      <c r="E2917" s="80"/>
    </row>
    <row r="2918" spans="2:5" ht="14.25" customHeight="1" x14ac:dyDescent="0.25">
      <c r="B2918" s="103"/>
      <c r="D2918" s="80"/>
      <c r="E2918" s="80"/>
    </row>
    <row r="2919" spans="2:5" ht="14.25" customHeight="1" x14ac:dyDescent="0.25">
      <c r="B2919" s="103"/>
      <c r="D2919" s="80"/>
      <c r="E2919" s="80"/>
    </row>
    <row r="2920" spans="2:5" ht="14.25" customHeight="1" x14ac:dyDescent="0.25">
      <c r="B2920" s="103"/>
      <c r="D2920" s="80"/>
      <c r="E2920" s="80"/>
    </row>
    <row r="2921" spans="2:5" ht="14.25" customHeight="1" x14ac:dyDescent="0.25">
      <c r="B2921" s="103"/>
      <c r="D2921" s="80"/>
      <c r="E2921" s="80"/>
    </row>
    <row r="2922" spans="2:5" ht="14.25" customHeight="1" x14ac:dyDescent="0.25">
      <c r="B2922" s="103"/>
      <c r="D2922" s="80"/>
      <c r="E2922" s="80"/>
    </row>
    <row r="2923" spans="2:5" ht="14.25" customHeight="1" x14ac:dyDescent="0.25">
      <c r="B2923" s="103"/>
      <c r="D2923" s="80"/>
      <c r="E2923" s="80"/>
    </row>
    <row r="2924" spans="2:5" ht="14.25" customHeight="1" x14ac:dyDescent="0.25">
      <c r="B2924" s="103"/>
      <c r="D2924" s="80"/>
      <c r="E2924" s="80"/>
    </row>
    <row r="2925" spans="2:5" ht="14.25" customHeight="1" x14ac:dyDescent="0.25">
      <c r="B2925" s="103"/>
      <c r="D2925" s="80"/>
      <c r="E2925" s="80"/>
    </row>
    <row r="2926" spans="2:5" ht="14.25" customHeight="1" x14ac:dyDescent="0.25">
      <c r="B2926" s="103"/>
      <c r="D2926" s="80"/>
      <c r="E2926" s="80"/>
    </row>
    <row r="2927" spans="2:5" ht="14.25" customHeight="1" x14ac:dyDescent="0.25">
      <c r="B2927" s="103"/>
      <c r="D2927" s="80"/>
      <c r="E2927" s="80"/>
    </row>
    <row r="2928" spans="2:5" ht="14.25" customHeight="1" x14ac:dyDescent="0.25">
      <c r="B2928" s="103"/>
      <c r="D2928" s="80"/>
      <c r="E2928" s="80"/>
    </row>
    <row r="2929" spans="2:5" ht="14.25" customHeight="1" x14ac:dyDescent="0.25">
      <c r="B2929" s="103"/>
      <c r="D2929" s="80"/>
      <c r="E2929" s="80"/>
    </row>
    <row r="2930" spans="2:5" ht="14.25" customHeight="1" x14ac:dyDescent="0.25">
      <c r="B2930" s="103"/>
      <c r="D2930" s="80"/>
      <c r="E2930" s="80"/>
    </row>
    <row r="2931" spans="2:5" ht="14.25" customHeight="1" x14ac:dyDescent="0.25">
      <c r="B2931" s="103"/>
      <c r="D2931" s="80"/>
      <c r="E2931" s="80"/>
    </row>
    <row r="2932" spans="2:5" ht="14.25" customHeight="1" x14ac:dyDescent="0.25">
      <c r="B2932" s="103"/>
      <c r="D2932" s="80"/>
      <c r="E2932" s="80"/>
    </row>
    <row r="2933" spans="2:5" ht="14.25" customHeight="1" x14ac:dyDescent="0.25">
      <c r="B2933" s="103"/>
      <c r="D2933" s="80"/>
      <c r="E2933" s="80"/>
    </row>
    <row r="2934" spans="2:5" ht="14.25" customHeight="1" x14ac:dyDescent="0.25">
      <c r="B2934" s="103"/>
      <c r="D2934" s="80"/>
      <c r="E2934" s="80"/>
    </row>
    <row r="2935" spans="2:5" ht="14.25" customHeight="1" x14ac:dyDescent="0.25">
      <c r="B2935" s="103"/>
      <c r="D2935" s="80"/>
      <c r="E2935" s="80"/>
    </row>
    <row r="2936" spans="2:5" ht="14.25" customHeight="1" x14ac:dyDescent="0.25">
      <c r="B2936" s="103"/>
      <c r="D2936" s="80"/>
      <c r="E2936" s="80"/>
    </row>
    <row r="2937" spans="2:5" ht="14.25" customHeight="1" x14ac:dyDescent="0.25">
      <c r="B2937" s="103"/>
      <c r="D2937" s="80"/>
      <c r="E2937" s="80"/>
    </row>
    <row r="2938" spans="2:5" ht="14.25" customHeight="1" x14ac:dyDescent="0.25">
      <c r="B2938" s="103"/>
      <c r="D2938" s="80"/>
      <c r="E2938" s="80"/>
    </row>
    <row r="2939" spans="2:5" ht="14.25" customHeight="1" x14ac:dyDescent="0.25">
      <c r="B2939" s="103"/>
      <c r="D2939" s="80"/>
      <c r="E2939" s="80"/>
    </row>
    <row r="2940" spans="2:5" ht="14.25" customHeight="1" x14ac:dyDescent="0.25">
      <c r="B2940" s="103"/>
      <c r="D2940" s="80"/>
      <c r="E2940" s="80"/>
    </row>
    <row r="2941" spans="2:5" ht="14.25" customHeight="1" x14ac:dyDescent="0.25">
      <c r="B2941" s="103"/>
      <c r="D2941" s="80"/>
      <c r="E2941" s="80"/>
    </row>
    <row r="2942" spans="2:5" ht="14.25" customHeight="1" x14ac:dyDescent="0.25">
      <c r="B2942" s="103"/>
      <c r="D2942" s="80"/>
      <c r="E2942" s="80"/>
    </row>
    <row r="2943" spans="2:5" ht="14.25" customHeight="1" x14ac:dyDescent="0.25">
      <c r="B2943" s="103"/>
      <c r="D2943" s="80"/>
      <c r="E2943" s="80"/>
    </row>
    <row r="2944" spans="2:5" ht="14.25" customHeight="1" x14ac:dyDescent="0.25">
      <c r="B2944" s="103"/>
      <c r="D2944" s="80"/>
      <c r="E2944" s="80"/>
    </row>
    <row r="2945" spans="2:5" ht="14.25" customHeight="1" x14ac:dyDescent="0.25">
      <c r="B2945" s="103"/>
      <c r="D2945" s="80"/>
      <c r="E2945" s="80"/>
    </row>
    <row r="2946" spans="2:5" ht="14.25" customHeight="1" x14ac:dyDescent="0.25">
      <c r="B2946" s="103"/>
      <c r="D2946" s="80"/>
      <c r="E2946" s="80"/>
    </row>
    <row r="2947" spans="2:5" ht="14.25" customHeight="1" x14ac:dyDescent="0.25">
      <c r="B2947" s="103"/>
      <c r="D2947" s="80"/>
      <c r="E2947" s="80"/>
    </row>
    <row r="2948" spans="2:5" ht="14.25" customHeight="1" x14ac:dyDescent="0.25">
      <c r="B2948" s="103"/>
      <c r="D2948" s="80"/>
      <c r="E2948" s="80"/>
    </row>
    <row r="2949" spans="2:5" ht="14.25" customHeight="1" x14ac:dyDescent="0.25">
      <c r="B2949" s="103"/>
      <c r="D2949" s="80"/>
      <c r="E2949" s="80"/>
    </row>
    <row r="2950" spans="2:5" ht="14.25" customHeight="1" x14ac:dyDescent="0.25">
      <c r="B2950" s="103"/>
      <c r="D2950" s="80"/>
      <c r="E2950" s="80"/>
    </row>
    <row r="2951" spans="2:5" ht="14.25" customHeight="1" x14ac:dyDescent="0.25">
      <c r="B2951" s="103"/>
      <c r="D2951" s="80"/>
      <c r="E2951" s="80"/>
    </row>
    <row r="2952" spans="2:5" ht="14.25" customHeight="1" x14ac:dyDescent="0.25">
      <c r="B2952" s="103"/>
      <c r="D2952" s="80"/>
      <c r="E2952" s="80"/>
    </row>
    <row r="2953" spans="2:5" ht="14.25" customHeight="1" x14ac:dyDescent="0.25">
      <c r="B2953" s="103"/>
      <c r="D2953" s="80"/>
      <c r="E2953" s="80"/>
    </row>
    <row r="2954" spans="2:5" ht="14.25" customHeight="1" x14ac:dyDescent="0.25">
      <c r="B2954" s="103"/>
      <c r="D2954" s="80"/>
      <c r="E2954" s="80"/>
    </row>
    <row r="2955" spans="2:5" ht="14.25" customHeight="1" x14ac:dyDescent="0.25">
      <c r="B2955" s="103"/>
      <c r="D2955" s="80"/>
      <c r="E2955" s="80"/>
    </row>
    <row r="2956" spans="2:5" ht="14.25" customHeight="1" x14ac:dyDescent="0.25">
      <c r="B2956" s="103"/>
      <c r="D2956" s="80"/>
      <c r="E2956" s="80"/>
    </row>
    <row r="2957" spans="2:5" ht="14.25" customHeight="1" x14ac:dyDescent="0.25">
      <c r="B2957" s="103"/>
      <c r="D2957" s="80"/>
      <c r="E2957" s="80"/>
    </row>
    <row r="2958" spans="2:5" ht="14.25" customHeight="1" x14ac:dyDescent="0.25">
      <c r="B2958" s="103"/>
      <c r="D2958" s="80"/>
      <c r="E2958" s="80"/>
    </row>
    <row r="2959" spans="2:5" ht="14.25" customHeight="1" x14ac:dyDescent="0.25">
      <c r="B2959" s="103"/>
      <c r="D2959" s="80"/>
      <c r="E2959" s="80"/>
    </row>
    <row r="2960" spans="2:5" ht="14.25" customHeight="1" x14ac:dyDescent="0.25">
      <c r="B2960" s="103"/>
      <c r="D2960" s="80"/>
      <c r="E2960" s="80"/>
    </row>
    <row r="2961" spans="2:5" ht="14.25" customHeight="1" x14ac:dyDescent="0.25">
      <c r="B2961" s="103"/>
      <c r="D2961" s="80"/>
      <c r="E2961" s="80"/>
    </row>
    <row r="2962" spans="2:5" ht="14.25" customHeight="1" x14ac:dyDescent="0.25">
      <c r="B2962" s="103"/>
      <c r="D2962" s="80"/>
      <c r="E2962" s="80"/>
    </row>
    <row r="2963" spans="2:5" ht="14.25" customHeight="1" x14ac:dyDescent="0.25">
      <c r="B2963" s="103"/>
      <c r="D2963" s="80"/>
      <c r="E2963" s="80"/>
    </row>
    <row r="2964" spans="2:5" ht="14.25" customHeight="1" x14ac:dyDescent="0.25">
      <c r="B2964" s="103"/>
      <c r="D2964" s="80"/>
      <c r="E2964" s="80"/>
    </row>
    <row r="2965" spans="2:5" ht="14.25" customHeight="1" x14ac:dyDescent="0.25">
      <c r="B2965" s="103"/>
      <c r="D2965" s="80"/>
      <c r="E2965" s="80"/>
    </row>
    <row r="2966" spans="2:5" ht="14.25" customHeight="1" x14ac:dyDescent="0.25">
      <c r="B2966" s="103"/>
      <c r="D2966" s="80"/>
      <c r="E2966" s="80"/>
    </row>
    <row r="2967" spans="2:5" ht="14.25" customHeight="1" x14ac:dyDescent="0.25">
      <c r="B2967" s="103"/>
      <c r="D2967" s="80"/>
      <c r="E2967" s="80"/>
    </row>
    <row r="2968" spans="2:5" ht="14.25" customHeight="1" x14ac:dyDescent="0.25">
      <c r="B2968" s="103"/>
      <c r="D2968" s="80"/>
      <c r="E2968" s="80"/>
    </row>
    <row r="2969" spans="2:5" ht="14.25" customHeight="1" x14ac:dyDescent="0.25">
      <c r="B2969" s="103"/>
      <c r="D2969" s="80"/>
      <c r="E2969" s="80"/>
    </row>
    <row r="2970" spans="2:5" ht="14.25" customHeight="1" x14ac:dyDescent="0.25">
      <c r="B2970" s="103"/>
      <c r="D2970" s="80"/>
      <c r="E2970" s="80"/>
    </row>
    <row r="2971" spans="2:5" ht="14.25" customHeight="1" x14ac:dyDescent="0.25">
      <c r="B2971" s="103"/>
      <c r="D2971" s="80"/>
      <c r="E2971" s="80"/>
    </row>
    <row r="2972" spans="2:5" ht="14.25" customHeight="1" x14ac:dyDescent="0.25">
      <c r="B2972" s="103"/>
      <c r="D2972" s="80"/>
      <c r="E2972" s="80"/>
    </row>
    <row r="2973" spans="2:5" ht="14.25" customHeight="1" x14ac:dyDescent="0.25">
      <c r="B2973" s="103"/>
      <c r="D2973" s="80"/>
      <c r="E2973" s="80"/>
    </row>
    <row r="2974" spans="2:5" ht="14.25" customHeight="1" x14ac:dyDescent="0.25">
      <c r="B2974" s="103"/>
      <c r="D2974" s="80"/>
      <c r="E2974" s="80"/>
    </row>
    <row r="2975" spans="2:5" ht="14.25" customHeight="1" x14ac:dyDescent="0.25">
      <c r="B2975" s="103"/>
      <c r="D2975" s="80"/>
      <c r="E2975" s="80"/>
    </row>
    <row r="2976" spans="2:5" ht="14.25" customHeight="1" x14ac:dyDescent="0.25">
      <c r="B2976" s="103"/>
      <c r="D2976" s="80"/>
      <c r="E2976" s="80"/>
    </row>
    <row r="2977" spans="2:5" ht="14.25" customHeight="1" x14ac:dyDescent="0.25">
      <c r="B2977" s="103"/>
      <c r="D2977" s="80"/>
      <c r="E2977" s="80"/>
    </row>
    <row r="2978" spans="2:5" ht="14.25" customHeight="1" x14ac:dyDescent="0.25">
      <c r="B2978" s="103"/>
      <c r="D2978" s="80"/>
      <c r="E2978" s="80"/>
    </row>
    <row r="2979" spans="2:5" ht="14.25" customHeight="1" x14ac:dyDescent="0.25">
      <c r="B2979" s="103"/>
      <c r="D2979" s="80"/>
      <c r="E2979" s="80"/>
    </row>
    <row r="2980" spans="2:5" ht="14.25" customHeight="1" x14ac:dyDescent="0.25">
      <c r="B2980" s="103"/>
      <c r="D2980" s="80"/>
      <c r="E2980" s="80"/>
    </row>
    <row r="2981" spans="2:5" ht="14.25" customHeight="1" x14ac:dyDescent="0.25">
      <c r="B2981" s="103"/>
      <c r="D2981" s="80"/>
      <c r="E2981" s="80"/>
    </row>
    <row r="2982" spans="2:5" ht="14.25" customHeight="1" x14ac:dyDescent="0.25">
      <c r="B2982" s="103"/>
      <c r="D2982" s="80"/>
      <c r="E2982" s="80"/>
    </row>
    <row r="2983" spans="2:5" ht="14.25" customHeight="1" x14ac:dyDescent="0.25">
      <c r="B2983" s="103"/>
      <c r="D2983" s="80"/>
      <c r="E2983" s="80"/>
    </row>
    <row r="2984" spans="2:5" ht="14.25" customHeight="1" x14ac:dyDescent="0.25">
      <c r="B2984" s="103"/>
      <c r="D2984" s="80"/>
      <c r="E2984" s="80"/>
    </row>
    <row r="2985" spans="2:5" ht="14.25" customHeight="1" x14ac:dyDescent="0.25">
      <c r="B2985" s="103"/>
      <c r="D2985" s="80"/>
      <c r="E2985" s="80"/>
    </row>
    <row r="2986" spans="2:5" ht="14.25" customHeight="1" x14ac:dyDescent="0.25">
      <c r="B2986" s="103"/>
      <c r="D2986" s="80"/>
      <c r="E2986" s="80"/>
    </row>
    <row r="2987" spans="2:5" ht="14.25" customHeight="1" x14ac:dyDescent="0.25">
      <c r="B2987" s="103"/>
      <c r="D2987" s="80"/>
      <c r="E2987" s="80"/>
    </row>
    <row r="2988" spans="2:5" ht="14.25" customHeight="1" x14ac:dyDescent="0.25">
      <c r="B2988" s="103"/>
      <c r="D2988" s="80"/>
      <c r="E2988" s="80"/>
    </row>
    <row r="2989" spans="2:5" ht="14.25" customHeight="1" x14ac:dyDescent="0.25">
      <c r="B2989" s="103"/>
      <c r="D2989" s="80"/>
      <c r="E2989" s="80"/>
    </row>
    <row r="2990" spans="2:5" ht="14.25" customHeight="1" x14ac:dyDescent="0.25">
      <c r="B2990" s="103"/>
      <c r="D2990" s="80"/>
      <c r="E2990" s="80"/>
    </row>
    <row r="2991" spans="2:5" ht="14.25" customHeight="1" x14ac:dyDescent="0.25">
      <c r="B2991" s="103"/>
      <c r="D2991" s="80"/>
      <c r="E2991" s="80"/>
    </row>
    <row r="2992" spans="2:5" ht="14.25" customHeight="1" x14ac:dyDescent="0.25">
      <c r="B2992" s="103"/>
      <c r="D2992" s="80"/>
      <c r="E2992" s="80"/>
    </row>
    <row r="2993" spans="2:5" ht="14.25" customHeight="1" x14ac:dyDescent="0.25">
      <c r="B2993" s="103"/>
      <c r="D2993" s="80"/>
      <c r="E2993" s="80"/>
    </row>
    <row r="2994" spans="2:5" ht="14.25" customHeight="1" x14ac:dyDescent="0.25">
      <c r="B2994" s="103"/>
      <c r="D2994" s="80"/>
      <c r="E2994" s="80"/>
    </row>
    <row r="2995" spans="2:5" ht="14.25" customHeight="1" x14ac:dyDescent="0.25">
      <c r="B2995" s="103"/>
      <c r="D2995" s="80"/>
      <c r="E2995" s="80"/>
    </row>
    <row r="2996" spans="2:5" ht="14.25" customHeight="1" x14ac:dyDescent="0.25">
      <c r="B2996" s="103"/>
      <c r="D2996" s="80"/>
      <c r="E2996" s="80"/>
    </row>
    <row r="2997" spans="2:5" ht="14.25" customHeight="1" x14ac:dyDescent="0.25">
      <c r="B2997" s="103"/>
      <c r="D2997" s="80"/>
      <c r="E2997" s="80"/>
    </row>
    <row r="2998" spans="2:5" ht="14.25" customHeight="1" x14ac:dyDescent="0.25">
      <c r="B2998" s="103"/>
      <c r="D2998" s="80"/>
      <c r="E2998" s="80"/>
    </row>
    <row r="2999" spans="2:5" ht="14.25" customHeight="1" x14ac:dyDescent="0.25">
      <c r="B2999" s="103"/>
      <c r="D2999" s="80"/>
      <c r="E2999" s="80"/>
    </row>
    <row r="3000" spans="2:5" ht="14.25" customHeight="1" x14ac:dyDescent="0.25">
      <c r="B3000" s="103"/>
      <c r="D3000" s="80"/>
      <c r="E3000" s="80"/>
    </row>
    <row r="3001" spans="2:5" ht="14.25" customHeight="1" x14ac:dyDescent="0.25">
      <c r="B3001" s="103"/>
      <c r="D3001" s="80"/>
      <c r="E3001" s="80"/>
    </row>
    <row r="3002" spans="2:5" ht="14.25" customHeight="1" x14ac:dyDescent="0.25">
      <c r="B3002" s="103"/>
      <c r="D3002" s="80"/>
      <c r="E3002" s="80"/>
    </row>
    <row r="3003" spans="2:5" ht="14.25" customHeight="1" x14ac:dyDescent="0.25">
      <c r="B3003" s="103"/>
      <c r="D3003" s="80"/>
      <c r="E3003" s="80"/>
    </row>
    <row r="3004" spans="2:5" ht="14.25" customHeight="1" x14ac:dyDescent="0.25">
      <c r="B3004" s="103"/>
      <c r="D3004" s="80"/>
      <c r="E3004" s="80"/>
    </row>
    <row r="3005" spans="2:5" ht="14.25" customHeight="1" x14ac:dyDescent="0.25">
      <c r="B3005" s="103"/>
      <c r="D3005" s="80"/>
      <c r="E3005" s="80"/>
    </row>
    <row r="3006" spans="2:5" ht="14.25" customHeight="1" x14ac:dyDescent="0.25">
      <c r="B3006" s="103"/>
      <c r="D3006" s="80"/>
      <c r="E3006" s="80"/>
    </row>
    <row r="3007" spans="2:5" ht="14.25" customHeight="1" x14ac:dyDescent="0.25">
      <c r="B3007" s="103"/>
      <c r="D3007" s="80"/>
      <c r="E3007" s="80"/>
    </row>
    <row r="3008" spans="2:5" ht="14.25" customHeight="1" x14ac:dyDescent="0.25">
      <c r="B3008" s="103"/>
      <c r="D3008" s="80"/>
      <c r="E3008" s="80"/>
    </row>
    <row r="3009" spans="2:5" ht="14.25" customHeight="1" x14ac:dyDescent="0.25">
      <c r="B3009" s="103"/>
      <c r="D3009" s="80"/>
      <c r="E3009" s="80"/>
    </row>
    <row r="3010" spans="2:5" ht="14.25" customHeight="1" x14ac:dyDescent="0.25">
      <c r="B3010" s="103"/>
      <c r="D3010" s="80"/>
      <c r="E3010" s="80"/>
    </row>
    <row r="3011" spans="2:5" ht="14.25" customHeight="1" x14ac:dyDescent="0.25">
      <c r="B3011" s="103"/>
      <c r="D3011" s="80"/>
      <c r="E3011" s="80"/>
    </row>
    <row r="3012" spans="2:5" ht="14.25" customHeight="1" x14ac:dyDescent="0.25">
      <c r="B3012" s="103"/>
      <c r="D3012" s="80"/>
      <c r="E3012" s="80"/>
    </row>
    <row r="3013" spans="2:5" ht="14.25" customHeight="1" x14ac:dyDescent="0.25">
      <c r="B3013" s="103"/>
      <c r="D3013" s="80"/>
      <c r="E3013" s="80"/>
    </row>
    <row r="3014" spans="2:5" ht="14.25" customHeight="1" x14ac:dyDescent="0.25">
      <c r="B3014" s="103"/>
      <c r="D3014" s="80"/>
      <c r="E3014" s="80"/>
    </row>
    <row r="3015" spans="2:5" ht="14.25" customHeight="1" x14ac:dyDescent="0.25">
      <c r="B3015" s="103"/>
      <c r="D3015" s="80"/>
      <c r="E3015" s="80"/>
    </row>
    <row r="3016" spans="2:5" ht="14.25" customHeight="1" x14ac:dyDescent="0.25">
      <c r="B3016" s="103"/>
      <c r="D3016" s="80"/>
      <c r="E3016" s="80"/>
    </row>
    <row r="3017" spans="2:5" ht="14.25" customHeight="1" x14ac:dyDescent="0.25">
      <c r="B3017" s="103"/>
      <c r="D3017" s="80"/>
      <c r="E3017" s="80"/>
    </row>
    <row r="3018" spans="2:5" ht="14.25" customHeight="1" x14ac:dyDescent="0.25">
      <c r="B3018" s="103"/>
      <c r="D3018" s="80"/>
      <c r="E3018" s="80"/>
    </row>
    <row r="3019" spans="2:5" ht="14.25" customHeight="1" x14ac:dyDescent="0.25">
      <c r="B3019" s="103"/>
      <c r="D3019" s="80"/>
      <c r="E3019" s="80"/>
    </row>
    <row r="3020" spans="2:5" ht="14.25" customHeight="1" x14ac:dyDescent="0.25">
      <c r="B3020" s="103"/>
      <c r="D3020" s="80"/>
      <c r="E3020" s="80"/>
    </row>
    <row r="3021" spans="2:5" ht="14.25" customHeight="1" x14ac:dyDescent="0.25">
      <c r="B3021" s="103"/>
      <c r="D3021" s="80"/>
      <c r="E3021" s="80"/>
    </row>
    <row r="3022" spans="2:5" ht="14.25" customHeight="1" x14ac:dyDescent="0.25">
      <c r="B3022" s="103"/>
      <c r="D3022" s="80"/>
      <c r="E3022" s="80"/>
    </row>
    <row r="3023" spans="2:5" ht="14.25" customHeight="1" x14ac:dyDescent="0.25">
      <c r="B3023" s="103"/>
      <c r="D3023" s="80"/>
      <c r="E3023" s="80"/>
    </row>
    <row r="3024" spans="2:5" ht="14.25" customHeight="1" x14ac:dyDescent="0.25">
      <c r="B3024" s="103"/>
      <c r="D3024" s="80"/>
      <c r="E3024" s="80"/>
    </row>
    <row r="3025" spans="2:5" ht="14.25" customHeight="1" x14ac:dyDescent="0.25">
      <c r="B3025" s="103"/>
      <c r="D3025" s="80"/>
      <c r="E3025" s="80"/>
    </row>
    <row r="3026" spans="2:5" ht="14.25" customHeight="1" x14ac:dyDescent="0.25">
      <c r="B3026" s="103"/>
      <c r="D3026" s="80"/>
      <c r="E3026" s="80"/>
    </row>
    <row r="3027" spans="2:5" ht="14.25" customHeight="1" x14ac:dyDescent="0.25">
      <c r="B3027" s="103"/>
      <c r="D3027" s="80"/>
      <c r="E3027" s="80"/>
    </row>
    <row r="3028" spans="2:5" ht="14.25" customHeight="1" x14ac:dyDescent="0.25">
      <c r="B3028" s="103"/>
      <c r="D3028" s="80"/>
      <c r="E3028" s="80"/>
    </row>
    <row r="3029" spans="2:5" ht="14.25" customHeight="1" x14ac:dyDescent="0.25">
      <c r="B3029" s="103"/>
      <c r="D3029" s="80"/>
      <c r="E3029" s="80"/>
    </row>
    <row r="3030" spans="2:5" ht="14.25" customHeight="1" x14ac:dyDescent="0.25">
      <c r="B3030" s="103"/>
      <c r="D3030" s="80"/>
      <c r="E3030" s="80"/>
    </row>
    <row r="3031" spans="2:5" ht="14.25" customHeight="1" x14ac:dyDescent="0.25">
      <c r="B3031" s="103"/>
      <c r="D3031" s="80"/>
      <c r="E3031" s="80"/>
    </row>
    <row r="3032" spans="2:5" ht="14.25" customHeight="1" x14ac:dyDescent="0.25">
      <c r="B3032" s="103"/>
      <c r="D3032" s="80"/>
      <c r="E3032" s="80"/>
    </row>
    <row r="3033" spans="2:5" ht="14.25" customHeight="1" x14ac:dyDescent="0.25">
      <c r="B3033" s="103"/>
      <c r="D3033" s="80"/>
      <c r="E3033" s="80"/>
    </row>
    <row r="3034" spans="2:5" ht="14.25" customHeight="1" x14ac:dyDescent="0.25">
      <c r="B3034" s="103"/>
      <c r="D3034" s="80"/>
      <c r="E3034" s="80"/>
    </row>
    <row r="3035" spans="2:5" ht="14.25" customHeight="1" x14ac:dyDescent="0.25">
      <c r="B3035" s="103"/>
      <c r="D3035" s="80"/>
      <c r="E3035" s="80"/>
    </row>
    <row r="3036" spans="2:5" ht="14.25" customHeight="1" x14ac:dyDescent="0.25">
      <c r="B3036" s="103"/>
      <c r="D3036" s="80"/>
      <c r="E3036" s="80"/>
    </row>
    <row r="3037" spans="2:5" ht="14.25" customHeight="1" x14ac:dyDescent="0.25">
      <c r="B3037" s="103"/>
      <c r="D3037" s="80"/>
      <c r="E3037" s="80"/>
    </row>
    <row r="3038" spans="2:5" ht="14.25" customHeight="1" x14ac:dyDescent="0.25">
      <c r="B3038" s="103"/>
      <c r="D3038" s="80"/>
      <c r="E3038" s="80"/>
    </row>
    <row r="3039" spans="2:5" ht="14.25" customHeight="1" x14ac:dyDescent="0.25">
      <c r="B3039" s="103"/>
      <c r="D3039" s="80"/>
      <c r="E3039" s="80"/>
    </row>
    <row r="3040" spans="2:5" ht="14.25" customHeight="1" x14ac:dyDescent="0.25">
      <c r="B3040" s="103"/>
      <c r="D3040" s="80"/>
      <c r="E3040" s="80"/>
    </row>
    <row r="3041" spans="2:5" ht="14.25" customHeight="1" x14ac:dyDescent="0.25">
      <c r="B3041" s="103"/>
      <c r="D3041" s="80"/>
      <c r="E3041" s="80"/>
    </row>
    <row r="3042" spans="2:5" ht="14.25" customHeight="1" x14ac:dyDescent="0.25">
      <c r="B3042" s="103"/>
      <c r="D3042" s="80"/>
      <c r="E3042" s="80"/>
    </row>
    <row r="3043" spans="2:5" ht="14.25" customHeight="1" x14ac:dyDescent="0.25">
      <c r="B3043" s="103"/>
      <c r="D3043" s="80"/>
      <c r="E3043" s="80"/>
    </row>
    <row r="3044" spans="2:5" ht="14.25" customHeight="1" x14ac:dyDescent="0.25">
      <c r="B3044" s="103"/>
      <c r="D3044" s="80"/>
      <c r="E3044" s="80"/>
    </row>
    <row r="3045" spans="2:5" ht="14.25" customHeight="1" x14ac:dyDescent="0.25">
      <c r="B3045" s="103"/>
      <c r="D3045" s="80"/>
      <c r="E3045" s="80"/>
    </row>
    <row r="3046" spans="2:5" ht="14.25" customHeight="1" x14ac:dyDescent="0.25">
      <c r="B3046" s="103"/>
      <c r="D3046" s="80"/>
      <c r="E3046" s="80"/>
    </row>
    <row r="3047" spans="2:5" ht="14.25" customHeight="1" x14ac:dyDescent="0.25">
      <c r="B3047" s="103"/>
      <c r="D3047" s="80"/>
      <c r="E3047" s="80"/>
    </row>
    <row r="3048" spans="2:5" ht="14.25" customHeight="1" x14ac:dyDescent="0.25">
      <c r="B3048" s="103"/>
      <c r="D3048" s="80"/>
      <c r="E3048" s="80"/>
    </row>
    <row r="3049" spans="2:5" ht="14.25" customHeight="1" x14ac:dyDescent="0.25">
      <c r="B3049" s="103"/>
      <c r="D3049" s="80"/>
      <c r="E3049" s="80"/>
    </row>
    <row r="3050" spans="2:5" ht="14.25" customHeight="1" x14ac:dyDescent="0.25">
      <c r="B3050" s="103"/>
      <c r="D3050" s="80"/>
      <c r="E3050" s="80"/>
    </row>
    <row r="3051" spans="2:5" ht="14.25" customHeight="1" x14ac:dyDescent="0.25">
      <c r="B3051" s="103"/>
      <c r="D3051" s="80"/>
      <c r="E3051" s="80"/>
    </row>
    <row r="3052" spans="2:5" ht="14.25" customHeight="1" x14ac:dyDescent="0.25">
      <c r="B3052" s="103"/>
      <c r="D3052" s="80"/>
      <c r="E3052" s="80"/>
    </row>
    <row r="3053" spans="2:5" ht="14.25" customHeight="1" x14ac:dyDescent="0.25">
      <c r="B3053" s="103"/>
      <c r="D3053" s="80"/>
      <c r="E3053" s="80"/>
    </row>
    <row r="3054" spans="2:5" ht="14.25" customHeight="1" x14ac:dyDescent="0.25">
      <c r="B3054" s="103"/>
      <c r="D3054" s="80"/>
      <c r="E3054" s="80"/>
    </row>
    <row r="3055" spans="2:5" ht="14.25" customHeight="1" x14ac:dyDescent="0.25">
      <c r="B3055" s="103"/>
      <c r="D3055" s="80"/>
      <c r="E3055" s="80"/>
    </row>
    <row r="3056" spans="2:5" ht="14.25" customHeight="1" x14ac:dyDescent="0.25">
      <c r="B3056" s="103"/>
      <c r="D3056" s="80"/>
      <c r="E3056" s="80"/>
    </row>
    <row r="3057" spans="2:5" ht="14.25" customHeight="1" x14ac:dyDescent="0.25">
      <c r="B3057" s="103"/>
      <c r="D3057" s="80"/>
      <c r="E3057" s="80"/>
    </row>
    <row r="3058" spans="2:5" ht="14.25" customHeight="1" x14ac:dyDescent="0.25">
      <c r="B3058" s="103"/>
      <c r="D3058" s="80"/>
      <c r="E3058" s="80"/>
    </row>
    <row r="3059" spans="2:5" ht="14.25" customHeight="1" x14ac:dyDescent="0.25">
      <c r="B3059" s="103"/>
      <c r="D3059" s="80"/>
      <c r="E3059" s="80"/>
    </row>
    <row r="3060" spans="2:5" ht="14.25" customHeight="1" x14ac:dyDescent="0.25">
      <c r="B3060" s="103"/>
      <c r="D3060" s="80"/>
      <c r="E3060" s="80"/>
    </row>
    <row r="3061" spans="2:5" ht="14.25" customHeight="1" x14ac:dyDescent="0.25">
      <c r="B3061" s="103"/>
      <c r="D3061" s="80"/>
      <c r="E3061" s="80"/>
    </row>
    <row r="3062" spans="2:5" ht="14.25" customHeight="1" x14ac:dyDescent="0.25">
      <c r="B3062" s="103"/>
      <c r="D3062" s="80"/>
      <c r="E3062" s="80"/>
    </row>
    <row r="3063" spans="2:5" ht="14.25" customHeight="1" x14ac:dyDescent="0.25">
      <c r="B3063" s="103"/>
      <c r="D3063" s="80"/>
      <c r="E3063" s="80"/>
    </row>
    <row r="3064" spans="2:5" ht="14.25" customHeight="1" x14ac:dyDescent="0.25">
      <c r="B3064" s="103"/>
      <c r="D3064" s="80"/>
      <c r="E3064" s="80"/>
    </row>
    <row r="3065" spans="2:5" ht="14.25" customHeight="1" x14ac:dyDescent="0.25">
      <c r="B3065" s="103"/>
      <c r="D3065" s="80"/>
      <c r="E3065" s="80"/>
    </row>
    <row r="3066" spans="2:5" ht="14.25" customHeight="1" x14ac:dyDescent="0.25">
      <c r="B3066" s="103"/>
      <c r="D3066" s="80"/>
      <c r="E3066" s="80"/>
    </row>
    <row r="3067" spans="2:5" ht="14.25" customHeight="1" x14ac:dyDescent="0.25">
      <c r="B3067" s="103"/>
      <c r="D3067" s="80"/>
      <c r="E3067" s="80"/>
    </row>
    <row r="3068" spans="2:5" ht="14.25" customHeight="1" x14ac:dyDescent="0.25">
      <c r="B3068" s="103"/>
      <c r="D3068" s="80"/>
      <c r="E3068" s="80"/>
    </row>
    <row r="3069" spans="2:5" ht="14.25" customHeight="1" x14ac:dyDescent="0.25">
      <c r="B3069" s="103"/>
      <c r="D3069" s="80"/>
      <c r="E3069" s="80"/>
    </row>
    <row r="3070" spans="2:5" ht="14.25" customHeight="1" x14ac:dyDescent="0.25">
      <c r="B3070" s="103"/>
      <c r="D3070" s="80"/>
      <c r="E3070" s="80"/>
    </row>
    <row r="3071" spans="2:5" ht="14.25" customHeight="1" x14ac:dyDescent="0.25">
      <c r="B3071" s="103"/>
      <c r="D3071" s="80"/>
      <c r="E3071" s="80"/>
    </row>
    <row r="3072" spans="2:5" ht="14.25" customHeight="1" x14ac:dyDescent="0.25">
      <c r="B3072" s="103"/>
      <c r="D3072" s="80"/>
      <c r="E3072" s="80"/>
    </row>
    <row r="3073" spans="2:5" ht="14.25" customHeight="1" x14ac:dyDescent="0.25">
      <c r="B3073" s="103"/>
      <c r="D3073" s="80"/>
      <c r="E3073" s="80"/>
    </row>
    <row r="3074" spans="2:5" ht="14.25" customHeight="1" x14ac:dyDescent="0.25">
      <c r="B3074" s="103"/>
      <c r="D3074" s="80"/>
      <c r="E3074" s="80"/>
    </row>
    <row r="3075" spans="2:5" ht="14.25" customHeight="1" x14ac:dyDescent="0.25">
      <c r="B3075" s="103"/>
      <c r="D3075" s="80"/>
      <c r="E3075" s="80"/>
    </row>
    <row r="3076" spans="2:5" ht="14.25" customHeight="1" x14ac:dyDescent="0.25">
      <c r="B3076" s="103"/>
      <c r="D3076" s="80"/>
      <c r="E3076" s="80"/>
    </row>
    <row r="3077" spans="2:5" ht="14.25" customHeight="1" x14ac:dyDescent="0.25">
      <c r="B3077" s="103"/>
      <c r="D3077" s="80"/>
      <c r="E3077" s="80"/>
    </row>
    <row r="3078" spans="2:5" ht="14.25" customHeight="1" x14ac:dyDescent="0.25">
      <c r="B3078" s="103"/>
      <c r="D3078" s="80"/>
      <c r="E3078" s="80"/>
    </row>
    <row r="3079" spans="2:5" ht="14.25" customHeight="1" x14ac:dyDescent="0.25">
      <c r="B3079" s="103"/>
      <c r="D3079" s="80"/>
      <c r="E3079" s="80"/>
    </row>
    <row r="3080" spans="2:5" ht="14.25" customHeight="1" x14ac:dyDescent="0.25">
      <c r="B3080" s="103"/>
      <c r="D3080" s="80"/>
      <c r="E3080" s="80"/>
    </row>
    <row r="3081" spans="2:5" ht="14.25" customHeight="1" x14ac:dyDescent="0.25">
      <c r="B3081" s="103"/>
      <c r="D3081" s="80"/>
      <c r="E3081" s="80"/>
    </row>
    <row r="3082" spans="2:5" ht="14.25" customHeight="1" x14ac:dyDescent="0.25">
      <c r="B3082" s="103"/>
      <c r="D3082" s="80"/>
      <c r="E3082" s="80"/>
    </row>
    <row r="3083" spans="2:5" ht="14.25" customHeight="1" x14ac:dyDescent="0.25">
      <c r="B3083" s="103"/>
      <c r="D3083" s="80"/>
      <c r="E3083" s="80"/>
    </row>
    <row r="3084" spans="2:5" ht="14.25" customHeight="1" x14ac:dyDescent="0.25">
      <c r="B3084" s="103"/>
      <c r="D3084" s="80"/>
      <c r="E3084" s="80"/>
    </row>
    <row r="3085" spans="2:5" ht="14.25" customHeight="1" x14ac:dyDescent="0.25">
      <c r="B3085" s="103"/>
      <c r="D3085" s="80"/>
      <c r="E3085" s="80"/>
    </row>
    <row r="3086" spans="2:5" ht="14.25" customHeight="1" x14ac:dyDescent="0.25">
      <c r="B3086" s="103"/>
      <c r="D3086" s="80"/>
      <c r="E3086" s="80"/>
    </row>
    <row r="3087" spans="2:5" ht="14.25" customHeight="1" x14ac:dyDescent="0.25">
      <c r="B3087" s="103"/>
      <c r="D3087" s="80"/>
      <c r="E3087" s="80"/>
    </row>
    <row r="3088" spans="2:5" ht="14.25" customHeight="1" x14ac:dyDescent="0.25">
      <c r="B3088" s="103"/>
      <c r="D3088" s="80"/>
      <c r="E3088" s="80"/>
    </row>
    <row r="3089" spans="2:5" ht="14.25" customHeight="1" x14ac:dyDescent="0.25">
      <c r="B3089" s="103"/>
      <c r="D3089" s="80"/>
      <c r="E3089" s="80"/>
    </row>
    <row r="3090" spans="2:5" ht="14.25" customHeight="1" x14ac:dyDescent="0.25">
      <c r="B3090" s="103"/>
      <c r="D3090" s="80"/>
      <c r="E3090" s="80"/>
    </row>
    <row r="3091" spans="2:5" ht="14.25" customHeight="1" x14ac:dyDescent="0.25">
      <c r="B3091" s="103"/>
      <c r="D3091" s="80"/>
      <c r="E3091" s="80"/>
    </row>
    <row r="3092" spans="2:5" ht="14.25" customHeight="1" x14ac:dyDescent="0.25">
      <c r="B3092" s="103"/>
      <c r="D3092" s="80"/>
      <c r="E3092" s="80"/>
    </row>
    <row r="3093" spans="2:5" ht="14.25" customHeight="1" x14ac:dyDescent="0.25">
      <c r="B3093" s="103"/>
      <c r="D3093" s="80"/>
      <c r="E3093" s="80"/>
    </row>
    <row r="3094" spans="2:5" ht="14.25" customHeight="1" x14ac:dyDescent="0.25">
      <c r="B3094" s="103"/>
      <c r="D3094" s="80"/>
      <c r="E3094" s="80"/>
    </row>
    <row r="3095" spans="2:5" ht="14.25" customHeight="1" x14ac:dyDescent="0.25">
      <c r="B3095" s="103"/>
      <c r="D3095" s="80"/>
      <c r="E3095" s="80"/>
    </row>
    <row r="3096" spans="2:5" ht="14.25" customHeight="1" x14ac:dyDescent="0.25">
      <c r="B3096" s="103"/>
      <c r="D3096" s="80"/>
      <c r="E3096" s="80"/>
    </row>
    <row r="3097" spans="2:5" ht="14.25" customHeight="1" x14ac:dyDescent="0.25">
      <c r="B3097" s="103"/>
      <c r="D3097" s="80"/>
      <c r="E3097" s="80"/>
    </row>
    <row r="3098" spans="2:5" ht="14.25" customHeight="1" x14ac:dyDescent="0.25">
      <c r="B3098" s="103"/>
      <c r="D3098" s="80"/>
      <c r="E3098" s="80"/>
    </row>
    <row r="3099" spans="2:5" ht="14.25" customHeight="1" x14ac:dyDescent="0.25">
      <c r="B3099" s="103"/>
      <c r="D3099" s="80"/>
      <c r="E3099" s="80"/>
    </row>
    <row r="3100" spans="2:5" ht="14.25" customHeight="1" x14ac:dyDescent="0.25">
      <c r="B3100" s="103"/>
      <c r="D3100" s="80"/>
      <c r="E3100" s="80"/>
    </row>
    <row r="3101" spans="2:5" ht="14.25" customHeight="1" x14ac:dyDescent="0.25">
      <c r="B3101" s="103"/>
      <c r="D3101" s="80"/>
      <c r="E3101" s="80"/>
    </row>
    <row r="3102" spans="2:5" ht="14.25" customHeight="1" x14ac:dyDescent="0.25">
      <c r="B3102" s="103"/>
      <c r="D3102" s="80"/>
      <c r="E3102" s="80"/>
    </row>
    <row r="3103" spans="2:5" ht="14.25" customHeight="1" x14ac:dyDescent="0.25">
      <c r="B3103" s="103"/>
      <c r="D3103" s="80"/>
      <c r="E3103" s="80"/>
    </row>
    <row r="3104" spans="2:5" ht="14.25" customHeight="1" x14ac:dyDescent="0.25">
      <c r="B3104" s="103"/>
      <c r="D3104" s="80"/>
      <c r="E3104" s="80"/>
    </row>
    <row r="3105" spans="2:5" ht="14.25" customHeight="1" x14ac:dyDescent="0.25">
      <c r="B3105" s="103"/>
      <c r="D3105" s="80"/>
      <c r="E3105" s="80"/>
    </row>
    <row r="3106" spans="2:5" ht="14.25" customHeight="1" x14ac:dyDescent="0.25">
      <c r="B3106" s="103"/>
      <c r="D3106" s="80"/>
      <c r="E3106" s="80"/>
    </row>
    <row r="3107" spans="2:5" ht="14.25" customHeight="1" x14ac:dyDescent="0.25">
      <c r="B3107" s="103"/>
      <c r="D3107" s="80"/>
      <c r="E3107" s="80"/>
    </row>
    <row r="3108" spans="2:5" ht="14.25" customHeight="1" x14ac:dyDescent="0.25">
      <c r="B3108" s="103"/>
      <c r="D3108" s="80"/>
      <c r="E3108" s="80"/>
    </row>
    <row r="3109" spans="2:5" ht="14.25" customHeight="1" x14ac:dyDescent="0.25">
      <c r="B3109" s="103"/>
      <c r="D3109" s="80"/>
      <c r="E3109" s="80"/>
    </row>
    <row r="3110" spans="2:5" ht="14.25" customHeight="1" x14ac:dyDescent="0.25">
      <c r="B3110" s="103"/>
      <c r="D3110" s="80"/>
      <c r="E3110" s="80"/>
    </row>
    <row r="3111" spans="2:5" ht="14.25" customHeight="1" x14ac:dyDescent="0.25">
      <c r="B3111" s="103"/>
      <c r="D3111" s="80"/>
      <c r="E3111" s="80"/>
    </row>
    <row r="3112" spans="2:5" ht="14.25" customHeight="1" x14ac:dyDescent="0.25">
      <c r="B3112" s="103"/>
      <c r="D3112" s="80"/>
      <c r="E3112" s="80"/>
    </row>
    <row r="3113" spans="2:5" ht="14.25" customHeight="1" x14ac:dyDescent="0.25">
      <c r="B3113" s="103"/>
      <c r="D3113" s="80"/>
      <c r="E3113" s="80"/>
    </row>
    <row r="3114" spans="2:5" ht="14.25" customHeight="1" x14ac:dyDescent="0.25">
      <c r="B3114" s="103"/>
      <c r="D3114" s="80"/>
      <c r="E3114" s="80"/>
    </row>
    <row r="3115" spans="2:5" ht="14.25" customHeight="1" x14ac:dyDescent="0.25">
      <c r="B3115" s="103"/>
      <c r="D3115" s="80"/>
      <c r="E3115" s="80"/>
    </row>
    <row r="3116" spans="2:5" ht="14.25" customHeight="1" x14ac:dyDescent="0.25">
      <c r="B3116" s="103"/>
      <c r="D3116" s="80"/>
      <c r="E3116" s="80"/>
    </row>
    <row r="3117" spans="2:5" ht="14.25" customHeight="1" x14ac:dyDescent="0.25">
      <c r="B3117" s="103"/>
      <c r="D3117" s="80"/>
      <c r="E3117" s="80"/>
    </row>
    <row r="3118" spans="2:5" ht="14.25" customHeight="1" x14ac:dyDescent="0.25">
      <c r="B3118" s="103"/>
      <c r="D3118" s="80"/>
      <c r="E3118" s="80"/>
    </row>
    <row r="3119" spans="2:5" ht="14.25" customHeight="1" x14ac:dyDescent="0.25">
      <c r="B3119" s="103"/>
      <c r="D3119" s="80"/>
      <c r="E3119" s="80"/>
    </row>
    <row r="3120" spans="2:5" ht="14.25" customHeight="1" x14ac:dyDescent="0.25">
      <c r="B3120" s="103"/>
      <c r="D3120" s="80"/>
      <c r="E3120" s="80"/>
    </row>
    <row r="3121" spans="2:5" ht="14.25" customHeight="1" x14ac:dyDescent="0.25">
      <c r="B3121" s="103"/>
      <c r="D3121" s="80"/>
      <c r="E3121" s="80"/>
    </row>
    <row r="3122" spans="2:5" ht="14.25" customHeight="1" x14ac:dyDescent="0.25">
      <c r="B3122" s="103"/>
      <c r="D3122" s="80"/>
      <c r="E3122" s="80"/>
    </row>
    <row r="3123" spans="2:5" ht="14.25" customHeight="1" x14ac:dyDescent="0.25">
      <c r="B3123" s="103"/>
      <c r="D3123" s="80"/>
      <c r="E3123" s="80"/>
    </row>
    <row r="3124" spans="2:5" ht="14.25" customHeight="1" x14ac:dyDescent="0.25">
      <c r="B3124" s="103"/>
      <c r="D3124" s="80"/>
      <c r="E3124" s="80"/>
    </row>
    <row r="3125" spans="2:5" ht="14.25" customHeight="1" x14ac:dyDescent="0.25">
      <c r="B3125" s="103"/>
      <c r="D3125" s="80"/>
      <c r="E3125" s="80"/>
    </row>
    <row r="3126" spans="2:5" ht="14.25" customHeight="1" x14ac:dyDescent="0.25">
      <c r="B3126" s="103"/>
      <c r="D3126" s="80"/>
      <c r="E3126" s="80"/>
    </row>
    <row r="3127" spans="2:5" ht="14.25" customHeight="1" x14ac:dyDescent="0.25">
      <c r="B3127" s="103"/>
      <c r="D3127" s="80"/>
      <c r="E3127" s="80"/>
    </row>
    <row r="3128" spans="2:5" ht="14.25" customHeight="1" x14ac:dyDescent="0.25">
      <c r="B3128" s="103"/>
      <c r="D3128" s="80"/>
      <c r="E3128" s="80"/>
    </row>
    <row r="3129" spans="2:5" ht="14.25" customHeight="1" x14ac:dyDescent="0.25">
      <c r="B3129" s="103"/>
      <c r="D3129" s="80"/>
      <c r="E3129" s="80"/>
    </row>
    <row r="3130" spans="2:5" ht="14.25" customHeight="1" x14ac:dyDescent="0.25">
      <c r="B3130" s="103"/>
      <c r="D3130" s="80"/>
      <c r="E3130" s="80"/>
    </row>
    <row r="3131" spans="2:5" ht="14.25" customHeight="1" x14ac:dyDescent="0.25">
      <c r="B3131" s="103"/>
      <c r="D3131" s="80"/>
      <c r="E3131" s="80"/>
    </row>
    <row r="3132" spans="2:5" ht="14.25" customHeight="1" x14ac:dyDescent="0.25">
      <c r="B3132" s="103"/>
      <c r="D3132" s="80"/>
      <c r="E3132" s="80"/>
    </row>
    <row r="3133" spans="2:5" ht="14.25" customHeight="1" x14ac:dyDescent="0.25">
      <c r="B3133" s="103"/>
      <c r="D3133" s="80"/>
      <c r="E3133" s="80"/>
    </row>
    <row r="3134" spans="2:5" ht="14.25" customHeight="1" x14ac:dyDescent="0.25">
      <c r="B3134" s="103"/>
      <c r="D3134" s="80"/>
      <c r="E3134" s="80"/>
    </row>
    <row r="3135" spans="2:5" ht="14.25" customHeight="1" x14ac:dyDescent="0.25">
      <c r="B3135" s="103"/>
      <c r="D3135" s="80"/>
      <c r="E3135" s="80"/>
    </row>
    <row r="3136" spans="2:5" ht="14.25" customHeight="1" x14ac:dyDescent="0.25">
      <c r="B3136" s="103"/>
      <c r="D3136" s="80"/>
      <c r="E3136" s="80"/>
    </row>
    <row r="3137" spans="2:5" ht="14.25" customHeight="1" x14ac:dyDescent="0.25">
      <c r="B3137" s="103"/>
      <c r="D3137" s="80"/>
      <c r="E3137" s="80"/>
    </row>
    <row r="3138" spans="2:5" ht="14.25" customHeight="1" x14ac:dyDescent="0.25">
      <c r="B3138" s="103"/>
      <c r="D3138" s="80"/>
      <c r="E3138" s="80"/>
    </row>
    <row r="3139" spans="2:5" ht="14.25" customHeight="1" x14ac:dyDescent="0.25">
      <c r="B3139" s="103"/>
      <c r="D3139" s="80"/>
      <c r="E3139" s="80"/>
    </row>
    <row r="3140" spans="2:5" ht="14.25" customHeight="1" x14ac:dyDescent="0.25">
      <c r="B3140" s="103"/>
      <c r="D3140" s="80"/>
      <c r="E3140" s="80"/>
    </row>
    <row r="3141" spans="2:5" ht="14.25" customHeight="1" x14ac:dyDescent="0.25">
      <c r="B3141" s="103"/>
      <c r="D3141" s="80"/>
      <c r="E3141" s="80"/>
    </row>
    <row r="3142" spans="2:5" ht="14.25" customHeight="1" x14ac:dyDescent="0.25">
      <c r="B3142" s="103"/>
      <c r="D3142" s="80"/>
      <c r="E3142" s="80"/>
    </row>
    <row r="3143" spans="2:5" ht="14.25" customHeight="1" x14ac:dyDescent="0.25">
      <c r="B3143" s="103"/>
      <c r="D3143" s="80"/>
      <c r="E3143" s="80"/>
    </row>
    <row r="3144" spans="2:5" ht="14.25" customHeight="1" x14ac:dyDescent="0.25">
      <c r="B3144" s="103"/>
      <c r="D3144" s="80"/>
      <c r="E3144" s="80"/>
    </row>
    <row r="3145" spans="2:5" ht="14.25" customHeight="1" x14ac:dyDescent="0.25">
      <c r="B3145" s="103"/>
      <c r="D3145" s="80"/>
      <c r="E3145" s="80"/>
    </row>
    <row r="3146" spans="2:5" ht="14.25" customHeight="1" x14ac:dyDescent="0.25">
      <c r="B3146" s="103"/>
      <c r="D3146" s="80"/>
      <c r="E3146" s="80"/>
    </row>
    <row r="3147" spans="2:5" ht="14.25" customHeight="1" x14ac:dyDescent="0.25">
      <c r="B3147" s="103"/>
      <c r="D3147" s="80"/>
      <c r="E3147" s="80"/>
    </row>
    <row r="3148" spans="2:5" ht="14.25" customHeight="1" x14ac:dyDescent="0.25">
      <c r="B3148" s="103"/>
      <c r="D3148" s="80"/>
      <c r="E3148" s="80"/>
    </row>
    <row r="3149" spans="2:5" ht="14.25" customHeight="1" x14ac:dyDescent="0.25">
      <c r="B3149" s="103"/>
      <c r="D3149" s="80"/>
      <c r="E3149" s="80"/>
    </row>
    <row r="3150" spans="2:5" ht="14.25" customHeight="1" x14ac:dyDescent="0.25">
      <c r="B3150" s="103"/>
      <c r="D3150" s="80"/>
      <c r="E3150" s="80"/>
    </row>
    <row r="3151" spans="2:5" ht="14.25" customHeight="1" x14ac:dyDescent="0.25">
      <c r="B3151" s="103"/>
      <c r="D3151" s="80"/>
      <c r="E3151" s="80"/>
    </row>
    <row r="3152" spans="2:5" ht="14.25" customHeight="1" x14ac:dyDescent="0.25">
      <c r="B3152" s="103"/>
      <c r="D3152" s="80"/>
      <c r="E3152" s="80"/>
    </row>
    <row r="3153" spans="2:5" ht="14.25" customHeight="1" x14ac:dyDescent="0.25">
      <c r="B3153" s="103"/>
      <c r="D3153" s="80"/>
      <c r="E3153" s="80"/>
    </row>
    <row r="3154" spans="2:5" ht="14.25" customHeight="1" x14ac:dyDescent="0.25">
      <c r="B3154" s="103"/>
      <c r="D3154" s="80"/>
      <c r="E3154" s="80"/>
    </row>
    <row r="3155" spans="2:5" ht="14.25" customHeight="1" x14ac:dyDescent="0.25">
      <c r="B3155" s="103"/>
      <c r="D3155" s="80"/>
      <c r="E3155" s="80"/>
    </row>
    <row r="3156" spans="2:5" ht="14.25" customHeight="1" x14ac:dyDescent="0.25">
      <c r="B3156" s="103"/>
      <c r="D3156" s="80"/>
      <c r="E3156" s="80"/>
    </row>
    <row r="3157" spans="2:5" ht="14.25" customHeight="1" x14ac:dyDescent="0.25">
      <c r="B3157" s="103"/>
      <c r="D3157" s="80"/>
      <c r="E3157" s="80"/>
    </row>
    <row r="3158" spans="2:5" ht="14.25" customHeight="1" x14ac:dyDescent="0.25">
      <c r="B3158" s="103"/>
      <c r="D3158" s="80"/>
      <c r="E3158" s="80"/>
    </row>
    <row r="3159" spans="2:5" ht="14.25" customHeight="1" x14ac:dyDescent="0.25">
      <c r="B3159" s="103"/>
      <c r="D3159" s="80"/>
      <c r="E3159" s="80"/>
    </row>
    <row r="3160" spans="2:5" ht="14.25" customHeight="1" x14ac:dyDescent="0.25">
      <c r="B3160" s="103"/>
      <c r="D3160" s="80"/>
      <c r="E3160" s="80"/>
    </row>
    <row r="3161" spans="2:5" ht="14.25" customHeight="1" x14ac:dyDescent="0.25">
      <c r="B3161" s="103"/>
      <c r="D3161" s="80"/>
      <c r="E3161" s="80"/>
    </row>
    <row r="3162" spans="2:5" ht="14.25" customHeight="1" x14ac:dyDescent="0.25">
      <c r="B3162" s="103"/>
      <c r="D3162" s="80"/>
      <c r="E3162" s="80"/>
    </row>
    <row r="3163" spans="2:5" ht="14.25" customHeight="1" x14ac:dyDescent="0.25">
      <c r="B3163" s="103"/>
      <c r="D3163" s="80"/>
      <c r="E3163" s="80"/>
    </row>
    <row r="3164" spans="2:5" ht="14.25" customHeight="1" x14ac:dyDescent="0.25">
      <c r="B3164" s="103"/>
      <c r="D3164" s="80"/>
      <c r="E3164" s="80"/>
    </row>
    <row r="3165" spans="2:5" ht="14.25" customHeight="1" x14ac:dyDescent="0.25">
      <c r="B3165" s="103"/>
      <c r="D3165" s="80"/>
      <c r="E3165" s="80"/>
    </row>
    <row r="3166" spans="2:5" ht="14.25" customHeight="1" x14ac:dyDescent="0.25">
      <c r="B3166" s="103"/>
      <c r="D3166" s="80"/>
      <c r="E3166" s="80"/>
    </row>
    <row r="3167" spans="2:5" ht="14.25" customHeight="1" x14ac:dyDescent="0.25">
      <c r="B3167" s="103"/>
      <c r="D3167" s="80"/>
      <c r="E3167" s="80"/>
    </row>
    <row r="3168" spans="2:5" ht="14.25" customHeight="1" x14ac:dyDescent="0.25">
      <c r="B3168" s="103"/>
      <c r="D3168" s="80"/>
      <c r="E3168" s="80"/>
    </row>
    <row r="3169" spans="2:5" ht="14.25" customHeight="1" x14ac:dyDescent="0.25">
      <c r="B3169" s="103"/>
      <c r="D3169" s="80"/>
      <c r="E3169" s="80"/>
    </row>
    <row r="3170" spans="2:5" ht="14.25" customHeight="1" x14ac:dyDescent="0.25">
      <c r="B3170" s="103"/>
      <c r="D3170" s="80"/>
      <c r="E3170" s="80"/>
    </row>
    <row r="3171" spans="2:5" ht="14.25" customHeight="1" x14ac:dyDescent="0.25">
      <c r="B3171" s="103"/>
      <c r="D3171" s="80"/>
      <c r="E3171" s="80"/>
    </row>
    <row r="3172" spans="2:5" ht="14.25" customHeight="1" x14ac:dyDescent="0.25">
      <c r="B3172" s="103"/>
      <c r="D3172" s="80"/>
      <c r="E3172" s="80"/>
    </row>
    <row r="3173" spans="2:5" ht="14.25" customHeight="1" x14ac:dyDescent="0.25">
      <c r="B3173" s="103"/>
      <c r="D3173" s="80"/>
      <c r="E3173" s="80"/>
    </row>
    <row r="3174" spans="2:5" ht="14.25" customHeight="1" x14ac:dyDescent="0.25">
      <c r="B3174" s="103"/>
      <c r="D3174" s="80"/>
      <c r="E3174" s="80"/>
    </row>
    <row r="3175" spans="2:5" ht="14.25" customHeight="1" x14ac:dyDescent="0.25">
      <c r="B3175" s="103"/>
      <c r="D3175" s="80"/>
      <c r="E3175" s="80"/>
    </row>
    <row r="3176" spans="2:5" ht="14.25" customHeight="1" x14ac:dyDescent="0.25">
      <c r="B3176" s="103"/>
      <c r="D3176" s="80"/>
      <c r="E3176" s="80"/>
    </row>
    <row r="3177" spans="2:5" ht="14.25" customHeight="1" x14ac:dyDescent="0.25">
      <c r="B3177" s="103"/>
      <c r="D3177" s="80"/>
      <c r="E3177" s="80"/>
    </row>
    <row r="3178" spans="2:5" ht="14.25" customHeight="1" x14ac:dyDescent="0.25">
      <c r="B3178" s="103"/>
      <c r="D3178" s="80"/>
      <c r="E3178" s="80"/>
    </row>
    <row r="3179" spans="2:5" ht="14.25" customHeight="1" x14ac:dyDescent="0.25">
      <c r="B3179" s="103"/>
      <c r="D3179" s="80"/>
      <c r="E3179" s="80"/>
    </row>
    <row r="3180" spans="2:5" ht="14.25" customHeight="1" x14ac:dyDescent="0.25">
      <c r="B3180" s="103"/>
      <c r="D3180" s="80"/>
      <c r="E3180" s="80"/>
    </row>
    <row r="3181" spans="2:5" ht="14.25" customHeight="1" x14ac:dyDescent="0.25">
      <c r="B3181" s="103"/>
      <c r="D3181" s="80"/>
      <c r="E3181" s="80"/>
    </row>
    <row r="3182" spans="2:5" ht="14.25" customHeight="1" x14ac:dyDescent="0.25">
      <c r="B3182" s="103"/>
      <c r="D3182" s="80"/>
      <c r="E3182" s="80"/>
    </row>
    <row r="3183" spans="2:5" ht="14.25" customHeight="1" x14ac:dyDescent="0.25">
      <c r="B3183" s="103"/>
      <c r="D3183" s="80"/>
      <c r="E3183" s="80"/>
    </row>
    <row r="3184" spans="2:5" ht="14.25" customHeight="1" x14ac:dyDescent="0.25">
      <c r="B3184" s="103"/>
      <c r="D3184" s="80"/>
      <c r="E3184" s="80"/>
    </row>
    <row r="3185" spans="2:5" ht="14.25" customHeight="1" x14ac:dyDescent="0.25">
      <c r="B3185" s="103"/>
      <c r="D3185" s="80"/>
      <c r="E3185" s="80"/>
    </row>
    <row r="3186" spans="2:5" ht="14.25" customHeight="1" x14ac:dyDescent="0.25">
      <c r="B3186" s="103"/>
      <c r="D3186" s="80"/>
      <c r="E3186" s="80"/>
    </row>
    <row r="3187" spans="2:5" ht="14.25" customHeight="1" x14ac:dyDescent="0.25">
      <c r="B3187" s="103"/>
      <c r="D3187" s="80"/>
      <c r="E3187" s="80"/>
    </row>
    <row r="3188" spans="2:5" ht="14.25" customHeight="1" x14ac:dyDescent="0.25">
      <c r="B3188" s="103"/>
      <c r="D3188" s="80"/>
      <c r="E3188" s="80"/>
    </row>
    <row r="3189" spans="2:5" ht="14.25" customHeight="1" x14ac:dyDescent="0.25">
      <c r="B3189" s="103"/>
      <c r="D3189" s="80"/>
      <c r="E3189" s="80"/>
    </row>
    <row r="3190" spans="2:5" ht="14.25" customHeight="1" x14ac:dyDescent="0.25">
      <c r="B3190" s="103"/>
      <c r="D3190" s="80"/>
      <c r="E3190" s="80"/>
    </row>
    <row r="3191" spans="2:5" ht="14.25" customHeight="1" x14ac:dyDescent="0.25">
      <c r="B3191" s="103"/>
      <c r="D3191" s="80"/>
      <c r="E3191" s="80"/>
    </row>
    <row r="3192" spans="2:5" ht="14.25" customHeight="1" x14ac:dyDescent="0.25">
      <c r="B3192" s="103"/>
      <c r="D3192" s="80"/>
      <c r="E3192" s="80"/>
    </row>
    <row r="3193" spans="2:5" ht="14.25" customHeight="1" x14ac:dyDescent="0.25">
      <c r="B3193" s="103"/>
      <c r="D3193" s="80"/>
      <c r="E3193" s="80"/>
    </row>
    <row r="3194" spans="2:5" ht="14.25" customHeight="1" x14ac:dyDescent="0.25">
      <c r="B3194" s="103"/>
      <c r="D3194" s="80"/>
      <c r="E3194" s="80"/>
    </row>
    <row r="3195" spans="2:5" ht="14.25" customHeight="1" x14ac:dyDescent="0.25">
      <c r="B3195" s="103"/>
      <c r="D3195" s="80"/>
      <c r="E3195" s="80"/>
    </row>
    <row r="3196" spans="2:5" ht="14.25" customHeight="1" x14ac:dyDescent="0.25">
      <c r="B3196" s="103"/>
      <c r="D3196" s="80"/>
      <c r="E3196" s="80"/>
    </row>
    <row r="3197" spans="2:5" ht="14.25" customHeight="1" x14ac:dyDescent="0.25">
      <c r="B3197" s="103"/>
      <c r="D3197" s="80"/>
      <c r="E3197" s="80"/>
    </row>
    <row r="3198" spans="2:5" ht="14.25" customHeight="1" x14ac:dyDescent="0.25">
      <c r="B3198" s="103"/>
      <c r="D3198" s="80"/>
      <c r="E3198" s="80"/>
    </row>
    <row r="3199" spans="2:5" ht="14.25" customHeight="1" x14ac:dyDescent="0.25">
      <c r="B3199" s="103"/>
      <c r="D3199" s="80"/>
      <c r="E3199" s="80"/>
    </row>
    <row r="3200" spans="2:5" ht="14.25" customHeight="1" x14ac:dyDescent="0.25">
      <c r="B3200" s="103"/>
      <c r="D3200" s="80"/>
      <c r="E3200" s="80"/>
    </row>
    <row r="3201" spans="2:5" ht="14.25" customHeight="1" x14ac:dyDescent="0.25">
      <c r="B3201" s="103"/>
      <c r="D3201" s="80"/>
      <c r="E3201" s="80"/>
    </row>
    <row r="3202" spans="2:5" ht="14.25" customHeight="1" x14ac:dyDescent="0.25">
      <c r="B3202" s="103"/>
      <c r="D3202" s="80"/>
      <c r="E3202" s="80"/>
    </row>
    <row r="3203" spans="2:5" ht="14.25" customHeight="1" x14ac:dyDescent="0.25">
      <c r="B3203" s="103"/>
      <c r="D3203" s="80"/>
      <c r="E3203" s="80"/>
    </row>
    <row r="3204" spans="2:5" ht="14.25" customHeight="1" x14ac:dyDescent="0.25">
      <c r="B3204" s="103"/>
      <c r="D3204" s="80"/>
      <c r="E3204" s="80"/>
    </row>
    <row r="3205" spans="2:5" ht="14.25" customHeight="1" x14ac:dyDescent="0.25">
      <c r="B3205" s="103"/>
      <c r="D3205" s="80"/>
      <c r="E3205" s="80"/>
    </row>
    <row r="3206" spans="2:5" ht="14.25" customHeight="1" x14ac:dyDescent="0.25">
      <c r="B3206" s="103"/>
      <c r="D3206" s="80"/>
      <c r="E3206" s="80"/>
    </row>
    <row r="3207" spans="2:5" ht="14.25" customHeight="1" x14ac:dyDescent="0.25">
      <c r="B3207" s="103"/>
      <c r="D3207" s="80"/>
      <c r="E3207" s="80"/>
    </row>
    <row r="3208" spans="2:5" ht="14.25" customHeight="1" x14ac:dyDescent="0.25">
      <c r="B3208" s="103"/>
      <c r="D3208" s="80"/>
      <c r="E3208" s="80"/>
    </row>
    <row r="3209" spans="2:5" ht="14.25" customHeight="1" x14ac:dyDescent="0.25">
      <c r="B3209" s="103"/>
      <c r="D3209" s="80"/>
      <c r="E3209" s="80"/>
    </row>
    <row r="3210" spans="2:5" ht="14.25" customHeight="1" x14ac:dyDescent="0.25">
      <c r="B3210" s="103"/>
      <c r="D3210" s="80"/>
      <c r="E3210" s="80"/>
    </row>
    <row r="3211" spans="2:5" ht="14.25" customHeight="1" x14ac:dyDescent="0.25">
      <c r="B3211" s="103"/>
      <c r="D3211" s="80"/>
      <c r="E3211" s="80"/>
    </row>
    <row r="3212" spans="2:5" ht="14.25" customHeight="1" x14ac:dyDescent="0.25">
      <c r="B3212" s="103"/>
      <c r="D3212" s="80"/>
      <c r="E3212" s="80"/>
    </row>
    <row r="3213" spans="2:5" ht="14.25" customHeight="1" x14ac:dyDescent="0.25">
      <c r="B3213" s="103"/>
      <c r="D3213" s="80"/>
      <c r="E3213" s="80"/>
    </row>
    <row r="3214" spans="2:5" ht="14.25" customHeight="1" x14ac:dyDescent="0.25">
      <c r="B3214" s="103"/>
      <c r="D3214" s="80"/>
      <c r="E3214" s="80"/>
    </row>
    <row r="3215" spans="2:5" ht="14.25" customHeight="1" x14ac:dyDescent="0.25">
      <c r="B3215" s="103"/>
      <c r="D3215" s="80"/>
      <c r="E3215" s="80"/>
    </row>
    <row r="3216" spans="2:5" ht="14.25" customHeight="1" x14ac:dyDescent="0.25">
      <c r="B3216" s="103"/>
      <c r="D3216" s="80"/>
      <c r="E3216" s="80"/>
    </row>
    <row r="3217" spans="2:5" ht="14.25" customHeight="1" x14ac:dyDescent="0.25">
      <c r="B3217" s="103"/>
      <c r="D3217" s="80"/>
      <c r="E3217" s="80"/>
    </row>
    <row r="3218" spans="2:5" ht="14.25" customHeight="1" x14ac:dyDescent="0.25">
      <c r="B3218" s="103"/>
      <c r="D3218" s="80"/>
      <c r="E3218" s="80"/>
    </row>
    <row r="3219" spans="2:5" ht="14.25" customHeight="1" x14ac:dyDescent="0.25">
      <c r="B3219" s="103"/>
      <c r="D3219" s="80"/>
      <c r="E3219" s="80"/>
    </row>
    <row r="3220" spans="2:5" ht="14.25" customHeight="1" x14ac:dyDescent="0.25">
      <c r="B3220" s="103"/>
      <c r="D3220" s="80"/>
      <c r="E3220" s="80"/>
    </row>
    <row r="3221" spans="2:5" ht="14.25" customHeight="1" x14ac:dyDescent="0.25">
      <c r="B3221" s="103"/>
      <c r="D3221" s="80"/>
      <c r="E3221" s="80"/>
    </row>
    <row r="3222" spans="2:5" ht="14.25" customHeight="1" x14ac:dyDescent="0.25">
      <c r="B3222" s="103"/>
      <c r="D3222" s="80"/>
      <c r="E3222" s="80"/>
    </row>
    <row r="3223" spans="2:5" ht="14.25" customHeight="1" x14ac:dyDescent="0.25">
      <c r="B3223" s="103"/>
      <c r="D3223" s="80"/>
      <c r="E3223" s="80"/>
    </row>
    <row r="3224" spans="2:5" ht="14.25" customHeight="1" x14ac:dyDescent="0.25">
      <c r="B3224" s="103"/>
      <c r="D3224" s="80"/>
      <c r="E3224" s="80"/>
    </row>
    <row r="3225" spans="2:5" ht="14.25" customHeight="1" x14ac:dyDescent="0.25">
      <c r="B3225" s="103"/>
      <c r="D3225" s="80"/>
      <c r="E3225" s="80"/>
    </row>
    <row r="3226" spans="2:5" ht="14.25" customHeight="1" x14ac:dyDescent="0.25">
      <c r="B3226" s="103"/>
      <c r="D3226" s="80"/>
      <c r="E3226" s="80"/>
    </row>
    <row r="3227" spans="2:5" ht="14.25" customHeight="1" x14ac:dyDescent="0.25">
      <c r="B3227" s="103"/>
      <c r="D3227" s="80"/>
      <c r="E3227" s="80"/>
    </row>
    <row r="3228" spans="2:5" ht="14.25" customHeight="1" x14ac:dyDescent="0.25">
      <c r="B3228" s="103"/>
      <c r="D3228" s="80"/>
      <c r="E3228" s="80"/>
    </row>
    <row r="3229" spans="2:5" ht="14.25" customHeight="1" x14ac:dyDescent="0.25">
      <c r="B3229" s="103"/>
      <c r="D3229" s="80"/>
      <c r="E3229" s="80"/>
    </row>
    <row r="3230" spans="2:5" ht="14.25" customHeight="1" x14ac:dyDescent="0.25">
      <c r="B3230" s="103"/>
      <c r="D3230" s="80"/>
      <c r="E3230" s="80"/>
    </row>
    <row r="3231" spans="2:5" ht="14.25" customHeight="1" x14ac:dyDescent="0.25">
      <c r="B3231" s="103"/>
      <c r="D3231" s="80"/>
      <c r="E3231" s="80"/>
    </row>
    <row r="3232" spans="2:5" ht="14.25" customHeight="1" x14ac:dyDescent="0.25">
      <c r="B3232" s="103"/>
      <c r="D3232" s="80"/>
      <c r="E3232" s="80"/>
    </row>
    <row r="3233" spans="2:5" ht="14.25" customHeight="1" x14ac:dyDescent="0.25">
      <c r="B3233" s="103"/>
      <c r="D3233" s="80"/>
      <c r="E3233" s="80"/>
    </row>
    <row r="3234" spans="2:5" ht="14.25" customHeight="1" x14ac:dyDescent="0.25">
      <c r="B3234" s="103"/>
      <c r="D3234" s="80"/>
      <c r="E3234" s="80"/>
    </row>
    <row r="3235" spans="2:5" ht="14.25" customHeight="1" x14ac:dyDescent="0.25">
      <c r="B3235" s="103"/>
      <c r="D3235" s="80"/>
      <c r="E3235" s="80"/>
    </row>
    <row r="3236" spans="2:5" ht="14.25" customHeight="1" x14ac:dyDescent="0.25">
      <c r="B3236" s="103"/>
      <c r="D3236" s="80"/>
      <c r="E3236" s="80"/>
    </row>
    <row r="3237" spans="2:5" ht="14.25" customHeight="1" x14ac:dyDescent="0.25">
      <c r="B3237" s="103"/>
      <c r="D3237" s="80"/>
      <c r="E3237" s="80"/>
    </row>
    <row r="3238" spans="2:5" ht="14.25" customHeight="1" x14ac:dyDescent="0.25">
      <c r="B3238" s="103"/>
      <c r="D3238" s="80"/>
      <c r="E3238" s="80"/>
    </row>
    <row r="3239" spans="2:5" ht="14.25" customHeight="1" x14ac:dyDescent="0.25">
      <c r="B3239" s="103"/>
      <c r="D3239" s="80"/>
      <c r="E3239" s="80"/>
    </row>
    <row r="3240" spans="2:5" ht="14.25" customHeight="1" x14ac:dyDescent="0.25">
      <c r="B3240" s="103"/>
      <c r="D3240" s="80"/>
      <c r="E3240" s="80"/>
    </row>
    <row r="3241" spans="2:5" ht="14.25" customHeight="1" x14ac:dyDescent="0.25">
      <c r="B3241" s="103"/>
      <c r="D3241" s="80"/>
      <c r="E3241" s="80"/>
    </row>
    <row r="3242" spans="2:5" ht="14.25" customHeight="1" x14ac:dyDescent="0.25">
      <c r="B3242" s="103"/>
      <c r="D3242" s="80"/>
      <c r="E3242" s="80"/>
    </row>
    <row r="3243" spans="2:5" ht="14.25" customHeight="1" x14ac:dyDescent="0.25">
      <c r="B3243" s="103"/>
      <c r="D3243" s="80"/>
      <c r="E3243" s="80"/>
    </row>
    <row r="3244" spans="2:5" ht="14.25" customHeight="1" x14ac:dyDescent="0.25">
      <c r="B3244" s="103"/>
      <c r="D3244" s="80"/>
      <c r="E3244" s="80"/>
    </row>
    <row r="3245" spans="2:5" ht="14.25" customHeight="1" x14ac:dyDescent="0.25">
      <c r="B3245" s="103"/>
      <c r="D3245" s="80"/>
      <c r="E3245" s="80"/>
    </row>
    <row r="3246" spans="2:5" ht="14.25" customHeight="1" x14ac:dyDescent="0.25">
      <c r="B3246" s="103"/>
      <c r="D3246" s="80"/>
      <c r="E3246" s="80"/>
    </row>
    <row r="3247" spans="2:5" ht="14.25" customHeight="1" x14ac:dyDescent="0.25">
      <c r="B3247" s="103"/>
      <c r="D3247" s="80"/>
      <c r="E3247" s="80"/>
    </row>
    <row r="3248" spans="2:5" ht="14.25" customHeight="1" x14ac:dyDescent="0.25">
      <c r="B3248" s="103"/>
      <c r="D3248" s="80"/>
      <c r="E3248" s="80"/>
    </row>
    <row r="3249" spans="2:5" ht="14.25" customHeight="1" x14ac:dyDescent="0.25">
      <c r="B3249" s="103"/>
      <c r="D3249" s="80"/>
      <c r="E3249" s="80"/>
    </row>
    <row r="3250" spans="2:5" ht="14.25" customHeight="1" x14ac:dyDescent="0.25">
      <c r="B3250" s="103"/>
      <c r="D3250" s="80"/>
      <c r="E3250" s="80"/>
    </row>
    <row r="3251" spans="2:5" ht="14.25" customHeight="1" x14ac:dyDescent="0.25">
      <c r="B3251" s="103"/>
      <c r="D3251" s="80"/>
      <c r="E3251" s="80"/>
    </row>
    <row r="3252" spans="2:5" ht="14.25" customHeight="1" x14ac:dyDescent="0.25">
      <c r="B3252" s="103"/>
      <c r="D3252" s="80"/>
      <c r="E3252" s="80"/>
    </row>
    <row r="3253" spans="2:5" ht="14.25" customHeight="1" x14ac:dyDescent="0.25">
      <c r="B3253" s="103"/>
      <c r="D3253" s="80"/>
      <c r="E3253" s="80"/>
    </row>
    <row r="3254" spans="2:5" ht="14.25" customHeight="1" x14ac:dyDescent="0.25">
      <c r="B3254" s="103"/>
      <c r="D3254" s="80"/>
      <c r="E3254" s="80"/>
    </row>
    <row r="3255" spans="2:5" ht="14.25" customHeight="1" x14ac:dyDescent="0.25">
      <c r="B3255" s="103"/>
      <c r="D3255" s="80"/>
      <c r="E3255" s="80"/>
    </row>
    <row r="3256" spans="2:5" ht="14.25" customHeight="1" x14ac:dyDescent="0.25">
      <c r="B3256" s="103"/>
      <c r="D3256" s="80"/>
      <c r="E3256" s="80"/>
    </row>
    <row r="3257" spans="2:5" ht="14.25" customHeight="1" x14ac:dyDescent="0.25">
      <c r="B3257" s="103"/>
      <c r="D3257" s="80"/>
      <c r="E3257" s="80"/>
    </row>
    <row r="3258" spans="2:5" ht="14.25" customHeight="1" x14ac:dyDescent="0.25">
      <c r="B3258" s="103"/>
      <c r="D3258" s="80"/>
      <c r="E3258" s="80"/>
    </row>
    <row r="3259" spans="2:5" ht="14.25" customHeight="1" x14ac:dyDescent="0.25">
      <c r="B3259" s="103"/>
      <c r="D3259" s="80"/>
      <c r="E3259" s="80"/>
    </row>
    <row r="3260" spans="2:5" ht="14.25" customHeight="1" x14ac:dyDescent="0.25">
      <c r="B3260" s="103"/>
      <c r="D3260" s="80"/>
      <c r="E3260" s="80"/>
    </row>
    <row r="3261" spans="2:5" ht="14.25" customHeight="1" x14ac:dyDescent="0.25">
      <c r="B3261" s="103"/>
      <c r="D3261" s="80"/>
      <c r="E3261" s="80"/>
    </row>
    <row r="3262" spans="2:5" ht="14.25" customHeight="1" x14ac:dyDescent="0.25">
      <c r="B3262" s="103"/>
      <c r="D3262" s="80"/>
      <c r="E3262" s="80"/>
    </row>
    <row r="3263" spans="2:5" ht="14.25" customHeight="1" x14ac:dyDescent="0.25">
      <c r="B3263" s="103"/>
      <c r="D3263" s="80"/>
      <c r="E3263" s="80"/>
    </row>
    <row r="3264" spans="2:5" ht="14.25" customHeight="1" x14ac:dyDescent="0.25">
      <c r="B3264" s="103"/>
      <c r="D3264" s="80"/>
      <c r="E3264" s="80"/>
    </row>
    <row r="3265" spans="2:5" ht="14.25" customHeight="1" x14ac:dyDescent="0.25">
      <c r="B3265" s="103"/>
      <c r="D3265" s="80"/>
      <c r="E3265" s="80"/>
    </row>
    <row r="3266" spans="2:5" ht="14.25" customHeight="1" x14ac:dyDescent="0.25">
      <c r="B3266" s="103"/>
      <c r="D3266" s="80"/>
      <c r="E3266" s="80"/>
    </row>
    <row r="3267" spans="2:5" ht="14.25" customHeight="1" x14ac:dyDescent="0.25">
      <c r="B3267" s="103"/>
      <c r="D3267" s="80"/>
      <c r="E3267" s="80"/>
    </row>
    <row r="3268" spans="2:5" ht="14.25" customHeight="1" x14ac:dyDescent="0.25">
      <c r="B3268" s="103"/>
      <c r="D3268" s="80"/>
      <c r="E3268" s="80"/>
    </row>
    <row r="3269" spans="2:5" ht="14.25" customHeight="1" x14ac:dyDescent="0.25">
      <c r="B3269" s="103"/>
      <c r="D3269" s="80"/>
      <c r="E3269" s="80"/>
    </row>
    <row r="3270" spans="2:5" ht="14.25" customHeight="1" x14ac:dyDescent="0.25">
      <c r="B3270" s="103"/>
      <c r="D3270" s="80"/>
      <c r="E3270" s="80"/>
    </row>
    <row r="3271" spans="2:5" ht="14.25" customHeight="1" x14ac:dyDescent="0.25">
      <c r="B3271" s="103"/>
      <c r="D3271" s="80"/>
      <c r="E3271" s="80"/>
    </row>
    <row r="3272" spans="2:5" ht="14.25" customHeight="1" x14ac:dyDescent="0.25">
      <c r="B3272" s="103"/>
      <c r="D3272" s="80"/>
      <c r="E3272" s="80"/>
    </row>
    <row r="3273" spans="2:5" ht="14.25" customHeight="1" x14ac:dyDescent="0.25">
      <c r="B3273" s="103"/>
      <c r="D3273" s="80"/>
      <c r="E3273" s="80"/>
    </row>
    <row r="3274" spans="2:5" ht="14.25" customHeight="1" x14ac:dyDescent="0.25">
      <c r="B3274" s="103"/>
      <c r="D3274" s="80"/>
      <c r="E3274" s="80"/>
    </row>
    <row r="3275" spans="2:5" ht="14.25" customHeight="1" x14ac:dyDescent="0.25">
      <c r="B3275" s="103"/>
      <c r="D3275" s="80"/>
      <c r="E3275" s="80"/>
    </row>
    <row r="3276" spans="2:5" ht="14.25" customHeight="1" x14ac:dyDescent="0.25">
      <c r="B3276" s="103"/>
      <c r="D3276" s="80"/>
      <c r="E3276" s="80"/>
    </row>
    <row r="3277" spans="2:5" ht="14.25" customHeight="1" x14ac:dyDescent="0.25">
      <c r="B3277" s="103"/>
      <c r="D3277" s="80"/>
      <c r="E3277" s="80"/>
    </row>
    <row r="3278" spans="2:5" ht="14.25" customHeight="1" x14ac:dyDescent="0.25">
      <c r="B3278" s="103"/>
      <c r="D3278" s="80"/>
      <c r="E3278" s="80"/>
    </row>
    <row r="3279" spans="2:5" ht="14.25" customHeight="1" x14ac:dyDescent="0.25">
      <c r="B3279" s="103"/>
      <c r="D3279" s="80"/>
      <c r="E3279" s="80"/>
    </row>
    <row r="3280" spans="2:5" ht="14.25" customHeight="1" x14ac:dyDescent="0.25">
      <c r="B3280" s="103"/>
      <c r="D3280" s="80"/>
      <c r="E3280" s="80"/>
    </row>
    <row r="3281" spans="2:5" ht="14.25" customHeight="1" x14ac:dyDescent="0.25">
      <c r="B3281" s="103"/>
      <c r="D3281" s="80"/>
      <c r="E3281" s="80"/>
    </row>
    <row r="3282" spans="2:5" ht="14.25" customHeight="1" x14ac:dyDescent="0.25">
      <c r="B3282" s="103"/>
      <c r="D3282" s="80"/>
      <c r="E3282" s="80"/>
    </row>
    <row r="3283" spans="2:5" ht="14.25" customHeight="1" x14ac:dyDescent="0.25">
      <c r="B3283" s="103"/>
      <c r="D3283" s="80"/>
      <c r="E3283" s="80"/>
    </row>
    <row r="3284" spans="2:5" ht="14.25" customHeight="1" x14ac:dyDescent="0.25">
      <c r="B3284" s="103"/>
      <c r="D3284" s="80"/>
      <c r="E3284" s="80"/>
    </row>
    <row r="3285" spans="2:5" ht="14.25" customHeight="1" x14ac:dyDescent="0.25">
      <c r="B3285" s="103"/>
      <c r="D3285" s="80"/>
      <c r="E3285" s="80"/>
    </row>
    <row r="3286" spans="2:5" ht="14.25" customHeight="1" x14ac:dyDescent="0.25">
      <c r="B3286" s="103"/>
      <c r="D3286" s="80"/>
      <c r="E3286" s="80"/>
    </row>
    <row r="3287" spans="2:5" ht="14.25" customHeight="1" x14ac:dyDescent="0.25">
      <c r="B3287" s="103"/>
      <c r="D3287" s="80"/>
      <c r="E3287" s="80"/>
    </row>
    <row r="3288" spans="2:5" ht="14.25" customHeight="1" x14ac:dyDescent="0.25">
      <c r="B3288" s="103"/>
      <c r="D3288" s="80"/>
      <c r="E3288" s="80"/>
    </row>
    <row r="3289" spans="2:5" ht="14.25" customHeight="1" x14ac:dyDescent="0.25">
      <c r="B3289" s="103"/>
      <c r="D3289" s="80"/>
      <c r="E3289" s="80"/>
    </row>
    <row r="3290" spans="2:5" ht="14.25" customHeight="1" x14ac:dyDescent="0.25">
      <c r="B3290" s="103"/>
      <c r="D3290" s="80"/>
      <c r="E3290" s="80"/>
    </row>
    <row r="3291" spans="2:5" ht="14.25" customHeight="1" x14ac:dyDescent="0.25">
      <c r="B3291" s="103"/>
      <c r="D3291" s="80"/>
      <c r="E3291" s="80"/>
    </row>
    <row r="3292" spans="2:5" ht="14.25" customHeight="1" x14ac:dyDescent="0.25">
      <c r="B3292" s="103"/>
      <c r="D3292" s="80"/>
      <c r="E3292" s="80"/>
    </row>
    <row r="3293" spans="2:5" ht="14.25" customHeight="1" x14ac:dyDescent="0.25">
      <c r="B3293" s="103"/>
      <c r="D3293" s="80"/>
      <c r="E3293" s="80"/>
    </row>
    <row r="3294" spans="2:5" ht="14.25" customHeight="1" x14ac:dyDescent="0.25">
      <c r="B3294" s="103"/>
      <c r="D3294" s="80"/>
      <c r="E3294" s="80"/>
    </row>
    <row r="3295" spans="2:5" ht="14.25" customHeight="1" x14ac:dyDescent="0.25">
      <c r="B3295" s="103"/>
      <c r="D3295" s="80"/>
      <c r="E3295" s="80"/>
    </row>
    <row r="3296" spans="2:5" ht="14.25" customHeight="1" x14ac:dyDescent="0.25">
      <c r="B3296" s="103"/>
      <c r="D3296" s="80"/>
      <c r="E3296" s="80"/>
    </row>
    <row r="3297" spans="2:5" ht="14.25" customHeight="1" x14ac:dyDescent="0.25">
      <c r="B3297" s="103"/>
      <c r="D3297" s="80"/>
      <c r="E3297" s="80"/>
    </row>
    <row r="3298" spans="2:5" ht="14.25" customHeight="1" x14ac:dyDescent="0.25">
      <c r="B3298" s="103"/>
      <c r="D3298" s="80"/>
      <c r="E3298" s="80"/>
    </row>
    <row r="3299" spans="2:5" ht="14.25" customHeight="1" x14ac:dyDescent="0.25">
      <c r="B3299" s="103"/>
      <c r="D3299" s="80"/>
      <c r="E3299" s="80"/>
    </row>
    <row r="3300" spans="2:5" ht="14.25" customHeight="1" x14ac:dyDescent="0.25">
      <c r="B3300" s="103"/>
      <c r="D3300" s="80"/>
      <c r="E3300" s="80"/>
    </row>
    <row r="3301" spans="2:5" ht="14.25" customHeight="1" x14ac:dyDescent="0.25">
      <c r="B3301" s="103"/>
      <c r="D3301" s="80"/>
      <c r="E3301" s="80"/>
    </row>
    <row r="3302" spans="2:5" ht="14.25" customHeight="1" x14ac:dyDescent="0.25">
      <c r="B3302" s="103"/>
      <c r="D3302" s="80"/>
      <c r="E3302" s="80"/>
    </row>
    <row r="3303" spans="2:5" ht="14.25" customHeight="1" x14ac:dyDescent="0.25">
      <c r="B3303" s="103"/>
      <c r="D3303" s="80"/>
      <c r="E3303" s="80"/>
    </row>
    <row r="3304" spans="2:5" ht="14.25" customHeight="1" x14ac:dyDescent="0.25">
      <c r="B3304" s="103"/>
      <c r="D3304" s="80"/>
      <c r="E3304" s="80"/>
    </row>
    <row r="3305" spans="2:5" ht="14.25" customHeight="1" x14ac:dyDescent="0.25">
      <c r="B3305" s="103"/>
      <c r="D3305" s="80"/>
      <c r="E3305" s="80"/>
    </row>
    <row r="3306" spans="2:5" ht="14.25" customHeight="1" x14ac:dyDescent="0.25">
      <c r="B3306" s="103"/>
      <c r="D3306" s="80"/>
      <c r="E3306" s="80"/>
    </row>
    <row r="3307" spans="2:5" ht="14.25" customHeight="1" x14ac:dyDescent="0.25">
      <c r="B3307" s="103"/>
      <c r="D3307" s="80"/>
      <c r="E3307" s="80"/>
    </row>
    <row r="3308" spans="2:5" ht="14.25" customHeight="1" x14ac:dyDescent="0.25">
      <c r="B3308" s="103"/>
      <c r="D3308" s="80"/>
      <c r="E3308" s="80"/>
    </row>
    <row r="3309" spans="2:5" ht="14.25" customHeight="1" x14ac:dyDescent="0.25">
      <c r="B3309" s="103"/>
      <c r="D3309" s="80"/>
      <c r="E3309" s="80"/>
    </row>
    <row r="3310" spans="2:5" ht="14.25" customHeight="1" x14ac:dyDescent="0.25">
      <c r="B3310" s="103"/>
      <c r="D3310" s="80"/>
      <c r="E3310" s="80"/>
    </row>
    <row r="3311" spans="2:5" ht="14.25" customHeight="1" x14ac:dyDescent="0.25">
      <c r="B3311" s="103"/>
      <c r="D3311" s="80"/>
      <c r="E3311" s="80"/>
    </row>
    <row r="3312" spans="2:5" ht="14.25" customHeight="1" x14ac:dyDescent="0.25">
      <c r="B3312" s="103"/>
      <c r="D3312" s="80"/>
      <c r="E3312" s="80"/>
    </row>
    <row r="3313" spans="2:5" ht="14.25" customHeight="1" x14ac:dyDescent="0.25">
      <c r="B3313" s="103"/>
      <c r="D3313" s="80"/>
      <c r="E3313" s="80"/>
    </row>
    <row r="3314" spans="2:5" ht="14.25" customHeight="1" x14ac:dyDescent="0.25">
      <c r="B3314" s="103"/>
      <c r="D3314" s="80"/>
      <c r="E3314" s="80"/>
    </row>
    <row r="3315" spans="2:5" ht="14.25" customHeight="1" x14ac:dyDescent="0.25">
      <c r="B3315" s="103"/>
      <c r="D3315" s="80"/>
      <c r="E3315" s="80"/>
    </row>
    <row r="3316" spans="2:5" ht="14.25" customHeight="1" x14ac:dyDescent="0.25">
      <c r="B3316" s="103"/>
      <c r="D3316" s="80"/>
      <c r="E3316" s="80"/>
    </row>
    <row r="3317" spans="2:5" ht="14.25" customHeight="1" x14ac:dyDescent="0.25">
      <c r="B3317" s="103"/>
      <c r="D3317" s="80"/>
      <c r="E3317" s="80"/>
    </row>
    <row r="3318" spans="2:5" ht="14.25" customHeight="1" x14ac:dyDescent="0.25">
      <c r="B3318" s="103"/>
      <c r="D3318" s="80"/>
      <c r="E3318" s="80"/>
    </row>
    <row r="3319" spans="2:5" ht="14.25" customHeight="1" x14ac:dyDescent="0.25">
      <c r="B3319" s="103"/>
      <c r="D3319" s="80"/>
      <c r="E3319" s="80"/>
    </row>
    <row r="3320" spans="2:5" ht="14.25" customHeight="1" x14ac:dyDescent="0.25">
      <c r="B3320" s="103"/>
      <c r="D3320" s="80"/>
      <c r="E3320" s="80"/>
    </row>
    <row r="3321" spans="2:5" ht="14.25" customHeight="1" x14ac:dyDescent="0.25">
      <c r="B3321" s="103"/>
      <c r="D3321" s="80"/>
      <c r="E3321" s="80"/>
    </row>
    <row r="3322" spans="2:5" ht="14.25" customHeight="1" x14ac:dyDescent="0.25">
      <c r="B3322" s="103"/>
      <c r="D3322" s="80"/>
      <c r="E3322" s="80"/>
    </row>
    <row r="3323" spans="2:5" ht="14.25" customHeight="1" x14ac:dyDescent="0.25">
      <c r="B3323" s="103"/>
      <c r="D3323" s="80"/>
      <c r="E3323" s="80"/>
    </row>
    <row r="3324" spans="2:5" ht="14.25" customHeight="1" x14ac:dyDescent="0.25">
      <c r="B3324" s="103"/>
      <c r="D3324" s="80"/>
      <c r="E3324" s="80"/>
    </row>
    <row r="3325" spans="2:5" ht="14.25" customHeight="1" x14ac:dyDescent="0.25">
      <c r="B3325" s="103"/>
      <c r="D3325" s="80"/>
      <c r="E3325" s="80"/>
    </row>
    <row r="3326" spans="2:5" ht="14.25" customHeight="1" x14ac:dyDescent="0.25">
      <c r="B3326" s="103"/>
      <c r="D3326" s="80"/>
      <c r="E3326" s="80"/>
    </row>
    <row r="3327" spans="2:5" ht="14.25" customHeight="1" x14ac:dyDescent="0.25">
      <c r="B3327" s="103"/>
      <c r="D3327" s="80"/>
      <c r="E3327" s="80"/>
    </row>
    <row r="3328" spans="2:5" ht="14.25" customHeight="1" x14ac:dyDescent="0.25">
      <c r="B3328" s="103"/>
      <c r="D3328" s="80"/>
      <c r="E3328" s="80"/>
    </row>
    <row r="3329" spans="2:5" ht="14.25" customHeight="1" x14ac:dyDescent="0.25">
      <c r="B3329" s="103"/>
      <c r="D3329" s="80"/>
      <c r="E3329" s="80"/>
    </row>
    <row r="3330" spans="2:5" ht="14.25" customHeight="1" x14ac:dyDescent="0.25">
      <c r="B3330" s="103"/>
      <c r="D3330" s="80"/>
      <c r="E3330" s="80"/>
    </row>
    <row r="3331" spans="2:5" ht="14.25" customHeight="1" x14ac:dyDescent="0.25">
      <c r="B3331" s="103"/>
      <c r="D3331" s="80"/>
      <c r="E3331" s="80"/>
    </row>
    <row r="3332" spans="2:5" ht="14.25" customHeight="1" x14ac:dyDescent="0.25">
      <c r="B3332" s="103"/>
      <c r="D3332" s="80"/>
      <c r="E3332" s="80"/>
    </row>
    <row r="3333" spans="2:5" ht="14.25" customHeight="1" x14ac:dyDescent="0.25">
      <c r="B3333" s="103"/>
      <c r="D3333" s="80"/>
      <c r="E3333" s="80"/>
    </row>
    <row r="3334" spans="2:5" ht="14.25" customHeight="1" x14ac:dyDescent="0.25">
      <c r="B3334" s="103"/>
      <c r="D3334" s="80"/>
      <c r="E3334" s="80"/>
    </row>
    <row r="3335" spans="2:5" ht="14.25" customHeight="1" x14ac:dyDescent="0.25">
      <c r="B3335" s="103"/>
      <c r="D3335" s="80"/>
      <c r="E3335" s="80"/>
    </row>
    <row r="3336" spans="2:5" ht="14.25" customHeight="1" x14ac:dyDescent="0.25">
      <c r="B3336" s="103"/>
      <c r="D3336" s="80"/>
      <c r="E3336" s="80"/>
    </row>
    <row r="3337" spans="2:5" ht="14.25" customHeight="1" x14ac:dyDescent="0.25">
      <c r="B3337" s="103"/>
      <c r="D3337" s="80"/>
      <c r="E3337" s="80"/>
    </row>
    <row r="3338" spans="2:5" ht="14.25" customHeight="1" x14ac:dyDescent="0.25">
      <c r="B3338" s="103"/>
      <c r="D3338" s="80"/>
      <c r="E3338" s="80"/>
    </row>
    <row r="3339" spans="2:5" ht="14.25" customHeight="1" x14ac:dyDescent="0.25">
      <c r="B3339" s="103"/>
      <c r="D3339" s="80"/>
      <c r="E3339" s="80"/>
    </row>
    <row r="3340" spans="2:5" ht="14.25" customHeight="1" x14ac:dyDescent="0.25">
      <c r="B3340" s="103"/>
      <c r="D3340" s="80"/>
      <c r="E3340" s="80"/>
    </row>
    <row r="3341" spans="2:5" ht="14.25" customHeight="1" x14ac:dyDescent="0.25">
      <c r="B3341" s="103"/>
      <c r="D3341" s="80"/>
      <c r="E3341" s="80"/>
    </row>
    <row r="3342" spans="2:5" ht="14.25" customHeight="1" x14ac:dyDescent="0.25">
      <c r="B3342" s="103"/>
      <c r="D3342" s="80"/>
      <c r="E3342" s="80"/>
    </row>
    <row r="3343" spans="2:5" ht="14.25" customHeight="1" x14ac:dyDescent="0.25">
      <c r="B3343" s="103"/>
      <c r="D3343" s="80"/>
      <c r="E3343" s="80"/>
    </row>
    <row r="3344" spans="2:5" ht="14.25" customHeight="1" x14ac:dyDescent="0.25">
      <c r="B3344" s="103"/>
      <c r="D3344" s="80"/>
      <c r="E3344" s="80"/>
    </row>
    <row r="3345" spans="2:5" ht="14.25" customHeight="1" x14ac:dyDescent="0.25">
      <c r="B3345" s="103"/>
      <c r="D3345" s="80"/>
      <c r="E3345" s="80"/>
    </row>
    <row r="3346" spans="2:5" ht="14.25" customHeight="1" x14ac:dyDescent="0.25">
      <c r="B3346" s="103"/>
      <c r="D3346" s="80"/>
      <c r="E3346" s="80"/>
    </row>
    <row r="3347" spans="2:5" ht="14.25" customHeight="1" x14ac:dyDescent="0.25">
      <c r="B3347" s="103"/>
      <c r="D3347" s="80"/>
      <c r="E3347" s="80"/>
    </row>
    <row r="3348" spans="2:5" ht="14.25" customHeight="1" x14ac:dyDescent="0.25">
      <c r="B3348" s="103"/>
      <c r="D3348" s="80"/>
      <c r="E3348" s="80"/>
    </row>
    <row r="3349" spans="2:5" ht="14.25" customHeight="1" x14ac:dyDescent="0.25">
      <c r="B3349" s="103"/>
      <c r="D3349" s="80"/>
      <c r="E3349" s="80"/>
    </row>
    <row r="3350" spans="2:5" ht="14.25" customHeight="1" x14ac:dyDescent="0.25">
      <c r="B3350" s="103"/>
      <c r="D3350" s="80"/>
      <c r="E3350" s="80"/>
    </row>
    <row r="3351" spans="2:5" ht="14.25" customHeight="1" x14ac:dyDescent="0.25">
      <c r="B3351" s="103"/>
      <c r="D3351" s="80"/>
      <c r="E3351" s="80"/>
    </row>
    <row r="3352" spans="2:5" ht="14.25" customHeight="1" x14ac:dyDescent="0.25">
      <c r="B3352" s="103"/>
      <c r="D3352" s="80"/>
      <c r="E3352" s="80"/>
    </row>
    <row r="3353" spans="2:5" ht="14.25" customHeight="1" x14ac:dyDescent="0.25">
      <c r="B3353" s="103"/>
      <c r="D3353" s="80"/>
      <c r="E3353" s="80"/>
    </row>
    <row r="3354" spans="2:5" ht="14.25" customHeight="1" x14ac:dyDescent="0.25">
      <c r="B3354" s="103"/>
      <c r="D3354" s="80"/>
      <c r="E3354" s="80"/>
    </row>
    <row r="3355" spans="2:5" ht="14.25" customHeight="1" x14ac:dyDescent="0.25">
      <c r="B3355" s="103"/>
      <c r="D3355" s="80"/>
      <c r="E3355" s="80"/>
    </row>
    <row r="3356" spans="2:5" ht="14.25" customHeight="1" x14ac:dyDescent="0.25">
      <c r="B3356" s="103"/>
      <c r="D3356" s="80"/>
      <c r="E3356" s="80"/>
    </row>
    <row r="3357" spans="2:5" ht="14.25" customHeight="1" x14ac:dyDescent="0.25">
      <c r="B3357" s="103"/>
      <c r="D3357" s="80"/>
      <c r="E3357" s="80"/>
    </row>
    <row r="3358" spans="2:5" ht="14.25" customHeight="1" x14ac:dyDescent="0.25">
      <c r="B3358" s="103"/>
      <c r="D3358" s="80"/>
      <c r="E3358" s="80"/>
    </row>
    <row r="3359" spans="2:5" ht="14.25" customHeight="1" x14ac:dyDescent="0.25">
      <c r="B3359" s="103"/>
      <c r="D3359" s="80"/>
      <c r="E3359" s="80"/>
    </row>
    <row r="3360" spans="2:5" ht="14.25" customHeight="1" x14ac:dyDescent="0.25">
      <c r="B3360" s="103"/>
      <c r="D3360" s="80"/>
      <c r="E3360" s="80"/>
    </row>
    <row r="3361" spans="2:5" ht="14.25" customHeight="1" x14ac:dyDescent="0.25">
      <c r="B3361" s="103"/>
      <c r="D3361" s="80"/>
      <c r="E3361" s="80"/>
    </row>
    <row r="3362" spans="2:5" ht="14.25" customHeight="1" x14ac:dyDescent="0.25">
      <c r="B3362" s="103"/>
      <c r="D3362" s="80"/>
      <c r="E3362" s="80"/>
    </row>
    <row r="3363" spans="2:5" ht="14.25" customHeight="1" x14ac:dyDescent="0.25">
      <c r="B3363" s="103"/>
      <c r="D3363" s="80"/>
      <c r="E3363" s="80"/>
    </row>
    <row r="3364" spans="2:5" ht="14.25" customHeight="1" x14ac:dyDescent="0.25">
      <c r="B3364" s="103"/>
      <c r="D3364" s="80"/>
      <c r="E3364" s="80"/>
    </row>
    <row r="3365" spans="2:5" ht="14.25" customHeight="1" x14ac:dyDescent="0.25">
      <c r="B3365" s="103"/>
      <c r="D3365" s="80"/>
      <c r="E3365" s="80"/>
    </row>
    <row r="3366" spans="2:5" ht="14.25" customHeight="1" x14ac:dyDescent="0.25">
      <c r="B3366" s="103"/>
      <c r="D3366" s="80"/>
      <c r="E3366" s="80"/>
    </row>
    <row r="3367" spans="2:5" ht="14.25" customHeight="1" x14ac:dyDescent="0.25">
      <c r="B3367" s="103"/>
      <c r="D3367" s="80"/>
      <c r="E3367" s="80"/>
    </row>
    <row r="3368" spans="2:5" ht="14.25" customHeight="1" x14ac:dyDescent="0.25">
      <c r="B3368" s="103"/>
      <c r="D3368" s="80"/>
      <c r="E3368" s="80"/>
    </row>
    <row r="3369" spans="2:5" ht="14.25" customHeight="1" x14ac:dyDescent="0.25">
      <c r="B3369" s="103"/>
      <c r="D3369" s="80"/>
      <c r="E3369" s="80"/>
    </row>
    <row r="3370" spans="2:5" ht="14.25" customHeight="1" x14ac:dyDescent="0.25">
      <c r="B3370" s="103"/>
      <c r="D3370" s="80"/>
      <c r="E3370" s="80"/>
    </row>
    <row r="3371" spans="2:5" ht="14.25" customHeight="1" x14ac:dyDescent="0.25">
      <c r="B3371" s="103"/>
      <c r="D3371" s="80"/>
      <c r="E3371" s="80"/>
    </row>
    <row r="3372" spans="2:5" ht="14.25" customHeight="1" x14ac:dyDescent="0.25">
      <c r="B3372" s="103"/>
      <c r="D3372" s="80"/>
      <c r="E3372" s="80"/>
    </row>
    <row r="3373" spans="2:5" ht="14.25" customHeight="1" x14ac:dyDescent="0.25">
      <c r="B3373" s="103"/>
      <c r="D3373" s="80"/>
      <c r="E3373" s="80"/>
    </row>
    <row r="3374" spans="2:5" ht="14.25" customHeight="1" x14ac:dyDescent="0.25">
      <c r="B3374" s="103"/>
      <c r="D3374" s="80"/>
      <c r="E3374" s="80"/>
    </row>
    <row r="3375" spans="2:5" ht="14.25" customHeight="1" x14ac:dyDescent="0.25">
      <c r="B3375" s="103"/>
      <c r="D3375" s="80"/>
      <c r="E3375" s="80"/>
    </row>
    <row r="3376" spans="2:5" ht="14.25" customHeight="1" x14ac:dyDescent="0.25">
      <c r="B3376" s="103"/>
      <c r="D3376" s="80"/>
      <c r="E3376" s="80"/>
    </row>
    <row r="3377" spans="2:5" ht="14.25" customHeight="1" x14ac:dyDescent="0.25">
      <c r="B3377" s="103"/>
      <c r="D3377" s="80"/>
      <c r="E3377" s="80"/>
    </row>
    <row r="3378" spans="2:5" ht="14.25" customHeight="1" x14ac:dyDescent="0.25">
      <c r="B3378" s="103"/>
      <c r="D3378" s="80"/>
      <c r="E3378" s="80"/>
    </row>
    <row r="3379" spans="2:5" ht="14.25" customHeight="1" x14ac:dyDescent="0.25">
      <c r="B3379" s="103"/>
      <c r="D3379" s="80"/>
      <c r="E3379" s="80"/>
    </row>
    <row r="3380" spans="2:5" ht="14.25" customHeight="1" x14ac:dyDescent="0.25">
      <c r="B3380" s="103"/>
      <c r="D3380" s="80"/>
      <c r="E3380" s="80"/>
    </row>
    <row r="3381" spans="2:5" ht="14.25" customHeight="1" x14ac:dyDescent="0.25">
      <c r="B3381" s="103"/>
      <c r="D3381" s="80"/>
      <c r="E3381" s="80"/>
    </row>
    <row r="3382" spans="2:5" ht="14.25" customHeight="1" x14ac:dyDescent="0.25">
      <c r="B3382" s="103"/>
      <c r="D3382" s="80"/>
      <c r="E3382" s="80"/>
    </row>
    <row r="3383" spans="2:5" ht="14.25" customHeight="1" x14ac:dyDescent="0.25">
      <c r="B3383" s="103"/>
      <c r="D3383" s="80"/>
      <c r="E3383" s="80"/>
    </row>
    <row r="3384" spans="2:5" ht="14.25" customHeight="1" x14ac:dyDescent="0.25">
      <c r="B3384" s="103"/>
      <c r="D3384" s="80"/>
      <c r="E3384" s="80"/>
    </row>
    <row r="3385" spans="2:5" ht="14.25" customHeight="1" x14ac:dyDescent="0.25">
      <c r="B3385" s="103"/>
      <c r="D3385" s="80"/>
      <c r="E3385" s="80"/>
    </row>
    <row r="3386" spans="2:5" ht="14.25" customHeight="1" x14ac:dyDescent="0.25">
      <c r="B3386" s="103"/>
      <c r="D3386" s="80"/>
      <c r="E3386" s="80"/>
    </row>
    <row r="3387" spans="2:5" ht="14.25" customHeight="1" x14ac:dyDescent="0.25">
      <c r="B3387" s="103"/>
      <c r="D3387" s="80"/>
      <c r="E3387" s="80"/>
    </row>
    <row r="3388" spans="2:5" ht="14.25" customHeight="1" x14ac:dyDescent="0.25">
      <c r="B3388" s="103"/>
      <c r="D3388" s="80"/>
      <c r="E3388" s="80"/>
    </row>
    <row r="3389" spans="2:5" ht="14.25" customHeight="1" x14ac:dyDescent="0.25">
      <c r="B3389" s="103"/>
      <c r="D3389" s="80"/>
      <c r="E3389" s="80"/>
    </row>
    <row r="3390" spans="2:5" ht="14.25" customHeight="1" x14ac:dyDescent="0.25">
      <c r="B3390" s="103"/>
      <c r="D3390" s="80"/>
      <c r="E3390" s="80"/>
    </row>
    <row r="3391" spans="2:5" ht="14.25" customHeight="1" x14ac:dyDescent="0.25">
      <c r="B3391" s="103"/>
      <c r="D3391" s="80"/>
      <c r="E3391" s="80"/>
    </row>
    <row r="3392" spans="2:5" ht="14.25" customHeight="1" x14ac:dyDescent="0.25">
      <c r="B3392" s="103"/>
      <c r="D3392" s="80"/>
      <c r="E3392" s="80"/>
    </row>
    <row r="3393" spans="2:5" ht="14.25" customHeight="1" x14ac:dyDescent="0.25">
      <c r="B3393" s="103"/>
      <c r="D3393" s="80"/>
      <c r="E3393" s="80"/>
    </row>
    <row r="3394" spans="2:5" ht="14.25" customHeight="1" x14ac:dyDescent="0.25">
      <c r="B3394" s="103"/>
      <c r="D3394" s="80"/>
      <c r="E3394" s="80"/>
    </row>
    <row r="3395" spans="2:5" ht="14.25" customHeight="1" x14ac:dyDescent="0.25">
      <c r="B3395" s="103"/>
      <c r="D3395" s="80"/>
      <c r="E3395" s="80"/>
    </row>
    <row r="3396" spans="2:5" ht="14.25" customHeight="1" x14ac:dyDescent="0.25">
      <c r="B3396" s="103"/>
      <c r="D3396" s="80"/>
      <c r="E3396" s="80"/>
    </row>
    <row r="3397" spans="2:5" ht="14.25" customHeight="1" x14ac:dyDescent="0.25">
      <c r="B3397" s="103"/>
      <c r="D3397" s="80"/>
      <c r="E3397" s="80"/>
    </row>
    <row r="3398" spans="2:5" ht="14.25" customHeight="1" x14ac:dyDescent="0.25">
      <c r="B3398" s="103"/>
      <c r="D3398" s="80"/>
      <c r="E3398" s="80"/>
    </row>
    <row r="3399" spans="2:5" ht="14.25" customHeight="1" x14ac:dyDescent="0.25">
      <c r="B3399" s="103"/>
      <c r="D3399" s="80"/>
      <c r="E3399" s="80"/>
    </row>
    <row r="3400" spans="2:5" ht="14.25" customHeight="1" x14ac:dyDescent="0.25">
      <c r="B3400" s="103"/>
      <c r="D3400" s="80"/>
      <c r="E3400" s="80"/>
    </row>
    <row r="3401" spans="2:5" ht="14.25" customHeight="1" x14ac:dyDescent="0.25">
      <c r="B3401" s="103"/>
      <c r="D3401" s="80"/>
      <c r="E3401" s="80"/>
    </row>
    <row r="3402" spans="2:5" ht="14.25" customHeight="1" x14ac:dyDescent="0.25">
      <c r="B3402" s="103"/>
      <c r="D3402" s="80"/>
      <c r="E3402" s="80"/>
    </row>
    <row r="3403" spans="2:5" ht="14.25" customHeight="1" x14ac:dyDescent="0.25">
      <c r="B3403" s="103"/>
      <c r="D3403" s="80"/>
      <c r="E3403" s="80"/>
    </row>
    <row r="3404" spans="2:5" ht="14.25" customHeight="1" x14ac:dyDescent="0.25">
      <c r="B3404" s="103"/>
      <c r="D3404" s="80"/>
      <c r="E3404" s="80"/>
    </row>
    <row r="3405" spans="2:5" ht="14.25" customHeight="1" x14ac:dyDescent="0.25">
      <c r="B3405" s="103"/>
      <c r="D3405" s="80"/>
      <c r="E3405" s="80"/>
    </row>
    <row r="3406" spans="2:5" ht="14.25" customHeight="1" x14ac:dyDescent="0.25">
      <c r="B3406" s="103"/>
      <c r="D3406" s="80"/>
      <c r="E3406" s="80"/>
    </row>
    <row r="3407" spans="2:5" ht="14.25" customHeight="1" x14ac:dyDescent="0.25">
      <c r="B3407" s="103"/>
      <c r="D3407" s="80"/>
      <c r="E3407" s="80"/>
    </row>
    <row r="3408" spans="2:5" ht="14.25" customHeight="1" x14ac:dyDescent="0.25">
      <c r="B3408" s="103"/>
      <c r="D3408" s="80"/>
      <c r="E3408" s="80"/>
    </row>
    <row r="3409" spans="2:5" ht="14.25" customHeight="1" x14ac:dyDescent="0.25">
      <c r="B3409" s="103"/>
      <c r="D3409" s="80"/>
      <c r="E3409" s="80"/>
    </row>
    <row r="3410" spans="2:5" ht="14.25" customHeight="1" x14ac:dyDescent="0.25">
      <c r="B3410" s="103"/>
      <c r="D3410" s="80"/>
      <c r="E3410" s="80"/>
    </row>
    <row r="3411" spans="2:5" ht="14.25" customHeight="1" x14ac:dyDescent="0.25">
      <c r="B3411" s="103"/>
      <c r="D3411" s="80"/>
      <c r="E3411" s="80"/>
    </row>
    <row r="3412" spans="2:5" ht="14.25" customHeight="1" x14ac:dyDescent="0.25">
      <c r="B3412" s="103"/>
      <c r="D3412" s="80"/>
      <c r="E3412" s="80"/>
    </row>
    <row r="3413" spans="2:5" ht="14.25" customHeight="1" x14ac:dyDescent="0.25">
      <c r="B3413" s="103"/>
      <c r="D3413" s="80"/>
      <c r="E3413" s="80"/>
    </row>
    <row r="3414" spans="2:5" ht="14.25" customHeight="1" x14ac:dyDescent="0.25">
      <c r="B3414" s="103"/>
      <c r="D3414" s="80"/>
      <c r="E3414" s="80"/>
    </row>
    <row r="3415" spans="2:5" ht="14.25" customHeight="1" x14ac:dyDescent="0.25">
      <c r="B3415" s="103"/>
      <c r="D3415" s="80"/>
      <c r="E3415" s="80"/>
    </row>
    <row r="3416" spans="2:5" ht="14.25" customHeight="1" x14ac:dyDescent="0.25">
      <c r="B3416" s="103"/>
      <c r="D3416" s="80"/>
      <c r="E3416" s="80"/>
    </row>
    <row r="3417" spans="2:5" ht="14.25" customHeight="1" x14ac:dyDescent="0.25">
      <c r="B3417" s="103"/>
      <c r="D3417" s="80"/>
      <c r="E3417" s="80"/>
    </row>
    <row r="3418" spans="2:5" ht="14.25" customHeight="1" x14ac:dyDescent="0.25">
      <c r="B3418" s="103"/>
      <c r="D3418" s="80"/>
      <c r="E3418" s="80"/>
    </row>
    <row r="3419" spans="2:5" ht="14.25" customHeight="1" x14ac:dyDescent="0.25">
      <c r="B3419" s="103"/>
      <c r="D3419" s="80"/>
      <c r="E3419" s="80"/>
    </row>
    <row r="3420" spans="2:5" ht="14.25" customHeight="1" x14ac:dyDescent="0.25">
      <c r="B3420" s="103"/>
      <c r="D3420" s="80"/>
      <c r="E3420" s="80"/>
    </row>
    <row r="3421" spans="2:5" ht="14.25" customHeight="1" x14ac:dyDescent="0.25">
      <c r="B3421" s="103"/>
      <c r="D3421" s="80"/>
      <c r="E3421" s="80"/>
    </row>
    <row r="3422" spans="2:5" ht="14.25" customHeight="1" x14ac:dyDescent="0.25">
      <c r="B3422" s="103"/>
      <c r="D3422" s="80"/>
      <c r="E3422" s="80"/>
    </row>
    <row r="3423" spans="2:5" ht="14.25" customHeight="1" x14ac:dyDescent="0.25">
      <c r="B3423" s="103"/>
      <c r="D3423" s="80"/>
      <c r="E3423" s="80"/>
    </row>
    <row r="3424" spans="2:5" ht="14.25" customHeight="1" x14ac:dyDescent="0.25">
      <c r="B3424" s="103"/>
      <c r="D3424" s="80"/>
      <c r="E3424" s="80"/>
    </row>
    <row r="3425" spans="2:5" ht="14.25" customHeight="1" x14ac:dyDescent="0.25">
      <c r="B3425" s="103"/>
      <c r="D3425" s="80"/>
      <c r="E3425" s="80"/>
    </row>
    <row r="3426" spans="2:5" ht="14.25" customHeight="1" x14ac:dyDescent="0.25">
      <c r="B3426" s="103"/>
      <c r="D3426" s="80"/>
      <c r="E3426" s="80"/>
    </row>
    <row r="3427" spans="2:5" ht="14.25" customHeight="1" x14ac:dyDescent="0.25">
      <c r="B3427" s="103"/>
      <c r="D3427" s="80"/>
      <c r="E3427" s="80"/>
    </row>
    <row r="3428" spans="2:5" ht="14.25" customHeight="1" x14ac:dyDescent="0.25">
      <c r="B3428" s="103"/>
      <c r="D3428" s="80"/>
      <c r="E3428" s="80"/>
    </row>
    <row r="3429" spans="2:5" ht="14.25" customHeight="1" x14ac:dyDescent="0.25">
      <c r="B3429" s="103"/>
      <c r="D3429" s="80"/>
      <c r="E3429" s="80"/>
    </row>
    <row r="3430" spans="2:5" ht="14.25" customHeight="1" x14ac:dyDescent="0.25">
      <c r="B3430" s="103"/>
      <c r="D3430" s="80"/>
      <c r="E3430" s="80"/>
    </row>
    <row r="3431" spans="2:5" ht="14.25" customHeight="1" x14ac:dyDescent="0.25">
      <c r="B3431" s="103"/>
      <c r="D3431" s="80"/>
      <c r="E3431" s="80"/>
    </row>
    <row r="3432" spans="2:5" ht="14.25" customHeight="1" x14ac:dyDescent="0.25">
      <c r="B3432" s="103"/>
      <c r="D3432" s="80"/>
      <c r="E3432" s="80"/>
    </row>
    <row r="3433" spans="2:5" ht="14.25" customHeight="1" x14ac:dyDescent="0.25">
      <c r="B3433" s="103"/>
      <c r="D3433" s="80"/>
      <c r="E3433" s="80"/>
    </row>
    <row r="3434" spans="2:5" ht="14.25" customHeight="1" x14ac:dyDescent="0.25">
      <c r="B3434" s="103"/>
      <c r="D3434" s="80"/>
      <c r="E3434" s="80"/>
    </row>
    <row r="3435" spans="2:5" ht="14.25" customHeight="1" x14ac:dyDescent="0.25">
      <c r="B3435" s="103"/>
      <c r="D3435" s="80"/>
      <c r="E3435" s="80"/>
    </row>
    <row r="3436" spans="2:5" ht="14.25" customHeight="1" x14ac:dyDescent="0.25">
      <c r="B3436" s="103"/>
      <c r="D3436" s="80"/>
      <c r="E3436" s="80"/>
    </row>
    <row r="3437" spans="2:5" ht="14.25" customHeight="1" x14ac:dyDescent="0.25">
      <c r="B3437" s="103"/>
      <c r="D3437" s="80"/>
      <c r="E3437" s="80"/>
    </row>
    <row r="3438" spans="2:5" ht="14.25" customHeight="1" x14ac:dyDescent="0.25">
      <c r="B3438" s="103"/>
      <c r="D3438" s="80"/>
      <c r="E3438" s="80"/>
    </row>
    <row r="3439" spans="2:5" ht="14.25" customHeight="1" x14ac:dyDescent="0.25">
      <c r="B3439" s="103"/>
      <c r="D3439" s="80"/>
      <c r="E3439" s="80"/>
    </row>
    <row r="3440" spans="2:5" ht="14.25" customHeight="1" x14ac:dyDescent="0.25">
      <c r="B3440" s="103"/>
      <c r="D3440" s="80"/>
      <c r="E3440" s="80"/>
    </row>
    <row r="3441" spans="2:5" ht="14.25" customHeight="1" x14ac:dyDescent="0.25">
      <c r="B3441" s="103"/>
      <c r="D3441" s="80"/>
      <c r="E3441" s="80"/>
    </row>
    <row r="3442" spans="2:5" ht="14.25" customHeight="1" x14ac:dyDescent="0.25">
      <c r="B3442" s="103"/>
      <c r="D3442" s="80"/>
      <c r="E3442" s="80"/>
    </row>
    <row r="3443" spans="2:5" ht="14.25" customHeight="1" x14ac:dyDescent="0.25">
      <c r="B3443" s="103"/>
      <c r="D3443" s="80"/>
      <c r="E3443" s="80"/>
    </row>
    <row r="3444" spans="2:5" ht="14.25" customHeight="1" x14ac:dyDescent="0.25">
      <c r="B3444" s="103"/>
      <c r="D3444" s="80"/>
      <c r="E3444" s="80"/>
    </row>
    <row r="3445" spans="2:5" ht="14.25" customHeight="1" x14ac:dyDescent="0.25">
      <c r="B3445" s="103"/>
      <c r="D3445" s="80"/>
      <c r="E3445" s="80"/>
    </row>
    <row r="3446" spans="2:5" ht="14.25" customHeight="1" x14ac:dyDescent="0.25">
      <c r="B3446" s="103"/>
      <c r="D3446" s="80"/>
      <c r="E3446" s="80"/>
    </row>
    <row r="3447" spans="2:5" ht="14.25" customHeight="1" x14ac:dyDescent="0.25">
      <c r="B3447" s="103"/>
      <c r="D3447" s="80"/>
      <c r="E3447" s="80"/>
    </row>
    <row r="3448" spans="2:5" ht="14.25" customHeight="1" x14ac:dyDescent="0.25">
      <c r="B3448" s="103"/>
      <c r="D3448" s="80"/>
      <c r="E3448" s="80"/>
    </row>
    <row r="3449" spans="2:5" ht="14.25" customHeight="1" x14ac:dyDescent="0.25">
      <c r="B3449" s="103"/>
      <c r="D3449" s="80"/>
      <c r="E3449" s="80"/>
    </row>
    <row r="3450" spans="2:5" ht="14.25" customHeight="1" x14ac:dyDescent="0.25">
      <c r="B3450" s="103"/>
      <c r="D3450" s="80"/>
      <c r="E3450" s="80"/>
    </row>
    <row r="3451" spans="2:5" ht="14.25" customHeight="1" x14ac:dyDescent="0.25">
      <c r="B3451" s="103"/>
      <c r="D3451" s="80"/>
      <c r="E3451" s="80"/>
    </row>
    <row r="3452" spans="2:5" ht="14.25" customHeight="1" x14ac:dyDescent="0.25">
      <c r="B3452" s="103"/>
      <c r="D3452" s="80"/>
      <c r="E3452" s="80"/>
    </row>
    <row r="3453" spans="2:5" ht="14.25" customHeight="1" x14ac:dyDescent="0.25">
      <c r="B3453" s="103"/>
      <c r="D3453" s="80"/>
      <c r="E3453" s="80"/>
    </row>
    <row r="3454" spans="2:5" ht="14.25" customHeight="1" x14ac:dyDescent="0.25">
      <c r="B3454" s="103"/>
      <c r="D3454" s="80"/>
      <c r="E3454" s="80"/>
    </row>
    <row r="3455" spans="2:5" ht="14.25" customHeight="1" x14ac:dyDescent="0.25">
      <c r="B3455" s="103"/>
      <c r="D3455" s="80"/>
      <c r="E3455" s="80"/>
    </row>
    <row r="3456" spans="2:5" ht="14.25" customHeight="1" x14ac:dyDescent="0.25">
      <c r="B3456" s="103"/>
      <c r="D3456" s="80"/>
      <c r="E3456" s="80"/>
    </row>
    <row r="3457" spans="2:5" ht="14.25" customHeight="1" x14ac:dyDescent="0.25">
      <c r="B3457" s="103"/>
      <c r="D3457" s="80"/>
      <c r="E3457" s="80"/>
    </row>
    <row r="3458" spans="2:5" ht="14.25" customHeight="1" x14ac:dyDescent="0.25">
      <c r="B3458" s="103"/>
      <c r="D3458" s="80"/>
      <c r="E3458" s="80"/>
    </row>
    <row r="3459" spans="2:5" ht="14.25" customHeight="1" x14ac:dyDescent="0.25">
      <c r="B3459" s="103"/>
      <c r="D3459" s="80"/>
      <c r="E3459" s="80"/>
    </row>
    <row r="3460" spans="2:5" ht="14.25" customHeight="1" x14ac:dyDescent="0.25">
      <c r="B3460" s="103"/>
      <c r="D3460" s="80"/>
      <c r="E3460" s="80"/>
    </row>
    <row r="3461" spans="2:5" ht="14.25" customHeight="1" x14ac:dyDescent="0.25">
      <c r="B3461" s="103"/>
      <c r="D3461" s="80"/>
      <c r="E3461" s="80"/>
    </row>
    <row r="3462" spans="2:5" ht="14.25" customHeight="1" x14ac:dyDescent="0.25">
      <c r="B3462" s="103"/>
      <c r="D3462" s="80"/>
      <c r="E3462" s="80"/>
    </row>
    <row r="3463" spans="2:5" ht="14.25" customHeight="1" x14ac:dyDescent="0.25">
      <c r="B3463" s="103"/>
      <c r="D3463" s="80"/>
      <c r="E3463" s="80"/>
    </row>
    <row r="3464" spans="2:5" ht="14.25" customHeight="1" x14ac:dyDescent="0.25">
      <c r="B3464" s="103"/>
      <c r="D3464" s="80"/>
      <c r="E3464" s="80"/>
    </row>
    <row r="3465" spans="2:5" ht="14.25" customHeight="1" x14ac:dyDescent="0.25">
      <c r="B3465" s="103"/>
      <c r="D3465" s="80"/>
      <c r="E3465" s="80"/>
    </row>
    <row r="3466" spans="2:5" ht="14.25" customHeight="1" x14ac:dyDescent="0.25">
      <c r="B3466" s="103"/>
      <c r="D3466" s="80"/>
      <c r="E3466" s="80"/>
    </row>
    <row r="3467" spans="2:5" ht="14.25" customHeight="1" x14ac:dyDescent="0.25">
      <c r="B3467" s="103"/>
      <c r="D3467" s="80"/>
      <c r="E3467" s="80"/>
    </row>
    <row r="3468" spans="2:5" ht="14.25" customHeight="1" x14ac:dyDescent="0.25">
      <c r="B3468" s="103"/>
      <c r="D3468" s="80"/>
      <c r="E3468" s="80"/>
    </row>
    <row r="3469" spans="2:5" ht="14.25" customHeight="1" x14ac:dyDescent="0.25">
      <c r="B3469" s="103"/>
      <c r="D3469" s="80"/>
      <c r="E3469" s="80"/>
    </row>
    <row r="3470" spans="2:5" ht="14.25" customHeight="1" x14ac:dyDescent="0.25">
      <c r="B3470" s="103"/>
      <c r="D3470" s="80"/>
      <c r="E3470" s="80"/>
    </row>
    <row r="3471" spans="2:5" ht="14.25" customHeight="1" x14ac:dyDescent="0.25">
      <c r="B3471" s="103"/>
      <c r="D3471" s="80"/>
      <c r="E3471" s="80"/>
    </row>
    <row r="3472" spans="2:5" ht="14.25" customHeight="1" x14ac:dyDescent="0.25">
      <c r="B3472" s="103"/>
      <c r="D3472" s="80"/>
      <c r="E3472" s="80"/>
    </row>
    <row r="3473" spans="2:5" ht="14.25" customHeight="1" x14ac:dyDescent="0.25">
      <c r="B3473" s="103"/>
      <c r="D3473" s="80"/>
      <c r="E3473" s="80"/>
    </row>
    <row r="3474" spans="2:5" ht="14.25" customHeight="1" x14ac:dyDescent="0.25">
      <c r="B3474" s="103"/>
      <c r="D3474" s="80"/>
      <c r="E3474" s="80"/>
    </row>
    <row r="3475" spans="2:5" ht="14.25" customHeight="1" x14ac:dyDescent="0.25">
      <c r="B3475" s="103"/>
      <c r="D3475" s="80"/>
      <c r="E3475" s="80"/>
    </row>
    <row r="3476" spans="2:5" ht="14.25" customHeight="1" x14ac:dyDescent="0.25">
      <c r="B3476" s="103"/>
      <c r="D3476" s="80"/>
      <c r="E3476" s="80"/>
    </row>
    <row r="3477" spans="2:5" ht="14.25" customHeight="1" x14ac:dyDescent="0.25">
      <c r="B3477" s="103"/>
      <c r="D3477" s="80"/>
      <c r="E3477" s="80"/>
    </row>
    <row r="3478" spans="2:5" ht="14.25" customHeight="1" x14ac:dyDescent="0.25">
      <c r="B3478" s="103"/>
      <c r="D3478" s="80"/>
      <c r="E3478" s="80"/>
    </row>
    <row r="3479" spans="2:5" ht="14.25" customHeight="1" x14ac:dyDescent="0.25">
      <c r="B3479" s="103"/>
      <c r="D3479" s="80"/>
      <c r="E3479" s="80"/>
    </row>
    <row r="3480" spans="2:5" ht="14.25" customHeight="1" x14ac:dyDescent="0.25">
      <c r="B3480" s="103"/>
      <c r="D3480" s="80"/>
      <c r="E3480" s="80"/>
    </row>
    <row r="3481" spans="2:5" ht="14.25" customHeight="1" x14ac:dyDescent="0.25">
      <c r="B3481" s="103"/>
      <c r="D3481" s="80"/>
      <c r="E3481" s="80"/>
    </row>
    <row r="3482" spans="2:5" ht="14.25" customHeight="1" x14ac:dyDescent="0.25">
      <c r="B3482" s="103"/>
      <c r="D3482" s="80"/>
      <c r="E3482" s="80"/>
    </row>
    <row r="3483" spans="2:5" ht="14.25" customHeight="1" x14ac:dyDescent="0.25">
      <c r="B3483" s="103"/>
      <c r="D3483" s="80"/>
      <c r="E3483" s="80"/>
    </row>
    <row r="3484" spans="2:5" ht="14.25" customHeight="1" x14ac:dyDescent="0.25">
      <c r="B3484" s="103"/>
      <c r="D3484" s="80"/>
      <c r="E3484" s="80"/>
    </row>
    <row r="3485" spans="2:5" ht="14.25" customHeight="1" x14ac:dyDescent="0.25">
      <c r="B3485" s="103"/>
      <c r="D3485" s="80"/>
      <c r="E3485" s="80"/>
    </row>
    <row r="3486" spans="2:5" ht="14.25" customHeight="1" x14ac:dyDescent="0.25">
      <c r="B3486" s="103"/>
      <c r="D3486" s="80"/>
      <c r="E3486" s="80"/>
    </row>
    <row r="3487" spans="2:5" ht="14.25" customHeight="1" x14ac:dyDescent="0.25">
      <c r="B3487" s="103"/>
      <c r="D3487" s="80"/>
      <c r="E3487" s="80"/>
    </row>
    <row r="3488" spans="2:5" ht="14.25" customHeight="1" x14ac:dyDescent="0.25">
      <c r="B3488" s="103"/>
      <c r="D3488" s="80"/>
      <c r="E3488" s="80"/>
    </row>
    <row r="3489" spans="2:5" ht="14.25" customHeight="1" x14ac:dyDescent="0.25">
      <c r="B3489" s="103"/>
      <c r="D3489" s="80"/>
      <c r="E3489" s="80"/>
    </row>
    <row r="3490" spans="2:5" ht="14.25" customHeight="1" x14ac:dyDescent="0.25">
      <c r="B3490" s="103"/>
      <c r="D3490" s="80"/>
      <c r="E3490" s="80"/>
    </row>
    <row r="3491" spans="2:5" ht="14.25" customHeight="1" x14ac:dyDescent="0.25">
      <c r="B3491" s="103"/>
      <c r="D3491" s="80"/>
      <c r="E3491" s="80"/>
    </row>
    <row r="3492" spans="2:5" ht="14.25" customHeight="1" x14ac:dyDescent="0.25">
      <c r="B3492" s="103"/>
      <c r="D3492" s="80"/>
      <c r="E3492" s="80"/>
    </row>
    <row r="3493" spans="2:5" ht="14.25" customHeight="1" x14ac:dyDescent="0.25">
      <c r="B3493" s="103"/>
      <c r="D3493" s="80"/>
      <c r="E3493" s="80"/>
    </row>
    <row r="3494" spans="2:5" ht="14.25" customHeight="1" x14ac:dyDescent="0.25">
      <c r="B3494" s="103"/>
      <c r="D3494" s="80"/>
      <c r="E3494" s="80"/>
    </row>
    <row r="3495" spans="2:5" ht="14.25" customHeight="1" x14ac:dyDescent="0.25">
      <c r="B3495" s="103"/>
      <c r="D3495" s="80"/>
      <c r="E3495" s="80"/>
    </row>
    <row r="3496" spans="2:5" ht="14.25" customHeight="1" x14ac:dyDescent="0.25">
      <c r="B3496" s="103"/>
      <c r="D3496" s="80"/>
      <c r="E3496" s="80"/>
    </row>
    <row r="3497" spans="2:5" ht="14.25" customHeight="1" x14ac:dyDescent="0.25">
      <c r="B3497" s="103"/>
      <c r="D3497" s="80"/>
      <c r="E3497" s="80"/>
    </row>
    <row r="3498" spans="2:5" ht="14.25" customHeight="1" x14ac:dyDescent="0.25">
      <c r="B3498" s="103"/>
      <c r="D3498" s="80"/>
      <c r="E3498" s="80"/>
    </row>
    <row r="3499" spans="2:5" ht="14.25" customHeight="1" x14ac:dyDescent="0.25">
      <c r="B3499" s="103"/>
      <c r="D3499" s="80"/>
      <c r="E3499" s="80"/>
    </row>
    <row r="3500" spans="2:5" ht="14.25" customHeight="1" x14ac:dyDescent="0.25">
      <c r="B3500" s="103"/>
      <c r="D3500" s="80"/>
      <c r="E3500" s="80"/>
    </row>
    <row r="3501" spans="2:5" ht="14.25" customHeight="1" x14ac:dyDescent="0.25">
      <c r="B3501" s="103"/>
      <c r="D3501" s="80"/>
      <c r="E3501" s="80"/>
    </row>
    <row r="3502" spans="2:5" ht="14.25" customHeight="1" x14ac:dyDescent="0.25">
      <c r="B3502" s="103"/>
      <c r="D3502" s="80"/>
      <c r="E3502" s="80"/>
    </row>
    <row r="3503" spans="2:5" ht="14.25" customHeight="1" x14ac:dyDescent="0.25">
      <c r="B3503" s="103"/>
      <c r="D3503" s="80"/>
      <c r="E3503" s="80"/>
    </row>
    <row r="3504" spans="2:5" ht="14.25" customHeight="1" x14ac:dyDescent="0.25">
      <c r="B3504" s="103"/>
      <c r="D3504" s="80"/>
      <c r="E3504" s="80"/>
    </row>
    <row r="3505" spans="2:5" ht="14.25" customHeight="1" x14ac:dyDescent="0.25">
      <c r="B3505" s="103"/>
      <c r="D3505" s="80"/>
      <c r="E3505" s="80"/>
    </row>
    <row r="3506" spans="2:5" ht="14.25" customHeight="1" x14ac:dyDescent="0.25">
      <c r="B3506" s="103"/>
      <c r="D3506" s="80"/>
      <c r="E3506" s="80"/>
    </row>
    <row r="3507" spans="2:5" ht="14.25" customHeight="1" x14ac:dyDescent="0.25">
      <c r="B3507" s="103"/>
      <c r="D3507" s="80"/>
      <c r="E3507" s="80"/>
    </row>
    <row r="3508" spans="2:5" ht="14.25" customHeight="1" x14ac:dyDescent="0.25">
      <c r="B3508" s="103"/>
      <c r="D3508" s="80"/>
      <c r="E3508" s="80"/>
    </row>
    <row r="3509" spans="2:5" ht="14.25" customHeight="1" x14ac:dyDescent="0.25">
      <c r="B3509" s="103"/>
      <c r="D3509" s="80"/>
      <c r="E3509" s="80"/>
    </row>
    <row r="3510" spans="2:5" ht="14.25" customHeight="1" x14ac:dyDescent="0.25">
      <c r="B3510" s="103"/>
      <c r="D3510" s="80"/>
      <c r="E3510" s="80"/>
    </row>
    <row r="3511" spans="2:5" ht="14.25" customHeight="1" x14ac:dyDescent="0.25">
      <c r="B3511" s="103"/>
      <c r="D3511" s="80"/>
      <c r="E3511" s="80"/>
    </row>
    <row r="3512" spans="2:5" ht="14.25" customHeight="1" x14ac:dyDescent="0.25">
      <c r="B3512" s="103"/>
      <c r="D3512" s="80"/>
      <c r="E3512" s="80"/>
    </row>
    <row r="3513" spans="2:5" ht="14.25" customHeight="1" x14ac:dyDescent="0.25">
      <c r="B3513" s="103"/>
      <c r="D3513" s="80"/>
      <c r="E3513" s="80"/>
    </row>
    <row r="3514" spans="2:5" ht="14.25" customHeight="1" x14ac:dyDescent="0.25">
      <c r="B3514" s="103"/>
      <c r="D3514" s="80"/>
      <c r="E3514" s="80"/>
    </row>
    <row r="3515" spans="2:5" ht="14.25" customHeight="1" x14ac:dyDescent="0.25">
      <c r="B3515" s="103"/>
      <c r="D3515" s="80"/>
      <c r="E3515" s="80"/>
    </row>
    <row r="3516" spans="2:5" ht="14.25" customHeight="1" x14ac:dyDescent="0.25">
      <c r="B3516" s="103"/>
      <c r="D3516" s="80"/>
      <c r="E3516" s="80"/>
    </row>
    <row r="3517" spans="2:5" ht="14.25" customHeight="1" x14ac:dyDescent="0.25">
      <c r="B3517" s="103"/>
      <c r="D3517" s="80"/>
      <c r="E3517" s="80"/>
    </row>
    <row r="3518" spans="2:5" ht="14.25" customHeight="1" x14ac:dyDescent="0.25">
      <c r="B3518" s="103"/>
      <c r="D3518" s="80"/>
      <c r="E3518" s="80"/>
    </row>
    <row r="3519" spans="2:5" ht="14.25" customHeight="1" x14ac:dyDescent="0.25">
      <c r="B3519" s="103"/>
      <c r="D3519" s="80"/>
      <c r="E3519" s="80"/>
    </row>
    <row r="3520" spans="2:5" ht="14.25" customHeight="1" x14ac:dyDescent="0.25">
      <c r="B3520" s="103"/>
      <c r="D3520" s="80"/>
      <c r="E3520" s="80"/>
    </row>
    <row r="3521" spans="2:5" ht="14.25" customHeight="1" x14ac:dyDescent="0.25">
      <c r="B3521" s="103"/>
      <c r="D3521" s="80"/>
      <c r="E3521" s="80"/>
    </row>
    <row r="3522" spans="2:5" ht="14.25" customHeight="1" x14ac:dyDescent="0.25">
      <c r="B3522" s="103"/>
      <c r="D3522" s="80"/>
      <c r="E3522" s="80"/>
    </row>
    <row r="3523" spans="2:5" ht="14.25" customHeight="1" x14ac:dyDescent="0.25">
      <c r="B3523" s="103"/>
      <c r="D3523" s="80"/>
      <c r="E3523" s="80"/>
    </row>
    <row r="3524" spans="2:5" ht="14.25" customHeight="1" x14ac:dyDescent="0.25">
      <c r="B3524" s="103"/>
      <c r="D3524" s="80"/>
      <c r="E3524" s="80"/>
    </row>
    <row r="3525" spans="2:5" ht="14.25" customHeight="1" x14ac:dyDescent="0.25">
      <c r="B3525" s="103"/>
      <c r="D3525" s="80"/>
      <c r="E3525" s="80"/>
    </row>
    <row r="3526" spans="2:5" ht="14.25" customHeight="1" x14ac:dyDescent="0.25">
      <c r="B3526" s="103"/>
      <c r="D3526" s="80"/>
      <c r="E3526" s="80"/>
    </row>
    <row r="3527" spans="2:5" ht="14.25" customHeight="1" x14ac:dyDescent="0.25">
      <c r="B3527" s="103"/>
      <c r="D3527" s="80"/>
      <c r="E3527" s="80"/>
    </row>
    <row r="3528" spans="2:5" ht="14.25" customHeight="1" x14ac:dyDescent="0.25">
      <c r="B3528" s="103"/>
      <c r="D3528" s="80"/>
      <c r="E3528" s="80"/>
    </row>
    <row r="3529" spans="2:5" ht="14.25" customHeight="1" x14ac:dyDescent="0.25">
      <c r="B3529" s="103"/>
      <c r="D3529" s="80"/>
      <c r="E3529" s="80"/>
    </row>
    <row r="3530" spans="2:5" ht="14.25" customHeight="1" x14ac:dyDescent="0.25">
      <c r="B3530" s="103"/>
      <c r="D3530" s="80"/>
      <c r="E3530" s="80"/>
    </row>
    <row r="3531" spans="2:5" ht="14.25" customHeight="1" x14ac:dyDescent="0.25">
      <c r="B3531" s="103"/>
      <c r="D3531" s="80"/>
      <c r="E3531" s="80"/>
    </row>
    <row r="3532" spans="2:5" ht="14.25" customHeight="1" x14ac:dyDescent="0.25">
      <c r="B3532" s="103"/>
      <c r="D3532" s="80"/>
      <c r="E3532" s="80"/>
    </row>
    <row r="3533" spans="2:5" ht="14.25" customHeight="1" x14ac:dyDescent="0.25">
      <c r="B3533" s="103"/>
      <c r="D3533" s="80"/>
      <c r="E3533" s="80"/>
    </row>
    <row r="3534" spans="2:5" ht="14.25" customHeight="1" x14ac:dyDescent="0.25">
      <c r="B3534" s="103"/>
      <c r="D3534" s="80"/>
      <c r="E3534" s="80"/>
    </row>
    <row r="3535" spans="2:5" ht="14.25" customHeight="1" x14ac:dyDescent="0.25">
      <c r="B3535" s="103"/>
      <c r="D3535" s="80"/>
      <c r="E3535" s="80"/>
    </row>
    <row r="3536" spans="2:5" ht="14.25" customHeight="1" x14ac:dyDescent="0.25">
      <c r="B3536" s="103"/>
      <c r="D3536" s="80"/>
      <c r="E3536" s="80"/>
    </row>
    <row r="3537" spans="2:5" ht="14.25" customHeight="1" x14ac:dyDescent="0.25">
      <c r="B3537" s="103"/>
      <c r="D3537" s="80"/>
      <c r="E3537" s="80"/>
    </row>
    <row r="3538" spans="2:5" ht="14.25" customHeight="1" x14ac:dyDescent="0.25">
      <c r="B3538" s="103"/>
      <c r="D3538" s="80"/>
      <c r="E3538" s="80"/>
    </row>
    <row r="3539" spans="2:5" ht="14.25" customHeight="1" x14ac:dyDescent="0.25">
      <c r="B3539" s="103"/>
      <c r="D3539" s="80"/>
      <c r="E3539" s="80"/>
    </row>
    <row r="3540" spans="2:5" ht="14.25" customHeight="1" x14ac:dyDescent="0.25">
      <c r="B3540" s="103"/>
      <c r="D3540" s="80"/>
      <c r="E3540" s="80"/>
    </row>
    <row r="3541" spans="2:5" ht="14.25" customHeight="1" x14ac:dyDescent="0.25">
      <c r="B3541" s="103"/>
      <c r="D3541" s="80"/>
      <c r="E3541" s="80"/>
    </row>
    <row r="3542" spans="2:5" ht="14.25" customHeight="1" x14ac:dyDescent="0.25">
      <c r="B3542" s="103"/>
      <c r="D3542" s="80"/>
      <c r="E3542" s="80"/>
    </row>
    <row r="3543" spans="2:5" ht="14.25" customHeight="1" x14ac:dyDescent="0.25">
      <c r="B3543" s="103"/>
      <c r="D3543" s="80"/>
      <c r="E3543" s="80"/>
    </row>
    <row r="3544" spans="2:5" ht="14.25" customHeight="1" x14ac:dyDescent="0.25">
      <c r="B3544" s="103"/>
      <c r="D3544" s="80"/>
      <c r="E3544" s="80"/>
    </row>
    <row r="3545" spans="2:5" ht="14.25" customHeight="1" x14ac:dyDescent="0.25">
      <c r="B3545" s="103"/>
      <c r="D3545" s="80"/>
      <c r="E3545" s="80"/>
    </row>
    <row r="3546" spans="2:5" ht="14.25" customHeight="1" x14ac:dyDescent="0.25">
      <c r="B3546" s="103"/>
      <c r="D3546" s="80"/>
      <c r="E3546" s="80"/>
    </row>
    <row r="3547" spans="2:5" ht="14.25" customHeight="1" x14ac:dyDescent="0.25">
      <c r="B3547" s="103"/>
      <c r="D3547" s="80"/>
      <c r="E3547" s="80"/>
    </row>
    <row r="3548" spans="2:5" ht="14.25" customHeight="1" x14ac:dyDescent="0.25">
      <c r="B3548" s="103"/>
      <c r="D3548" s="80"/>
      <c r="E3548" s="80"/>
    </row>
    <row r="3549" spans="2:5" ht="14.25" customHeight="1" x14ac:dyDescent="0.25">
      <c r="B3549" s="103"/>
      <c r="D3549" s="80"/>
      <c r="E3549" s="80"/>
    </row>
    <row r="3550" spans="2:5" ht="14.25" customHeight="1" x14ac:dyDescent="0.25">
      <c r="B3550" s="103"/>
      <c r="D3550" s="80"/>
      <c r="E3550" s="80"/>
    </row>
    <row r="3551" spans="2:5" ht="14.25" customHeight="1" x14ac:dyDescent="0.25">
      <c r="B3551" s="103"/>
      <c r="D3551" s="80"/>
      <c r="E3551" s="80"/>
    </row>
    <row r="3552" spans="2:5" ht="14.25" customHeight="1" x14ac:dyDescent="0.25">
      <c r="B3552" s="103"/>
      <c r="D3552" s="80"/>
      <c r="E3552" s="80"/>
    </row>
    <row r="3553" spans="2:5" ht="14.25" customHeight="1" x14ac:dyDescent="0.25">
      <c r="B3553" s="103"/>
      <c r="D3553" s="80"/>
      <c r="E3553" s="80"/>
    </row>
    <row r="3554" spans="2:5" ht="14.25" customHeight="1" x14ac:dyDescent="0.25">
      <c r="B3554" s="103"/>
      <c r="D3554" s="80"/>
      <c r="E3554" s="80"/>
    </row>
    <row r="3555" spans="2:5" ht="14.25" customHeight="1" x14ac:dyDescent="0.25">
      <c r="B3555" s="103"/>
      <c r="D3555" s="80"/>
      <c r="E3555" s="80"/>
    </row>
    <row r="3556" spans="2:5" ht="14.25" customHeight="1" x14ac:dyDescent="0.25">
      <c r="B3556" s="103"/>
      <c r="D3556" s="80"/>
      <c r="E3556" s="80"/>
    </row>
    <row r="3557" spans="2:5" ht="14.25" customHeight="1" x14ac:dyDescent="0.25">
      <c r="B3557" s="103"/>
      <c r="D3557" s="80"/>
      <c r="E3557" s="80"/>
    </row>
    <row r="3558" spans="2:5" ht="14.25" customHeight="1" x14ac:dyDescent="0.25">
      <c r="B3558" s="103"/>
      <c r="D3558" s="80"/>
      <c r="E3558" s="80"/>
    </row>
    <row r="3559" spans="2:5" ht="14.25" customHeight="1" x14ac:dyDescent="0.25">
      <c r="B3559" s="103"/>
      <c r="D3559" s="80"/>
      <c r="E3559" s="80"/>
    </row>
    <row r="3560" spans="2:5" ht="14.25" customHeight="1" x14ac:dyDescent="0.25">
      <c r="B3560" s="103"/>
      <c r="D3560" s="80"/>
      <c r="E3560" s="80"/>
    </row>
    <row r="3561" spans="2:5" ht="14.25" customHeight="1" x14ac:dyDescent="0.25">
      <c r="B3561" s="103"/>
      <c r="D3561" s="80"/>
      <c r="E3561" s="80"/>
    </row>
    <row r="3562" spans="2:5" ht="14.25" customHeight="1" x14ac:dyDescent="0.25">
      <c r="B3562" s="103"/>
      <c r="D3562" s="80"/>
      <c r="E3562" s="80"/>
    </row>
    <row r="3563" spans="2:5" ht="14.25" customHeight="1" x14ac:dyDescent="0.25">
      <c r="B3563" s="103"/>
      <c r="D3563" s="80"/>
      <c r="E3563" s="80"/>
    </row>
    <row r="3564" spans="2:5" ht="14.25" customHeight="1" x14ac:dyDescent="0.25">
      <c r="B3564" s="103"/>
      <c r="D3564" s="80"/>
      <c r="E3564" s="80"/>
    </row>
    <row r="3565" spans="2:5" ht="14.25" customHeight="1" x14ac:dyDescent="0.25">
      <c r="B3565" s="103"/>
      <c r="D3565" s="80"/>
      <c r="E3565" s="80"/>
    </row>
    <row r="3566" spans="2:5" ht="14.25" customHeight="1" x14ac:dyDescent="0.25">
      <c r="B3566" s="103"/>
      <c r="D3566" s="80"/>
      <c r="E3566" s="80"/>
    </row>
    <row r="3567" spans="2:5" ht="14.25" customHeight="1" x14ac:dyDescent="0.25">
      <c r="B3567" s="103"/>
      <c r="D3567" s="80"/>
      <c r="E3567" s="80"/>
    </row>
    <row r="3568" spans="2:5" ht="14.25" customHeight="1" x14ac:dyDescent="0.25">
      <c r="B3568" s="103"/>
      <c r="D3568" s="80"/>
      <c r="E3568" s="80"/>
    </row>
    <row r="3569" spans="2:5" ht="14.25" customHeight="1" x14ac:dyDescent="0.25">
      <c r="B3569" s="103"/>
      <c r="D3569" s="80"/>
      <c r="E3569" s="80"/>
    </row>
    <row r="3570" spans="2:5" ht="14.25" customHeight="1" x14ac:dyDescent="0.25">
      <c r="B3570" s="103"/>
      <c r="D3570" s="80"/>
      <c r="E3570" s="80"/>
    </row>
    <row r="3571" spans="2:5" ht="14.25" customHeight="1" x14ac:dyDescent="0.25">
      <c r="B3571" s="103"/>
      <c r="D3571" s="80"/>
      <c r="E3571" s="80"/>
    </row>
    <row r="3572" spans="2:5" ht="14.25" customHeight="1" x14ac:dyDescent="0.25">
      <c r="B3572" s="103"/>
      <c r="D3572" s="80"/>
      <c r="E3572" s="80"/>
    </row>
    <row r="3573" spans="2:5" ht="14.25" customHeight="1" x14ac:dyDescent="0.25">
      <c r="B3573" s="103"/>
      <c r="D3573" s="80"/>
      <c r="E3573" s="80"/>
    </row>
    <row r="3574" spans="2:5" ht="14.25" customHeight="1" x14ac:dyDescent="0.25">
      <c r="B3574" s="103"/>
      <c r="D3574" s="80"/>
      <c r="E3574" s="80"/>
    </row>
    <row r="3575" spans="2:5" ht="14.25" customHeight="1" x14ac:dyDescent="0.25">
      <c r="B3575" s="103"/>
      <c r="D3575" s="80"/>
      <c r="E3575" s="80"/>
    </row>
    <row r="3576" spans="2:5" ht="14.25" customHeight="1" x14ac:dyDescent="0.25">
      <c r="B3576" s="103"/>
      <c r="D3576" s="80"/>
      <c r="E3576" s="80"/>
    </row>
    <row r="3577" spans="2:5" ht="14.25" customHeight="1" x14ac:dyDescent="0.25">
      <c r="B3577" s="103"/>
      <c r="D3577" s="80"/>
      <c r="E3577" s="80"/>
    </row>
    <row r="3578" spans="2:5" ht="14.25" customHeight="1" x14ac:dyDescent="0.25">
      <c r="B3578" s="103"/>
      <c r="D3578" s="80"/>
      <c r="E3578" s="80"/>
    </row>
    <row r="3579" spans="2:5" ht="14.25" customHeight="1" x14ac:dyDescent="0.25">
      <c r="B3579" s="103"/>
      <c r="D3579" s="80"/>
      <c r="E3579" s="80"/>
    </row>
    <row r="3580" spans="2:5" ht="14.25" customHeight="1" x14ac:dyDescent="0.25">
      <c r="B3580" s="103"/>
      <c r="D3580" s="80"/>
      <c r="E3580" s="80"/>
    </row>
    <row r="3581" spans="2:5" ht="14.25" customHeight="1" x14ac:dyDescent="0.25">
      <c r="B3581" s="103"/>
      <c r="D3581" s="80"/>
      <c r="E3581" s="80"/>
    </row>
    <row r="3582" spans="2:5" ht="14.25" customHeight="1" x14ac:dyDescent="0.25">
      <c r="B3582" s="103"/>
      <c r="D3582" s="80"/>
      <c r="E3582" s="80"/>
    </row>
    <row r="3583" spans="2:5" ht="14.25" customHeight="1" x14ac:dyDescent="0.25">
      <c r="B3583" s="103"/>
      <c r="D3583" s="80"/>
      <c r="E3583" s="80"/>
    </row>
    <row r="3584" spans="2:5" ht="14.25" customHeight="1" x14ac:dyDescent="0.25">
      <c r="B3584" s="103"/>
      <c r="D3584" s="80"/>
      <c r="E3584" s="80"/>
    </row>
    <row r="3585" spans="2:5" ht="14.25" customHeight="1" x14ac:dyDescent="0.25">
      <c r="B3585" s="103"/>
      <c r="D3585" s="80"/>
      <c r="E3585" s="80"/>
    </row>
    <row r="3586" spans="2:5" ht="14.25" customHeight="1" x14ac:dyDescent="0.25">
      <c r="B3586" s="103"/>
      <c r="D3586" s="80"/>
      <c r="E3586" s="80"/>
    </row>
    <row r="3587" spans="2:5" ht="14.25" customHeight="1" x14ac:dyDescent="0.25">
      <c r="B3587" s="103"/>
      <c r="D3587" s="80"/>
      <c r="E3587" s="80"/>
    </row>
    <row r="3588" spans="2:5" ht="14.25" customHeight="1" x14ac:dyDescent="0.25">
      <c r="B3588" s="103"/>
      <c r="D3588" s="80"/>
      <c r="E3588" s="80"/>
    </row>
    <row r="3589" spans="2:5" ht="14.25" customHeight="1" x14ac:dyDescent="0.25">
      <c r="B3589" s="103"/>
      <c r="D3589" s="80"/>
      <c r="E3589" s="80"/>
    </row>
    <row r="3590" spans="2:5" ht="14.25" customHeight="1" x14ac:dyDescent="0.25">
      <c r="B3590" s="103"/>
      <c r="D3590" s="80"/>
      <c r="E3590" s="80"/>
    </row>
    <row r="3591" spans="2:5" ht="14.25" customHeight="1" x14ac:dyDescent="0.25">
      <c r="B3591" s="103"/>
      <c r="D3591" s="80"/>
      <c r="E3591" s="80"/>
    </row>
    <row r="3592" spans="2:5" ht="14.25" customHeight="1" x14ac:dyDescent="0.25">
      <c r="B3592" s="103"/>
      <c r="D3592" s="80"/>
      <c r="E3592" s="80"/>
    </row>
    <row r="3593" spans="2:5" ht="14.25" customHeight="1" x14ac:dyDescent="0.25">
      <c r="B3593" s="103"/>
      <c r="D3593" s="80"/>
      <c r="E3593" s="80"/>
    </row>
    <row r="3594" spans="2:5" ht="14.25" customHeight="1" x14ac:dyDescent="0.25">
      <c r="B3594" s="103"/>
      <c r="D3594" s="80"/>
      <c r="E3594" s="80"/>
    </row>
    <row r="3595" spans="2:5" ht="14.25" customHeight="1" x14ac:dyDescent="0.25">
      <c r="B3595" s="103"/>
      <c r="D3595" s="80"/>
      <c r="E3595" s="80"/>
    </row>
    <row r="3596" spans="2:5" ht="14.25" customHeight="1" x14ac:dyDescent="0.25">
      <c r="B3596" s="103"/>
      <c r="D3596" s="80"/>
      <c r="E3596" s="80"/>
    </row>
    <row r="3597" spans="2:5" ht="14.25" customHeight="1" x14ac:dyDescent="0.25">
      <c r="B3597" s="103"/>
      <c r="D3597" s="80"/>
      <c r="E3597" s="80"/>
    </row>
    <row r="3598" spans="2:5" ht="14.25" customHeight="1" x14ac:dyDescent="0.25">
      <c r="B3598" s="103"/>
      <c r="D3598" s="80"/>
      <c r="E3598" s="80"/>
    </row>
    <row r="3599" spans="2:5" ht="14.25" customHeight="1" x14ac:dyDescent="0.25">
      <c r="B3599" s="103"/>
      <c r="D3599" s="80"/>
      <c r="E3599" s="80"/>
    </row>
    <row r="3600" spans="2:5" ht="14.25" customHeight="1" x14ac:dyDescent="0.25">
      <c r="B3600" s="103"/>
      <c r="D3600" s="80"/>
      <c r="E3600" s="80"/>
    </row>
    <row r="3601" spans="2:5" ht="14.25" customHeight="1" x14ac:dyDescent="0.25">
      <c r="B3601" s="103"/>
      <c r="D3601" s="80"/>
      <c r="E3601" s="80"/>
    </row>
    <row r="3602" spans="2:5" ht="14.25" customHeight="1" x14ac:dyDescent="0.25">
      <c r="B3602" s="103"/>
      <c r="D3602" s="80"/>
      <c r="E3602" s="80"/>
    </row>
    <row r="3603" spans="2:5" ht="14.25" customHeight="1" x14ac:dyDescent="0.25">
      <c r="B3603" s="103"/>
      <c r="D3603" s="80"/>
      <c r="E3603" s="80"/>
    </row>
    <row r="3604" spans="2:5" ht="14.25" customHeight="1" x14ac:dyDescent="0.25">
      <c r="B3604" s="103"/>
      <c r="D3604" s="80"/>
      <c r="E3604" s="80"/>
    </row>
    <row r="3605" spans="2:5" ht="14.25" customHeight="1" x14ac:dyDescent="0.25">
      <c r="B3605" s="103"/>
      <c r="D3605" s="80"/>
      <c r="E3605" s="80"/>
    </row>
    <row r="3606" spans="2:5" ht="14.25" customHeight="1" x14ac:dyDescent="0.25">
      <c r="B3606" s="103"/>
      <c r="D3606" s="80"/>
      <c r="E3606" s="80"/>
    </row>
    <row r="3607" spans="2:5" ht="14.25" customHeight="1" x14ac:dyDescent="0.25">
      <c r="B3607" s="103"/>
      <c r="D3607" s="80"/>
      <c r="E3607" s="80"/>
    </row>
    <row r="3608" spans="2:5" ht="14.25" customHeight="1" x14ac:dyDescent="0.25">
      <c r="B3608" s="103"/>
      <c r="D3608" s="80"/>
      <c r="E3608" s="80"/>
    </row>
    <row r="3609" spans="2:5" ht="14.25" customHeight="1" x14ac:dyDescent="0.25">
      <c r="B3609" s="103"/>
      <c r="D3609" s="80"/>
      <c r="E3609" s="80"/>
    </row>
    <row r="3610" spans="2:5" ht="14.25" customHeight="1" x14ac:dyDescent="0.25">
      <c r="B3610" s="103"/>
      <c r="D3610" s="80"/>
      <c r="E3610" s="80"/>
    </row>
    <row r="3611" spans="2:5" ht="14.25" customHeight="1" x14ac:dyDescent="0.25">
      <c r="B3611" s="103"/>
      <c r="D3611" s="80"/>
      <c r="E3611" s="80"/>
    </row>
    <row r="3612" spans="2:5" ht="14.25" customHeight="1" x14ac:dyDescent="0.25">
      <c r="B3612" s="103"/>
      <c r="D3612" s="80"/>
      <c r="E3612" s="80"/>
    </row>
    <row r="3613" spans="2:5" ht="14.25" customHeight="1" x14ac:dyDescent="0.25">
      <c r="B3613" s="103"/>
      <c r="D3613" s="80"/>
      <c r="E3613" s="80"/>
    </row>
    <row r="3614" spans="2:5" ht="14.25" customHeight="1" x14ac:dyDescent="0.25">
      <c r="B3614" s="103"/>
      <c r="D3614" s="80"/>
      <c r="E3614" s="80"/>
    </row>
    <row r="3615" spans="2:5" ht="14.25" customHeight="1" x14ac:dyDescent="0.25">
      <c r="B3615" s="103"/>
      <c r="D3615" s="80"/>
      <c r="E3615" s="80"/>
    </row>
    <row r="3616" spans="2:5" ht="14.25" customHeight="1" x14ac:dyDescent="0.25">
      <c r="B3616" s="103"/>
      <c r="D3616" s="80"/>
      <c r="E3616" s="80"/>
    </row>
    <row r="3617" spans="2:5" ht="14.25" customHeight="1" x14ac:dyDescent="0.25">
      <c r="B3617" s="103"/>
      <c r="D3617" s="80"/>
      <c r="E3617" s="80"/>
    </row>
    <row r="3618" spans="2:5" ht="14.25" customHeight="1" x14ac:dyDescent="0.25">
      <c r="B3618" s="103"/>
      <c r="D3618" s="80"/>
      <c r="E3618" s="80"/>
    </row>
    <row r="3619" spans="2:5" ht="14.25" customHeight="1" x14ac:dyDescent="0.25">
      <c r="B3619" s="103"/>
      <c r="D3619" s="80"/>
      <c r="E3619" s="80"/>
    </row>
    <row r="3620" spans="2:5" ht="14.25" customHeight="1" x14ac:dyDescent="0.25">
      <c r="B3620" s="103"/>
      <c r="D3620" s="80"/>
      <c r="E3620" s="80"/>
    </row>
    <row r="3621" spans="2:5" ht="14.25" customHeight="1" x14ac:dyDescent="0.25">
      <c r="B3621" s="103"/>
      <c r="D3621" s="80"/>
      <c r="E3621" s="80"/>
    </row>
    <row r="3622" spans="2:5" ht="14.25" customHeight="1" x14ac:dyDescent="0.25">
      <c r="B3622" s="103"/>
      <c r="D3622" s="80"/>
      <c r="E3622" s="80"/>
    </row>
    <row r="3623" spans="2:5" ht="14.25" customHeight="1" x14ac:dyDescent="0.25">
      <c r="B3623" s="103"/>
      <c r="D3623" s="80"/>
      <c r="E3623" s="80"/>
    </row>
    <row r="3624" spans="2:5" ht="14.25" customHeight="1" x14ac:dyDescent="0.25">
      <c r="B3624" s="103"/>
      <c r="D3624" s="80"/>
      <c r="E3624" s="80"/>
    </row>
    <row r="3625" spans="2:5" ht="14.25" customHeight="1" x14ac:dyDescent="0.25">
      <c r="B3625" s="103"/>
      <c r="D3625" s="80"/>
      <c r="E3625" s="80"/>
    </row>
    <row r="3626" spans="2:5" ht="14.25" customHeight="1" x14ac:dyDescent="0.25">
      <c r="B3626" s="103"/>
      <c r="D3626" s="80"/>
      <c r="E3626" s="80"/>
    </row>
    <row r="3627" spans="2:5" ht="14.25" customHeight="1" x14ac:dyDescent="0.25">
      <c r="B3627" s="103"/>
      <c r="D3627" s="80"/>
      <c r="E3627" s="80"/>
    </row>
    <row r="3628" spans="2:5" ht="14.25" customHeight="1" x14ac:dyDescent="0.25">
      <c r="B3628" s="103"/>
      <c r="D3628" s="80"/>
      <c r="E3628" s="80"/>
    </row>
    <row r="3629" spans="2:5" ht="14.25" customHeight="1" x14ac:dyDescent="0.25">
      <c r="B3629" s="103"/>
      <c r="D3629" s="80"/>
      <c r="E3629" s="80"/>
    </row>
    <row r="3630" spans="2:5" ht="14.25" customHeight="1" x14ac:dyDescent="0.25">
      <c r="B3630" s="103"/>
      <c r="D3630" s="80"/>
      <c r="E3630" s="80"/>
    </row>
    <row r="3631" spans="2:5" ht="14.25" customHeight="1" x14ac:dyDescent="0.25">
      <c r="B3631" s="103"/>
      <c r="D3631" s="80"/>
      <c r="E3631" s="80"/>
    </row>
    <row r="3632" spans="2:5" ht="14.25" customHeight="1" x14ac:dyDescent="0.25">
      <c r="B3632" s="103"/>
      <c r="D3632" s="80"/>
      <c r="E3632" s="80"/>
    </row>
    <row r="3633" spans="2:5" ht="14.25" customHeight="1" x14ac:dyDescent="0.25">
      <c r="B3633" s="103"/>
      <c r="D3633" s="80"/>
      <c r="E3633" s="80"/>
    </row>
    <row r="3634" spans="2:5" ht="14.25" customHeight="1" x14ac:dyDescent="0.25">
      <c r="B3634" s="103"/>
      <c r="D3634" s="80"/>
      <c r="E3634" s="80"/>
    </row>
    <row r="3635" spans="2:5" ht="14.25" customHeight="1" x14ac:dyDescent="0.25">
      <c r="B3635" s="103"/>
      <c r="D3635" s="80"/>
      <c r="E3635" s="80"/>
    </row>
    <row r="3636" spans="2:5" ht="14.25" customHeight="1" x14ac:dyDescent="0.25">
      <c r="B3636" s="103"/>
      <c r="D3636" s="80"/>
      <c r="E3636" s="80"/>
    </row>
    <row r="3637" spans="2:5" ht="14.25" customHeight="1" x14ac:dyDescent="0.25">
      <c r="B3637" s="103"/>
      <c r="D3637" s="80"/>
      <c r="E3637" s="80"/>
    </row>
    <row r="3638" spans="2:5" ht="14.25" customHeight="1" x14ac:dyDescent="0.25">
      <c r="B3638" s="103"/>
      <c r="D3638" s="80"/>
      <c r="E3638" s="80"/>
    </row>
    <row r="3639" spans="2:5" ht="14.25" customHeight="1" x14ac:dyDescent="0.25">
      <c r="B3639" s="103"/>
      <c r="D3639" s="80"/>
      <c r="E3639" s="80"/>
    </row>
    <row r="3640" spans="2:5" ht="14.25" customHeight="1" x14ac:dyDescent="0.25">
      <c r="B3640" s="103"/>
      <c r="D3640" s="80"/>
      <c r="E3640" s="80"/>
    </row>
    <row r="3641" spans="2:5" ht="14.25" customHeight="1" x14ac:dyDescent="0.25">
      <c r="B3641" s="103"/>
      <c r="D3641" s="80"/>
      <c r="E3641" s="80"/>
    </row>
    <row r="3642" spans="2:5" ht="14.25" customHeight="1" x14ac:dyDescent="0.25">
      <c r="B3642" s="103"/>
      <c r="D3642" s="80"/>
      <c r="E3642" s="80"/>
    </row>
    <row r="3643" spans="2:5" ht="14.25" customHeight="1" x14ac:dyDescent="0.25">
      <c r="B3643" s="103"/>
      <c r="D3643" s="80"/>
      <c r="E3643" s="80"/>
    </row>
    <row r="3644" spans="2:5" ht="14.25" customHeight="1" x14ac:dyDescent="0.25">
      <c r="B3644" s="103"/>
      <c r="D3644" s="80"/>
      <c r="E3644" s="80"/>
    </row>
    <row r="3645" spans="2:5" ht="14.25" customHeight="1" x14ac:dyDescent="0.25">
      <c r="B3645" s="103"/>
      <c r="D3645" s="80"/>
      <c r="E3645" s="80"/>
    </row>
    <row r="3646" spans="2:5" ht="14.25" customHeight="1" x14ac:dyDescent="0.25">
      <c r="B3646" s="103"/>
      <c r="D3646" s="80"/>
      <c r="E3646" s="80"/>
    </row>
    <row r="3647" spans="2:5" ht="14.25" customHeight="1" x14ac:dyDescent="0.25">
      <c r="B3647" s="103"/>
      <c r="D3647" s="80"/>
      <c r="E3647" s="80"/>
    </row>
    <row r="3648" spans="2:5" ht="14.25" customHeight="1" x14ac:dyDescent="0.25">
      <c r="B3648" s="103"/>
      <c r="D3648" s="80"/>
      <c r="E3648" s="80"/>
    </row>
    <row r="3649" spans="2:5" ht="14.25" customHeight="1" x14ac:dyDescent="0.25">
      <c r="B3649" s="103"/>
      <c r="D3649" s="80"/>
      <c r="E3649" s="80"/>
    </row>
    <row r="3650" spans="2:5" ht="14.25" customHeight="1" x14ac:dyDescent="0.25">
      <c r="B3650" s="103"/>
      <c r="D3650" s="80"/>
      <c r="E3650" s="80"/>
    </row>
    <row r="3651" spans="2:5" ht="14.25" customHeight="1" x14ac:dyDescent="0.25">
      <c r="B3651" s="103"/>
      <c r="D3651" s="80"/>
      <c r="E3651" s="80"/>
    </row>
    <row r="3652" spans="2:5" ht="14.25" customHeight="1" x14ac:dyDescent="0.25">
      <c r="B3652" s="103"/>
      <c r="D3652" s="80"/>
      <c r="E3652" s="80"/>
    </row>
    <row r="3653" spans="2:5" ht="14.25" customHeight="1" x14ac:dyDescent="0.25">
      <c r="B3653" s="103"/>
      <c r="D3653" s="80"/>
      <c r="E3653" s="80"/>
    </row>
    <row r="3654" spans="2:5" ht="14.25" customHeight="1" x14ac:dyDescent="0.25">
      <c r="B3654" s="103"/>
      <c r="D3654" s="80"/>
      <c r="E3654" s="80"/>
    </row>
    <row r="3655" spans="2:5" ht="14.25" customHeight="1" x14ac:dyDescent="0.25">
      <c r="B3655" s="103"/>
      <c r="D3655" s="80"/>
      <c r="E3655" s="80"/>
    </row>
    <row r="3656" spans="2:5" ht="14.25" customHeight="1" x14ac:dyDescent="0.25">
      <c r="B3656" s="103"/>
      <c r="D3656" s="80"/>
      <c r="E3656" s="80"/>
    </row>
    <row r="3657" spans="2:5" ht="14.25" customHeight="1" x14ac:dyDescent="0.25">
      <c r="B3657" s="103"/>
      <c r="D3657" s="80"/>
      <c r="E3657" s="80"/>
    </row>
    <row r="3658" spans="2:5" ht="14.25" customHeight="1" x14ac:dyDescent="0.25">
      <c r="B3658" s="103"/>
      <c r="D3658" s="80"/>
      <c r="E3658" s="80"/>
    </row>
    <row r="3659" spans="2:5" ht="14.25" customHeight="1" x14ac:dyDescent="0.25">
      <c r="B3659" s="103"/>
      <c r="D3659" s="80"/>
      <c r="E3659" s="80"/>
    </row>
    <row r="3660" spans="2:5" ht="14.25" customHeight="1" x14ac:dyDescent="0.25">
      <c r="B3660" s="103"/>
      <c r="D3660" s="80"/>
      <c r="E3660" s="80"/>
    </row>
    <row r="3661" spans="2:5" ht="14.25" customHeight="1" x14ac:dyDescent="0.25">
      <c r="B3661" s="103"/>
      <c r="D3661" s="80"/>
      <c r="E3661" s="80"/>
    </row>
    <row r="3662" spans="2:5" ht="14.25" customHeight="1" x14ac:dyDescent="0.25">
      <c r="B3662" s="103"/>
      <c r="D3662" s="80"/>
      <c r="E3662" s="80"/>
    </row>
    <row r="3663" spans="2:5" ht="14.25" customHeight="1" x14ac:dyDescent="0.25">
      <c r="B3663" s="103"/>
      <c r="D3663" s="80"/>
      <c r="E3663" s="80"/>
    </row>
    <row r="3664" spans="2:5" ht="14.25" customHeight="1" x14ac:dyDescent="0.25">
      <c r="B3664" s="103"/>
      <c r="D3664" s="80"/>
      <c r="E3664" s="80"/>
    </row>
    <row r="3665" spans="2:5" ht="14.25" customHeight="1" x14ac:dyDescent="0.25">
      <c r="B3665" s="103"/>
      <c r="D3665" s="80"/>
      <c r="E3665" s="80"/>
    </row>
    <row r="3666" spans="2:5" ht="14.25" customHeight="1" x14ac:dyDescent="0.25">
      <c r="B3666" s="103"/>
      <c r="D3666" s="80"/>
      <c r="E3666" s="80"/>
    </row>
    <row r="3667" spans="2:5" ht="14.25" customHeight="1" x14ac:dyDescent="0.25">
      <c r="B3667" s="103"/>
      <c r="D3667" s="80"/>
      <c r="E3667" s="80"/>
    </row>
    <row r="3668" spans="2:5" ht="14.25" customHeight="1" x14ac:dyDescent="0.25">
      <c r="B3668" s="103"/>
      <c r="D3668" s="80"/>
      <c r="E3668" s="80"/>
    </row>
    <row r="3669" spans="2:5" ht="14.25" customHeight="1" x14ac:dyDescent="0.25">
      <c r="B3669" s="103"/>
      <c r="D3669" s="80"/>
      <c r="E3669" s="80"/>
    </row>
    <row r="3670" spans="2:5" ht="14.25" customHeight="1" x14ac:dyDescent="0.25">
      <c r="B3670" s="103"/>
      <c r="D3670" s="80"/>
      <c r="E3670" s="80"/>
    </row>
    <row r="3671" spans="2:5" ht="14.25" customHeight="1" x14ac:dyDescent="0.25">
      <c r="B3671" s="103"/>
      <c r="D3671" s="80"/>
      <c r="E3671" s="80"/>
    </row>
    <row r="3672" spans="2:5" ht="14.25" customHeight="1" x14ac:dyDescent="0.25">
      <c r="B3672" s="103"/>
      <c r="D3672" s="80"/>
      <c r="E3672" s="80"/>
    </row>
    <row r="3673" spans="2:5" ht="14.25" customHeight="1" x14ac:dyDescent="0.25">
      <c r="B3673" s="103"/>
      <c r="D3673" s="80"/>
      <c r="E3673" s="80"/>
    </row>
    <row r="3674" spans="2:5" ht="14.25" customHeight="1" x14ac:dyDescent="0.25">
      <c r="B3674" s="103"/>
      <c r="D3674" s="80"/>
      <c r="E3674" s="80"/>
    </row>
    <row r="3675" spans="2:5" ht="14.25" customHeight="1" x14ac:dyDescent="0.25">
      <c r="B3675" s="103"/>
      <c r="D3675" s="80"/>
      <c r="E3675" s="80"/>
    </row>
    <row r="3676" spans="2:5" ht="14.25" customHeight="1" x14ac:dyDescent="0.25">
      <c r="B3676" s="103"/>
      <c r="D3676" s="80"/>
      <c r="E3676" s="80"/>
    </row>
    <row r="3677" spans="2:5" ht="14.25" customHeight="1" x14ac:dyDescent="0.25">
      <c r="B3677" s="103"/>
      <c r="D3677" s="80"/>
      <c r="E3677" s="80"/>
    </row>
    <row r="3678" spans="2:5" ht="14.25" customHeight="1" x14ac:dyDescent="0.25">
      <c r="B3678" s="103"/>
      <c r="D3678" s="80"/>
      <c r="E3678" s="80"/>
    </row>
    <row r="3679" spans="2:5" ht="14.25" customHeight="1" x14ac:dyDescent="0.25">
      <c r="B3679" s="103"/>
      <c r="D3679" s="80"/>
      <c r="E3679" s="80"/>
    </row>
    <row r="3680" spans="2:5" ht="14.25" customHeight="1" x14ac:dyDescent="0.25">
      <c r="B3680" s="103"/>
      <c r="D3680" s="80"/>
      <c r="E3680" s="80"/>
    </row>
    <row r="3681" spans="2:5" ht="14.25" customHeight="1" x14ac:dyDescent="0.25">
      <c r="B3681" s="103"/>
      <c r="D3681" s="80"/>
      <c r="E3681" s="80"/>
    </row>
    <row r="3682" spans="2:5" ht="14.25" customHeight="1" x14ac:dyDescent="0.25">
      <c r="B3682" s="103"/>
      <c r="D3682" s="80"/>
      <c r="E3682" s="80"/>
    </row>
    <row r="3683" spans="2:5" ht="14.25" customHeight="1" x14ac:dyDescent="0.25">
      <c r="B3683" s="103"/>
      <c r="D3683" s="80"/>
      <c r="E3683" s="80"/>
    </row>
    <row r="3684" spans="2:5" ht="14.25" customHeight="1" x14ac:dyDescent="0.25">
      <c r="B3684" s="103"/>
      <c r="D3684" s="80"/>
      <c r="E3684" s="80"/>
    </row>
    <row r="3685" spans="2:5" ht="14.25" customHeight="1" x14ac:dyDescent="0.25">
      <c r="B3685" s="103"/>
      <c r="D3685" s="80"/>
      <c r="E3685" s="80"/>
    </row>
    <row r="3686" spans="2:5" ht="14.25" customHeight="1" x14ac:dyDescent="0.25">
      <c r="B3686" s="103"/>
      <c r="D3686" s="80"/>
      <c r="E3686" s="80"/>
    </row>
    <row r="3687" spans="2:5" ht="14.25" customHeight="1" x14ac:dyDescent="0.25">
      <c r="B3687" s="103"/>
      <c r="D3687" s="80"/>
      <c r="E3687" s="80"/>
    </row>
    <row r="3688" spans="2:5" ht="14.25" customHeight="1" x14ac:dyDescent="0.25">
      <c r="B3688" s="103"/>
      <c r="D3688" s="80"/>
      <c r="E3688" s="80"/>
    </row>
    <row r="3689" spans="2:5" ht="14.25" customHeight="1" x14ac:dyDescent="0.25">
      <c r="B3689" s="103"/>
      <c r="D3689" s="80"/>
      <c r="E3689" s="80"/>
    </row>
    <row r="3690" spans="2:5" ht="14.25" customHeight="1" x14ac:dyDescent="0.25">
      <c r="B3690" s="103"/>
      <c r="D3690" s="80"/>
      <c r="E3690" s="80"/>
    </row>
    <row r="3691" spans="2:5" ht="14.25" customHeight="1" x14ac:dyDescent="0.25">
      <c r="B3691" s="103"/>
      <c r="D3691" s="80"/>
      <c r="E3691" s="80"/>
    </row>
    <row r="3692" spans="2:5" ht="14.25" customHeight="1" x14ac:dyDescent="0.25">
      <c r="B3692" s="103"/>
      <c r="D3692" s="80"/>
      <c r="E3692" s="80"/>
    </row>
    <row r="3693" spans="2:5" ht="14.25" customHeight="1" x14ac:dyDescent="0.25">
      <c r="B3693" s="103"/>
      <c r="D3693" s="80"/>
      <c r="E3693" s="80"/>
    </row>
    <row r="3694" spans="2:5" ht="14.25" customHeight="1" x14ac:dyDescent="0.25">
      <c r="B3694" s="103"/>
      <c r="D3694" s="80"/>
      <c r="E3694" s="80"/>
    </row>
    <row r="3695" spans="2:5" ht="14.25" customHeight="1" x14ac:dyDescent="0.25">
      <c r="B3695" s="103"/>
      <c r="D3695" s="80"/>
      <c r="E3695" s="80"/>
    </row>
    <row r="3696" spans="2:5" ht="14.25" customHeight="1" x14ac:dyDescent="0.25">
      <c r="B3696" s="103"/>
      <c r="D3696" s="80"/>
      <c r="E3696" s="80"/>
    </row>
    <row r="3697" spans="2:5" ht="14.25" customHeight="1" x14ac:dyDescent="0.25">
      <c r="B3697" s="103"/>
      <c r="D3697" s="80"/>
      <c r="E3697" s="80"/>
    </row>
    <row r="3698" spans="2:5" ht="14.25" customHeight="1" x14ac:dyDescent="0.25">
      <c r="B3698" s="103"/>
      <c r="D3698" s="80"/>
      <c r="E3698" s="80"/>
    </row>
    <row r="3699" spans="2:5" ht="14.25" customHeight="1" x14ac:dyDescent="0.25">
      <c r="B3699" s="103"/>
      <c r="D3699" s="80"/>
      <c r="E3699" s="80"/>
    </row>
    <row r="3700" spans="2:5" ht="14.25" customHeight="1" x14ac:dyDescent="0.25">
      <c r="B3700" s="103"/>
      <c r="D3700" s="80"/>
      <c r="E3700" s="80"/>
    </row>
    <row r="3701" spans="2:5" ht="14.25" customHeight="1" x14ac:dyDescent="0.25">
      <c r="B3701" s="103"/>
      <c r="D3701" s="80"/>
      <c r="E3701" s="80"/>
    </row>
    <row r="3702" spans="2:5" ht="14.25" customHeight="1" x14ac:dyDescent="0.25">
      <c r="B3702" s="103"/>
      <c r="D3702" s="80"/>
      <c r="E3702" s="80"/>
    </row>
    <row r="3703" spans="2:5" ht="14.25" customHeight="1" x14ac:dyDescent="0.25">
      <c r="B3703" s="103"/>
      <c r="D3703" s="80"/>
      <c r="E3703" s="80"/>
    </row>
    <row r="3704" spans="2:5" ht="14.25" customHeight="1" x14ac:dyDescent="0.25">
      <c r="B3704" s="103"/>
      <c r="D3704" s="80"/>
      <c r="E3704" s="80"/>
    </row>
    <row r="3705" spans="2:5" ht="14.25" customHeight="1" x14ac:dyDescent="0.25">
      <c r="B3705" s="103"/>
      <c r="D3705" s="80"/>
      <c r="E3705" s="80"/>
    </row>
    <row r="3706" spans="2:5" ht="14.25" customHeight="1" x14ac:dyDescent="0.25">
      <c r="B3706" s="103"/>
      <c r="D3706" s="80"/>
      <c r="E3706" s="80"/>
    </row>
    <row r="3707" spans="2:5" ht="14.25" customHeight="1" x14ac:dyDescent="0.25">
      <c r="B3707" s="103"/>
      <c r="D3707" s="80"/>
      <c r="E3707" s="80"/>
    </row>
    <row r="3708" spans="2:5" ht="14.25" customHeight="1" x14ac:dyDescent="0.25">
      <c r="B3708" s="103"/>
      <c r="D3708" s="80"/>
      <c r="E3708" s="80"/>
    </row>
    <row r="3709" spans="2:5" ht="14.25" customHeight="1" x14ac:dyDescent="0.25">
      <c r="B3709" s="103"/>
      <c r="D3709" s="80"/>
      <c r="E3709" s="80"/>
    </row>
    <row r="3710" spans="2:5" ht="14.25" customHeight="1" x14ac:dyDescent="0.25">
      <c r="B3710" s="103"/>
      <c r="D3710" s="80"/>
      <c r="E3710" s="80"/>
    </row>
    <row r="3711" spans="2:5" ht="14.25" customHeight="1" x14ac:dyDescent="0.25">
      <c r="B3711" s="103"/>
      <c r="D3711" s="80"/>
      <c r="E3711" s="80"/>
    </row>
    <row r="3712" spans="2:5" ht="14.25" customHeight="1" x14ac:dyDescent="0.25">
      <c r="B3712" s="103"/>
      <c r="D3712" s="80"/>
      <c r="E3712" s="80"/>
    </row>
    <row r="3713" spans="2:5" ht="14.25" customHeight="1" x14ac:dyDescent="0.25">
      <c r="B3713" s="103"/>
      <c r="D3713" s="80"/>
      <c r="E3713" s="80"/>
    </row>
    <row r="3714" spans="2:5" ht="14.25" customHeight="1" x14ac:dyDescent="0.25">
      <c r="B3714" s="103"/>
      <c r="D3714" s="80"/>
      <c r="E3714" s="80"/>
    </row>
    <row r="3715" spans="2:5" ht="14.25" customHeight="1" x14ac:dyDescent="0.25">
      <c r="B3715" s="103"/>
      <c r="D3715" s="80"/>
      <c r="E3715" s="80"/>
    </row>
    <row r="3716" spans="2:5" ht="14.25" customHeight="1" x14ac:dyDescent="0.25">
      <c r="B3716" s="103"/>
      <c r="D3716" s="80"/>
      <c r="E3716" s="80"/>
    </row>
    <row r="3717" spans="2:5" ht="14.25" customHeight="1" x14ac:dyDescent="0.25">
      <c r="B3717" s="103"/>
      <c r="D3717" s="80"/>
      <c r="E3717" s="80"/>
    </row>
    <row r="3718" spans="2:5" ht="14.25" customHeight="1" x14ac:dyDescent="0.25">
      <c r="B3718" s="103"/>
      <c r="D3718" s="80"/>
      <c r="E3718" s="80"/>
    </row>
    <row r="3719" spans="2:5" ht="14.25" customHeight="1" x14ac:dyDescent="0.25">
      <c r="B3719" s="103"/>
      <c r="D3719" s="80"/>
      <c r="E3719" s="80"/>
    </row>
    <row r="3720" spans="2:5" ht="14.25" customHeight="1" x14ac:dyDescent="0.25">
      <c r="B3720" s="103"/>
      <c r="D3720" s="80"/>
      <c r="E3720" s="80"/>
    </row>
    <row r="3721" spans="2:5" ht="14.25" customHeight="1" x14ac:dyDescent="0.25">
      <c r="B3721" s="103"/>
      <c r="D3721" s="80"/>
      <c r="E3721" s="80"/>
    </row>
    <row r="3722" spans="2:5" ht="14.25" customHeight="1" x14ac:dyDescent="0.25">
      <c r="B3722" s="103"/>
      <c r="D3722" s="80"/>
      <c r="E3722" s="80"/>
    </row>
    <row r="3723" spans="2:5" ht="14.25" customHeight="1" x14ac:dyDescent="0.25">
      <c r="B3723" s="103"/>
      <c r="D3723" s="80"/>
      <c r="E3723" s="80"/>
    </row>
    <row r="3724" spans="2:5" ht="14.25" customHeight="1" x14ac:dyDescent="0.25">
      <c r="B3724" s="103"/>
      <c r="D3724" s="80"/>
      <c r="E3724" s="80"/>
    </row>
    <row r="3725" spans="2:5" ht="14.25" customHeight="1" x14ac:dyDescent="0.25">
      <c r="B3725" s="103"/>
      <c r="D3725" s="80"/>
      <c r="E3725" s="80"/>
    </row>
    <row r="3726" spans="2:5" ht="14.25" customHeight="1" x14ac:dyDescent="0.25">
      <c r="B3726" s="103"/>
      <c r="D3726" s="80"/>
      <c r="E3726" s="80"/>
    </row>
    <row r="3727" spans="2:5" ht="14.25" customHeight="1" x14ac:dyDescent="0.25">
      <c r="B3727" s="103"/>
      <c r="D3727" s="80"/>
      <c r="E3727" s="80"/>
    </row>
    <row r="3728" spans="2:5" ht="14.25" customHeight="1" x14ac:dyDescent="0.25">
      <c r="B3728" s="103"/>
      <c r="D3728" s="80"/>
      <c r="E3728" s="80"/>
    </row>
    <row r="3729" spans="2:5" ht="14.25" customHeight="1" x14ac:dyDescent="0.25">
      <c r="B3729" s="103"/>
      <c r="D3729" s="80"/>
      <c r="E3729" s="80"/>
    </row>
    <row r="3730" spans="2:5" ht="14.25" customHeight="1" x14ac:dyDescent="0.25">
      <c r="B3730" s="103"/>
      <c r="D3730" s="80"/>
      <c r="E3730" s="80"/>
    </row>
    <row r="3731" spans="2:5" ht="14.25" customHeight="1" x14ac:dyDescent="0.25">
      <c r="B3731" s="103"/>
      <c r="D3731" s="80"/>
      <c r="E3731" s="80"/>
    </row>
    <row r="3732" spans="2:5" ht="14.25" customHeight="1" x14ac:dyDescent="0.25">
      <c r="B3732" s="103"/>
      <c r="D3732" s="80"/>
      <c r="E3732" s="80"/>
    </row>
    <row r="3733" spans="2:5" ht="14.25" customHeight="1" x14ac:dyDescent="0.25">
      <c r="B3733" s="103"/>
      <c r="D3733" s="80"/>
      <c r="E3733" s="80"/>
    </row>
    <row r="3734" spans="2:5" ht="14.25" customHeight="1" x14ac:dyDescent="0.25">
      <c r="B3734" s="103"/>
      <c r="D3734" s="80"/>
      <c r="E3734" s="80"/>
    </row>
    <row r="3735" spans="2:5" ht="14.25" customHeight="1" x14ac:dyDescent="0.25">
      <c r="B3735" s="103"/>
      <c r="D3735" s="80"/>
      <c r="E3735" s="80"/>
    </row>
    <row r="3736" spans="2:5" ht="14.25" customHeight="1" x14ac:dyDescent="0.25">
      <c r="B3736" s="103"/>
      <c r="D3736" s="80"/>
      <c r="E3736" s="80"/>
    </row>
    <row r="3737" spans="2:5" ht="14.25" customHeight="1" x14ac:dyDescent="0.25">
      <c r="B3737" s="103"/>
      <c r="D3737" s="80"/>
      <c r="E3737" s="80"/>
    </row>
    <row r="3738" spans="2:5" ht="14.25" customHeight="1" x14ac:dyDescent="0.25">
      <c r="B3738" s="103"/>
      <c r="D3738" s="80"/>
      <c r="E3738" s="80"/>
    </row>
    <row r="3739" spans="2:5" ht="14.25" customHeight="1" x14ac:dyDescent="0.25">
      <c r="B3739" s="103"/>
      <c r="D3739" s="80"/>
      <c r="E3739" s="80"/>
    </row>
    <row r="3740" spans="2:5" ht="14.25" customHeight="1" x14ac:dyDescent="0.25">
      <c r="B3740" s="103"/>
      <c r="D3740" s="80"/>
      <c r="E3740" s="80"/>
    </row>
    <row r="3741" spans="2:5" ht="14.25" customHeight="1" x14ac:dyDescent="0.25">
      <c r="B3741" s="103"/>
      <c r="D3741" s="80"/>
      <c r="E3741" s="80"/>
    </row>
    <row r="3742" spans="2:5" ht="14.25" customHeight="1" x14ac:dyDescent="0.25">
      <c r="B3742" s="103"/>
      <c r="D3742" s="80"/>
      <c r="E3742" s="80"/>
    </row>
    <row r="3743" spans="2:5" ht="14.25" customHeight="1" x14ac:dyDescent="0.25">
      <c r="B3743" s="103"/>
      <c r="D3743" s="80"/>
      <c r="E3743" s="80"/>
    </row>
    <row r="3744" spans="2:5" ht="14.25" customHeight="1" x14ac:dyDescent="0.25">
      <c r="B3744" s="103"/>
      <c r="D3744" s="80"/>
      <c r="E3744" s="80"/>
    </row>
    <row r="3745" spans="2:5" ht="14.25" customHeight="1" x14ac:dyDescent="0.25">
      <c r="B3745" s="103"/>
      <c r="D3745" s="80"/>
      <c r="E3745" s="80"/>
    </row>
    <row r="3746" spans="2:5" ht="14.25" customHeight="1" x14ac:dyDescent="0.25">
      <c r="B3746" s="103"/>
      <c r="D3746" s="80"/>
      <c r="E3746" s="80"/>
    </row>
    <row r="3747" spans="2:5" ht="14.25" customHeight="1" x14ac:dyDescent="0.25">
      <c r="B3747" s="103"/>
      <c r="D3747" s="80"/>
      <c r="E3747" s="80"/>
    </row>
    <row r="3748" spans="2:5" ht="14.25" customHeight="1" x14ac:dyDescent="0.25">
      <c r="B3748" s="103"/>
      <c r="D3748" s="80"/>
      <c r="E3748" s="80"/>
    </row>
    <row r="3749" spans="2:5" ht="14.25" customHeight="1" x14ac:dyDescent="0.25">
      <c r="B3749" s="103"/>
      <c r="D3749" s="80"/>
      <c r="E3749" s="80"/>
    </row>
    <row r="3750" spans="2:5" ht="14.25" customHeight="1" x14ac:dyDescent="0.25">
      <c r="B3750" s="103"/>
      <c r="D3750" s="80"/>
      <c r="E3750" s="80"/>
    </row>
    <row r="3751" spans="2:5" ht="14.25" customHeight="1" x14ac:dyDescent="0.25">
      <c r="B3751" s="103"/>
      <c r="D3751" s="80"/>
      <c r="E3751" s="80"/>
    </row>
    <row r="3752" spans="2:5" ht="14.25" customHeight="1" x14ac:dyDescent="0.25">
      <c r="B3752" s="103"/>
      <c r="D3752" s="80"/>
      <c r="E3752" s="80"/>
    </row>
    <row r="3753" spans="2:5" ht="14.25" customHeight="1" x14ac:dyDescent="0.25">
      <c r="B3753" s="103"/>
      <c r="D3753" s="80"/>
      <c r="E3753" s="80"/>
    </row>
    <row r="3754" spans="2:5" ht="14.25" customHeight="1" x14ac:dyDescent="0.25">
      <c r="B3754" s="103"/>
      <c r="D3754" s="80"/>
      <c r="E3754" s="80"/>
    </row>
    <row r="3755" spans="2:5" ht="14.25" customHeight="1" x14ac:dyDescent="0.25">
      <c r="B3755" s="103"/>
      <c r="D3755" s="80"/>
      <c r="E3755" s="80"/>
    </row>
    <row r="3756" spans="2:5" ht="14.25" customHeight="1" x14ac:dyDescent="0.25">
      <c r="B3756" s="103"/>
      <c r="D3756" s="80"/>
      <c r="E3756" s="80"/>
    </row>
    <row r="3757" spans="2:5" ht="14.25" customHeight="1" x14ac:dyDescent="0.25">
      <c r="B3757" s="103"/>
      <c r="D3757" s="80"/>
      <c r="E3757" s="80"/>
    </row>
    <row r="3758" spans="2:5" ht="14.25" customHeight="1" x14ac:dyDescent="0.25">
      <c r="B3758" s="103"/>
      <c r="D3758" s="80"/>
      <c r="E3758" s="80"/>
    </row>
    <row r="3759" spans="2:5" ht="14.25" customHeight="1" x14ac:dyDescent="0.25">
      <c r="B3759" s="103"/>
      <c r="D3759" s="80"/>
      <c r="E3759" s="80"/>
    </row>
    <row r="3760" spans="2:5" ht="14.25" customHeight="1" x14ac:dyDescent="0.25">
      <c r="B3760" s="103"/>
      <c r="D3760" s="80"/>
      <c r="E3760" s="80"/>
    </row>
    <row r="3761" spans="2:5" ht="14.25" customHeight="1" x14ac:dyDescent="0.25">
      <c r="B3761" s="103"/>
      <c r="D3761" s="80"/>
      <c r="E3761" s="80"/>
    </row>
    <row r="3762" spans="2:5" ht="14.25" customHeight="1" x14ac:dyDescent="0.25">
      <c r="B3762" s="103"/>
      <c r="D3762" s="80"/>
      <c r="E3762" s="80"/>
    </row>
    <row r="3763" spans="2:5" ht="14.25" customHeight="1" x14ac:dyDescent="0.25">
      <c r="B3763" s="103"/>
      <c r="D3763" s="80"/>
      <c r="E3763" s="80"/>
    </row>
    <row r="3764" spans="2:5" ht="14.25" customHeight="1" x14ac:dyDescent="0.25">
      <c r="B3764" s="103"/>
      <c r="D3764" s="80"/>
      <c r="E3764" s="80"/>
    </row>
    <row r="3765" spans="2:5" ht="14.25" customHeight="1" x14ac:dyDescent="0.25">
      <c r="B3765" s="103"/>
      <c r="D3765" s="80"/>
      <c r="E3765" s="80"/>
    </row>
    <row r="3766" spans="2:5" ht="14.25" customHeight="1" x14ac:dyDescent="0.25">
      <c r="B3766" s="103"/>
      <c r="D3766" s="80"/>
      <c r="E3766" s="80"/>
    </row>
    <row r="3767" spans="2:5" ht="14.25" customHeight="1" x14ac:dyDescent="0.25">
      <c r="B3767" s="103"/>
      <c r="D3767" s="80"/>
      <c r="E3767" s="80"/>
    </row>
    <row r="3768" spans="2:5" ht="14.25" customHeight="1" x14ac:dyDescent="0.25">
      <c r="B3768" s="103"/>
      <c r="D3768" s="80"/>
      <c r="E3768" s="80"/>
    </row>
    <row r="3769" spans="2:5" ht="14.25" customHeight="1" x14ac:dyDescent="0.25">
      <c r="B3769" s="103"/>
      <c r="D3769" s="80"/>
      <c r="E3769" s="80"/>
    </row>
    <row r="3770" spans="2:5" ht="14.25" customHeight="1" x14ac:dyDescent="0.25">
      <c r="B3770" s="103"/>
      <c r="D3770" s="80"/>
      <c r="E3770" s="80"/>
    </row>
    <row r="3771" spans="2:5" ht="14.25" customHeight="1" x14ac:dyDescent="0.25">
      <c r="B3771" s="103"/>
      <c r="D3771" s="80"/>
      <c r="E3771" s="80"/>
    </row>
    <row r="3772" spans="2:5" ht="14.25" customHeight="1" x14ac:dyDescent="0.25">
      <c r="B3772" s="103"/>
      <c r="D3772" s="80"/>
      <c r="E3772" s="80"/>
    </row>
    <row r="3773" spans="2:5" ht="14.25" customHeight="1" x14ac:dyDescent="0.25">
      <c r="B3773" s="103"/>
      <c r="D3773" s="80"/>
      <c r="E3773" s="80"/>
    </row>
    <row r="3774" spans="2:5" ht="14.25" customHeight="1" x14ac:dyDescent="0.25">
      <c r="B3774" s="103"/>
      <c r="D3774" s="80"/>
      <c r="E3774" s="80"/>
    </row>
    <row r="3775" spans="2:5" ht="14.25" customHeight="1" x14ac:dyDescent="0.25">
      <c r="B3775" s="103"/>
      <c r="D3775" s="80"/>
      <c r="E3775" s="80"/>
    </row>
    <row r="3776" spans="2:5" ht="14.25" customHeight="1" x14ac:dyDescent="0.25">
      <c r="B3776" s="103"/>
      <c r="D3776" s="80"/>
      <c r="E3776" s="80"/>
    </row>
    <row r="3777" spans="2:5" ht="14.25" customHeight="1" x14ac:dyDescent="0.25">
      <c r="B3777" s="103"/>
      <c r="D3777" s="80"/>
      <c r="E3777" s="80"/>
    </row>
    <row r="3778" spans="2:5" ht="14.25" customHeight="1" x14ac:dyDescent="0.25">
      <c r="B3778" s="103"/>
      <c r="D3778" s="80"/>
      <c r="E3778" s="80"/>
    </row>
    <row r="3779" spans="2:5" ht="14.25" customHeight="1" x14ac:dyDescent="0.25">
      <c r="B3779" s="103"/>
      <c r="D3779" s="80"/>
      <c r="E3779" s="80"/>
    </row>
    <row r="3780" spans="2:5" ht="14.25" customHeight="1" x14ac:dyDescent="0.25">
      <c r="B3780" s="103"/>
      <c r="D3780" s="80"/>
      <c r="E3780" s="80"/>
    </row>
    <row r="3781" spans="2:5" ht="14.25" customHeight="1" x14ac:dyDescent="0.25">
      <c r="B3781" s="103"/>
      <c r="D3781" s="80"/>
      <c r="E3781" s="80"/>
    </row>
    <row r="3782" spans="2:5" ht="14.25" customHeight="1" x14ac:dyDescent="0.25">
      <c r="B3782" s="103"/>
      <c r="D3782" s="80"/>
      <c r="E3782" s="80"/>
    </row>
    <row r="3783" spans="2:5" ht="14.25" customHeight="1" x14ac:dyDescent="0.25">
      <c r="B3783" s="103"/>
      <c r="D3783" s="80"/>
      <c r="E3783" s="80"/>
    </row>
    <row r="3784" spans="2:5" ht="14.25" customHeight="1" x14ac:dyDescent="0.25">
      <c r="B3784" s="103"/>
      <c r="D3784" s="80"/>
      <c r="E3784" s="80"/>
    </row>
    <row r="3785" spans="2:5" ht="14.25" customHeight="1" x14ac:dyDescent="0.25">
      <c r="B3785" s="103"/>
      <c r="D3785" s="80"/>
      <c r="E3785" s="80"/>
    </row>
    <row r="3786" spans="2:5" ht="14.25" customHeight="1" x14ac:dyDescent="0.25">
      <c r="B3786" s="103"/>
      <c r="D3786" s="80"/>
      <c r="E3786" s="80"/>
    </row>
    <row r="3787" spans="2:5" ht="14.25" customHeight="1" x14ac:dyDescent="0.25">
      <c r="B3787" s="103"/>
      <c r="D3787" s="80"/>
      <c r="E3787" s="80"/>
    </row>
    <row r="3788" spans="2:5" ht="14.25" customHeight="1" x14ac:dyDescent="0.25">
      <c r="B3788" s="103"/>
      <c r="D3788" s="80"/>
      <c r="E3788" s="80"/>
    </row>
    <row r="3789" spans="2:5" ht="14.25" customHeight="1" x14ac:dyDescent="0.25">
      <c r="B3789" s="103"/>
      <c r="D3789" s="80"/>
      <c r="E3789" s="80"/>
    </row>
    <row r="3790" spans="2:5" ht="14.25" customHeight="1" x14ac:dyDescent="0.25">
      <c r="B3790" s="103"/>
      <c r="D3790" s="80"/>
      <c r="E3790" s="80"/>
    </row>
    <row r="3791" spans="2:5" ht="14.25" customHeight="1" x14ac:dyDescent="0.25">
      <c r="B3791" s="103"/>
      <c r="D3791" s="80"/>
      <c r="E3791" s="80"/>
    </row>
    <row r="3792" spans="2:5" ht="14.25" customHeight="1" x14ac:dyDescent="0.25">
      <c r="B3792" s="103"/>
      <c r="D3792" s="80"/>
      <c r="E3792" s="80"/>
    </row>
    <row r="3793" spans="2:5" ht="14.25" customHeight="1" x14ac:dyDescent="0.25">
      <c r="B3793" s="103"/>
      <c r="D3793" s="80"/>
      <c r="E3793" s="80"/>
    </row>
    <row r="3794" spans="2:5" ht="14.25" customHeight="1" x14ac:dyDescent="0.25">
      <c r="B3794" s="103"/>
      <c r="D3794" s="80"/>
      <c r="E3794" s="80"/>
    </row>
    <row r="3795" spans="2:5" ht="14.25" customHeight="1" x14ac:dyDescent="0.25">
      <c r="B3795" s="103"/>
      <c r="D3795" s="80"/>
      <c r="E3795" s="80"/>
    </row>
    <row r="3796" spans="2:5" ht="14.25" customHeight="1" x14ac:dyDescent="0.25">
      <c r="B3796" s="103"/>
      <c r="D3796" s="80"/>
      <c r="E3796" s="80"/>
    </row>
    <row r="3797" spans="2:5" ht="14.25" customHeight="1" x14ac:dyDescent="0.25">
      <c r="B3797" s="103"/>
      <c r="D3797" s="80"/>
      <c r="E3797" s="80"/>
    </row>
    <row r="3798" spans="2:5" ht="14.25" customHeight="1" x14ac:dyDescent="0.25">
      <c r="B3798" s="103"/>
      <c r="D3798" s="80"/>
      <c r="E3798" s="80"/>
    </row>
    <row r="3799" spans="2:5" ht="14.25" customHeight="1" x14ac:dyDescent="0.25">
      <c r="B3799" s="103"/>
      <c r="D3799" s="80"/>
      <c r="E3799" s="80"/>
    </row>
    <row r="3800" spans="2:5" ht="14.25" customHeight="1" x14ac:dyDescent="0.25">
      <c r="B3800" s="103"/>
      <c r="D3800" s="80"/>
      <c r="E3800" s="80"/>
    </row>
    <row r="3801" spans="2:5" ht="14.25" customHeight="1" x14ac:dyDescent="0.25">
      <c r="B3801" s="103"/>
      <c r="D3801" s="80"/>
      <c r="E3801" s="80"/>
    </row>
    <row r="3802" spans="2:5" ht="14.25" customHeight="1" x14ac:dyDescent="0.25">
      <c r="B3802" s="103"/>
      <c r="D3802" s="80"/>
      <c r="E3802" s="80"/>
    </row>
    <row r="3803" spans="2:5" ht="14.25" customHeight="1" x14ac:dyDescent="0.25">
      <c r="B3803" s="103"/>
      <c r="D3803" s="80"/>
      <c r="E3803" s="80"/>
    </row>
    <row r="3804" spans="2:5" ht="14.25" customHeight="1" x14ac:dyDescent="0.25">
      <c r="B3804" s="103"/>
      <c r="D3804" s="80"/>
      <c r="E3804" s="80"/>
    </row>
    <row r="3805" spans="2:5" ht="14.25" customHeight="1" x14ac:dyDescent="0.25">
      <c r="B3805" s="103"/>
      <c r="D3805" s="80"/>
      <c r="E3805" s="80"/>
    </row>
    <row r="3806" spans="2:5" ht="14.25" customHeight="1" x14ac:dyDescent="0.25">
      <c r="B3806" s="103"/>
      <c r="D3806" s="80"/>
      <c r="E3806" s="80"/>
    </row>
    <row r="3807" spans="2:5" ht="14.25" customHeight="1" x14ac:dyDescent="0.25">
      <c r="B3807" s="103"/>
      <c r="D3807" s="80"/>
      <c r="E3807" s="80"/>
    </row>
    <row r="3808" spans="2:5" ht="14.25" customHeight="1" x14ac:dyDescent="0.25">
      <c r="B3808" s="103"/>
      <c r="D3808" s="80"/>
      <c r="E3808" s="80"/>
    </row>
    <row r="3809" spans="2:5" ht="14.25" customHeight="1" x14ac:dyDescent="0.25">
      <c r="B3809" s="103"/>
      <c r="D3809" s="80"/>
      <c r="E3809" s="80"/>
    </row>
    <row r="3810" spans="2:5" ht="14.25" customHeight="1" x14ac:dyDescent="0.25">
      <c r="B3810" s="103"/>
      <c r="D3810" s="80"/>
      <c r="E3810" s="80"/>
    </row>
    <row r="3811" spans="2:5" ht="14.25" customHeight="1" x14ac:dyDescent="0.25">
      <c r="B3811" s="103"/>
      <c r="D3811" s="80"/>
      <c r="E3811" s="80"/>
    </row>
    <row r="3812" spans="2:5" ht="14.25" customHeight="1" x14ac:dyDescent="0.25">
      <c r="B3812" s="103"/>
      <c r="D3812" s="80"/>
      <c r="E3812" s="80"/>
    </row>
    <row r="3813" spans="2:5" ht="14.25" customHeight="1" x14ac:dyDescent="0.25">
      <c r="B3813" s="103"/>
      <c r="D3813" s="80"/>
      <c r="E3813" s="80"/>
    </row>
    <row r="3814" spans="2:5" ht="14.25" customHeight="1" x14ac:dyDescent="0.25">
      <c r="B3814" s="103"/>
      <c r="D3814" s="80"/>
      <c r="E3814" s="80"/>
    </row>
    <row r="3815" spans="2:5" ht="14.25" customHeight="1" x14ac:dyDescent="0.25">
      <c r="B3815" s="103"/>
      <c r="D3815" s="80"/>
      <c r="E3815" s="80"/>
    </row>
    <row r="3816" spans="2:5" ht="14.25" customHeight="1" x14ac:dyDescent="0.25">
      <c r="B3816" s="103"/>
      <c r="D3816" s="80"/>
      <c r="E3816" s="80"/>
    </row>
    <row r="3817" spans="2:5" ht="14.25" customHeight="1" x14ac:dyDescent="0.25">
      <c r="B3817" s="103"/>
      <c r="D3817" s="80"/>
      <c r="E3817" s="80"/>
    </row>
    <row r="3818" spans="2:5" ht="14.25" customHeight="1" x14ac:dyDescent="0.25">
      <c r="B3818" s="103"/>
      <c r="D3818" s="80"/>
      <c r="E3818" s="80"/>
    </row>
    <row r="3819" spans="2:5" ht="14.25" customHeight="1" x14ac:dyDescent="0.25">
      <c r="B3819" s="103"/>
      <c r="D3819" s="80"/>
      <c r="E3819" s="80"/>
    </row>
    <row r="3820" spans="2:5" ht="14.25" customHeight="1" x14ac:dyDescent="0.25">
      <c r="B3820" s="103"/>
      <c r="D3820" s="80"/>
      <c r="E3820" s="80"/>
    </row>
    <row r="3821" spans="2:5" ht="14.25" customHeight="1" x14ac:dyDescent="0.25">
      <c r="B3821" s="103"/>
      <c r="D3821" s="80"/>
      <c r="E3821" s="80"/>
    </row>
    <row r="3822" spans="2:5" ht="14.25" customHeight="1" x14ac:dyDescent="0.25">
      <c r="B3822" s="103"/>
      <c r="D3822" s="80"/>
      <c r="E3822" s="80"/>
    </row>
    <row r="3823" spans="2:5" ht="14.25" customHeight="1" x14ac:dyDescent="0.25">
      <c r="B3823" s="103"/>
      <c r="D3823" s="80"/>
      <c r="E3823" s="80"/>
    </row>
    <row r="3824" spans="2:5" ht="14.25" customHeight="1" x14ac:dyDescent="0.25">
      <c r="B3824" s="103"/>
      <c r="D3824" s="80"/>
      <c r="E3824" s="80"/>
    </row>
    <row r="3825" spans="2:5" ht="14.25" customHeight="1" x14ac:dyDescent="0.25">
      <c r="B3825" s="103"/>
      <c r="D3825" s="80"/>
      <c r="E3825" s="80"/>
    </row>
    <row r="3826" spans="2:5" ht="14.25" customHeight="1" x14ac:dyDescent="0.25">
      <c r="B3826" s="103"/>
      <c r="D3826" s="80"/>
      <c r="E3826" s="80"/>
    </row>
    <row r="3827" spans="2:5" ht="14.25" customHeight="1" x14ac:dyDescent="0.25">
      <c r="B3827" s="103"/>
      <c r="D3827" s="80"/>
      <c r="E3827" s="80"/>
    </row>
    <row r="3828" spans="2:5" ht="14.25" customHeight="1" x14ac:dyDescent="0.25">
      <c r="B3828" s="103"/>
      <c r="D3828" s="80"/>
      <c r="E3828" s="80"/>
    </row>
    <row r="3829" spans="2:5" ht="14.25" customHeight="1" x14ac:dyDescent="0.25">
      <c r="B3829" s="103"/>
      <c r="D3829" s="80"/>
      <c r="E3829" s="80"/>
    </row>
    <row r="3830" spans="2:5" ht="14.25" customHeight="1" x14ac:dyDescent="0.25">
      <c r="B3830" s="103"/>
      <c r="D3830" s="80"/>
      <c r="E3830" s="80"/>
    </row>
    <row r="3831" spans="2:5" ht="14.25" customHeight="1" x14ac:dyDescent="0.25">
      <c r="B3831" s="103"/>
      <c r="D3831" s="80"/>
      <c r="E3831" s="80"/>
    </row>
    <row r="3832" spans="2:5" ht="14.25" customHeight="1" x14ac:dyDescent="0.25">
      <c r="B3832" s="103"/>
      <c r="D3832" s="80"/>
      <c r="E3832" s="80"/>
    </row>
    <row r="3833" spans="2:5" ht="14.25" customHeight="1" x14ac:dyDescent="0.25">
      <c r="B3833" s="103"/>
      <c r="D3833" s="80"/>
      <c r="E3833" s="80"/>
    </row>
    <row r="3834" spans="2:5" ht="14.25" customHeight="1" x14ac:dyDescent="0.25">
      <c r="B3834" s="103"/>
      <c r="D3834" s="80"/>
      <c r="E3834" s="80"/>
    </row>
    <row r="3835" spans="2:5" ht="14.25" customHeight="1" x14ac:dyDescent="0.25">
      <c r="B3835" s="103"/>
      <c r="D3835" s="80"/>
      <c r="E3835" s="80"/>
    </row>
    <row r="3836" spans="2:5" ht="14.25" customHeight="1" x14ac:dyDescent="0.25">
      <c r="B3836" s="103"/>
      <c r="D3836" s="80"/>
      <c r="E3836" s="80"/>
    </row>
    <row r="3837" spans="2:5" ht="14.25" customHeight="1" x14ac:dyDescent="0.25">
      <c r="B3837" s="103"/>
      <c r="D3837" s="80"/>
      <c r="E3837" s="80"/>
    </row>
    <row r="3838" spans="2:5" ht="14.25" customHeight="1" x14ac:dyDescent="0.25">
      <c r="B3838" s="103"/>
      <c r="D3838" s="80"/>
      <c r="E3838" s="80"/>
    </row>
    <row r="3839" spans="2:5" ht="14.25" customHeight="1" x14ac:dyDescent="0.25">
      <c r="B3839" s="103"/>
      <c r="D3839" s="80"/>
      <c r="E3839" s="80"/>
    </row>
    <row r="3840" spans="2:5" ht="14.25" customHeight="1" x14ac:dyDescent="0.25">
      <c r="B3840" s="103"/>
      <c r="D3840" s="80"/>
      <c r="E3840" s="80"/>
    </row>
    <row r="3841" spans="2:5" ht="14.25" customHeight="1" x14ac:dyDescent="0.25">
      <c r="B3841" s="103"/>
      <c r="D3841" s="80"/>
      <c r="E3841" s="80"/>
    </row>
    <row r="3842" spans="2:5" ht="14.25" customHeight="1" x14ac:dyDescent="0.25">
      <c r="B3842" s="103"/>
      <c r="D3842" s="80"/>
      <c r="E3842" s="80"/>
    </row>
    <row r="3843" spans="2:5" ht="14.25" customHeight="1" x14ac:dyDescent="0.25">
      <c r="B3843" s="103"/>
      <c r="D3843" s="80"/>
      <c r="E3843" s="80"/>
    </row>
    <row r="3844" spans="2:5" ht="14.25" customHeight="1" x14ac:dyDescent="0.25">
      <c r="B3844" s="103"/>
      <c r="D3844" s="80"/>
      <c r="E3844" s="80"/>
    </row>
    <row r="3845" spans="2:5" ht="14.25" customHeight="1" x14ac:dyDescent="0.25">
      <c r="B3845" s="103"/>
      <c r="D3845" s="80"/>
      <c r="E3845" s="80"/>
    </row>
    <row r="3846" spans="2:5" ht="14.25" customHeight="1" x14ac:dyDescent="0.25">
      <c r="B3846" s="103"/>
      <c r="D3846" s="80"/>
      <c r="E3846" s="80"/>
    </row>
    <row r="3847" spans="2:5" ht="14.25" customHeight="1" x14ac:dyDescent="0.25">
      <c r="B3847" s="103"/>
      <c r="D3847" s="80"/>
      <c r="E3847" s="80"/>
    </row>
    <row r="3848" spans="2:5" ht="14.25" customHeight="1" x14ac:dyDescent="0.25">
      <c r="B3848" s="103"/>
      <c r="D3848" s="80"/>
      <c r="E3848" s="80"/>
    </row>
    <row r="3849" spans="2:5" ht="14.25" customHeight="1" x14ac:dyDescent="0.25">
      <c r="B3849" s="103"/>
      <c r="D3849" s="80"/>
      <c r="E3849" s="80"/>
    </row>
    <row r="3850" spans="2:5" ht="14.25" customHeight="1" x14ac:dyDescent="0.25">
      <c r="B3850" s="103"/>
      <c r="D3850" s="80"/>
      <c r="E3850" s="80"/>
    </row>
    <row r="3851" spans="2:5" ht="14.25" customHeight="1" x14ac:dyDescent="0.25">
      <c r="B3851" s="103"/>
      <c r="D3851" s="80"/>
      <c r="E3851" s="80"/>
    </row>
    <row r="3852" spans="2:5" ht="14.25" customHeight="1" x14ac:dyDescent="0.25">
      <c r="B3852" s="103"/>
      <c r="D3852" s="80"/>
      <c r="E3852" s="80"/>
    </row>
    <row r="3853" spans="2:5" ht="14.25" customHeight="1" x14ac:dyDescent="0.25">
      <c r="B3853" s="103"/>
      <c r="D3853" s="80"/>
      <c r="E3853" s="80"/>
    </row>
    <row r="3854" spans="2:5" ht="14.25" customHeight="1" x14ac:dyDescent="0.25">
      <c r="B3854" s="103"/>
      <c r="D3854" s="80"/>
      <c r="E3854" s="80"/>
    </row>
    <row r="3855" spans="2:5" ht="14.25" customHeight="1" x14ac:dyDescent="0.25">
      <c r="B3855" s="103"/>
      <c r="D3855" s="80"/>
      <c r="E3855" s="80"/>
    </row>
    <row r="3856" spans="2:5" ht="14.25" customHeight="1" x14ac:dyDescent="0.25">
      <c r="B3856" s="103"/>
      <c r="D3856" s="80"/>
      <c r="E3856" s="80"/>
    </row>
    <row r="3857" spans="2:5" ht="14.25" customHeight="1" x14ac:dyDescent="0.25">
      <c r="B3857" s="103"/>
      <c r="D3857" s="80"/>
      <c r="E3857" s="80"/>
    </row>
    <row r="3858" spans="2:5" ht="14.25" customHeight="1" x14ac:dyDescent="0.25">
      <c r="B3858" s="103"/>
      <c r="D3858" s="80"/>
      <c r="E3858" s="80"/>
    </row>
    <row r="3859" spans="2:5" ht="14.25" customHeight="1" x14ac:dyDescent="0.25">
      <c r="B3859" s="103"/>
      <c r="D3859" s="80"/>
      <c r="E3859" s="80"/>
    </row>
    <row r="3860" spans="2:5" ht="14.25" customHeight="1" x14ac:dyDescent="0.25">
      <c r="B3860" s="103"/>
      <c r="D3860" s="80"/>
      <c r="E3860" s="80"/>
    </row>
    <row r="3861" spans="2:5" ht="14.25" customHeight="1" x14ac:dyDescent="0.25">
      <c r="B3861" s="103"/>
      <c r="D3861" s="80"/>
      <c r="E3861" s="80"/>
    </row>
    <row r="3862" spans="2:5" ht="14.25" customHeight="1" x14ac:dyDescent="0.25">
      <c r="B3862" s="103"/>
      <c r="D3862" s="80"/>
      <c r="E3862" s="80"/>
    </row>
    <row r="3863" spans="2:5" ht="14.25" customHeight="1" x14ac:dyDescent="0.25">
      <c r="B3863" s="103"/>
      <c r="D3863" s="80"/>
      <c r="E3863" s="80"/>
    </row>
    <row r="3864" spans="2:5" ht="14.25" customHeight="1" x14ac:dyDescent="0.25">
      <c r="B3864" s="103"/>
      <c r="D3864" s="80"/>
      <c r="E3864" s="80"/>
    </row>
    <row r="3865" spans="2:5" ht="14.25" customHeight="1" x14ac:dyDescent="0.25">
      <c r="B3865" s="103"/>
      <c r="D3865" s="80"/>
      <c r="E3865" s="80"/>
    </row>
    <row r="3866" spans="2:5" ht="14.25" customHeight="1" x14ac:dyDescent="0.25">
      <c r="B3866" s="103"/>
      <c r="D3866" s="80"/>
      <c r="E3866" s="80"/>
    </row>
    <row r="3867" spans="2:5" ht="14.25" customHeight="1" x14ac:dyDescent="0.25">
      <c r="B3867" s="103"/>
      <c r="D3867" s="80"/>
      <c r="E3867" s="80"/>
    </row>
    <row r="3868" spans="2:5" ht="14.25" customHeight="1" x14ac:dyDescent="0.25">
      <c r="B3868" s="103"/>
      <c r="D3868" s="80"/>
      <c r="E3868" s="80"/>
    </row>
    <row r="3869" spans="2:5" ht="14.25" customHeight="1" x14ac:dyDescent="0.25">
      <c r="B3869" s="103"/>
      <c r="D3869" s="80"/>
      <c r="E3869" s="80"/>
    </row>
    <row r="3870" spans="2:5" ht="14.25" customHeight="1" x14ac:dyDescent="0.25">
      <c r="B3870" s="103"/>
      <c r="D3870" s="80"/>
      <c r="E3870" s="80"/>
    </row>
    <row r="3871" spans="2:5" ht="14.25" customHeight="1" x14ac:dyDescent="0.25">
      <c r="B3871" s="103"/>
      <c r="D3871" s="80"/>
      <c r="E3871" s="80"/>
    </row>
    <row r="3872" spans="2:5" ht="14.25" customHeight="1" x14ac:dyDescent="0.25">
      <c r="B3872" s="103"/>
      <c r="D3872" s="80"/>
      <c r="E3872" s="80"/>
    </row>
    <row r="3873" spans="2:5" ht="14.25" customHeight="1" x14ac:dyDescent="0.25">
      <c r="B3873" s="103"/>
      <c r="D3873" s="80"/>
      <c r="E3873" s="80"/>
    </row>
    <row r="3874" spans="2:5" ht="14.25" customHeight="1" x14ac:dyDescent="0.25">
      <c r="B3874" s="103"/>
      <c r="D3874" s="80"/>
      <c r="E3874" s="80"/>
    </row>
    <row r="3875" spans="2:5" ht="14.25" customHeight="1" x14ac:dyDescent="0.25">
      <c r="B3875" s="103"/>
      <c r="D3875" s="80"/>
      <c r="E3875" s="80"/>
    </row>
    <row r="3876" spans="2:5" ht="14.25" customHeight="1" x14ac:dyDescent="0.25">
      <c r="B3876" s="103"/>
      <c r="D3876" s="80"/>
      <c r="E3876" s="80"/>
    </row>
    <row r="3877" spans="2:5" ht="14.25" customHeight="1" x14ac:dyDescent="0.25">
      <c r="B3877" s="103"/>
      <c r="D3877" s="80"/>
      <c r="E3877" s="80"/>
    </row>
    <row r="3878" spans="2:5" ht="14.25" customHeight="1" x14ac:dyDescent="0.25">
      <c r="B3878" s="103"/>
      <c r="D3878" s="80"/>
      <c r="E3878" s="80"/>
    </row>
    <row r="3879" spans="2:5" ht="14.25" customHeight="1" x14ac:dyDescent="0.25">
      <c r="B3879" s="103"/>
      <c r="D3879" s="80"/>
      <c r="E3879" s="80"/>
    </row>
    <row r="3880" spans="2:5" ht="14.25" customHeight="1" x14ac:dyDescent="0.25">
      <c r="B3880" s="103"/>
      <c r="D3880" s="80"/>
      <c r="E3880" s="80"/>
    </row>
    <row r="3881" spans="2:5" ht="14.25" customHeight="1" x14ac:dyDescent="0.25">
      <c r="B3881" s="103"/>
      <c r="D3881" s="80"/>
      <c r="E3881" s="80"/>
    </row>
    <row r="3882" spans="2:5" ht="14.25" customHeight="1" x14ac:dyDescent="0.25">
      <c r="B3882" s="103"/>
      <c r="D3882" s="80"/>
      <c r="E3882" s="80"/>
    </row>
    <row r="3883" spans="2:5" ht="14.25" customHeight="1" x14ac:dyDescent="0.25">
      <c r="B3883" s="103"/>
      <c r="D3883" s="80"/>
      <c r="E3883" s="80"/>
    </row>
    <row r="3884" spans="2:5" ht="14.25" customHeight="1" x14ac:dyDescent="0.25">
      <c r="B3884" s="103"/>
      <c r="D3884" s="80"/>
      <c r="E3884" s="80"/>
    </row>
    <row r="3885" spans="2:5" ht="14.25" customHeight="1" x14ac:dyDescent="0.25">
      <c r="B3885" s="103"/>
      <c r="D3885" s="80"/>
      <c r="E3885" s="80"/>
    </row>
    <row r="3886" spans="2:5" ht="14.25" customHeight="1" x14ac:dyDescent="0.25">
      <c r="B3886" s="103"/>
      <c r="D3886" s="80"/>
      <c r="E3886" s="80"/>
    </row>
    <row r="3887" spans="2:5" ht="14.25" customHeight="1" x14ac:dyDescent="0.25">
      <c r="B3887" s="103"/>
      <c r="D3887" s="80"/>
      <c r="E3887" s="80"/>
    </row>
    <row r="3888" spans="2:5" ht="14.25" customHeight="1" x14ac:dyDescent="0.25">
      <c r="B3888" s="103"/>
      <c r="D3888" s="80"/>
      <c r="E3888" s="80"/>
    </row>
    <row r="3889" spans="2:5" ht="14.25" customHeight="1" x14ac:dyDescent="0.25">
      <c r="B3889" s="103"/>
      <c r="D3889" s="80"/>
      <c r="E3889" s="80"/>
    </row>
    <row r="3890" spans="2:5" ht="14.25" customHeight="1" x14ac:dyDescent="0.25">
      <c r="B3890" s="103"/>
      <c r="D3890" s="80"/>
      <c r="E3890" s="80"/>
    </row>
    <row r="3891" spans="2:5" ht="14.25" customHeight="1" x14ac:dyDescent="0.25">
      <c r="B3891" s="103"/>
      <c r="D3891" s="80"/>
      <c r="E3891" s="80"/>
    </row>
    <row r="3892" spans="2:5" ht="14.25" customHeight="1" x14ac:dyDescent="0.25">
      <c r="B3892" s="103"/>
      <c r="D3892" s="80"/>
      <c r="E3892" s="80"/>
    </row>
    <row r="3893" spans="2:5" ht="14.25" customHeight="1" x14ac:dyDescent="0.25">
      <c r="B3893" s="103"/>
      <c r="D3893" s="80"/>
      <c r="E3893" s="80"/>
    </row>
    <row r="3894" spans="2:5" ht="14.25" customHeight="1" x14ac:dyDescent="0.25">
      <c r="B3894" s="103"/>
      <c r="D3894" s="80"/>
      <c r="E3894" s="80"/>
    </row>
    <row r="3895" spans="2:5" ht="14.25" customHeight="1" x14ac:dyDescent="0.25">
      <c r="B3895" s="103"/>
      <c r="D3895" s="80"/>
      <c r="E3895" s="80"/>
    </row>
    <row r="3896" spans="2:5" ht="14.25" customHeight="1" x14ac:dyDescent="0.25">
      <c r="B3896" s="103"/>
      <c r="D3896" s="80"/>
      <c r="E3896" s="80"/>
    </row>
    <row r="3897" spans="2:5" ht="14.25" customHeight="1" x14ac:dyDescent="0.25">
      <c r="B3897" s="103"/>
      <c r="D3897" s="80"/>
      <c r="E3897" s="80"/>
    </row>
    <row r="3898" spans="2:5" ht="14.25" customHeight="1" x14ac:dyDescent="0.25">
      <c r="B3898" s="103"/>
      <c r="D3898" s="80"/>
      <c r="E3898" s="80"/>
    </row>
    <row r="3899" spans="2:5" ht="14.25" customHeight="1" x14ac:dyDescent="0.25">
      <c r="B3899" s="103"/>
      <c r="D3899" s="80"/>
      <c r="E3899" s="80"/>
    </row>
    <row r="3900" spans="2:5" ht="14.25" customHeight="1" x14ac:dyDescent="0.25">
      <c r="B3900" s="103"/>
      <c r="D3900" s="80"/>
      <c r="E3900" s="80"/>
    </row>
    <row r="3901" spans="2:5" ht="14.25" customHeight="1" x14ac:dyDescent="0.25">
      <c r="B3901" s="103"/>
      <c r="D3901" s="80"/>
      <c r="E3901" s="80"/>
    </row>
    <row r="3902" spans="2:5" ht="14.25" customHeight="1" x14ac:dyDescent="0.25">
      <c r="B3902" s="103"/>
      <c r="D3902" s="80"/>
      <c r="E3902" s="80"/>
    </row>
    <row r="3903" spans="2:5" ht="14.25" customHeight="1" x14ac:dyDescent="0.25">
      <c r="B3903" s="103"/>
      <c r="D3903" s="80"/>
      <c r="E3903" s="80"/>
    </row>
    <row r="3904" spans="2:5" ht="14.25" customHeight="1" x14ac:dyDescent="0.25">
      <c r="B3904" s="103"/>
      <c r="D3904" s="80"/>
      <c r="E3904" s="80"/>
    </row>
    <row r="3905" spans="2:5" ht="14.25" customHeight="1" x14ac:dyDescent="0.25">
      <c r="B3905" s="103"/>
      <c r="D3905" s="80"/>
      <c r="E3905" s="80"/>
    </row>
    <row r="3906" spans="2:5" ht="14.25" customHeight="1" x14ac:dyDescent="0.25">
      <c r="B3906" s="103"/>
      <c r="D3906" s="80"/>
      <c r="E3906" s="80"/>
    </row>
    <row r="3907" spans="2:5" ht="14.25" customHeight="1" x14ac:dyDescent="0.25">
      <c r="B3907" s="103"/>
      <c r="D3907" s="80"/>
      <c r="E3907" s="80"/>
    </row>
    <row r="3908" spans="2:5" ht="14.25" customHeight="1" x14ac:dyDescent="0.25">
      <c r="B3908" s="103"/>
      <c r="D3908" s="80"/>
      <c r="E3908" s="80"/>
    </row>
    <row r="3909" spans="2:5" ht="14.25" customHeight="1" x14ac:dyDescent="0.25">
      <c r="B3909" s="103"/>
      <c r="D3909" s="80"/>
      <c r="E3909" s="80"/>
    </row>
    <row r="3910" spans="2:5" ht="14.25" customHeight="1" x14ac:dyDescent="0.25">
      <c r="B3910" s="103"/>
      <c r="D3910" s="80"/>
      <c r="E3910" s="80"/>
    </row>
    <row r="3911" spans="2:5" ht="14.25" customHeight="1" x14ac:dyDescent="0.25">
      <c r="B3911" s="103"/>
      <c r="D3911" s="80"/>
      <c r="E3911" s="80"/>
    </row>
    <row r="3912" spans="2:5" ht="14.25" customHeight="1" x14ac:dyDescent="0.25">
      <c r="B3912" s="103"/>
      <c r="D3912" s="80"/>
      <c r="E3912" s="80"/>
    </row>
    <row r="3913" spans="2:5" ht="14.25" customHeight="1" x14ac:dyDescent="0.25">
      <c r="B3913" s="103"/>
      <c r="D3913" s="80"/>
      <c r="E3913" s="80"/>
    </row>
    <row r="3914" spans="2:5" ht="14.25" customHeight="1" x14ac:dyDescent="0.25">
      <c r="B3914" s="103"/>
      <c r="D3914" s="80"/>
      <c r="E3914" s="80"/>
    </row>
    <row r="3915" spans="2:5" ht="14.25" customHeight="1" x14ac:dyDescent="0.25">
      <c r="B3915" s="103"/>
      <c r="D3915" s="80"/>
      <c r="E3915" s="80"/>
    </row>
    <row r="3916" spans="2:5" ht="14.25" customHeight="1" x14ac:dyDescent="0.25">
      <c r="B3916" s="103"/>
      <c r="D3916" s="80"/>
      <c r="E3916" s="80"/>
    </row>
    <row r="3917" spans="2:5" ht="14.25" customHeight="1" x14ac:dyDescent="0.25">
      <c r="B3917" s="103"/>
      <c r="D3917" s="80"/>
      <c r="E3917" s="80"/>
    </row>
    <row r="3918" spans="2:5" ht="14.25" customHeight="1" x14ac:dyDescent="0.25">
      <c r="B3918" s="103"/>
      <c r="D3918" s="80"/>
      <c r="E3918" s="80"/>
    </row>
    <row r="3919" spans="2:5" ht="14.25" customHeight="1" x14ac:dyDescent="0.25">
      <c r="B3919" s="103"/>
      <c r="D3919" s="80"/>
      <c r="E3919" s="80"/>
    </row>
    <row r="3920" spans="2:5" ht="14.25" customHeight="1" x14ac:dyDescent="0.25">
      <c r="B3920" s="103"/>
      <c r="D3920" s="80"/>
      <c r="E3920" s="80"/>
    </row>
    <row r="3921" spans="2:5" ht="14.25" customHeight="1" x14ac:dyDescent="0.25">
      <c r="B3921" s="103"/>
      <c r="D3921" s="80"/>
      <c r="E3921" s="80"/>
    </row>
    <row r="3922" spans="2:5" ht="14.25" customHeight="1" x14ac:dyDescent="0.25">
      <c r="B3922" s="103"/>
      <c r="D3922" s="80"/>
      <c r="E3922" s="80"/>
    </row>
    <row r="3923" spans="2:5" ht="14.25" customHeight="1" x14ac:dyDescent="0.25">
      <c r="B3923" s="103"/>
      <c r="D3923" s="80"/>
      <c r="E3923" s="80"/>
    </row>
    <row r="3924" spans="2:5" ht="14.25" customHeight="1" x14ac:dyDescent="0.25">
      <c r="B3924" s="103"/>
      <c r="D3924" s="80"/>
      <c r="E3924" s="80"/>
    </row>
    <row r="3925" spans="2:5" ht="14.25" customHeight="1" x14ac:dyDescent="0.25">
      <c r="B3925" s="103"/>
      <c r="D3925" s="80"/>
      <c r="E3925" s="80"/>
    </row>
    <row r="3926" spans="2:5" ht="14.25" customHeight="1" x14ac:dyDescent="0.25">
      <c r="B3926" s="103"/>
      <c r="D3926" s="80"/>
      <c r="E3926" s="80"/>
    </row>
    <row r="3927" spans="2:5" ht="14.25" customHeight="1" x14ac:dyDescent="0.25">
      <c r="B3927" s="103"/>
      <c r="D3927" s="80"/>
      <c r="E3927" s="80"/>
    </row>
    <row r="3928" spans="2:5" ht="14.25" customHeight="1" x14ac:dyDescent="0.25">
      <c r="B3928" s="103"/>
      <c r="D3928" s="80"/>
      <c r="E3928" s="80"/>
    </row>
    <row r="3929" spans="2:5" ht="14.25" customHeight="1" x14ac:dyDescent="0.25">
      <c r="B3929" s="103"/>
      <c r="D3929" s="80"/>
      <c r="E3929" s="80"/>
    </row>
    <row r="3930" spans="2:5" ht="14.25" customHeight="1" x14ac:dyDescent="0.25">
      <c r="B3930" s="103"/>
      <c r="D3930" s="80"/>
      <c r="E3930" s="80"/>
    </row>
    <row r="3931" spans="2:5" ht="14.25" customHeight="1" x14ac:dyDescent="0.25">
      <c r="B3931" s="103"/>
      <c r="D3931" s="80"/>
      <c r="E3931" s="80"/>
    </row>
    <row r="3932" spans="2:5" ht="14.25" customHeight="1" x14ac:dyDescent="0.25">
      <c r="B3932" s="103"/>
      <c r="D3932" s="80"/>
      <c r="E3932" s="80"/>
    </row>
    <row r="3933" spans="2:5" ht="14.25" customHeight="1" x14ac:dyDescent="0.25">
      <c r="B3933" s="103"/>
      <c r="D3933" s="80"/>
      <c r="E3933" s="80"/>
    </row>
    <row r="3934" spans="2:5" ht="14.25" customHeight="1" x14ac:dyDescent="0.25">
      <c r="B3934" s="103"/>
      <c r="D3934" s="80"/>
      <c r="E3934" s="80"/>
    </row>
    <row r="3935" spans="2:5" ht="14.25" customHeight="1" x14ac:dyDescent="0.25">
      <c r="B3935" s="103"/>
      <c r="D3935" s="80"/>
      <c r="E3935" s="80"/>
    </row>
    <row r="3936" spans="2:5" ht="14.25" customHeight="1" x14ac:dyDescent="0.25">
      <c r="B3936" s="103"/>
      <c r="D3936" s="80"/>
      <c r="E3936" s="80"/>
    </row>
    <row r="3937" spans="2:5" ht="14.25" customHeight="1" x14ac:dyDescent="0.25">
      <c r="B3937" s="103"/>
      <c r="D3937" s="80"/>
      <c r="E3937" s="80"/>
    </row>
    <row r="3938" spans="2:5" ht="14.25" customHeight="1" x14ac:dyDescent="0.25">
      <c r="B3938" s="103"/>
      <c r="D3938" s="80"/>
      <c r="E3938" s="80"/>
    </row>
    <row r="3939" spans="2:5" ht="14.25" customHeight="1" x14ac:dyDescent="0.25">
      <c r="B3939" s="103"/>
      <c r="D3939" s="80"/>
      <c r="E3939" s="80"/>
    </row>
    <row r="3940" spans="2:5" ht="14.25" customHeight="1" x14ac:dyDescent="0.25">
      <c r="B3940" s="103"/>
      <c r="D3940" s="80"/>
      <c r="E3940" s="80"/>
    </row>
    <row r="3941" spans="2:5" ht="14.25" customHeight="1" x14ac:dyDescent="0.25">
      <c r="B3941" s="103"/>
      <c r="D3941" s="80"/>
      <c r="E3941" s="80"/>
    </row>
    <row r="3942" spans="2:5" ht="14.25" customHeight="1" x14ac:dyDescent="0.25">
      <c r="B3942" s="103"/>
      <c r="D3942" s="80"/>
      <c r="E3942" s="80"/>
    </row>
    <row r="3943" spans="2:5" ht="14.25" customHeight="1" x14ac:dyDescent="0.25">
      <c r="B3943" s="103"/>
      <c r="D3943" s="80"/>
      <c r="E3943" s="80"/>
    </row>
    <row r="3944" spans="2:5" ht="14.25" customHeight="1" x14ac:dyDescent="0.25">
      <c r="B3944" s="103"/>
      <c r="D3944" s="80"/>
      <c r="E3944" s="80"/>
    </row>
    <row r="3945" spans="2:5" ht="14.25" customHeight="1" x14ac:dyDescent="0.25">
      <c r="B3945" s="103"/>
      <c r="D3945" s="80"/>
      <c r="E3945" s="80"/>
    </row>
    <row r="3946" spans="2:5" ht="14.25" customHeight="1" x14ac:dyDescent="0.25">
      <c r="B3946" s="103"/>
      <c r="D3946" s="80"/>
      <c r="E3946" s="80"/>
    </row>
    <row r="3947" spans="2:5" ht="14.25" customHeight="1" x14ac:dyDescent="0.25">
      <c r="B3947" s="103"/>
      <c r="D3947" s="80"/>
      <c r="E3947" s="80"/>
    </row>
    <row r="3948" spans="2:5" ht="14.25" customHeight="1" x14ac:dyDescent="0.25">
      <c r="B3948" s="103"/>
      <c r="D3948" s="80"/>
      <c r="E3948" s="80"/>
    </row>
    <row r="3949" spans="2:5" ht="14.25" customHeight="1" x14ac:dyDescent="0.25">
      <c r="B3949" s="103"/>
      <c r="D3949" s="80"/>
      <c r="E3949" s="80"/>
    </row>
    <row r="3950" spans="2:5" ht="14.25" customHeight="1" x14ac:dyDescent="0.25">
      <c r="B3950" s="103"/>
      <c r="D3950" s="80"/>
      <c r="E3950" s="80"/>
    </row>
    <row r="3951" spans="2:5" ht="14.25" customHeight="1" x14ac:dyDescent="0.25">
      <c r="B3951" s="103"/>
      <c r="D3951" s="80"/>
      <c r="E3951" s="80"/>
    </row>
    <row r="3952" spans="2:5" ht="14.25" customHeight="1" x14ac:dyDescent="0.25">
      <c r="B3952" s="103"/>
      <c r="D3952" s="80"/>
      <c r="E3952" s="80"/>
    </row>
    <row r="3953" spans="2:5" ht="14.25" customHeight="1" x14ac:dyDescent="0.25">
      <c r="B3953" s="103"/>
      <c r="D3953" s="80"/>
      <c r="E3953" s="80"/>
    </row>
    <row r="3954" spans="2:5" ht="14.25" customHeight="1" x14ac:dyDescent="0.25">
      <c r="B3954" s="103"/>
      <c r="D3954" s="80"/>
      <c r="E3954" s="80"/>
    </row>
    <row r="3955" spans="2:5" ht="14.25" customHeight="1" x14ac:dyDescent="0.25">
      <c r="B3955" s="103"/>
      <c r="D3955" s="80"/>
      <c r="E3955" s="80"/>
    </row>
    <row r="3956" spans="2:5" ht="14.25" customHeight="1" x14ac:dyDescent="0.25">
      <c r="B3956" s="103"/>
      <c r="D3956" s="80"/>
      <c r="E3956" s="80"/>
    </row>
    <row r="3957" spans="2:5" ht="14.25" customHeight="1" x14ac:dyDescent="0.25">
      <c r="B3957" s="103"/>
      <c r="D3957" s="80"/>
      <c r="E3957" s="80"/>
    </row>
    <row r="3958" spans="2:5" ht="14.25" customHeight="1" x14ac:dyDescent="0.25">
      <c r="B3958" s="103"/>
      <c r="D3958" s="80"/>
      <c r="E3958" s="80"/>
    </row>
    <row r="3959" spans="2:5" ht="14.25" customHeight="1" x14ac:dyDescent="0.25">
      <c r="B3959" s="103"/>
      <c r="D3959" s="80"/>
      <c r="E3959" s="80"/>
    </row>
    <row r="3960" spans="2:5" ht="14.25" customHeight="1" x14ac:dyDescent="0.25">
      <c r="B3960" s="103"/>
      <c r="D3960" s="80"/>
      <c r="E3960" s="80"/>
    </row>
    <row r="3961" spans="2:5" ht="14.25" customHeight="1" x14ac:dyDescent="0.25">
      <c r="B3961" s="103"/>
      <c r="D3961" s="80"/>
      <c r="E3961" s="80"/>
    </row>
    <row r="3962" spans="2:5" ht="14.25" customHeight="1" x14ac:dyDescent="0.25">
      <c r="B3962" s="103"/>
      <c r="D3962" s="80"/>
      <c r="E3962" s="80"/>
    </row>
    <row r="3963" spans="2:5" ht="14.25" customHeight="1" x14ac:dyDescent="0.25">
      <c r="B3963" s="103"/>
      <c r="D3963" s="80"/>
      <c r="E3963" s="80"/>
    </row>
    <row r="3964" spans="2:5" ht="14.25" customHeight="1" x14ac:dyDescent="0.25">
      <c r="B3964" s="103"/>
      <c r="D3964" s="80"/>
      <c r="E3964" s="80"/>
    </row>
    <row r="3965" spans="2:5" ht="14.25" customHeight="1" x14ac:dyDescent="0.25">
      <c r="B3965" s="103"/>
      <c r="D3965" s="80"/>
      <c r="E3965" s="80"/>
    </row>
    <row r="3966" spans="2:5" ht="14.25" customHeight="1" x14ac:dyDescent="0.25">
      <c r="B3966" s="103"/>
      <c r="D3966" s="80"/>
      <c r="E3966" s="80"/>
    </row>
    <row r="3967" spans="2:5" ht="14.25" customHeight="1" x14ac:dyDescent="0.25">
      <c r="B3967" s="103"/>
      <c r="D3967" s="80"/>
      <c r="E3967" s="80"/>
    </row>
    <row r="3968" spans="2:5" ht="14.25" customHeight="1" x14ac:dyDescent="0.25">
      <c r="B3968" s="103"/>
      <c r="D3968" s="80"/>
      <c r="E3968" s="80"/>
    </row>
    <row r="3969" spans="2:5" ht="14.25" customHeight="1" x14ac:dyDescent="0.25">
      <c r="B3969" s="103"/>
      <c r="D3969" s="80"/>
      <c r="E3969" s="80"/>
    </row>
    <row r="3970" spans="2:5" ht="14.25" customHeight="1" x14ac:dyDescent="0.25">
      <c r="B3970" s="103"/>
      <c r="D3970" s="80"/>
      <c r="E3970" s="80"/>
    </row>
    <row r="3971" spans="2:5" ht="14.25" customHeight="1" x14ac:dyDescent="0.25">
      <c r="B3971" s="103"/>
      <c r="D3971" s="80"/>
      <c r="E3971" s="80"/>
    </row>
    <row r="3972" spans="2:5" ht="14.25" customHeight="1" x14ac:dyDescent="0.25">
      <c r="B3972" s="103"/>
      <c r="D3972" s="80"/>
      <c r="E3972" s="80"/>
    </row>
    <row r="3973" spans="2:5" ht="14.25" customHeight="1" x14ac:dyDescent="0.25">
      <c r="B3973" s="103"/>
      <c r="D3973" s="80"/>
      <c r="E3973" s="80"/>
    </row>
    <row r="3974" spans="2:5" ht="14.25" customHeight="1" x14ac:dyDescent="0.25">
      <c r="B3974" s="103"/>
      <c r="D3974" s="80"/>
      <c r="E3974" s="80"/>
    </row>
    <row r="3975" spans="2:5" ht="14.25" customHeight="1" x14ac:dyDescent="0.25">
      <c r="B3975" s="103"/>
      <c r="D3975" s="80"/>
      <c r="E3975" s="80"/>
    </row>
    <row r="3976" spans="2:5" ht="14.25" customHeight="1" x14ac:dyDescent="0.25">
      <c r="B3976" s="103"/>
      <c r="D3976" s="80"/>
      <c r="E3976" s="80"/>
    </row>
    <row r="3977" spans="2:5" ht="14.25" customHeight="1" x14ac:dyDescent="0.25">
      <c r="B3977" s="103"/>
      <c r="D3977" s="80"/>
      <c r="E3977" s="80"/>
    </row>
    <row r="3978" spans="2:5" ht="14.25" customHeight="1" x14ac:dyDescent="0.25">
      <c r="B3978" s="103"/>
      <c r="D3978" s="80"/>
      <c r="E3978" s="80"/>
    </row>
    <row r="3979" spans="2:5" ht="14.25" customHeight="1" x14ac:dyDescent="0.25">
      <c r="B3979" s="103"/>
      <c r="D3979" s="80"/>
      <c r="E3979" s="80"/>
    </row>
    <row r="3980" spans="2:5" ht="14.25" customHeight="1" x14ac:dyDescent="0.25">
      <c r="B3980" s="103"/>
      <c r="D3980" s="80"/>
      <c r="E3980" s="80"/>
    </row>
    <row r="3981" spans="2:5" ht="14.25" customHeight="1" x14ac:dyDescent="0.25">
      <c r="B3981" s="103"/>
      <c r="D3981" s="80"/>
      <c r="E3981" s="80"/>
    </row>
    <row r="3982" spans="2:5" ht="14.25" customHeight="1" x14ac:dyDescent="0.25">
      <c r="B3982" s="103"/>
      <c r="D3982" s="80"/>
      <c r="E3982" s="80"/>
    </row>
    <row r="3983" spans="2:5" ht="14.25" customHeight="1" x14ac:dyDescent="0.25">
      <c r="B3983" s="103"/>
      <c r="D3983" s="80"/>
      <c r="E3983" s="80"/>
    </row>
    <row r="3984" spans="2:5" ht="14.25" customHeight="1" x14ac:dyDescent="0.25">
      <c r="B3984" s="103"/>
      <c r="D3984" s="80"/>
      <c r="E3984" s="80"/>
    </row>
    <row r="3985" spans="2:5" ht="14.25" customHeight="1" x14ac:dyDescent="0.25">
      <c r="B3985" s="103"/>
      <c r="D3985" s="80"/>
      <c r="E3985" s="80"/>
    </row>
    <row r="3986" spans="2:5" ht="14.25" customHeight="1" x14ac:dyDescent="0.25">
      <c r="B3986" s="103"/>
      <c r="D3986" s="80"/>
      <c r="E3986" s="80"/>
    </row>
    <row r="3987" spans="2:5" ht="14.25" customHeight="1" x14ac:dyDescent="0.25">
      <c r="B3987" s="103"/>
      <c r="D3987" s="80"/>
      <c r="E3987" s="80"/>
    </row>
    <row r="3988" spans="2:5" ht="14.25" customHeight="1" x14ac:dyDescent="0.25">
      <c r="B3988" s="103"/>
      <c r="D3988" s="80"/>
      <c r="E3988" s="80"/>
    </row>
    <row r="3989" spans="2:5" ht="14.25" customHeight="1" x14ac:dyDescent="0.25">
      <c r="B3989" s="103"/>
      <c r="D3989" s="80"/>
      <c r="E3989" s="80"/>
    </row>
    <row r="3990" spans="2:5" ht="14.25" customHeight="1" x14ac:dyDescent="0.25">
      <c r="B3990" s="103"/>
      <c r="D3990" s="80"/>
      <c r="E3990" s="80"/>
    </row>
    <row r="3991" spans="2:5" ht="14.25" customHeight="1" x14ac:dyDescent="0.25">
      <c r="B3991" s="103"/>
      <c r="D3991" s="80"/>
      <c r="E3991" s="80"/>
    </row>
    <row r="3992" spans="2:5" ht="14.25" customHeight="1" x14ac:dyDescent="0.25">
      <c r="B3992" s="103"/>
      <c r="D3992" s="80"/>
      <c r="E3992" s="80"/>
    </row>
    <row r="3993" spans="2:5" ht="14.25" customHeight="1" x14ac:dyDescent="0.25">
      <c r="B3993" s="103"/>
      <c r="D3993" s="80"/>
      <c r="E3993" s="80"/>
    </row>
    <row r="3994" spans="2:5" ht="14.25" customHeight="1" x14ac:dyDescent="0.25">
      <c r="B3994" s="103"/>
      <c r="D3994" s="80"/>
      <c r="E3994" s="80"/>
    </row>
    <row r="3995" spans="2:5" ht="14.25" customHeight="1" x14ac:dyDescent="0.25">
      <c r="B3995" s="103"/>
      <c r="D3995" s="80"/>
      <c r="E3995" s="80"/>
    </row>
    <row r="3996" spans="2:5" ht="14.25" customHeight="1" x14ac:dyDescent="0.25">
      <c r="B3996" s="103"/>
      <c r="D3996" s="80"/>
      <c r="E3996" s="80"/>
    </row>
    <row r="3997" spans="2:5" ht="14.25" customHeight="1" x14ac:dyDescent="0.25">
      <c r="B3997" s="103"/>
      <c r="D3997" s="80"/>
      <c r="E3997" s="80"/>
    </row>
    <row r="3998" spans="2:5" ht="14.25" customHeight="1" x14ac:dyDescent="0.25">
      <c r="B3998" s="103"/>
      <c r="D3998" s="80"/>
      <c r="E3998" s="80"/>
    </row>
    <row r="3999" spans="2:5" ht="14.25" customHeight="1" x14ac:dyDescent="0.25">
      <c r="B3999" s="103"/>
      <c r="D3999" s="80"/>
      <c r="E3999" s="80"/>
    </row>
    <row r="4000" spans="2:5" ht="14.25" customHeight="1" x14ac:dyDescent="0.25">
      <c r="B4000" s="103"/>
      <c r="D4000" s="80"/>
      <c r="E4000" s="80"/>
    </row>
    <row r="4001" spans="2:5" ht="14.25" customHeight="1" x14ac:dyDescent="0.25">
      <c r="B4001" s="103"/>
      <c r="D4001" s="80"/>
      <c r="E4001" s="80"/>
    </row>
    <row r="4002" spans="2:5" ht="14.25" customHeight="1" x14ac:dyDescent="0.25">
      <c r="B4002" s="103"/>
      <c r="D4002" s="80"/>
      <c r="E4002" s="80"/>
    </row>
    <row r="4003" spans="2:5" ht="14.25" customHeight="1" x14ac:dyDescent="0.25">
      <c r="B4003" s="103"/>
      <c r="D4003" s="80"/>
      <c r="E4003" s="80"/>
    </row>
    <row r="4004" spans="2:5" ht="14.25" customHeight="1" x14ac:dyDescent="0.25">
      <c r="B4004" s="103"/>
      <c r="D4004" s="80"/>
      <c r="E4004" s="80"/>
    </row>
    <row r="4005" spans="2:5" ht="14.25" customHeight="1" x14ac:dyDescent="0.25">
      <c r="B4005" s="103"/>
      <c r="D4005" s="80"/>
      <c r="E4005" s="80"/>
    </row>
    <row r="4006" spans="2:5" ht="14.25" customHeight="1" x14ac:dyDescent="0.25">
      <c r="B4006" s="103"/>
      <c r="D4006" s="80"/>
      <c r="E4006" s="80"/>
    </row>
    <row r="4007" spans="2:5" ht="14.25" customHeight="1" x14ac:dyDescent="0.25">
      <c r="B4007" s="103"/>
      <c r="D4007" s="80"/>
      <c r="E4007" s="80"/>
    </row>
    <row r="4008" spans="2:5" ht="14.25" customHeight="1" x14ac:dyDescent="0.25">
      <c r="B4008" s="103"/>
      <c r="D4008" s="80"/>
      <c r="E4008" s="80"/>
    </row>
    <row r="4009" spans="2:5" ht="14.25" customHeight="1" x14ac:dyDescent="0.25">
      <c r="B4009" s="103"/>
      <c r="D4009" s="80"/>
      <c r="E4009" s="80"/>
    </row>
    <row r="4010" spans="2:5" ht="14.25" customHeight="1" x14ac:dyDescent="0.25">
      <c r="B4010" s="103"/>
      <c r="D4010" s="80"/>
      <c r="E4010" s="80"/>
    </row>
    <row r="4011" spans="2:5" ht="14.25" customHeight="1" x14ac:dyDescent="0.25">
      <c r="B4011" s="103"/>
      <c r="D4011" s="80"/>
      <c r="E4011" s="80"/>
    </row>
    <row r="4012" spans="2:5" ht="14.25" customHeight="1" x14ac:dyDescent="0.25">
      <c r="B4012" s="103"/>
      <c r="D4012" s="80"/>
      <c r="E4012" s="80"/>
    </row>
    <row r="4013" spans="2:5" ht="14.25" customHeight="1" x14ac:dyDescent="0.25">
      <c r="B4013" s="103"/>
      <c r="D4013" s="80"/>
      <c r="E4013" s="80"/>
    </row>
    <row r="4014" spans="2:5" ht="14.25" customHeight="1" x14ac:dyDescent="0.25">
      <c r="B4014" s="103"/>
      <c r="D4014" s="80"/>
      <c r="E4014" s="80"/>
    </row>
    <row r="4015" spans="2:5" ht="14.25" customHeight="1" x14ac:dyDescent="0.25">
      <c r="B4015" s="103"/>
      <c r="D4015" s="80"/>
      <c r="E4015" s="80"/>
    </row>
    <row r="4016" spans="2:5" ht="14.25" customHeight="1" x14ac:dyDescent="0.25">
      <c r="B4016" s="103"/>
      <c r="D4016" s="80"/>
      <c r="E4016" s="80"/>
    </row>
    <row r="4017" spans="2:5" ht="14.25" customHeight="1" x14ac:dyDescent="0.25">
      <c r="B4017" s="103"/>
      <c r="D4017" s="80"/>
      <c r="E4017" s="80"/>
    </row>
    <row r="4018" spans="2:5" ht="14.25" customHeight="1" x14ac:dyDescent="0.25">
      <c r="B4018" s="103"/>
      <c r="D4018" s="80"/>
      <c r="E4018" s="80"/>
    </row>
    <row r="4019" spans="2:5" ht="14.25" customHeight="1" x14ac:dyDescent="0.25">
      <c r="B4019" s="103"/>
      <c r="D4019" s="80"/>
      <c r="E4019" s="80"/>
    </row>
    <row r="4020" spans="2:5" ht="14.25" customHeight="1" x14ac:dyDescent="0.25">
      <c r="B4020" s="103"/>
      <c r="D4020" s="80"/>
      <c r="E4020" s="80"/>
    </row>
    <row r="4021" spans="2:5" ht="14.25" customHeight="1" x14ac:dyDescent="0.25">
      <c r="B4021" s="103"/>
      <c r="D4021" s="80"/>
      <c r="E4021" s="80"/>
    </row>
    <row r="4022" spans="2:5" ht="14.25" customHeight="1" x14ac:dyDescent="0.25">
      <c r="B4022" s="103"/>
      <c r="D4022" s="80"/>
      <c r="E4022" s="80"/>
    </row>
    <row r="4023" spans="2:5" ht="14.25" customHeight="1" x14ac:dyDescent="0.25">
      <c r="B4023" s="103"/>
      <c r="D4023" s="80"/>
      <c r="E4023" s="80"/>
    </row>
    <row r="4024" spans="2:5" ht="14.25" customHeight="1" x14ac:dyDescent="0.25">
      <c r="B4024" s="103"/>
      <c r="D4024" s="80"/>
      <c r="E4024" s="80"/>
    </row>
    <row r="4025" spans="2:5" ht="14.25" customHeight="1" x14ac:dyDescent="0.25">
      <c r="B4025" s="103"/>
      <c r="D4025" s="80"/>
      <c r="E4025" s="80"/>
    </row>
    <row r="4026" spans="2:5" ht="14.25" customHeight="1" x14ac:dyDescent="0.25">
      <c r="B4026" s="103"/>
      <c r="D4026" s="80"/>
      <c r="E4026" s="80"/>
    </row>
    <row r="4027" spans="2:5" ht="14.25" customHeight="1" x14ac:dyDescent="0.25">
      <c r="B4027" s="103"/>
      <c r="D4027" s="80"/>
      <c r="E4027" s="80"/>
    </row>
    <row r="4028" spans="2:5" ht="14.25" customHeight="1" x14ac:dyDescent="0.25">
      <c r="B4028" s="103"/>
      <c r="D4028" s="80"/>
      <c r="E4028" s="80"/>
    </row>
    <row r="4029" spans="2:5" ht="14.25" customHeight="1" x14ac:dyDescent="0.25">
      <c r="B4029" s="103"/>
      <c r="D4029" s="80"/>
      <c r="E4029" s="80"/>
    </row>
    <row r="4030" spans="2:5" ht="14.25" customHeight="1" x14ac:dyDescent="0.25">
      <c r="B4030" s="103"/>
      <c r="D4030" s="80"/>
      <c r="E4030" s="80"/>
    </row>
    <row r="4031" spans="2:5" ht="14.25" customHeight="1" x14ac:dyDescent="0.25">
      <c r="B4031" s="103"/>
      <c r="D4031" s="80"/>
      <c r="E4031" s="80"/>
    </row>
    <row r="4032" spans="2:5" ht="14.25" customHeight="1" x14ac:dyDescent="0.25">
      <c r="B4032" s="103"/>
      <c r="D4032" s="80"/>
      <c r="E4032" s="80"/>
    </row>
    <row r="4033" spans="2:5" ht="14.25" customHeight="1" x14ac:dyDescent="0.25">
      <c r="B4033" s="103"/>
      <c r="D4033" s="80"/>
      <c r="E4033" s="80"/>
    </row>
    <row r="4034" spans="2:5" ht="14.25" customHeight="1" x14ac:dyDescent="0.25">
      <c r="B4034" s="103"/>
      <c r="D4034" s="80"/>
      <c r="E4034" s="80"/>
    </row>
    <row r="4035" spans="2:5" ht="14.25" customHeight="1" x14ac:dyDescent="0.25">
      <c r="B4035" s="103"/>
      <c r="D4035" s="80"/>
      <c r="E4035" s="80"/>
    </row>
    <row r="4036" spans="2:5" ht="14.25" customHeight="1" x14ac:dyDescent="0.25">
      <c r="B4036" s="103"/>
      <c r="D4036" s="80"/>
      <c r="E4036" s="80"/>
    </row>
    <row r="4037" spans="2:5" ht="14.25" customHeight="1" x14ac:dyDescent="0.25">
      <c r="B4037" s="103"/>
      <c r="D4037" s="80"/>
      <c r="E4037" s="80"/>
    </row>
    <row r="4038" spans="2:5" ht="14.25" customHeight="1" x14ac:dyDescent="0.25">
      <c r="B4038" s="103"/>
      <c r="D4038" s="80"/>
      <c r="E4038" s="80"/>
    </row>
    <row r="4039" spans="2:5" ht="14.25" customHeight="1" x14ac:dyDescent="0.25">
      <c r="B4039" s="103"/>
      <c r="D4039" s="80"/>
      <c r="E4039" s="80"/>
    </row>
    <row r="4040" spans="2:5" ht="14.25" customHeight="1" x14ac:dyDescent="0.25">
      <c r="B4040" s="103"/>
      <c r="D4040" s="80"/>
      <c r="E4040" s="80"/>
    </row>
    <row r="4041" spans="2:5" ht="14.25" customHeight="1" x14ac:dyDescent="0.25">
      <c r="B4041" s="103"/>
      <c r="D4041" s="80"/>
      <c r="E4041" s="80"/>
    </row>
    <row r="4042" spans="2:5" ht="14.25" customHeight="1" x14ac:dyDescent="0.25">
      <c r="B4042" s="103"/>
      <c r="D4042" s="80"/>
      <c r="E4042" s="80"/>
    </row>
    <row r="4043" spans="2:5" ht="14.25" customHeight="1" x14ac:dyDescent="0.25">
      <c r="B4043" s="103"/>
      <c r="D4043" s="80"/>
      <c r="E4043" s="80"/>
    </row>
    <row r="4044" spans="2:5" ht="14.25" customHeight="1" x14ac:dyDescent="0.25">
      <c r="B4044" s="103"/>
      <c r="D4044" s="80"/>
      <c r="E4044" s="80"/>
    </row>
    <row r="4045" spans="2:5" ht="14.25" customHeight="1" x14ac:dyDescent="0.25">
      <c r="B4045" s="103"/>
      <c r="D4045" s="80"/>
      <c r="E4045" s="80"/>
    </row>
    <row r="4046" spans="2:5" ht="14.25" customHeight="1" x14ac:dyDescent="0.25">
      <c r="B4046" s="103"/>
      <c r="D4046" s="80"/>
      <c r="E4046" s="80"/>
    </row>
    <row r="4047" spans="2:5" ht="14.25" customHeight="1" x14ac:dyDescent="0.25">
      <c r="B4047" s="103"/>
      <c r="D4047" s="80"/>
      <c r="E4047" s="80"/>
    </row>
    <row r="4048" spans="2:5" ht="14.25" customHeight="1" x14ac:dyDescent="0.25">
      <c r="B4048" s="103"/>
      <c r="D4048" s="80"/>
      <c r="E4048" s="80"/>
    </row>
    <row r="4049" spans="2:5" ht="14.25" customHeight="1" x14ac:dyDescent="0.25">
      <c r="B4049" s="103"/>
      <c r="D4049" s="80"/>
      <c r="E4049" s="80"/>
    </row>
    <row r="4050" spans="2:5" ht="14.25" customHeight="1" x14ac:dyDescent="0.25">
      <c r="B4050" s="103"/>
      <c r="D4050" s="80"/>
      <c r="E4050" s="80"/>
    </row>
    <row r="4051" spans="2:5" ht="14.25" customHeight="1" x14ac:dyDescent="0.25">
      <c r="B4051" s="103"/>
      <c r="D4051" s="80"/>
      <c r="E4051" s="80"/>
    </row>
    <row r="4052" spans="2:5" ht="14.25" customHeight="1" x14ac:dyDescent="0.25">
      <c r="B4052" s="103"/>
      <c r="D4052" s="80"/>
      <c r="E4052" s="80"/>
    </row>
    <row r="4053" spans="2:5" ht="14.25" customHeight="1" x14ac:dyDescent="0.25">
      <c r="B4053" s="103"/>
      <c r="D4053" s="80"/>
      <c r="E4053" s="80"/>
    </row>
    <row r="4054" spans="2:5" ht="14.25" customHeight="1" x14ac:dyDescent="0.25">
      <c r="B4054" s="103"/>
      <c r="D4054" s="80"/>
      <c r="E4054" s="80"/>
    </row>
    <row r="4055" spans="2:5" ht="14.25" customHeight="1" x14ac:dyDescent="0.25">
      <c r="B4055" s="103"/>
      <c r="D4055" s="80"/>
      <c r="E4055" s="80"/>
    </row>
    <row r="4056" spans="2:5" ht="14.25" customHeight="1" x14ac:dyDescent="0.25">
      <c r="B4056" s="103"/>
      <c r="D4056" s="80"/>
      <c r="E4056" s="80"/>
    </row>
    <row r="4057" spans="2:5" ht="14.25" customHeight="1" x14ac:dyDescent="0.25">
      <c r="B4057" s="103"/>
      <c r="D4057" s="80"/>
      <c r="E4057" s="80"/>
    </row>
    <row r="4058" spans="2:5" ht="14.25" customHeight="1" x14ac:dyDescent="0.25">
      <c r="B4058" s="103"/>
      <c r="D4058" s="80"/>
      <c r="E4058" s="80"/>
    </row>
    <row r="4059" spans="2:5" ht="14.25" customHeight="1" x14ac:dyDescent="0.25">
      <c r="B4059" s="103"/>
      <c r="D4059" s="80"/>
      <c r="E4059" s="80"/>
    </row>
    <row r="4060" spans="2:5" ht="14.25" customHeight="1" x14ac:dyDescent="0.25">
      <c r="B4060" s="103"/>
      <c r="D4060" s="80"/>
      <c r="E4060" s="80"/>
    </row>
    <row r="4061" spans="2:5" ht="14.25" customHeight="1" x14ac:dyDescent="0.25">
      <c r="B4061" s="103"/>
      <c r="D4061" s="80"/>
      <c r="E4061" s="80"/>
    </row>
    <row r="4062" spans="2:5" ht="14.25" customHeight="1" x14ac:dyDescent="0.25">
      <c r="B4062" s="103"/>
      <c r="D4062" s="80"/>
      <c r="E4062" s="80"/>
    </row>
    <row r="4063" spans="2:5" ht="14.25" customHeight="1" x14ac:dyDescent="0.25">
      <c r="B4063" s="103"/>
      <c r="D4063" s="80"/>
      <c r="E4063" s="80"/>
    </row>
    <row r="4064" spans="2:5" ht="14.25" customHeight="1" x14ac:dyDescent="0.25">
      <c r="B4064" s="103"/>
      <c r="D4064" s="80"/>
      <c r="E4064" s="80"/>
    </row>
    <row r="4065" spans="2:5" ht="14.25" customHeight="1" x14ac:dyDescent="0.25">
      <c r="B4065" s="103"/>
      <c r="D4065" s="80"/>
      <c r="E4065" s="80"/>
    </row>
    <row r="4066" spans="2:5" ht="14.25" customHeight="1" x14ac:dyDescent="0.25">
      <c r="B4066" s="103"/>
      <c r="D4066" s="80"/>
      <c r="E4066" s="80"/>
    </row>
    <row r="4067" spans="2:5" ht="14.25" customHeight="1" x14ac:dyDescent="0.25">
      <c r="B4067" s="103"/>
      <c r="D4067" s="80"/>
      <c r="E4067" s="80"/>
    </row>
    <row r="4068" spans="2:5" ht="14.25" customHeight="1" x14ac:dyDescent="0.25">
      <c r="B4068" s="103"/>
      <c r="D4068" s="80"/>
      <c r="E4068" s="80"/>
    </row>
    <row r="4069" spans="2:5" ht="14.25" customHeight="1" x14ac:dyDescent="0.25">
      <c r="B4069" s="103"/>
      <c r="D4069" s="80"/>
      <c r="E4069" s="80"/>
    </row>
    <row r="4070" spans="2:5" ht="14.25" customHeight="1" x14ac:dyDescent="0.25">
      <c r="B4070" s="103"/>
      <c r="D4070" s="80"/>
      <c r="E4070" s="80"/>
    </row>
    <row r="4071" spans="2:5" ht="14.25" customHeight="1" x14ac:dyDescent="0.25">
      <c r="B4071" s="103"/>
      <c r="D4071" s="80"/>
      <c r="E4071" s="80"/>
    </row>
    <row r="4072" spans="2:5" ht="14.25" customHeight="1" x14ac:dyDescent="0.25">
      <c r="B4072" s="103"/>
      <c r="D4072" s="80"/>
      <c r="E4072" s="80"/>
    </row>
    <row r="4073" spans="2:5" ht="14.25" customHeight="1" x14ac:dyDescent="0.25">
      <c r="B4073" s="103"/>
      <c r="D4073" s="80"/>
      <c r="E4073" s="80"/>
    </row>
    <row r="4074" spans="2:5" ht="14.25" customHeight="1" x14ac:dyDescent="0.25">
      <c r="B4074" s="103"/>
      <c r="D4074" s="80"/>
      <c r="E4074" s="80"/>
    </row>
    <row r="4075" spans="2:5" ht="14.25" customHeight="1" x14ac:dyDescent="0.25">
      <c r="B4075" s="103"/>
      <c r="D4075" s="80"/>
      <c r="E4075" s="80"/>
    </row>
    <row r="4076" spans="2:5" ht="14.25" customHeight="1" x14ac:dyDescent="0.25">
      <c r="B4076" s="103"/>
      <c r="D4076" s="80"/>
      <c r="E4076" s="80"/>
    </row>
    <row r="4077" spans="2:5" ht="14.25" customHeight="1" x14ac:dyDescent="0.25">
      <c r="B4077" s="103"/>
      <c r="D4077" s="80"/>
      <c r="E4077" s="80"/>
    </row>
    <row r="4078" spans="2:5" ht="14.25" customHeight="1" x14ac:dyDescent="0.25">
      <c r="B4078" s="103"/>
      <c r="D4078" s="80"/>
      <c r="E4078" s="80"/>
    </row>
    <row r="4079" spans="2:5" ht="14.25" customHeight="1" x14ac:dyDescent="0.25">
      <c r="B4079" s="103"/>
      <c r="D4079" s="80"/>
      <c r="E4079" s="80"/>
    </row>
    <row r="4080" spans="2:5" ht="14.25" customHeight="1" x14ac:dyDescent="0.25">
      <c r="B4080" s="103"/>
      <c r="D4080" s="80"/>
      <c r="E4080" s="80"/>
    </row>
    <row r="4081" spans="2:5" ht="14.25" customHeight="1" x14ac:dyDescent="0.25">
      <c r="B4081" s="103"/>
      <c r="D4081" s="80"/>
      <c r="E4081" s="80"/>
    </row>
    <row r="4082" spans="2:5" ht="14.25" customHeight="1" x14ac:dyDescent="0.25">
      <c r="B4082" s="103"/>
      <c r="D4082" s="80"/>
      <c r="E4082" s="80"/>
    </row>
    <row r="4083" spans="2:5" ht="14.25" customHeight="1" x14ac:dyDescent="0.25">
      <c r="B4083" s="103"/>
      <c r="D4083" s="80"/>
      <c r="E4083" s="80"/>
    </row>
    <row r="4084" spans="2:5" ht="14.25" customHeight="1" x14ac:dyDescent="0.25">
      <c r="B4084" s="103"/>
      <c r="D4084" s="80"/>
      <c r="E4084" s="80"/>
    </row>
    <row r="4085" spans="2:5" ht="14.25" customHeight="1" x14ac:dyDescent="0.25">
      <c r="B4085" s="103"/>
      <c r="D4085" s="80"/>
      <c r="E4085" s="80"/>
    </row>
    <row r="4086" spans="2:5" ht="14.25" customHeight="1" x14ac:dyDescent="0.25">
      <c r="B4086" s="103"/>
      <c r="D4086" s="80"/>
      <c r="E4086" s="80"/>
    </row>
    <row r="4087" spans="2:5" ht="14.25" customHeight="1" x14ac:dyDescent="0.25">
      <c r="B4087" s="103"/>
      <c r="D4087" s="80"/>
      <c r="E4087" s="80"/>
    </row>
    <row r="4088" spans="2:5" ht="14.25" customHeight="1" x14ac:dyDescent="0.25">
      <c r="B4088" s="103"/>
      <c r="D4088" s="80"/>
      <c r="E4088" s="80"/>
    </row>
    <row r="4089" spans="2:5" ht="14.25" customHeight="1" x14ac:dyDescent="0.25">
      <c r="B4089" s="103"/>
      <c r="D4089" s="80"/>
      <c r="E4089" s="80"/>
    </row>
    <row r="4090" spans="2:5" ht="14.25" customHeight="1" x14ac:dyDescent="0.25">
      <c r="B4090" s="103"/>
      <c r="D4090" s="80"/>
      <c r="E4090" s="80"/>
    </row>
    <row r="4091" spans="2:5" ht="14.25" customHeight="1" x14ac:dyDescent="0.25">
      <c r="B4091" s="103"/>
      <c r="D4091" s="80"/>
      <c r="E4091" s="80"/>
    </row>
    <row r="4092" spans="2:5" ht="14.25" customHeight="1" x14ac:dyDescent="0.25">
      <c r="B4092" s="103"/>
      <c r="D4092" s="80"/>
      <c r="E4092" s="80"/>
    </row>
    <row r="4093" spans="2:5" ht="14.25" customHeight="1" x14ac:dyDescent="0.25">
      <c r="B4093" s="103"/>
      <c r="D4093" s="80"/>
      <c r="E4093" s="80"/>
    </row>
    <row r="4094" spans="2:5" ht="14.25" customHeight="1" x14ac:dyDescent="0.25">
      <c r="B4094" s="103"/>
      <c r="D4094" s="80"/>
      <c r="E4094" s="80"/>
    </row>
    <row r="4095" spans="2:5" ht="14.25" customHeight="1" x14ac:dyDescent="0.25">
      <c r="B4095" s="103"/>
      <c r="D4095" s="80"/>
      <c r="E4095" s="80"/>
    </row>
    <row r="4096" spans="2:5" ht="14.25" customHeight="1" x14ac:dyDescent="0.25">
      <c r="B4096" s="103"/>
      <c r="D4096" s="80"/>
      <c r="E4096" s="80"/>
    </row>
    <row r="4097" spans="2:5" ht="14.25" customHeight="1" x14ac:dyDescent="0.25">
      <c r="B4097" s="103"/>
      <c r="D4097" s="80"/>
      <c r="E4097" s="80"/>
    </row>
    <row r="4098" spans="2:5" ht="14.25" customHeight="1" x14ac:dyDescent="0.25">
      <c r="B4098" s="103"/>
      <c r="D4098" s="80"/>
      <c r="E4098" s="80"/>
    </row>
    <row r="4099" spans="2:5" ht="14.25" customHeight="1" x14ac:dyDescent="0.25">
      <c r="B4099" s="103"/>
      <c r="D4099" s="80"/>
      <c r="E4099" s="80"/>
    </row>
    <row r="4100" spans="2:5" ht="14.25" customHeight="1" x14ac:dyDescent="0.25">
      <c r="B4100" s="103"/>
      <c r="D4100" s="80"/>
      <c r="E4100" s="80"/>
    </row>
    <row r="4101" spans="2:5" ht="14.25" customHeight="1" x14ac:dyDescent="0.25">
      <c r="B4101" s="103"/>
      <c r="D4101" s="80"/>
      <c r="E4101" s="80"/>
    </row>
    <row r="4102" spans="2:5" ht="14.25" customHeight="1" x14ac:dyDescent="0.25">
      <c r="B4102" s="103"/>
      <c r="D4102" s="80"/>
      <c r="E4102" s="80"/>
    </row>
    <row r="4103" spans="2:5" ht="14.25" customHeight="1" x14ac:dyDescent="0.25">
      <c r="B4103" s="103"/>
      <c r="D4103" s="80"/>
      <c r="E4103" s="80"/>
    </row>
    <row r="4104" spans="2:5" ht="14.25" customHeight="1" x14ac:dyDescent="0.25">
      <c r="B4104" s="103"/>
      <c r="D4104" s="80"/>
      <c r="E4104" s="80"/>
    </row>
    <row r="4105" spans="2:5" ht="14.25" customHeight="1" x14ac:dyDescent="0.25">
      <c r="B4105" s="103"/>
      <c r="D4105" s="80"/>
      <c r="E4105" s="80"/>
    </row>
    <row r="4106" spans="2:5" ht="14.25" customHeight="1" x14ac:dyDescent="0.25">
      <c r="B4106" s="103"/>
      <c r="D4106" s="80"/>
      <c r="E4106" s="80"/>
    </row>
    <row r="4107" spans="2:5" ht="14.25" customHeight="1" x14ac:dyDescent="0.25">
      <c r="B4107" s="103"/>
      <c r="D4107" s="80"/>
      <c r="E4107" s="80"/>
    </row>
    <row r="4108" spans="2:5" ht="14.25" customHeight="1" x14ac:dyDescent="0.25">
      <c r="B4108" s="103"/>
      <c r="D4108" s="80"/>
      <c r="E4108" s="80"/>
    </row>
    <row r="4109" spans="2:5" ht="14.25" customHeight="1" x14ac:dyDescent="0.25">
      <c r="B4109" s="103"/>
      <c r="D4109" s="80"/>
      <c r="E4109" s="80"/>
    </row>
    <row r="4110" spans="2:5" ht="14.25" customHeight="1" x14ac:dyDescent="0.25">
      <c r="B4110" s="103"/>
      <c r="D4110" s="80"/>
      <c r="E4110" s="80"/>
    </row>
    <row r="4111" spans="2:5" ht="14.25" customHeight="1" x14ac:dyDescent="0.25">
      <c r="B4111" s="103"/>
      <c r="D4111" s="80"/>
      <c r="E4111" s="80"/>
    </row>
    <row r="4112" spans="2:5" ht="14.25" customHeight="1" x14ac:dyDescent="0.25">
      <c r="B4112" s="103"/>
      <c r="D4112" s="80"/>
      <c r="E4112" s="80"/>
    </row>
    <row r="4113" spans="2:5" ht="14.25" customHeight="1" x14ac:dyDescent="0.25">
      <c r="B4113" s="103"/>
      <c r="D4113" s="80"/>
      <c r="E4113" s="80"/>
    </row>
    <row r="4114" spans="2:5" ht="14.25" customHeight="1" x14ac:dyDescent="0.25">
      <c r="B4114" s="103"/>
      <c r="D4114" s="80"/>
      <c r="E4114" s="80"/>
    </row>
    <row r="4115" spans="2:5" ht="14.25" customHeight="1" x14ac:dyDescent="0.25">
      <c r="B4115" s="103"/>
      <c r="D4115" s="80"/>
      <c r="E4115" s="80"/>
    </row>
    <row r="4116" spans="2:5" ht="14.25" customHeight="1" x14ac:dyDescent="0.25">
      <c r="B4116" s="103"/>
      <c r="D4116" s="80"/>
      <c r="E4116" s="80"/>
    </row>
    <row r="4117" spans="2:5" ht="14.25" customHeight="1" x14ac:dyDescent="0.25">
      <c r="B4117" s="103"/>
      <c r="D4117" s="80"/>
      <c r="E4117" s="80"/>
    </row>
    <row r="4118" spans="2:5" ht="14.25" customHeight="1" x14ac:dyDescent="0.25">
      <c r="B4118" s="103"/>
      <c r="D4118" s="80"/>
      <c r="E4118" s="80"/>
    </row>
    <row r="4119" spans="2:5" ht="14.25" customHeight="1" x14ac:dyDescent="0.25">
      <c r="B4119" s="103"/>
      <c r="D4119" s="80"/>
      <c r="E4119" s="80"/>
    </row>
    <row r="4120" spans="2:5" ht="14.25" customHeight="1" x14ac:dyDescent="0.25">
      <c r="B4120" s="103"/>
      <c r="D4120" s="80"/>
      <c r="E4120" s="80"/>
    </row>
    <row r="4121" spans="2:5" ht="14.25" customHeight="1" x14ac:dyDescent="0.25">
      <c r="B4121" s="103"/>
      <c r="D4121" s="80"/>
      <c r="E4121" s="80"/>
    </row>
    <row r="4122" spans="2:5" ht="14.25" customHeight="1" x14ac:dyDescent="0.25">
      <c r="B4122" s="103"/>
      <c r="D4122" s="80"/>
      <c r="E4122" s="80"/>
    </row>
    <row r="4123" spans="2:5" ht="14.25" customHeight="1" x14ac:dyDescent="0.25">
      <c r="B4123" s="103"/>
      <c r="D4123" s="80"/>
      <c r="E4123" s="80"/>
    </row>
    <row r="4124" spans="2:5" ht="14.25" customHeight="1" x14ac:dyDescent="0.25">
      <c r="B4124" s="103"/>
      <c r="D4124" s="80"/>
      <c r="E4124" s="80"/>
    </row>
    <row r="4125" spans="2:5" ht="14.25" customHeight="1" x14ac:dyDescent="0.25">
      <c r="B4125" s="103"/>
      <c r="D4125" s="80"/>
      <c r="E4125" s="80"/>
    </row>
    <row r="4126" spans="2:5" ht="14.25" customHeight="1" x14ac:dyDescent="0.25">
      <c r="B4126" s="103"/>
      <c r="D4126" s="80"/>
      <c r="E4126" s="80"/>
    </row>
    <row r="4127" spans="2:5" ht="14.25" customHeight="1" x14ac:dyDescent="0.25">
      <c r="B4127" s="103"/>
      <c r="D4127" s="80"/>
      <c r="E4127" s="80"/>
    </row>
    <row r="4128" spans="2:5" ht="14.25" customHeight="1" x14ac:dyDescent="0.25">
      <c r="B4128" s="103"/>
      <c r="D4128" s="80"/>
      <c r="E4128" s="80"/>
    </row>
    <row r="4129" spans="2:5" ht="14.25" customHeight="1" x14ac:dyDescent="0.25">
      <c r="B4129" s="103"/>
      <c r="D4129" s="80"/>
      <c r="E4129" s="80"/>
    </row>
    <row r="4130" spans="2:5" ht="14.25" customHeight="1" x14ac:dyDescent="0.25">
      <c r="B4130" s="103"/>
      <c r="D4130" s="80"/>
      <c r="E4130" s="80"/>
    </row>
    <row r="4131" spans="2:5" ht="14.25" customHeight="1" x14ac:dyDescent="0.25">
      <c r="B4131" s="103"/>
      <c r="D4131" s="80"/>
      <c r="E4131" s="80"/>
    </row>
    <row r="4132" spans="2:5" ht="14.25" customHeight="1" x14ac:dyDescent="0.25">
      <c r="B4132" s="103"/>
      <c r="D4132" s="80"/>
      <c r="E4132" s="80"/>
    </row>
    <row r="4133" spans="2:5" ht="14.25" customHeight="1" x14ac:dyDescent="0.25">
      <c r="B4133" s="103"/>
      <c r="D4133" s="80"/>
      <c r="E4133" s="80"/>
    </row>
    <row r="4134" spans="2:5" ht="14.25" customHeight="1" x14ac:dyDescent="0.25">
      <c r="B4134" s="103"/>
      <c r="D4134" s="80"/>
      <c r="E4134" s="80"/>
    </row>
    <row r="4135" spans="2:5" ht="14.25" customHeight="1" x14ac:dyDescent="0.25">
      <c r="B4135" s="103"/>
      <c r="D4135" s="80"/>
      <c r="E4135" s="80"/>
    </row>
    <row r="4136" spans="2:5" ht="14.25" customHeight="1" x14ac:dyDescent="0.25">
      <c r="B4136" s="103"/>
      <c r="D4136" s="80"/>
      <c r="E4136" s="80"/>
    </row>
    <row r="4137" spans="2:5" ht="14.25" customHeight="1" x14ac:dyDescent="0.25">
      <c r="B4137" s="103"/>
      <c r="D4137" s="80"/>
      <c r="E4137" s="80"/>
    </row>
    <row r="4138" spans="2:5" ht="14.25" customHeight="1" x14ac:dyDescent="0.25">
      <c r="B4138" s="103"/>
      <c r="D4138" s="80"/>
      <c r="E4138" s="80"/>
    </row>
    <row r="4139" spans="2:5" ht="14.25" customHeight="1" x14ac:dyDescent="0.25">
      <c r="B4139" s="103"/>
      <c r="D4139" s="80"/>
      <c r="E4139" s="80"/>
    </row>
    <row r="4140" spans="2:5" ht="14.25" customHeight="1" x14ac:dyDescent="0.25">
      <c r="B4140" s="103"/>
      <c r="D4140" s="80"/>
      <c r="E4140" s="80"/>
    </row>
    <row r="4141" spans="2:5" ht="14.25" customHeight="1" x14ac:dyDescent="0.25">
      <c r="B4141" s="103"/>
      <c r="D4141" s="80"/>
      <c r="E4141" s="80"/>
    </row>
    <row r="4142" spans="2:5" ht="14.25" customHeight="1" x14ac:dyDescent="0.25">
      <c r="B4142" s="103"/>
      <c r="D4142" s="80"/>
      <c r="E4142" s="80"/>
    </row>
    <row r="4143" spans="2:5" ht="14.25" customHeight="1" x14ac:dyDescent="0.25">
      <c r="B4143" s="103"/>
      <c r="D4143" s="80"/>
      <c r="E4143" s="80"/>
    </row>
    <row r="4144" spans="2:5" ht="14.25" customHeight="1" x14ac:dyDescent="0.25">
      <c r="B4144" s="103"/>
      <c r="D4144" s="80"/>
      <c r="E4144" s="80"/>
    </row>
    <row r="4145" spans="2:5" ht="14.25" customHeight="1" x14ac:dyDescent="0.25">
      <c r="B4145" s="103"/>
      <c r="D4145" s="80"/>
      <c r="E4145" s="80"/>
    </row>
    <row r="4146" spans="2:5" ht="14.25" customHeight="1" x14ac:dyDescent="0.25">
      <c r="B4146" s="103"/>
      <c r="D4146" s="80"/>
      <c r="E4146" s="80"/>
    </row>
    <row r="4147" spans="2:5" ht="14.25" customHeight="1" x14ac:dyDescent="0.25">
      <c r="B4147" s="103"/>
      <c r="D4147" s="80"/>
      <c r="E4147" s="80"/>
    </row>
    <row r="4148" spans="2:5" ht="14.25" customHeight="1" x14ac:dyDescent="0.25">
      <c r="B4148" s="103"/>
      <c r="D4148" s="80"/>
      <c r="E4148" s="80"/>
    </row>
    <row r="4149" spans="2:5" ht="14.25" customHeight="1" x14ac:dyDescent="0.25">
      <c r="B4149" s="103"/>
      <c r="D4149" s="80"/>
      <c r="E4149" s="80"/>
    </row>
    <row r="4150" spans="2:5" ht="14.25" customHeight="1" x14ac:dyDescent="0.25">
      <c r="B4150" s="103"/>
      <c r="D4150" s="80"/>
      <c r="E4150" s="80"/>
    </row>
    <row r="4151" spans="2:5" ht="14.25" customHeight="1" x14ac:dyDescent="0.25">
      <c r="B4151" s="103"/>
      <c r="D4151" s="80"/>
      <c r="E4151" s="80"/>
    </row>
    <row r="4152" spans="2:5" ht="14.25" customHeight="1" x14ac:dyDescent="0.25">
      <c r="B4152" s="103"/>
      <c r="D4152" s="80"/>
      <c r="E4152" s="80"/>
    </row>
    <row r="4153" spans="2:5" ht="14.25" customHeight="1" x14ac:dyDescent="0.25">
      <c r="B4153" s="103"/>
      <c r="D4153" s="80"/>
      <c r="E4153" s="80"/>
    </row>
    <row r="4154" spans="2:5" ht="14.25" customHeight="1" x14ac:dyDescent="0.25">
      <c r="B4154" s="103"/>
      <c r="D4154" s="80"/>
      <c r="E4154" s="80"/>
    </row>
    <row r="4155" spans="2:5" ht="14.25" customHeight="1" x14ac:dyDescent="0.25">
      <c r="B4155" s="103"/>
      <c r="D4155" s="80"/>
      <c r="E4155" s="80"/>
    </row>
    <row r="4156" spans="2:5" ht="14.25" customHeight="1" x14ac:dyDescent="0.25">
      <c r="B4156" s="103"/>
      <c r="D4156" s="80"/>
      <c r="E4156" s="80"/>
    </row>
    <row r="4157" spans="2:5" ht="14.25" customHeight="1" x14ac:dyDescent="0.25">
      <c r="B4157" s="103"/>
      <c r="D4157" s="80"/>
      <c r="E4157" s="80"/>
    </row>
    <row r="4158" spans="2:5" ht="14.25" customHeight="1" x14ac:dyDescent="0.25">
      <c r="B4158" s="103"/>
      <c r="D4158" s="80"/>
      <c r="E4158" s="80"/>
    </row>
    <row r="4159" spans="2:5" ht="14.25" customHeight="1" x14ac:dyDescent="0.25">
      <c r="B4159" s="103"/>
      <c r="D4159" s="80"/>
      <c r="E4159" s="80"/>
    </row>
    <row r="4160" spans="2:5" ht="14.25" customHeight="1" x14ac:dyDescent="0.25">
      <c r="B4160" s="103"/>
      <c r="D4160" s="80"/>
      <c r="E4160" s="80"/>
    </row>
    <row r="4161" spans="2:5" ht="14.25" customHeight="1" x14ac:dyDescent="0.25">
      <c r="B4161" s="103"/>
      <c r="D4161" s="80"/>
      <c r="E4161" s="80"/>
    </row>
    <row r="4162" spans="2:5" ht="14.25" customHeight="1" x14ac:dyDescent="0.25">
      <c r="B4162" s="103"/>
      <c r="D4162" s="80"/>
      <c r="E4162" s="80"/>
    </row>
    <row r="4163" spans="2:5" ht="14.25" customHeight="1" x14ac:dyDescent="0.25">
      <c r="B4163" s="103"/>
      <c r="D4163" s="80"/>
      <c r="E4163" s="80"/>
    </row>
    <row r="4164" spans="2:5" ht="14.25" customHeight="1" x14ac:dyDescent="0.25">
      <c r="B4164" s="103"/>
      <c r="D4164" s="80"/>
      <c r="E4164" s="80"/>
    </row>
    <row r="4165" spans="2:5" ht="14.25" customHeight="1" x14ac:dyDescent="0.25">
      <c r="B4165" s="103"/>
      <c r="D4165" s="80"/>
      <c r="E4165" s="80"/>
    </row>
    <row r="4166" spans="2:5" ht="14.25" customHeight="1" x14ac:dyDescent="0.25">
      <c r="B4166" s="103"/>
      <c r="D4166" s="80"/>
      <c r="E4166" s="80"/>
    </row>
    <row r="4167" spans="2:5" ht="14.25" customHeight="1" x14ac:dyDescent="0.25">
      <c r="B4167" s="103"/>
      <c r="D4167" s="80"/>
      <c r="E4167" s="80"/>
    </row>
    <row r="4168" spans="2:5" ht="14.25" customHeight="1" x14ac:dyDescent="0.25">
      <c r="B4168" s="103"/>
      <c r="D4168" s="80"/>
      <c r="E4168" s="80"/>
    </row>
    <row r="4169" spans="2:5" ht="14.25" customHeight="1" x14ac:dyDescent="0.25">
      <c r="B4169" s="103"/>
      <c r="D4169" s="80"/>
      <c r="E4169" s="80"/>
    </row>
    <row r="4170" spans="2:5" ht="14.25" customHeight="1" x14ac:dyDescent="0.25">
      <c r="B4170" s="103"/>
      <c r="D4170" s="80"/>
      <c r="E4170" s="80"/>
    </row>
    <row r="4171" spans="2:5" ht="14.25" customHeight="1" x14ac:dyDescent="0.25">
      <c r="B4171" s="103"/>
      <c r="D4171" s="80"/>
      <c r="E4171" s="80"/>
    </row>
    <row r="4172" spans="2:5" ht="14.25" customHeight="1" x14ac:dyDescent="0.25">
      <c r="B4172" s="103"/>
      <c r="D4172" s="80"/>
      <c r="E4172" s="80"/>
    </row>
    <row r="4173" spans="2:5" ht="14.25" customHeight="1" x14ac:dyDescent="0.25">
      <c r="B4173" s="103"/>
      <c r="D4173" s="80"/>
      <c r="E4173" s="80"/>
    </row>
    <row r="4174" spans="2:5" ht="14.25" customHeight="1" x14ac:dyDescent="0.25">
      <c r="B4174" s="103"/>
      <c r="D4174" s="80"/>
      <c r="E4174" s="80"/>
    </row>
    <row r="4175" spans="2:5" ht="14.25" customHeight="1" x14ac:dyDescent="0.25">
      <c r="B4175" s="103"/>
      <c r="D4175" s="80"/>
      <c r="E4175" s="80"/>
    </row>
    <row r="4176" spans="2:5" ht="14.25" customHeight="1" x14ac:dyDescent="0.25">
      <c r="B4176" s="103"/>
      <c r="D4176" s="80"/>
      <c r="E4176" s="80"/>
    </row>
    <row r="4177" spans="2:5" ht="14.25" customHeight="1" x14ac:dyDescent="0.25">
      <c r="B4177" s="103"/>
      <c r="D4177" s="80"/>
      <c r="E4177" s="80"/>
    </row>
    <row r="4178" spans="2:5" ht="14.25" customHeight="1" x14ac:dyDescent="0.25">
      <c r="B4178" s="103"/>
      <c r="D4178" s="80"/>
      <c r="E4178" s="80"/>
    </row>
    <row r="4179" spans="2:5" ht="14.25" customHeight="1" x14ac:dyDescent="0.25">
      <c r="B4179" s="103"/>
      <c r="D4179" s="80"/>
      <c r="E4179" s="80"/>
    </row>
    <row r="4180" spans="2:5" ht="14.25" customHeight="1" x14ac:dyDescent="0.25">
      <c r="B4180" s="103"/>
      <c r="D4180" s="80"/>
      <c r="E4180" s="80"/>
    </row>
    <row r="4181" spans="2:5" ht="14.25" customHeight="1" x14ac:dyDescent="0.25">
      <c r="B4181" s="103"/>
      <c r="D4181" s="80"/>
      <c r="E4181" s="80"/>
    </row>
    <row r="4182" spans="2:5" ht="14.25" customHeight="1" x14ac:dyDescent="0.25">
      <c r="B4182" s="103"/>
      <c r="D4182" s="80"/>
      <c r="E4182" s="80"/>
    </row>
    <row r="4183" spans="2:5" ht="14.25" customHeight="1" x14ac:dyDescent="0.25">
      <c r="B4183" s="103"/>
      <c r="D4183" s="80"/>
      <c r="E4183" s="80"/>
    </row>
    <row r="4184" spans="2:5" ht="14.25" customHeight="1" x14ac:dyDescent="0.25">
      <c r="B4184" s="103"/>
      <c r="D4184" s="80"/>
      <c r="E4184" s="80"/>
    </row>
    <row r="4185" spans="2:5" ht="14.25" customHeight="1" x14ac:dyDescent="0.25">
      <c r="B4185" s="103"/>
      <c r="D4185" s="80"/>
      <c r="E4185" s="80"/>
    </row>
    <row r="4186" spans="2:5" ht="14.25" customHeight="1" x14ac:dyDescent="0.25">
      <c r="B4186" s="103"/>
      <c r="D4186" s="80"/>
      <c r="E4186" s="80"/>
    </row>
    <row r="4187" spans="2:5" ht="14.25" customHeight="1" x14ac:dyDescent="0.25">
      <c r="B4187" s="103"/>
      <c r="D4187" s="80"/>
      <c r="E4187" s="80"/>
    </row>
    <row r="4188" spans="2:5" ht="14.25" customHeight="1" x14ac:dyDescent="0.25">
      <c r="B4188" s="103"/>
      <c r="D4188" s="80"/>
      <c r="E4188" s="80"/>
    </row>
    <row r="4189" spans="2:5" ht="14.25" customHeight="1" x14ac:dyDescent="0.25">
      <c r="B4189" s="103"/>
      <c r="D4189" s="80"/>
      <c r="E4189" s="80"/>
    </row>
    <row r="4190" spans="2:5" ht="14.25" customHeight="1" x14ac:dyDescent="0.25">
      <c r="B4190" s="103"/>
      <c r="D4190" s="80"/>
      <c r="E4190" s="80"/>
    </row>
    <row r="4191" spans="2:5" ht="14.25" customHeight="1" x14ac:dyDescent="0.25">
      <c r="B4191" s="103"/>
      <c r="D4191" s="80"/>
      <c r="E4191" s="80"/>
    </row>
    <row r="4192" spans="2:5" ht="14.25" customHeight="1" x14ac:dyDescent="0.25">
      <c r="B4192" s="103"/>
      <c r="D4192" s="80"/>
      <c r="E4192" s="80"/>
    </row>
    <row r="4193" spans="2:5" ht="14.25" customHeight="1" x14ac:dyDescent="0.25">
      <c r="B4193" s="103"/>
      <c r="D4193" s="80"/>
      <c r="E4193" s="80"/>
    </row>
    <row r="4194" spans="2:5" ht="14.25" customHeight="1" x14ac:dyDescent="0.25">
      <c r="B4194" s="103"/>
      <c r="D4194" s="80"/>
      <c r="E4194" s="80"/>
    </row>
    <row r="4195" spans="2:5" ht="14.25" customHeight="1" x14ac:dyDescent="0.25">
      <c r="B4195" s="103"/>
      <c r="D4195" s="80"/>
      <c r="E4195" s="80"/>
    </row>
    <row r="4196" spans="2:5" ht="14.25" customHeight="1" x14ac:dyDescent="0.25">
      <c r="B4196" s="103"/>
      <c r="D4196" s="80"/>
      <c r="E4196" s="80"/>
    </row>
    <row r="4197" spans="2:5" ht="14.25" customHeight="1" x14ac:dyDescent="0.25">
      <c r="B4197" s="103"/>
      <c r="D4197" s="80"/>
      <c r="E4197" s="80"/>
    </row>
    <row r="4198" spans="2:5" ht="14.25" customHeight="1" x14ac:dyDescent="0.25">
      <c r="B4198" s="103"/>
      <c r="D4198" s="80"/>
      <c r="E4198" s="80"/>
    </row>
    <row r="4199" spans="2:5" ht="14.25" customHeight="1" x14ac:dyDescent="0.25">
      <c r="B4199" s="103"/>
      <c r="D4199" s="80"/>
      <c r="E4199" s="80"/>
    </row>
    <row r="4200" spans="2:5" ht="14.25" customHeight="1" x14ac:dyDescent="0.25">
      <c r="B4200" s="103"/>
      <c r="D4200" s="80"/>
      <c r="E4200" s="80"/>
    </row>
    <row r="4201" spans="2:5" ht="14.25" customHeight="1" x14ac:dyDescent="0.25">
      <c r="B4201" s="103"/>
      <c r="D4201" s="80"/>
      <c r="E4201" s="80"/>
    </row>
    <row r="4202" spans="2:5" ht="14.25" customHeight="1" x14ac:dyDescent="0.25">
      <c r="B4202" s="103"/>
      <c r="D4202" s="80"/>
      <c r="E4202" s="80"/>
    </row>
    <row r="4203" spans="2:5" ht="14.25" customHeight="1" x14ac:dyDescent="0.25">
      <c r="B4203" s="103"/>
      <c r="D4203" s="80"/>
      <c r="E4203" s="80"/>
    </row>
    <row r="4204" spans="2:5" ht="14.25" customHeight="1" x14ac:dyDescent="0.25">
      <c r="B4204" s="103"/>
      <c r="D4204" s="80"/>
      <c r="E4204" s="80"/>
    </row>
    <row r="4205" spans="2:5" ht="14.25" customHeight="1" x14ac:dyDescent="0.25">
      <c r="B4205" s="103"/>
      <c r="D4205" s="80"/>
      <c r="E4205" s="80"/>
    </row>
    <row r="4206" spans="2:5" ht="14.25" customHeight="1" x14ac:dyDescent="0.25">
      <c r="B4206" s="103"/>
      <c r="D4206" s="80"/>
      <c r="E4206" s="80"/>
    </row>
    <row r="4207" spans="2:5" ht="14.25" customHeight="1" x14ac:dyDescent="0.25">
      <c r="B4207" s="103"/>
      <c r="D4207" s="80"/>
      <c r="E4207" s="80"/>
    </row>
    <row r="4208" spans="2:5" ht="14.25" customHeight="1" x14ac:dyDescent="0.25">
      <c r="B4208" s="103"/>
      <c r="D4208" s="80"/>
      <c r="E4208" s="80"/>
    </row>
    <row r="4209" spans="2:5" ht="14.25" customHeight="1" x14ac:dyDescent="0.25">
      <c r="B4209" s="103"/>
      <c r="D4209" s="80"/>
      <c r="E4209" s="80"/>
    </row>
    <row r="4210" spans="2:5" ht="14.25" customHeight="1" x14ac:dyDescent="0.25">
      <c r="B4210" s="103"/>
      <c r="D4210" s="80"/>
      <c r="E4210" s="80"/>
    </row>
    <row r="4211" spans="2:5" ht="14.25" customHeight="1" x14ac:dyDescent="0.25">
      <c r="B4211" s="103"/>
      <c r="D4211" s="80"/>
      <c r="E4211" s="80"/>
    </row>
    <row r="4212" spans="2:5" ht="14.25" customHeight="1" x14ac:dyDescent="0.25">
      <c r="B4212" s="103"/>
      <c r="D4212" s="80"/>
      <c r="E4212" s="80"/>
    </row>
    <row r="4213" spans="2:5" ht="14.25" customHeight="1" x14ac:dyDescent="0.25">
      <c r="B4213" s="103"/>
      <c r="D4213" s="80"/>
      <c r="E4213" s="80"/>
    </row>
    <row r="4214" spans="2:5" ht="14.25" customHeight="1" x14ac:dyDescent="0.25">
      <c r="B4214" s="103"/>
      <c r="D4214" s="80"/>
      <c r="E4214" s="80"/>
    </row>
    <row r="4215" spans="2:5" ht="14.25" customHeight="1" x14ac:dyDescent="0.25">
      <c r="B4215" s="103"/>
      <c r="D4215" s="80"/>
      <c r="E4215" s="80"/>
    </row>
    <row r="4216" spans="2:5" ht="14.25" customHeight="1" x14ac:dyDescent="0.25">
      <c r="B4216" s="103"/>
      <c r="D4216" s="80"/>
      <c r="E4216" s="80"/>
    </row>
    <row r="4217" spans="2:5" ht="14.25" customHeight="1" x14ac:dyDescent="0.25">
      <c r="B4217" s="103"/>
      <c r="D4217" s="80"/>
      <c r="E4217" s="80"/>
    </row>
    <row r="4218" spans="2:5" ht="14.25" customHeight="1" x14ac:dyDescent="0.25">
      <c r="B4218" s="103"/>
      <c r="D4218" s="80"/>
      <c r="E4218" s="80"/>
    </row>
    <row r="4219" spans="2:5" ht="14.25" customHeight="1" x14ac:dyDescent="0.25">
      <c r="B4219" s="103"/>
      <c r="D4219" s="80"/>
      <c r="E4219" s="80"/>
    </row>
    <row r="4220" spans="2:5" ht="14.25" customHeight="1" x14ac:dyDescent="0.25">
      <c r="B4220" s="103"/>
      <c r="D4220" s="80"/>
      <c r="E4220" s="80"/>
    </row>
    <row r="4221" spans="2:5" ht="14.25" customHeight="1" x14ac:dyDescent="0.25">
      <c r="B4221" s="103"/>
      <c r="D4221" s="80"/>
      <c r="E4221" s="80"/>
    </row>
    <row r="4222" spans="2:5" ht="14.25" customHeight="1" x14ac:dyDescent="0.25">
      <c r="B4222" s="103"/>
      <c r="D4222" s="80"/>
      <c r="E4222" s="80"/>
    </row>
    <row r="4223" spans="2:5" ht="14.25" customHeight="1" x14ac:dyDescent="0.25">
      <c r="B4223" s="103"/>
      <c r="D4223" s="80"/>
      <c r="E4223" s="80"/>
    </row>
    <row r="4224" spans="2:5" ht="14.25" customHeight="1" x14ac:dyDescent="0.25">
      <c r="B4224" s="103"/>
      <c r="D4224" s="80"/>
      <c r="E4224" s="80"/>
    </row>
    <row r="4225" spans="2:5" ht="14.25" customHeight="1" x14ac:dyDescent="0.25">
      <c r="B4225" s="103"/>
      <c r="D4225" s="80"/>
      <c r="E4225" s="80"/>
    </row>
    <row r="4226" spans="2:5" ht="14.25" customHeight="1" x14ac:dyDescent="0.25">
      <c r="B4226" s="103"/>
      <c r="D4226" s="80"/>
      <c r="E4226" s="80"/>
    </row>
    <row r="4227" spans="2:5" ht="14.25" customHeight="1" x14ac:dyDescent="0.25">
      <c r="B4227" s="103"/>
      <c r="D4227" s="80"/>
      <c r="E4227" s="80"/>
    </row>
    <row r="4228" spans="2:5" ht="14.25" customHeight="1" x14ac:dyDescent="0.25">
      <c r="B4228" s="103"/>
      <c r="D4228" s="80"/>
      <c r="E4228" s="80"/>
    </row>
    <row r="4229" spans="2:5" ht="14.25" customHeight="1" x14ac:dyDescent="0.25">
      <c r="B4229" s="103"/>
      <c r="D4229" s="80"/>
      <c r="E4229" s="80"/>
    </row>
    <row r="4230" spans="2:5" ht="14.25" customHeight="1" x14ac:dyDescent="0.25">
      <c r="B4230" s="103"/>
      <c r="D4230" s="80"/>
      <c r="E4230" s="80"/>
    </row>
    <row r="4231" spans="2:5" ht="14.25" customHeight="1" x14ac:dyDescent="0.25">
      <c r="B4231" s="103"/>
      <c r="D4231" s="80"/>
      <c r="E4231" s="80"/>
    </row>
    <row r="4232" spans="2:5" ht="14.25" customHeight="1" x14ac:dyDescent="0.25">
      <c r="B4232" s="103"/>
      <c r="D4232" s="80"/>
      <c r="E4232" s="80"/>
    </row>
    <row r="4233" spans="2:5" ht="14.25" customHeight="1" x14ac:dyDescent="0.25">
      <c r="B4233" s="103"/>
      <c r="D4233" s="80"/>
      <c r="E4233" s="80"/>
    </row>
    <row r="4234" spans="2:5" ht="14.25" customHeight="1" x14ac:dyDescent="0.25">
      <c r="B4234" s="103"/>
      <c r="D4234" s="80"/>
      <c r="E4234" s="80"/>
    </row>
    <row r="4235" spans="2:5" ht="14.25" customHeight="1" x14ac:dyDescent="0.25">
      <c r="B4235" s="103"/>
      <c r="D4235" s="80"/>
      <c r="E4235" s="80"/>
    </row>
    <row r="4236" spans="2:5" ht="14.25" customHeight="1" x14ac:dyDescent="0.25">
      <c r="B4236" s="103"/>
      <c r="D4236" s="80"/>
      <c r="E4236" s="80"/>
    </row>
    <row r="4237" spans="2:5" ht="14.25" customHeight="1" x14ac:dyDescent="0.25">
      <c r="B4237" s="103"/>
      <c r="D4237" s="80"/>
      <c r="E4237" s="80"/>
    </row>
    <row r="4238" spans="2:5" ht="14.25" customHeight="1" x14ac:dyDescent="0.25">
      <c r="B4238" s="103"/>
      <c r="D4238" s="80"/>
      <c r="E4238" s="80"/>
    </row>
    <row r="4239" spans="2:5" ht="14.25" customHeight="1" x14ac:dyDescent="0.25">
      <c r="B4239" s="103"/>
      <c r="D4239" s="80"/>
      <c r="E4239" s="80"/>
    </row>
    <row r="4240" spans="2:5" ht="14.25" customHeight="1" x14ac:dyDescent="0.25">
      <c r="B4240" s="103"/>
      <c r="D4240" s="80"/>
      <c r="E4240" s="80"/>
    </row>
    <row r="4241" spans="2:5" ht="14.25" customHeight="1" x14ac:dyDescent="0.25">
      <c r="B4241" s="103"/>
      <c r="D4241" s="80"/>
      <c r="E4241" s="80"/>
    </row>
    <row r="4242" spans="2:5" ht="14.25" customHeight="1" x14ac:dyDescent="0.25">
      <c r="B4242" s="103"/>
      <c r="D4242" s="80"/>
      <c r="E4242" s="80"/>
    </row>
    <row r="4243" spans="2:5" ht="14.25" customHeight="1" x14ac:dyDescent="0.25">
      <c r="B4243" s="103"/>
      <c r="D4243" s="80"/>
      <c r="E4243" s="80"/>
    </row>
    <row r="4244" spans="2:5" ht="14.25" customHeight="1" x14ac:dyDescent="0.25">
      <c r="B4244" s="103"/>
      <c r="D4244" s="80"/>
      <c r="E4244" s="80"/>
    </row>
    <row r="4245" spans="2:5" ht="14.25" customHeight="1" x14ac:dyDescent="0.25">
      <c r="B4245" s="103"/>
      <c r="D4245" s="80"/>
      <c r="E4245" s="80"/>
    </row>
    <row r="4246" spans="2:5" ht="14.25" customHeight="1" x14ac:dyDescent="0.25">
      <c r="B4246" s="103"/>
      <c r="D4246" s="80"/>
      <c r="E4246" s="80"/>
    </row>
    <row r="4247" spans="2:5" ht="14.25" customHeight="1" x14ac:dyDescent="0.25">
      <c r="B4247" s="103"/>
      <c r="D4247" s="80"/>
      <c r="E4247" s="80"/>
    </row>
    <row r="4248" spans="2:5" ht="14.25" customHeight="1" x14ac:dyDescent="0.25">
      <c r="B4248" s="103"/>
      <c r="D4248" s="80"/>
      <c r="E4248" s="80"/>
    </row>
    <row r="4249" spans="2:5" ht="14.25" customHeight="1" x14ac:dyDescent="0.25">
      <c r="B4249" s="103"/>
      <c r="D4249" s="80"/>
      <c r="E4249" s="80"/>
    </row>
    <row r="4250" spans="2:5" ht="14.25" customHeight="1" x14ac:dyDescent="0.25">
      <c r="B4250" s="103"/>
      <c r="D4250" s="80"/>
      <c r="E4250" s="80"/>
    </row>
    <row r="4251" spans="2:5" ht="14.25" customHeight="1" x14ac:dyDescent="0.25">
      <c r="B4251" s="103"/>
      <c r="D4251" s="80"/>
      <c r="E4251" s="80"/>
    </row>
    <row r="4252" spans="2:5" ht="14.25" customHeight="1" x14ac:dyDescent="0.25">
      <c r="B4252" s="103"/>
      <c r="D4252" s="80"/>
      <c r="E4252" s="80"/>
    </row>
    <row r="4253" spans="2:5" ht="14.25" customHeight="1" x14ac:dyDescent="0.25">
      <c r="B4253" s="103"/>
      <c r="D4253" s="80"/>
      <c r="E4253" s="80"/>
    </row>
    <row r="4254" spans="2:5" ht="14.25" customHeight="1" x14ac:dyDescent="0.25">
      <c r="B4254" s="103"/>
      <c r="D4254" s="80"/>
      <c r="E4254" s="80"/>
    </row>
    <row r="4255" spans="2:5" ht="14.25" customHeight="1" x14ac:dyDescent="0.25">
      <c r="B4255" s="103"/>
      <c r="D4255" s="80"/>
      <c r="E4255" s="80"/>
    </row>
    <row r="4256" spans="2:5" ht="14.25" customHeight="1" x14ac:dyDescent="0.25">
      <c r="B4256" s="103"/>
      <c r="D4256" s="80"/>
      <c r="E4256" s="80"/>
    </row>
    <row r="4257" spans="2:5" ht="14.25" customHeight="1" x14ac:dyDescent="0.25">
      <c r="B4257" s="103"/>
      <c r="D4257" s="80"/>
      <c r="E4257" s="80"/>
    </row>
    <row r="4258" spans="2:5" ht="14.25" customHeight="1" x14ac:dyDescent="0.25">
      <c r="B4258" s="103"/>
      <c r="D4258" s="80"/>
      <c r="E4258" s="80"/>
    </row>
    <row r="4259" spans="2:5" ht="14.25" customHeight="1" x14ac:dyDescent="0.25">
      <c r="B4259" s="103"/>
      <c r="D4259" s="80"/>
      <c r="E4259" s="80"/>
    </row>
    <row r="4260" spans="2:5" ht="14.25" customHeight="1" x14ac:dyDescent="0.25">
      <c r="B4260" s="103"/>
      <c r="D4260" s="80"/>
      <c r="E4260" s="80"/>
    </row>
    <row r="4261" spans="2:5" ht="14.25" customHeight="1" x14ac:dyDescent="0.25">
      <c r="B4261" s="103"/>
      <c r="D4261" s="80"/>
      <c r="E4261" s="80"/>
    </row>
    <row r="4262" spans="2:5" ht="14.25" customHeight="1" x14ac:dyDescent="0.25">
      <c r="B4262" s="103"/>
      <c r="D4262" s="80"/>
      <c r="E4262" s="80"/>
    </row>
    <row r="4263" spans="2:5" ht="14.25" customHeight="1" x14ac:dyDescent="0.25">
      <c r="B4263" s="103"/>
      <c r="D4263" s="80"/>
      <c r="E4263" s="80"/>
    </row>
    <row r="4264" spans="2:5" ht="14.25" customHeight="1" x14ac:dyDescent="0.25">
      <c r="B4264" s="103"/>
      <c r="D4264" s="80"/>
      <c r="E4264" s="80"/>
    </row>
    <row r="4265" spans="2:5" ht="14.25" customHeight="1" x14ac:dyDescent="0.25">
      <c r="B4265" s="103"/>
      <c r="D4265" s="80"/>
      <c r="E4265" s="80"/>
    </row>
    <row r="4266" spans="2:5" ht="14.25" customHeight="1" x14ac:dyDescent="0.25">
      <c r="B4266" s="103"/>
      <c r="D4266" s="80"/>
      <c r="E4266" s="80"/>
    </row>
    <row r="4267" spans="2:5" ht="14.25" customHeight="1" x14ac:dyDescent="0.25">
      <c r="B4267" s="103"/>
      <c r="D4267" s="80"/>
      <c r="E4267" s="80"/>
    </row>
    <row r="4268" spans="2:5" ht="14.25" customHeight="1" x14ac:dyDescent="0.25">
      <c r="B4268" s="103"/>
      <c r="D4268" s="80"/>
      <c r="E4268" s="80"/>
    </row>
    <row r="4269" spans="2:5" ht="14.25" customHeight="1" x14ac:dyDescent="0.25">
      <c r="B4269" s="103"/>
      <c r="D4269" s="80"/>
      <c r="E4269" s="80"/>
    </row>
    <row r="4270" spans="2:5" ht="14.25" customHeight="1" x14ac:dyDescent="0.25">
      <c r="B4270" s="103"/>
      <c r="D4270" s="80"/>
      <c r="E4270" s="80"/>
    </row>
    <row r="4271" spans="2:5" ht="14.25" customHeight="1" x14ac:dyDescent="0.25">
      <c r="B4271" s="103"/>
      <c r="D4271" s="80"/>
      <c r="E4271" s="80"/>
    </row>
    <row r="4272" spans="2:5" ht="14.25" customHeight="1" x14ac:dyDescent="0.25">
      <c r="B4272" s="103"/>
      <c r="D4272" s="80"/>
      <c r="E4272" s="80"/>
    </row>
    <row r="4273" spans="2:5" ht="14.25" customHeight="1" x14ac:dyDescent="0.25">
      <c r="B4273" s="103"/>
      <c r="D4273" s="80"/>
      <c r="E4273" s="80"/>
    </row>
    <row r="4274" spans="2:5" ht="14.25" customHeight="1" x14ac:dyDescent="0.25">
      <c r="B4274" s="103"/>
      <c r="D4274" s="80"/>
      <c r="E4274" s="80"/>
    </row>
    <row r="4275" spans="2:5" ht="14.25" customHeight="1" x14ac:dyDescent="0.25">
      <c r="B4275" s="103"/>
      <c r="D4275" s="80"/>
      <c r="E4275" s="80"/>
    </row>
    <row r="4276" spans="2:5" ht="14.25" customHeight="1" x14ac:dyDescent="0.25">
      <c r="B4276" s="103"/>
      <c r="D4276" s="80"/>
      <c r="E4276" s="80"/>
    </row>
    <row r="4277" spans="2:5" ht="14.25" customHeight="1" x14ac:dyDescent="0.25">
      <c r="B4277" s="103"/>
      <c r="D4277" s="80"/>
      <c r="E4277" s="80"/>
    </row>
    <row r="4278" spans="2:5" ht="14.25" customHeight="1" x14ac:dyDescent="0.25">
      <c r="B4278" s="103"/>
      <c r="D4278" s="80"/>
      <c r="E4278" s="80"/>
    </row>
    <row r="4279" spans="2:5" ht="14.25" customHeight="1" x14ac:dyDescent="0.25">
      <c r="B4279" s="103"/>
      <c r="D4279" s="80"/>
      <c r="E4279" s="80"/>
    </row>
    <row r="4280" spans="2:5" ht="14.25" customHeight="1" x14ac:dyDescent="0.25">
      <c r="B4280" s="103"/>
      <c r="D4280" s="80"/>
      <c r="E4280" s="80"/>
    </row>
    <row r="4281" spans="2:5" ht="14.25" customHeight="1" x14ac:dyDescent="0.25">
      <c r="B4281" s="103"/>
      <c r="D4281" s="80"/>
      <c r="E4281" s="80"/>
    </row>
    <row r="4282" spans="2:5" ht="14.25" customHeight="1" x14ac:dyDescent="0.25">
      <c r="B4282" s="103"/>
      <c r="D4282" s="80"/>
      <c r="E4282" s="80"/>
    </row>
    <row r="4283" spans="2:5" ht="14.25" customHeight="1" x14ac:dyDescent="0.25">
      <c r="B4283" s="103"/>
      <c r="D4283" s="80"/>
      <c r="E4283" s="80"/>
    </row>
    <row r="4284" spans="2:5" ht="14.25" customHeight="1" x14ac:dyDescent="0.25">
      <c r="B4284" s="103"/>
      <c r="D4284" s="80"/>
      <c r="E4284" s="80"/>
    </row>
    <row r="4285" spans="2:5" ht="14.25" customHeight="1" x14ac:dyDescent="0.25">
      <c r="B4285" s="103"/>
      <c r="D4285" s="80"/>
      <c r="E4285" s="80"/>
    </row>
    <row r="4286" spans="2:5" ht="14.25" customHeight="1" x14ac:dyDescent="0.25">
      <c r="B4286" s="103"/>
      <c r="D4286" s="80"/>
      <c r="E4286" s="80"/>
    </row>
    <row r="4287" spans="2:5" ht="14.25" customHeight="1" x14ac:dyDescent="0.25">
      <c r="B4287" s="103"/>
      <c r="D4287" s="80"/>
      <c r="E4287" s="80"/>
    </row>
    <row r="4288" spans="2:5" ht="14.25" customHeight="1" x14ac:dyDescent="0.25">
      <c r="B4288" s="103"/>
      <c r="D4288" s="80"/>
      <c r="E4288" s="80"/>
    </row>
    <row r="4289" spans="2:5" ht="14.25" customHeight="1" x14ac:dyDescent="0.25">
      <c r="B4289" s="103"/>
      <c r="D4289" s="80"/>
      <c r="E4289" s="80"/>
    </row>
    <row r="4290" spans="2:5" ht="14.25" customHeight="1" x14ac:dyDescent="0.25">
      <c r="B4290" s="103"/>
      <c r="D4290" s="80"/>
      <c r="E4290" s="80"/>
    </row>
    <row r="4291" spans="2:5" ht="14.25" customHeight="1" x14ac:dyDescent="0.25">
      <c r="B4291" s="103"/>
      <c r="D4291" s="80"/>
      <c r="E4291" s="80"/>
    </row>
    <row r="4292" spans="2:5" ht="14.25" customHeight="1" x14ac:dyDescent="0.25">
      <c r="B4292" s="103"/>
      <c r="D4292" s="80"/>
      <c r="E4292" s="80"/>
    </row>
    <row r="4293" spans="2:5" ht="14.25" customHeight="1" x14ac:dyDescent="0.25">
      <c r="B4293" s="103"/>
      <c r="D4293" s="80"/>
      <c r="E4293" s="80"/>
    </row>
    <row r="4294" spans="2:5" ht="14.25" customHeight="1" x14ac:dyDescent="0.25">
      <c r="B4294" s="103"/>
      <c r="D4294" s="80"/>
      <c r="E4294" s="80"/>
    </row>
    <row r="4295" spans="2:5" ht="14.25" customHeight="1" x14ac:dyDescent="0.25">
      <c r="B4295" s="103"/>
      <c r="D4295" s="80"/>
      <c r="E4295" s="80"/>
    </row>
    <row r="4296" spans="2:5" ht="14.25" customHeight="1" x14ac:dyDescent="0.25">
      <c r="B4296" s="103"/>
      <c r="D4296" s="80"/>
      <c r="E4296" s="80"/>
    </row>
    <row r="4297" spans="2:5" ht="14.25" customHeight="1" x14ac:dyDescent="0.25">
      <c r="B4297" s="103"/>
      <c r="D4297" s="80"/>
      <c r="E4297" s="80"/>
    </row>
    <row r="4298" spans="2:5" ht="14.25" customHeight="1" x14ac:dyDescent="0.25">
      <c r="B4298" s="103"/>
      <c r="D4298" s="80"/>
      <c r="E4298" s="80"/>
    </row>
    <row r="4299" spans="2:5" ht="14.25" customHeight="1" x14ac:dyDescent="0.25">
      <c r="B4299" s="103"/>
      <c r="D4299" s="80"/>
      <c r="E4299" s="80"/>
    </row>
    <row r="4300" spans="2:5" ht="14.25" customHeight="1" x14ac:dyDescent="0.25">
      <c r="B4300" s="103"/>
      <c r="D4300" s="80"/>
      <c r="E4300" s="80"/>
    </row>
    <row r="4301" spans="2:5" ht="14.25" customHeight="1" x14ac:dyDescent="0.25">
      <c r="B4301" s="103"/>
      <c r="D4301" s="80"/>
      <c r="E4301" s="80"/>
    </row>
    <row r="4302" spans="2:5" ht="14.25" customHeight="1" x14ac:dyDescent="0.25">
      <c r="B4302" s="103"/>
      <c r="D4302" s="80"/>
      <c r="E4302" s="80"/>
    </row>
    <row r="4303" spans="2:5" ht="14.25" customHeight="1" x14ac:dyDescent="0.25">
      <c r="B4303" s="103"/>
      <c r="D4303" s="80"/>
      <c r="E4303" s="80"/>
    </row>
    <row r="4304" spans="2:5" ht="14.25" customHeight="1" x14ac:dyDescent="0.25">
      <c r="B4304" s="103"/>
      <c r="D4304" s="80"/>
      <c r="E4304" s="80"/>
    </row>
    <row r="4305" spans="2:5" ht="14.25" customHeight="1" x14ac:dyDescent="0.25">
      <c r="B4305" s="103"/>
      <c r="D4305" s="80"/>
      <c r="E4305" s="80"/>
    </row>
    <row r="4306" spans="2:5" ht="14.25" customHeight="1" x14ac:dyDescent="0.25">
      <c r="B4306" s="103"/>
      <c r="D4306" s="80"/>
      <c r="E4306" s="80"/>
    </row>
    <row r="4307" spans="2:5" ht="14.25" customHeight="1" x14ac:dyDescent="0.25">
      <c r="B4307" s="103"/>
      <c r="D4307" s="80"/>
      <c r="E4307" s="80"/>
    </row>
    <row r="4308" spans="2:5" ht="14.25" customHeight="1" x14ac:dyDescent="0.25">
      <c r="B4308" s="103"/>
      <c r="D4308" s="80"/>
      <c r="E4308" s="80"/>
    </row>
    <row r="4309" spans="2:5" ht="14.25" customHeight="1" x14ac:dyDescent="0.25">
      <c r="B4309" s="103"/>
      <c r="D4309" s="80"/>
      <c r="E4309" s="80"/>
    </row>
    <row r="4310" spans="2:5" ht="14.25" customHeight="1" x14ac:dyDescent="0.25">
      <c r="B4310" s="103"/>
      <c r="D4310" s="80"/>
      <c r="E4310" s="80"/>
    </row>
    <row r="4311" spans="2:5" ht="14.25" customHeight="1" x14ac:dyDescent="0.25">
      <c r="B4311" s="103"/>
      <c r="D4311" s="80"/>
      <c r="E4311" s="80"/>
    </row>
    <row r="4312" spans="2:5" ht="14.25" customHeight="1" x14ac:dyDescent="0.25">
      <c r="B4312" s="103"/>
      <c r="D4312" s="80"/>
      <c r="E4312" s="80"/>
    </row>
    <row r="4313" spans="2:5" ht="14.25" customHeight="1" x14ac:dyDescent="0.25">
      <c r="B4313" s="103"/>
      <c r="D4313" s="80"/>
      <c r="E4313" s="80"/>
    </row>
    <row r="4314" spans="2:5" ht="14.25" customHeight="1" x14ac:dyDescent="0.25">
      <c r="B4314" s="103"/>
      <c r="D4314" s="80"/>
      <c r="E4314" s="80"/>
    </row>
    <row r="4315" spans="2:5" ht="14.25" customHeight="1" x14ac:dyDescent="0.25">
      <c r="B4315" s="103"/>
      <c r="D4315" s="80"/>
      <c r="E4315" s="80"/>
    </row>
    <row r="4316" spans="2:5" ht="14.25" customHeight="1" x14ac:dyDescent="0.25">
      <c r="B4316" s="103"/>
      <c r="D4316" s="80"/>
      <c r="E4316" s="80"/>
    </row>
    <row r="4317" spans="2:5" ht="14.25" customHeight="1" x14ac:dyDescent="0.25">
      <c r="B4317" s="103"/>
      <c r="D4317" s="80"/>
      <c r="E4317" s="80"/>
    </row>
    <row r="4318" spans="2:5" ht="14.25" customHeight="1" x14ac:dyDescent="0.25">
      <c r="B4318" s="103"/>
      <c r="D4318" s="80"/>
      <c r="E4318" s="80"/>
    </row>
    <row r="4319" spans="2:5" ht="14.25" customHeight="1" x14ac:dyDescent="0.25">
      <c r="B4319" s="103"/>
      <c r="D4319" s="80"/>
      <c r="E4319" s="80"/>
    </row>
    <row r="4320" spans="2:5" ht="14.25" customHeight="1" x14ac:dyDescent="0.25">
      <c r="B4320" s="103"/>
      <c r="D4320" s="80"/>
      <c r="E4320" s="80"/>
    </row>
    <row r="4321" spans="2:5" ht="14.25" customHeight="1" x14ac:dyDescent="0.25">
      <c r="B4321" s="103"/>
      <c r="D4321" s="80"/>
      <c r="E4321" s="80"/>
    </row>
    <row r="4322" spans="2:5" ht="14.25" customHeight="1" x14ac:dyDescent="0.25">
      <c r="B4322" s="103"/>
      <c r="D4322" s="80"/>
      <c r="E4322" s="80"/>
    </row>
    <row r="4323" spans="2:5" ht="14.25" customHeight="1" x14ac:dyDescent="0.25">
      <c r="B4323" s="103"/>
      <c r="D4323" s="80"/>
      <c r="E4323" s="80"/>
    </row>
    <row r="4324" spans="2:5" ht="14.25" customHeight="1" x14ac:dyDescent="0.25">
      <c r="B4324" s="103"/>
      <c r="D4324" s="80"/>
      <c r="E4324" s="80"/>
    </row>
    <row r="4325" spans="2:5" ht="14.25" customHeight="1" x14ac:dyDescent="0.25">
      <c r="B4325" s="103"/>
      <c r="D4325" s="80"/>
      <c r="E4325" s="80"/>
    </row>
    <row r="4326" spans="2:5" ht="14.25" customHeight="1" x14ac:dyDescent="0.25">
      <c r="B4326" s="103"/>
      <c r="D4326" s="80"/>
      <c r="E4326" s="80"/>
    </row>
    <row r="4327" spans="2:5" ht="14.25" customHeight="1" x14ac:dyDescent="0.25">
      <c r="B4327" s="103"/>
      <c r="D4327" s="80"/>
      <c r="E4327" s="80"/>
    </row>
    <row r="4328" spans="2:5" ht="14.25" customHeight="1" x14ac:dyDescent="0.25">
      <c r="B4328" s="103"/>
      <c r="D4328" s="80"/>
      <c r="E4328" s="80"/>
    </row>
    <row r="4329" spans="2:5" ht="14.25" customHeight="1" x14ac:dyDescent="0.25">
      <c r="B4329" s="103"/>
      <c r="D4329" s="80"/>
      <c r="E4329" s="80"/>
    </row>
    <row r="4330" spans="2:5" ht="14.25" customHeight="1" x14ac:dyDescent="0.25">
      <c r="B4330" s="103"/>
      <c r="D4330" s="80"/>
      <c r="E4330" s="80"/>
    </row>
    <row r="4331" spans="2:5" ht="14.25" customHeight="1" x14ac:dyDescent="0.25">
      <c r="B4331" s="103"/>
      <c r="D4331" s="80"/>
      <c r="E4331" s="80"/>
    </row>
    <row r="4332" spans="2:5" ht="14.25" customHeight="1" x14ac:dyDescent="0.25">
      <c r="B4332" s="103"/>
      <c r="D4332" s="80"/>
      <c r="E4332" s="80"/>
    </row>
    <row r="4333" spans="2:5" ht="14.25" customHeight="1" x14ac:dyDescent="0.25">
      <c r="B4333" s="103"/>
      <c r="D4333" s="80"/>
      <c r="E4333" s="80"/>
    </row>
    <row r="4334" spans="2:5" ht="14.25" customHeight="1" x14ac:dyDescent="0.25">
      <c r="B4334" s="103"/>
      <c r="D4334" s="80"/>
      <c r="E4334" s="80"/>
    </row>
    <row r="4335" spans="2:5" ht="14.25" customHeight="1" x14ac:dyDescent="0.25">
      <c r="B4335" s="103"/>
      <c r="D4335" s="80"/>
      <c r="E4335" s="80"/>
    </row>
    <row r="4336" spans="2:5" ht="14.25" customHeight="1" x14ac:dyDescent="0.25">
      <c r="B4336" s="103"/>
      <c r="D4336" s="80"/>
      <c r="E4336" s="80"/>
    </row>
    <row r="4337" spans="2:5" ht="14.25" customHeight="1" x14ac:dyDescent="0.25">
      <c r="B4337" s="103"/>
      <c r="D4337" s="80"/>
      <c r="E4337" s="80"/>
    </row>
    <row r="4338" spans="2:5" ht="14.25" customHeight="1" x14ac:dyDescent="0.25">
      <c r="B4338" s="103"/>
      <c r="D4338" s="80"/>
      <c r="E4338" s="80"/>
    </row>
    <row r="4339" spans="2:5" ht="14.25" customHeight="1" x14ac:dyDescent="0.25">
      <c r="B4339" s="103"/>
      <c r="D4339" s="80"/>
      <c r="E4339" s="80"/>
    </row>
    <row r="4340" spans="2:5" ht="14.25" customHeight="1" x14ac:dyDescent="0.25">
      <c r="B4340" s="103"/>
      <c r="D4340" s="80"/>
      <c r="E4340" s="80"/>
    </row>
    <row r="4341" spans="2:5" ht="14.25" customHeight="1" x14ac:dyDescent="0.25">
      <c r="B4341" s="103"/>
      <c r="D4341" s="80"/>
      <c r="E4341" s="80"/>
    </row>
    <row r="4342" spans="2:5" ht="14.25" customHeight="1" x14ac:dyDescent="0.25">
      <c r="B4342" s="103"/>
      <c r="D4342" s="80"/>
      <c r="E4342" s="80"/>
    </row>
    <row r="4343" spans="2:5" ht="14.25" customHeight="1" x14ac:dyDescent="0.25">
      <c r="B4343" s="103"/>
      <c r="D4343" s="80"/>
      <c r="E4343" s="80"/>
    </row>
    <row r="4344" spans="2:5" ht="14.25" customHeight="1" x14ac:dyDescent="0.25">
      <c r="B4344" s="103"/>
      <c r="D4344" s="80"/>
      <c r="E4344" s="80"/>
    </row>
    <row r="4345" spans="2:5" ht="14.25" customHeight="1" x14ac:dyDescent="0.25">
      <c r="B4345" s="103"/>
      <c r="D4345" s="80"/>
      <c r="E4345" s="80"/>
    </row>
    <row r="4346" spans="2:5" ht="14.25" customHeight="1" x14ac:dyDescent="0.25">
      <c r="B4346" s="103"/>
      <c r="D4346" s="80"/>
      <c r="E4346" s="80"/>
    </row>
    <row r="4347" spans="2:5" ht="14.25" customHeight="1" x14ac:dyDescent="0.25">
      <c r="B4347" s="103"/>
      <c r="D4347" s="80"/>
      <c r="E4347" s="80"/>
    </row>
    <row r="4348" spans="2:5" ht="14.25" customHeight="1" x14ac:dyDescent="0.25">
      <c r="B4348" s="103"/>
      <c r="D4348" s="80"/>
      <c r="E4348" s="80"/>
    </row>
    <row r="4349" spans="2:5" ht="14.25" customHeight="1" x14ac:dyDescent="0.25">
      <c r="B4349" s="103"/>
      <c r="D4349" s="80"/>
      <c r="E4349" s="80"/>
    </row>
    <row r="4350" spans="2:5" ht="14.25" customHeight="1" x14ac:dyDescent="0.25">
      <c r="B4350" s="103"/>
      <c r="D4350" s="80"/>
      <c r="E4350" s="80"/>
    </row>
    <row r="4351" spans="2:5" ht="14.25" customHeight="1" x14ac:dyDescent="0.25">
      <c r="B4351" s="103"/>
      <c r="D4351" s="80"/>
      <c r="E4351" s="80"/>
    </row>
    <row r="4352" spans="2:5" ht="14.25" customHeight="1" x14ac:dyDescent="0.25">
      <c r="B4352" s="103"/>
      <c r="D4352" s="80"/>
      <c r="E4352" s="80"/>
    </row>
    <row r="4353" spans="2:5" ht="14.25" customHeight="1" x14ac:dyDescent="0.25">
      <c r="B4353" s="103"/>
      <c r="D4353" s="80"/>
      <c r="E4353" s="80"/>
    </row>
    <row r="4354" spans="2:5" ht="14.25" customHeight="1" x14ac:dyDescent="0.25">
      <c r="B4354" s="103"/>
      <c r="D4354" s="80"/>
      <c r="E4354" s="80"/>
    </row>
    <row r="4355" spans="2:5" ht="14.25" customHeight="1" x14ac:dyDescent="0.25">
      <c r="B4355" s="103"/>
      <c r="D4355" s="80"/>
      <c r="E4355" s="80"/>
    </row>
    <row r="4356" spans="2:5" ht="14.25" customHeight="1" x14ac:dyDescent="0.25">
      <c r="B4356" s="103"/>
      <c r="D4356" s="80"/>
      <c r="E4356" s="80"/>
    </row>
    <row r="4357" spans="2:5" ht="14.25" customHeight="1" x14ac:dyDescent="0.25">
      <c r="B4357" s="103"/>
      <c r="D4357" s="80"/>
      <c r="E4357" s="80"/>
    </row>
    <row r="4358" spans="2:5" ht="14.25" customHeight="1" x14ac:dyDescent="0.25">
      <c r="B4358" s="103"/>
      <c r="D4358" s="80"/>
      <c r="E4358" s="80"/>
    </row>
    <row r="4359" spans="2:5" ht="14.25" customHeight="1" x14ac:dyDescent="0.25">
      <c r="B4359" s="103"/>
      <c r="D4359" s="80"/>
      <c r="E4359" s="80"/>
    </row>
    <row r="4360" spans="2:5" ht="14.25" customHeight="1" x14ac:dyDescent="0.25">
      <c r="B4360" s="103"/>
      <c r="D4360" s="80"/>
      <c r="E4360" s="80"/>
    </row>
    <row r="4361" spans="2:5" ht="14.25" customHeight="1" x14ac:dyDescent="0.25">
      <c r="B4361" s="103"/>
      <c r="D4361" s="80"/>
      <c r="E4361" s="80"/>
    </row>
    <row r="4362" spans="2:5" ht="14.25" customHeight="1" x14ac:dyDescent="0.25">
      <c r="B4362" s="103"/>
      <c r="D4362" s="80"/>
      <c r="E4362" s="80"/>
    </row>
    <row r="4363" spans="2:5" ht="14.25" customHeight="1" x14ac:dyDescent="0.25">
      <c r="B4363" s="103"/>
      <c r="D4363" s="80"/>
      <c r="E4363" s="80"/>
    </row>
    <row r="4364" spans="2:5" ht="14.25" customHeight="1" x14ac:dyDescent="0.25">
      <c r="B4364" s="103"/>
      <c r="D4364" s="80"/>
      <c r="E4364" s="80"/>
    </row>
    <row r="4365" spans="2:5" ht="14.25" customHeight="1" x14ac:dyDescent="0.25">
      <c r="B4365" s="103"/>
      <c r="D4365" s="80"/>
      <c r="E4365" s="80"/>
    </row>
    <row r="4366" spans="2:5" ht="14.25" customHeight="1" x14ac:dyDescent="0.25">
      <c r="B4366" s="103"/>
      <c r="D4366" s="80"/>
      <c r="E4366" s="80"/>
    </row>
    <row r="4367" spans="2:5" ht="14.25" customHeight="1" x14ac:dyDescent="0.25">
      <c r="B4367" s="103"/>
      <c r="D4367" s="80"/>
      <c r="E4367" s="80"/>
    </row>
    <row r="4368" spans="2:5" ht="14.25" customHeight="1" x14ac:dyDescent="0.25">
      <c r="B4368" s="103"/>
      <c r="D4368" s="80"/>
      <c r="E4368" s="80"/>
    </row>
    <row r="4369" spans="2:5" ht="14.25" customHeight="1" x14ac:dyDescent="0.25">
      <c r="B4369" s="103"/>
      <c r="D4369" s="80"/>
      <c r="E4369" s="80"/>
    </row>
    <row r="4370" spans="2:5" ht="14.25" customHeight="1" x14ac:dyDescent="0.25">
      <c r="B4370" s="103"/>
      <c r="D4370" s="80"/>
      <c r="E4370" s="80"/>
    </row>
    <row r="4371" spans="2:5" ht="14.25" customHeight="1" x14ac:dyDescent="0.25">
      <c r="B4371" s="103"/>
      <c r="D4371" s="80"/>
      <c r="E4371" s="80"/>
    </row>
    <row r="4372" spans="2:5" ht="14.25" customHeight="1" x14ac:dyDescent="0.25">
      <c r="B4372" s="103"/>
      <c r="D4372" s="80"/>
      <c r="E4372" s="80"/>
    </row>
    <row r="4373" spans="2:5" ht="14.25" customHeight="1" x14ac:dyDescent="0.25">
      <c r="B4373" s="103"/>
      <c r="D4373" s="80"/>
      <c r="E4373" s="80"/>
    </row>
    <row r="4374" spans="2:5" ht="14.25" customHeight="1" x14ac:dyDescent="0.25">
      <c r="B4374" s="103"/>
      <c r="D4374" s="80"/>
      <c r="E4374" s="80"/>
    </row>
    <row r="4375" spans="2:5" ht="14.25" customHeight="1" x14ac:dyDescent="0.25">
      <c r="B4375" s="103"/>
      <c r="D4375" s="80"/>
      <c r="E4375" s="80"/>
    </row>
    <row r="4376" spans="2:5" ht="14.25" customHeight="1" x14ac:dyDescent="0.25">
      <c r="B4376" s="103"/>
      <c r="D4376" s="80"/>
      <c r="E4376" s="80"/>
    </row>
    <row r="4377" spans="2:5" ht="14.25" customHeight="1" x14ac:dyDescent="0.25">
      <c r="B4377" s="103"/>
      <c r="D4377" s="80"/>
      <c r="E4377" s="80"/>
    </row>
    <row r="4378" spans="2:5" ht="14.25" customHeight="1" x14ac:dyDescent="0.25">
      <c r="B4378" s="103"/>
      <c r="D4378" s="80"/>
      <c r="E4378" s="80"/>
    </row>
    <row r="4379" spans="2:5" ht="14.25" customHeight="1" x14ac:dyDescent="0.25">
      <c r="B4379" s="103"/>
      <c r="D4379" s="80"/>
      <c r="E4379" s="80"/>
    </row>
    <row r="4380" spans="2:5" ht="14.25" customHeight="1" x14ac:dyDescent="0.25">
      <c r="B4380" s="103"/>
      <c r="D4380" s="80"/>
      <c r="E4380" s="80"/>
    </row>
    <row r="4381" spans="2:5" ht="14.25" customHeight="1" x14ac:dyDescent="0.25">
      <c r="B4381" s="103"/>
      <c r="D4381" s="80"/>
      <c r="E4381" s="80"/>
    </row>
    <row r="4382" spans="2:5" ht="14.25" customHeight="1" x14ac:dyDescent="0.25">
      <c r="B4382" s="103"/>
      <c r="D4382" s="80"/>
      <c r="E4382" s="80"/>
    </row>
    <row r="4383" spans="2:5" ht="14.25" customHeight="1" x14ac:dyDescent="0.25">
      <c r="B4383" s="103"/>
      <c r="D4383" s="80"/>
      <c r="E4383" s="80"/>
    </row>
    <row r="4384" spans="2:5" ht="14.25" customHeight="1" x14ac:dyDescent="0.25">
      <c r="B4384" s="103"/>
      <c r="D4384" s="80"/>
      <c r="E4384" s="80"/>
    </row>
    <row r="4385" spans="2:5" ht="14.25" customHeight="1" x14ac:dyDescent="0.25">
      <c r="B4385" s="103"/>
      <c r="D4385" s="80"/>
      <c r="E4385" s="80"/>
    </row>
    <row r="4386" spans="2:5" ht="14.25" customHeight="1" x14ac:dyDescent="0.25">
      <c r="B4386" s="103"/>
      <c r="D4386" s="80"/>
      <c r="E4386" s="80"/>
    </row>
    <row r="4387" spans="2:5" ht="14.25" customHeight="1" x14ac:dyDescent="0.25">
      <c r="B4387" s="103"/>
      <c r="D4387" s="80"/>
      <c r="E4387" s="80"/>
    </row>
    <row r="4388" spans="2:5" ht="14.25" customHeight="1" x14ac:dyDescent="0.25">
      <c r="B4388" s="103"/>
      <c r="D4388" s="80"/>
      <c r="E4388" s="80"/>
    </row>
    <row r="4389" spans="2:5" ht="14.25" customHeight="1" x14ac:dyDescent="0.25">
      <c r="B4389" s="103"/>
      <c r="D4389" s="80"/>
      <c r="E4389" s="80"/>
    </row>
    <row r="4390" spans="2:5" ht="14.25" customHeight="1" x14ac:dyDescent="0.25">
      <c r="B4390" s="103"/>
      <c r="D4390" s="80"/>
      <c r="E4390" s="80"/>
    </row>
    <row r="4391" spans="2:5" ht="14.25" customHeight="1" x14ac:dyDescent="0.25">
      <c r="B4391" s="103"/>
      <c r="D4391" s="80"/>
      <c r="E4391" s="80"/>
    </row>
    <row r="4392" spans="2:5" ht="14.25" customHeight="1" x14ac:dyDescent="0.25">
      <c r="B4392" s="103"/>
      <c r="D4392" s="80"/>
      <c r="E4392" s="80"/>
    </row>
    <row r="4393" spans="2:5" ht="14.25" customHeight="1" x14ac:dyDescent="0.25">
      <c r="B4393" s="103"/>
      <c r="D4393" s="80"/>
      <c r="E4393" s="80"/>
    </row>
    <row r="4394" spans="2:5" ht="14.25" customHeight="1" x14ac:dyDescent="0.25">
      <c r="B4394" s="103"/>
      <c r="D4394" s="80"/>
      <c r="E4394" s="80"/>
    </row>
    <row r="4395" spans="2:5" ht="14.25" customHeight="1" x14ac:dyDescent="0.25">
      <c r="B4395" s="103"/>
      <c r="D4395" s="80"/>
      <c r="E4395" s="80"/>
    </row>
    <row r="4396" spans="2:5" ht="14.25" customHeight="1" x14ac:dyDescent="0.25">
      <c r="B4396" s="103"/>
      <c r="D4396" s="80"/>
      <c r="E4396" s="80"/>
    </row>
    <row r="4397" spans="2:5" ht="14.25" customHeight="1" x14ac:dyDescent="0.25">
      <c r="B4397" s="103"/>
      <c r="D4397" s="80"/>
      <c r="E4397" s="80"/>
    </row>
    <row r="4398" spans="2:5" ht="14.25" customHeight="1" x14ac:dyDescent="0.25">
      <c r="B4398" s="103"/>
      <c r="D4398" s="80"/>
      <c r="E4398" s="80"/>
    </row>
    <row r="4399" spans="2:5" ht="14.25" customHeight="1" x14ac:dyDescent="0.25">
      <c r="B4399" s="103"/>
      <c r="D4399" s="80"/>
      <c r="E4399" s="80"/>
    </row>
    <row r="4400" spans="2:5" ht="14.25" customHeight="1" x14ac:dyDescent="0.25">
      <c r="B4400" s="103"/>
      <c r="D4400" s="80"/>
      <c r="E4400" s="80"/>
    </row>
    <row r="4401" spans="2:5" ht="14.25" customHeight="1" x14ac:dyDescent="0.25">
      <c r="B4401" s="103"/>
      <c r="D4401" s="80"/>
      <c r="E4401" s="80"/>
    </row>
    <row r="4402" spans="2:5" ht="14.25" customHeight="1" x14ac:dyDescent="0.25">
      <c r="B4402" s="103"/>
      <c r="D4402" s="80"/>
      <c r="E4402" s="80"/>
    </row>
    <row r="4403" spans="2:5" ht="14.25" customHeight="1" x14ac:dyDescent="0.25">
      <c r="B4403" s="103"/>
      <c r="D4403" s="80"/>
      <c r="E4403" s="80"/>
    </row>
    <row r="4404" spans="2:5" ht="14.25" customHeight="1" x14ac:dyDescent="0.25">
      <c r="B4404" s="103"/>
      <c r="D4404" s="80"/>
      <c r="E4404" s="80"/>
    </row>
    <row r="4405" spans="2:5" ht="14.25" customHeight="1" x14ac:dyDescent="0.25">
      <c r="B4405" s="103"/>
      <c r="D4405" s="80"/>
      <c r="E4405" s="80"/>
    </row>
    <row r="4406" spans="2:5" ht="14.25" customHeight="1" x14ac:dyDescent="0.25">
      <c r="B4406" s="103"/>
      <c r="D4406" s="80"/>
      <c r="E4406" s="80"/>
    </row>
    <row r="4407" spans="2:5" ht="14.25" customHeight="1" x14ac:dyDescent="0.25">
      <c r="B4407" s="103"/>
      <c r="D4407" s="80"/>
      <c r="E4407" s="80"/>
    </row>
    <row r="4408" spans="2:5" ht="14.25" customHeight="1" x14ac:dyDescent="0.25">
      <c r="B4408" s="103"/>
      <c r="D4408" s="80"/>
      <c r="E4408" s="80"/>
    </row>
    <row r="4409" spans="2:5" ht="14.25" customHeight="1" x14ac:dyDescent="0.25">
      <c r="B4409" s="103"/>
      <c r="D4409" s="80"/>
      <c r="E4409" s="80"/>
    </row>
    <row r="4410" spans="2:5" ht="14.25" customHeight="1" x14ac:dyDescent="0.25">
      <c r="B4410" s="103"/>
      <c r="D4410" s="80"/>
      <c r="E4410" s="80"/>
    </row>
    <row r="4411" spans="2:5" ht="14.25" customHeight="1" x14ac:dyDescent="0.25">
      <c r="B4411" s="103"/>
      <c r="D4411" s="80"/>
      <c r="E4411" s="80"/>
    </row>
    <row r="4412" spans="2:5" ht="14.25" customHeight="1" x14ac:dyDescent="0.25">
      <c r="B4412" s="103"/>
      <c r="D4412" s="80"/>
      <c r="E4412" s="80"/>
    </row>
    <row r="4413" spans="2:5" ht="14.25" customHeight="1" x14ac:dyDescent="0.25">
      <c r="B4413" s="103"/>
      <c r="D4413" s="80"/>
      <c r="E4413" s="80"/>
    </row>
    <row r="4414" spans="2:5" ht="14.25" customHeight="1" x14ac:dyDescent="0.25">
      <c r="B4414" s="103"/>
      <c r="D4414" s="80"/>
      <c r="E4414" s="80"/>
    </row>
    <row r="4415" spans="2:5" ht="14.25" customHeight="1" x14ac:dyDescent="0.25">
      <c r="B4415" s="103"/>
      <c r="D4415" s="80"/>
      <c r="E4415" s="80"/>
    </row>
    <row r="4416" spans="2:5" ht="14.25" customHeight="1" x14ac:dyDescent="0.25">
      <c r="B4416" s="103"/>
      <c r="D4416" s="80"/>
      <c r="E4416" s="80"/>
    </row>
    <row r="4417" spans="2:5" ht="14.25" customHeight="1" x14ac:dyDescent="0.25">
      <c r="B4417" s="103"/>
      <c r="D4417" s="80"/>
      <c r="E4417" s="80"/>
    </row>
    <row r="4418" spans="2:5" ht="14.25" customHeight="1" x14ac:dyDescent="0.25">
      <c r="B4418" s="103"/>
      <c r="D4418" s="80"/>
      <c r="E4418" s="80"/>
    </row>
    <row r="4419" spans="2:5" ht="14.25" customHeight="1" x14ac:dyDescent="0.25">
      <c r="B4419" s="103"/>
      <c r="D4419" s="80"/>
      <c r="E4419" s="80"/>
    </row>
    <row r="4420" spans="2:5" ht="14.25" customHeight="1" x14ac:dyDescent="0.25">
      <c r="B4420" s="103"/>
      <c r="D4420" s="80"/>
      <c r="E4420" s="80"/>
    </row>
    <row r="4421" spans="2:5" ht="14.25" customHeight="1" x14ac:dyDescent="0.25">
      <c r="B4421" s="103"/>
      <c r="D4421" s="80"/>
      <c r="E4421" s="80"/>
    </row>
    <row r="4422" spans="2:5" ht="14.25" customHeight="1" x14ac:dyDescent="0.25">
      <c r="B4422" s="103"/>
      <c r="D4422" s="80"/>
      <c r="E4422" s="80"/>
    </row>
    <row r="4423" spans="2:5" ht="14.25" customHeight="1" x14ac:dyDescent="0.25">
      <c r="B4423" s="103"/>
      <c r="D4423" s="80"/>
      <c r="E4423" s="80"/>
    </row>
    <row r="4424" spans="2:5" ht="14.25" customHeight="1" x14ac:dyDescent="0.25">
      <c r="B4424" s="103"/>
      <c r="D4424" s="80"/>
      <c r="E4424" s="80"/>
    </row>
    <row r="4425" spans="2:5" ht="14.25" customHeight="1" x14ac:dyDescent="0.25">
      <c r="B4425" s="103"/>
      <c r="D4425" s="80"/>
      <c r="E4425" s="80"/>
    </row>
    <row r="4426" spans="2:5" ht="14.25" customHeight="1" x14ac:dyDescent="0.25">
      <c r="B4426" s="103"/>
      <c r="D4426" s="80"/>
      <c r="E4426" s="80"/>
    </row>
    <row r="4427" spans="2:5" ht="14.25" customHeight="1" x14ac:dyDescent="0.25">
      <c r="B4427" s="103"/>
      <c r="D4427" s="80"/>
      <c r="E4427" s="80"/>
    </row>
    <row r="4428" spans="2:5" ht="14.25" customHeight="1" x14ac:dyDescent="0.25">
      <c r="B4428" s="103"/>
      <c r="D4428" s="80"/>
      <c r="E4428" s="80"/>
    </row>
    <row r="4429" spans="2:5" ht="14.25" customHeight="1" x14ac:dyDescent="0.25">
      <c r="B4429" s="103"/>
      <c r="D4429" s="80"/>
      <c r="E4429" s="80"/>
    </row>
    <row r="4430" spans="2:5" ht="14.25" customHeight="1" x14ac:dyDescent="0.25">
      <c r="B4430" s="103"/>
      <c r="D4430" s="80"/>
      <c r="E4430" s="80"/>
    </row>
    <row r="4431" spans="2:5" ht="14.25" customHeight="1" x14ac:dyDescent="0.25">
      <c r="B4431" s="103"/>
      <c r="D4431" s="80"/>
      <c r="E4431" s="80"/>
    </row>
    <row r="4432" spans="2:5" ht="14.25" customHeight="1" x14ac:dyDescent="0.25">
      <c r="B4432" s="103"/>
      <c r="D4432" s="80"/>
      <c r="E4432" s="80"/>
    </row>
    <row r="4433" spans="2:5" ht="14.25" customHeight="1" x14ac:dyDescent="0.25">
      <c r="B4433" s="103"/>
      <c r="D4433" s="80"/>
      <c r="E4433" s="80"/>
    </row>
    <row r="4434" spans="2:5" ht="14.25" customHeight="1" x14ac:dyDescent="0.25">
      <c r="B4434" s="103"/>
      <c r="D4434" s="80"/>
      <c r="E4434" s="80"/>
    </row>
    <row r="4435" spans="2:5" ht="14.25" customHeight="1" x14ac:dyDescent="0.25">
      <c r="B4435" s="103"/>
      <c r="D4435" s="80"/>
      <c r="E4435" s="80"/>
    </row>
    <row r="4436" spans="2:5" ht="14.25" customHeight="1" x14ac:dyDescent="0.25">
      <c r="B4436" s="103"/>
      <c r="D4436" s="80"/>
      <c r="E4436" s="80"/>
    </row>
    <row r="4437" spans="2:5" ht="14.25" customHeight="1" x14ac:dyDescent="0.25">
      <c r="B4437" s="103"/>
      <c r="D4437" s="80"/>
      <c r="E4437" s="80"/>
    </row>
    <row r="4438" spans="2:5" ht="14.25" customHeight="1" x14ac:dyDescent="0.25">
      <c r="B4438" s="103"/>
      <c r="D4438" s="80"/>
      <c r="E4438" s="80"/>
    </row>
    <row r="4439" spans="2:5" ht="14.25" customHeight="1" x14ac:dyDescent="0.25">
      <c r="B4439" s="103"/>
      <c r="D4439" s="80"/>
      <c r="E4439" s="80"/>
    </row>
    <row r="4440" spans="2:5" ht="14.25" customHeight="1" x14ac:dyDescent="0.25">
      <c r="B4440" s="103"/>
      <c r="D4440" s="80"/>
      <c r="E4440" s="80"/>
    </row>
    <row r="4441" spans="2:5" ht="14.25" customHeight="1" x14ac:dyDescent="0.25">
      <c r="B4441" s="103"/>
      <c r="D4441" s="80"/>
      <c r="E4441" s="80"/>
    </row>
    <row r="4442" spans="2:5" ht="14.25" customHeight="1" x14ac:dyDescent="0.25">
      <c r="B4442" s="103"/>
      <c r="D4442" s="80"/>
      <c r="E4442" s="80"/>
    </row>
    <row r="4443" spans="2:5" ht="14.25" customHeight="1" x14ac:dyDescent="0.25">
      <c r="B4443" s="103"/>
      <c r="D4443" s="80"/>
      <c r="E4443" s="80"/>
    </row>
    <row r="4444" spans="2:5" ht="14.25" customHeight="1" x14ac:dyDescent="0.25">
      <c r="B4444" s="103"/>
      <c r="D4444" s="80"/>
      <c r="E4444" s="80"/>
    </row>
    <row r="4445" spans="2:5" ht="14.25" customHeight="1" x14ac:dyDescent="0.25">
      <c r="B4445" s="103"/>
      <c r="D4445" s="80"/>
      <c r="E4445" s="80"/>
    </row>
    <row r="4446" spans="2:5" ht="14.25" customHeight="1" x14ac:dyDescent="0.25">
      <c r="B4446" s="103"/>
      <c r="D4446" s="80"/>
      <c r="E4446" s="80"/>
    </row>
    <row r="4447" spans="2:5" ht="14.25" customHeight="1" x14ac:dyDescent="0.25">
      <c r="B4447" s="103"/>
      <c r="D4447" s="80"/>
      <c r="E4447" s="80"/>
    </row>
    <row r="4448" spans="2:5" ht="14.25" customHeight="1" x14ac:dyDescent="0.25">
      <c r="B4448" s="103"/>
      <c r="D4448" s="80"/>
      <c r="E4448" s="80"/>
    </row>
    <row r="4449" spans="2:5" ht="14.25" customHeight="1" x14ac:dyDescent="0.25">
      <c r="B4449" s="103"/>
      <c r="D4449" s="80"/>
      <c r="E4449" s="80"/>
    </row>
    <row r="4450" spans="2:5" ht="14.25" customHeight="1" x14ac:dyDescent="0.25">
      <c r="B4450" s="103"/>
      <c r="D4450" s="80"/>
      <c r="E4450" s="80"/>
    </row>
    <row r="4451" spans="2:5" ht="14.25" customHeight="1" x14ac:dyDescent="0.25">
      <c r="B4451" s="103"/>
      <c r="D4451" s="80"/>
      <c r="E4451" s="80"/>
    </row>
    <row r="4452" spans="2:5" ht="14.25" customHeight="1" x14ac:dyDescent="0.25">
      <c r="B4452" s="103"/>
      <c r="D4452" s="80"/>
      <c r="E4452" s="80"/>
    </row>
    <row r="4453" spans="2:5" ht="14.25" customHeight="1" x14ac:dyDescent="0.25">
      <c r="B4453" s="103"/>
      <c r="D4453" s="80"/>
      <c r="E4453" s="80"/>
    </row>
    <row r="4454" spans="2:5" ht="14.25" customHeight="1" x14ac:dyDescent="0.25">
      <c r="B4454" s="103"/>
      <c r="D4454" s="80"/>
      <c r="E4454" s="80"/>
    </row>
    <row r="4455" spans="2:5" ht="14.25" customHeight="1" x14ac:dyDescent="0.25">
      <c r="B4455" s="103"/>
      <c r="D4455" s="80"/>
      <c r="E4455" s="80"/>
    </row>
    <row r="4456" spans="2:5" ht="14.25" customHeight="1" x14ac:dyDescent="0.25">
      <c r="B4456" s="103"/>
      <c r="D4456" s="80"/>
      <c r="E4456" s="80"/>
    </row>
    <row r="4457" spans="2:5" ht="14.25" customHeight="1" x14ac:dyDescent="0.25">
      <c r="B4457" s="103"/>
      <c r="D4457" s="80"/>
      <c r="E4457" s="80"/>
    </row>
    <row r="4458" spans="2:5" ht="14.25" customHeight="1" x14ac:dyDescent="0.25">
      <c r="B4458" s="103"/>
      <c r="D4458" s="80"/>
      <c r="E4458" s="80"/>
    </row>
    <row r="4459" spans="2:5" ht="14.25" customHeight="1" x14ac:dyDescent="0.25">
      <c r="B4459" s="103"/>
      <c r="D4459" s="80"/>
      <c r="E4459" s="80"/>
    </row>
    <row r="4460" spans="2:5" ht="14.25" customHeight="1" x14ac:dyDescent="0.25">
      <c r="B4460" s="103"/>
      <c r="D4460" s="80"/>
      <c r="E4460" s="80"/>
    </row>
    <row r="4461" spans="2:5" ht="14.25" customHeight="1" x14ac:dyDescent="0.25">
      <c r="B4461" s="103"/>
      <c r="D4461" s="80"/>
      <c r="E4461" s="80"/>
    </row>
    <row r="4462" spans="2:5" ht="14.25" customHeight="1" x14ac:dyDescent="0.25">
      <c r="B4462" s="103"/>
      <c r="D4462" s="80"/>
      <c r="E4462" s="80"/>
    </row>
    <row r="4463" spans="2:5" ht="14.25" customHeight="1" x14ac:dyDescent="0.25">
      <c r="B4463" s="103"/>
      <c r="D4463" s="80"/>
      <c r="E4463" s="80"/>
    </row>
    <row r="4464" spans="2:5" ht="14.25" customHeight="1" x14ac:dyDescent="0.25">
      <c r="B4464" s="103"/>
      <c r="D4464" s="80"/>
      <c r="E4464" s="80"/>
    </row>
    <row r="4465" spans="2:5" ht="14.25" customHeight="1" x14ac:dyDescent="0.25">
      <c r="B4465" s="103"/>
      <c r="D4465" s="80"/>
      <c r="E4465" s="80"/>
    </row>
    <row r="4466" spans="2:5" ht="14.25" customHeight="1" x14ac:dyDescent="0.25">
      <c r="B4466" s="103"/>
      <c r="D4466" s="80"/>
      <c r="E4466" s="80"/>
    </row>
    <row r="4467" spans="2:5" ht="14.25" customHeight="1" x14ac:dyDescent="0.25">
      <c r="B4467" s="103"/>
      <c r="D4467" s="80"/>
      <c r="E4467" s="80"/>
    </row>
    <row r="4468" spans="2:5" ht="14.25" customHeight="1" x14ac:dyDescent="0.25">
      <c r="B4468" s="103"/>
      <c r="D4468" s="80"/>
      <c r="E4468" s="80"/>
    </row>
    <row r="4469" spans="2:5" ht="14.25" customHeight="1" x14ac:dyDescent="0.25">
      <c r="B4469" s="103"/>
      <c r="D4469" s="80"/>
      <c r="E4469" s="80"/>
    </row>
    <row r="4470" spans="2:5" ht="14.25" customHeight="1" x14ac:dyDescent="0.25">
      <c r="B4470" s="103"/>
      <c r="D4470" s="80"/>
      <c r="E4470" s="80"/>
    </row>
    <row r="4471" spans="2:5" ht="14.25" customHeight="1" x14ac:dyDescent="0.25">
      <c r="B4471" s="103"/>
      <c r="D4471" s="80"/>
      <c r="E4471" s="80"/>
    </row>
    <row r="4472" spans="2:5" ht="14.25" customHeight="1" x14ac:dyDescent="0.25">
      <c r="B4472" s="103"/>
      <c r="D4472" s="80"/>
      <c r="E4472" s="80"/>
    </row>
    <row r="4473" spans="2:5" ht="14.25" customHeight="1" x14ac:dyDescent="0.25">
      <c r="B4473" s="103"/>
      <c r="D4473" s="80"/>
      <c r="E4473" s="80"/>
    </row>
    <row r="4474" spans="2:5" ht="14.25" customHeight="1" x14ac:dyDescent="0.25">
      <c r="B4474" s="103"/>
      <c r="D4474" s="80"/>
      <c r="E4474" s="80"/>
    </row>
    <row r="4475" spans="2:5" ht="14.25" customHeight="1" x14ac:dyDescent="0.25">
      <c r="B4475" s="103"/>
      <c r="D4475" s="80"/>
      <c r="E4475" s="80"/>
    </row>
    <row r="4476" spans="2:5" ht="14.25" customHeight="1" x14ac:dyDescent="0.25">
      <c r="B4476" s="103"/>
      <c r="D4476" s="80"/>
      <c r="E4476" s="80"/>
    </row>
    <row r="4477" spans="2:5" ht="14.25" customHeight="1" x14ac:dyDescent="0.25">
      <c r="B4477" s="103"/>
      <c r="D4477" s="80"/>
      <c r="E4477" s="80"/>
    </row>
    <row r="4478" spans="2:5" ht="14.25" customHeight="1" x14ac:dyDescent="0.25">
      <c r="B4478" s="103"/>
      <c r="D4478" s="80"/>
      <c r="E4478" s="80"/>
    </row>
    <row r="4479" spans="2:5" ht="14.25" customHeight="1" x14ac:dyDescent="0.25">
      <c r="B4479" s="103"/>
      <c r="D4479" s="80"/>
      <c r="E4479" s="80"/>
    </row>
    <row r="4480" spans="2:5" ht="14.25" customHeight="1" x14ac:dyDescent="0.25">
      <c r="B4480" s="103"/>
      <c r="D4480" s="80"/>
      <c r="E4480" s="80"/>
    </row>
    <row r="4481" spans="2:5" ht="14.25" customHeight="1" x14ac:dyDescent="0.25">
      <c r="B4481" s="103"/>
      <c r="D4481" s="80"/>
      <c r="E4481" s="80"/>
    </row>
    <row r="4482" spans="2:5" ht="14.25" customHeight="1" x14ac:dyDescent="0.25">
      <c r="B4482" s="103"/>
      <c r="D4482" s="80"/>
      <c r="E4482" s="80"/>
    </row>
    <row r="4483" spans="2:5" ht="14.25" customHeight="1" x14ac:dyDescent="0.25">
      <c r="B4483" s="103"/>
      <c r="D4483" s="80"/>
      <c r="E4483" s="80"/>
    </row>
    <row r="4484" spans="2:5" ht="14.25" customHeight="1" x14ac:dyDescent="0.25">
      <c r="B4484" s="103"/>
      <c r="D4484" s="80"/>
      <c r="E4484" s="80"/>
    </row>
    <row r="4485" spans="2:5" ht="14.25" customHeight="1" x14ac:dyDescent="0.25">
      <c r="B4485" s="103"/>
      <c r="D4485" s="80"/>
      <c r="E4485" s="80"/>
    </row>
    <row r="4486" spans="2:5" ht="14.25" customHeight="1" x14ac:dyDescent="0.25">
      <c r="B4486" s="103"/>
      <c r="D4486" s="80"/>
      <c r="E4486" s="80"/>
    </row>
    <row r="4487" spans="2:5" ht="14.25" customHeight="1" x14ac:dyDescent="0.25">
      <c r="B4487" s="103"/>
      <c r="D4487" s="80"/>
      <c r="E4487" s="80"/>
    </row>
    <row r="4488" spans="2:5" ht="14.25" customHeight="1" x14ac:dyDescent="0.25">
      <c r="B4488" s="103"/>
      <c r="D4488" s="80"/>
      <c r="E4488" s="80"/>
    </row>
    <row r="4489" spans="2:5" ht="14.25" customHeight="1" x14ac:dyDescent="0.25">
      <c r="B4489" s="103"/>
      <c r="D4489" s="80"/>
      <c r="E4489" s="80"/>
    </row>
    <row r="4490" spans="2:5" ht="14.25" customHeight="1" x14ac:dyDescent="0.25">
      <c r="B4490" s="103"/>
      <c r="D4490" s="80"/>
      <c r="E4490" s="80"/>
    </row>
    <row r="4491" spans="2:5" ht="14.25" customHeight="1" x14ac:dyDescent="0.25">
      <c r="B4491" s="103"/>
      <c r="D4491" s="80"/>
      <c r="E4491" s="80"/>
    </row>
    <row r="4492" spans="2:5" ht="14.25" customHeight="1" x14ac:dyDescent="0.25">
      <c r="B4492" s="103"/>
      <c r="D4492" s="80"/>
      <c r="E4492" s="80"/>
    </row>
    <row r="4493" spans="2:5" ht="14.25" customHeight="1" x14ac:dyDescent="0.25">
      <c r="B4493" s="103"/>
      <c r="D4493" s="80"/>
      <c r="E4493" s="80"/>
    </row>
    <row r="4494" spans="2:5" ht="14.25" customHeight="1" x14ac:dyDescent="0.25">
      <c r="B4494" s="103"/>
      <c r="D4494" s="80"/>
      <c r="E4494" s="80"/>
    </row>
    <row r="4495" spans="2:5" ht="14.25" customHeight="1" x14ac:dyDescent="0.25">
      <c r="B4495" s="103"/>
      <c r="D4495" s="80"/>
      <c r="E4495" s="80"/>
    </row>
    <row r="4496" spans="2:5" ht="14.25" customHeight="1" x14ac:dyDescent="0.25">
      <c r="B4496" s="103"/>
      <c r="D4496" s="80"/>
      <c r="E4496" s="80"/>
    </row>
    <row r="4497" spans="2:5" ht="14.25" customHeight="1" x14ac:dyDescent="0.25">
      <c r="B4497" s="103"/>
      <c r="D4497" s="80"/>
      <c r="E4497" s="80"/>
    </row>
    <row r="4498" spans="2:5" ht="14.25" customHeight="1" x14ac:dyDescent="0.25">
      <c r="B4498" s="103"/>
      <c r="D4498" s="80"/>
      <c r="E4498" s="80"/>
    </row>
    <row r="4499" spans="2:5" ht="14.25" customHeight="1" x14ac:dyDescent="0.25">
      <c r="B4499" s="103"/>
      <c r="D4499" s="80"/>
      <c r="E4499" s="80"/>
    </row>
    <row r="4500" spans="2:5" ht="14.25" customHeight="1" x14ac:dyDescent="0.25">
      <c r="B4500" s="103"/>
      <c r="D4500" s="80"/>
      <c r="E4500" s="80"/>
    </row>
    <row r="4501" spans="2:5" ht="14.25" customHeight="1" x14ac:dyDescent="0.25">
      <c r="B4501" s="103"/>
      <c r="D4501" s="80"/>
      <c r="E4501" s="80"/>
    </row>
    <row r="4502" spans="2:5" ht="14.25" customHeight="1" x14ac:dyDescent="0.25">
      <c r="B4502" s="103"/>
      <c r="D4502" s="80"/>
      <c r="E4502" s="80"/>
    </row>
    <row r="4503" spans="2:5" ht="14.25" customHeight="1" x14ac:dyDescent="0.25">
      <c r="B4503" s="103"/>
      <c r="D4503" s="80"/>
      <c r="E4503" s="80"/>
    </row>
    <row r="4504" spans="2:5" ht="14.25" customHeight="1" x14ac:dyDescent="0.25">
      <c r="B4504" s="103"/>
      <c r="D4504" s="80"/>
      <c r="E4504" s="80"/>
    </row>
    <row r="4505" spans="2:5" ht="14.25" customHeight="1" x14ac:dyDescent="0.25">
      <c r="B4505" s="103"/>
      <c r="D4505" s="80"/>
      <c r="E4505" s="80"/>
    </row>
    <row r="4506" spans="2:5" ht="14.25" customHeight="1" x14ac:dyDescent="0.25">
      <c r="B4506" s="103"/>
      <c r="D4506" s="80"/>
      <c r="E4506" s="80"/>
    </row>
    <row r="4507" spans="2:5" ht="14.25" customHeight="1" x14ac:dyDescent="0.25">
      <c r="B4507" s="103"/>
      <c r="D4507" s="80"/>
      <c r="E4507" s="80"/>
    </row>
    <row r="4508" spans="2:5" ht="14.25" customHeight="1" x14ac:dyDescent="0.25">
      <c r="B4508" s="103"/>
      <c r="D4508" s="80"/>
      <c r="E4508" s="80"/>
    </row>
    <row r="4509" spans="2:5" ht="14.25" customHeight="1" x14ac:dyDescent="0.25">
      <c r="B4509" s="103"/>
      <c r="D4509" s="80"/>
      <c r="E4509" s="80"/>
    </row>
    <row r="4510" spans="2:5" ht="14.25" customHeight="1" x14ac:dyDescent="0.25">
      <c r="B4510" s="103"/>
      <c r="D4510" s="80"/>
      <c r="E4510" s="80"/>
    </row>
    <row r="4511" spans="2:5" ht="14.25" customHeight="1" x14ac:dyDescent="0.25">
      <c r="B4511" s="103"/>
      <c r="D4511" s="80"/>
      <c r="E4511" s="80"/>
    </row>
    <row r="4512" spans="2:5" ht="14.25" customHeight="1" x14ac:dyDescent="0.25">
      <c r="B4512" s="103"/>
      <c r="D4512" s="80"/>
      <c r="E4512" s="80"/>
    </row>
    <row r="4513" spans="2:5" ht="14.25" customHeight="1" x14ac:dyDescent="0.25">
      <c r="B4513" s="103"/>
      <c r="D4513" s="80"/>
      <c r="E4513" s="80"/>
    </row>
    <row r="4514" spans="2:5" ht="14.25" customHeight="1" x14ac:dyDescent="0.25">
      <c r="B4514" s="103"/>
      <c r="D4514" s="80"/>
      <c r="E4514" s="80"/>
    </row>
    <row r="4515" spans="2:5" ht="14.25" customHeight="1" x14ac:dyDescent="0.25">
      <c r="B4515" s="103"/>
      <c r="D4515" s="80"/>
      <c r="E4515" s="80"/>
    </row>
    <row r="4516" spans="2:5" ht="14.25" customHeight="1" x14ac:dyDescent="0.25">
      <c r="B4516" s="103"/>
      <c r="D4516" s="80"/>
      <c r="E4516" s="80"/>
    </row>
    <row r="4517" spans="2:5" ht="14.25" customHeight="1" x14ac:dyDescent="0.25">
      <c r="B4517" s="103"/>
      <c r="D4517" s="80"/>
      <c r="E4517" s="80"/>
    </row>
    <row r="4518" spans="2:5" ht="14.25" customHeight="1" x14ac:dyDescent="0.25">
      <c r="B4518" s="103"/>
      <c r="D4518" s="80"/>
      <c r="E4518" s="80"/>
    </row>
    <row r="4519" spans="2:5" ht="14.25" customHeight="1" x14ac:dyDescent="0.25">
      <c r="B4519" s="103"/>
      <c r="D4519" s="80"/>
      <c r="E4519" s="80"/>
    </row>
    <row r="4520" spans="2:5" ht="14.25" customHeight="1" x14ac:dyDescent="0.25">
      <c r="B4520" s="103"/>
      <c r="D4520" s="80"/>
      <c r="E4520" s="80"/>
    </row>
    <row r="4521" spans="2:5" ht="14.25" customHeight="1" x14ac:dyDescent="0.25">
      <c r="B4521" s="103"/>
      <c r="D4521" s="80"/>
      <c r="E4521" s="80"/>
    </row>
    <row r="4522" spans="2:5" ht="14.25" customHeight="1" x14ac:dyDescent="0.25">
      <c r="B4522" s="103"/>
      <c r="D4522" s="80"/>
      <c r="E4522" s="80"/>
    </row>
    <row r="4523" spans="2:5" ht="14.25" customHeight="1" x14ac:dyDescent="0.25">
      <c r="B4523" s="103"/>
      <c r="D4523" s="80"/>
      <c r="E4523" s="80"/>
    </row>
    <row r="4524" spans="2:5" ht="14.25" customHeight="1" x14ac:dyDescent="0.25">
      <c r="B4524" s="103"/>
      <c r="D4524" s="80"/>
      <c r="E4524" s="80"/>
    </row>
    <row r="4525" spans="2:5" ht="14.25" customHeight="1" x14ac:dyDescent="0.25">
      <c r="B4525" s="103"/>
      <c r="D4525" s="80"/>
      <c r="E4525" s="80"/>
    </row>
    <row r="4526" spans="2:5" ht="14.25" customHeight="1" x14ac:dyDescent="0.25">
      <c r="B4526" s="103"/>
      <c r="D4526" s="80"/>
      <c r="E4526" s="80"/>
    </row>
    <row r="4527" spans="2:5" ht="14.25" customHeight="1" x14ac:dyDescent="0.25">
      <c r="B4527" s="103"/>
      <c r="D4527" s="80"/>
      <c r="E4527" s="80"/>
    </row>
    <row r="4528" spans="2:5" ht="14.25" customHeight="1" x14ac:dyDescent="0.25">
      <c r="B4528" s="103"/>
      <c r="D4528" s="80"/>
      <c r="E4528" s="80"/>
    </row>
    <row r="4529" spans="2:5" ht="14.25" customHeight="1" x14ac:dyDescent="0.25">
      <c r="B4529" s="103"/>
      <c r="D4529" s="80"/>
      <c r="E4529" s="80"/>
    </row>
    <row r="4530" spans="2:5" ht="14.25" customHeight="1" x14ac:dyDescent="0.25">
      <c r="B4530" s="103"/>
      <c r="D4530" s="80"/>
      <c r="E4530" s="80"/>
    </row>
    <row r="4531" spans="2:5" ht="14.25" customHeight="1" x14ac:dyDescent="0.25">
      <c r="B4531" s="103"/>
      <c r="D4531" s="80"/>
      <c r="E4531" s="80"/>
    </row>
    <row r="4532" spans="2:5" ht="14.25" customHeight="1" x14ac:dyDescent="0.25">
      <c r="B4532" s="103"/>
      <c r="D4532" s="80"/>
      <c r="E4532" s="80"/>
    </row>
    <row r="4533" spans="2:5" ht="14.25" customHeight="1" x14ac:dyDescent="0.25">
      <c r="B4533" s="103"/>
      <c r="D4533" s="80"/>
      <c r="E4533" s="80"/>
    </row>
    <row r="4534" spans="2:5" ht="14.25" customHeight="1" x14ac:dyDescent="0.25">
      <c r="B4534" s="103"/>
      <c r="D4534" s="80"/>
      <c r="E4534" s="80"/>
    </row>
    <row r="4535" spans="2:5" ht="14.25" customHeight="1" x14ac:dyDescent="0.25">
      <c r="B4535" s="103"/>
      <c r="D4535" s="80"/>
      <c r="E4535" s="80"/>
    </row>
    <row r="4536" spans="2:5" ht="14.25" customHeight="1" x14ac:dyDescent="0.25">
      <c r="B4536" s="103"/>
      <c r="D4536" s="80"/>
      <c r="E4536" s="80"/>
    </row>
    <row r="4537" spans="2:5" ht="14.25" customHeight="1" x14ac:dyDescent="0.25">
      <c r="B4537" s="103"/>
      <c r="D4537" s="80"/>
      <c r="E4537" s="80"/>
    </row>
    <row r="4538" spans="2:5" ht="14.25" customHeight="1" x14ac:dyDescent="0.25">
      <c r="B4538" s="103"/>
      <c r="D4538" s="80"/>
      <c r="E4538" s="80"/>
    </row>
    <row r="4539" spans="2:5" ht="14.25" customHeight="1" x14ac:dyDescent="0.25">
      <c r="B4539" s="103"/>
      <c r="D4539" s="80"/>
      <c r="E4539" s="80"/>
    </row>
    <row r="4540" spans="2:5" ht="14.25" customHeight="1" x14ac:dyDescent="0.25">
      <c r="B4540" s="103"/>
      <c r="D4540" s="80"/>
      <c r="E4540" s="80"/>
    </row>
    <row r="4541" spans="2:5" ht="14.25" customHeight="1" x14ac:dyDescent="0.25">
      <c r="B4541" s="103"/>
      <c r="D4541" s="80"/>
      <c r="E4541" s="80"/>
    </row>
    <row r="4542" spans="2:5" ht="14.25" customHeight="1" x14ac:dyDescent="0.25">
      <c r="B4542" s="103"/>
      <c r="D4542" s="80"/>
      <c r="E4542" s="80"/>
    </row>
    <row r="4543" spans="2:5" ht="14.25" customHeight="1" x14ac:dyDescent="0.25">
      <c r="B4543" s="103"/>
      <c r="D4543" s="80"/>
      <c r="E4543" s="80"/>
    </row>
    <row r="4544" spans="2:5" ht="14.25" customHeight="1" x14ac:dyDescent="0.25">
      <c r="B4544" s="103"/>
      <c r="D4544" s="80"/>
      <c r="E4544" s="80"/>
    </row>
    <row r="4545" spans="2:5" ht="14.25" customHeight="1" x14ac:dyDescent="0.25">
      <c r="B4545" s="103"/>
      <c r="D4545" s="80"/>
      <c r="E4545" s="80"/>
    </row>
    <row r="4546" spans="2:5" ht="14.25" customHeight="1" x14ac:dyDescent="0.25">
      <c r="B4546" s="103"/>
      <c r="D4546" s="80"/>
      <c r="E4546" s="80"/>
    </row>
    <row r="4547" spans="2:5" ht="14.25" customHeight="1" x14ac:dyDescent="0.25">
      <c r="B4547" s="103"/>
      <c r="D4547" s="80"/>
      <c r="E4547" s="80"/>
    </row>
    <row r="4548" spans="2:5" ht="14.25" customHeight="1" x14ac:dyDescent="0.25">
      <c r="B4548" s="103"/>
      <c r="D4548" s="80"/>
      <c r="E4548" s="80"/>
    </row>
    <row r="4549" spans="2:5" ht="14.25" customHeight="1" x14ac:dyDescent="0.25">
      <c r="B4549" s="103"/>
      <c r="D4549" s="80"/>
      <c r="E4549" s="80"/>
    </row>
    <row r="4550" spans="2:5" ht="14.25" customHeight="1" x14ac:dyDescent="0.25">
      <c r="B4550" s="103"/>
      <c r="D4550" s="80"/>
      <c r="E4550" s="80"/>
    </row>
    <row r="4551" spans="2:5" ht="14.25" customHeight="1" x14ac:dyDescent="0.25">
      <c r="B4551" s="103"/>
      <c r="D4551" s="80"/>
      <c r="E4551" s="80"/>
    </row>
    <row r="4552" spans="2:5" ht="14.25" customHeight="1" x14ac:dyDescent="0.25">
      <c r="B4552" s="103"/>
      <c r="D4552" s="80"/>
      <c r="E4552" s="80"/>
    </row>
    <row r="4553" spans="2:5" ht="14.25" customHeight="1" x14ac:dyDescent="0.25">
      <c r="B4553" s="103"/>
      <c r="D4553" s="80"/>
      <c r="E4553" s="80"/>
    </row>
    <row r="4554" spans="2:5" ht="14.25" customHeight="1" x14ac:dyDescent="0.25">
      <c r="B4554" s="103"/>
      <c r="D4554" s="80"/>
      <c r="E4554" s="80"/>
    </row>
    <row r="4555" spans="2:5" ht="14.25" customHeight="1" x14ac:dyDescent="0.25">
      <c r="B4555" s="103"/>
      <c r="D4555" s="80"/>
      <c r="E4555" s="80"/>
    </row>
    <row r="4556" spans="2:5" ht="14.25" customHeight="1" x14ac:dyDescent="0.25">
      <c r="B4556" s="103"/>
      <c r="D4556" s="80"/>
      <c r="E4556" s="80"/>
    </row>
    <row r="4557" spans="2:5" ht="14.25" customHeight="1" x14ac:dyDescent="0.25">
      <c r="B4557" s="103"/>
      <c r="D4557" s="80"/>
      <c r="E4557" s="80"/>
    </row>
    <row r="4558" spans="2:5" ht="14.25" customHeight="1" x14ac:dyDescent="0.25">
      <c r="B4558" s="103"/>
      <c r="D4558" s="80"/>
      <c r="E4558" s="80"/>
    </row>
    <row r="4559" spans="2:5" ht="14.25" customHeight="1" x14ac:dyDescent="0.25">
      <c r="B4559" s="103"/>
      <c r="D4559" s="80"/>
      <c r="E4559" s="80"/>
    </row>
    <row r="4560" spans="2:5" ht="14.25" customHeight="1" x14ac:dyDescent="0.25">
      <c r="B4560" s="103"/>
      <c r="D4560" s="80"/>
      <c r="E4560" s="80"/>
    </row>
    <row r="4561" spans="2:5" ht="14.25" customHeight="1" x14ac:dyDescent="0.25">
      <c r="B4561" s="103"/>
      <c r="D4561" s="80"/>
      <c r="E4561" s="80"/>
    </row>
    <row r="4562" spans="2:5" ht="14.25" customHeight="1" x14ac:dyDescent="0.25">
      <c r="B4562" s="103"/>
      <c r="D4562" s="80"/>
      <c r="E4562" s="80"/>
    </row>
    <row r="4563" spans="2:5" ht="14.25" customHeight="1" x14ac:dyDescent="0.25">
      <c r="B4563" s="103"/>
      <c r="D4563" s="80"/>
      <c r="E4563" s="80"/>
    </row>
    <row r="4564" spans="2:5" ht="14.25" customHeight="1" x14ac:dyDescent="0.25">
      <c r="B4564" s="103"/>
      <c r="D4564" s="80"/>
      <c r="E4564" s="80"/>
    </row>
    <row r="4565" spans="2:5" ht="14.25" customHeight="1" x14ac:dyDescent="0.25">
      <c r="B4565" s="103"/>
      <c r="D4565" s="80"/>
      <c r="E4565" s="80"/>
    </row>
    <row r="4566" spans="2:5" ht="14.25" customHeight="1" x14ac:dyDescent="0.25">
      <c r="B4566" s="103"/>
      <c r="D4566" s="80"/>
      <c r="E4566" s="80"/>
    </row>
    <row r="4567" spans="2:5" ht="14.25" customHeight="1" x14ac:dyDescent="0.25">
      <c r="B4567" s="103"/>
      <c r="D4567" s="80"/>
      <c r="E4567" s="80"/>
    </row>
    <row r="4568" spans="2:5" ht="14.25" customHeight="1" x14ac:dyDescent="0.25">
      <c r="B4568" s="103"/>
      <c r="D4568" s="80"/>
      <c r="E4568" s="80"/>
    </row>
    <row r="4569" spans="2:5" ht="14.25" customHeight="1" x14ac:dyDescent="0.25">
      <c r="B4569" s="103"/>
      <c r="D4569" s="80"/>
      <c r="E4569" s="80"/>
    </row>
    <row r="4570" spans="2:5" ht="14.25" customHeight="1" x14ac:dyDescent="0.25">
      <c r="B4570" s="103"/>
      <c r="D4570" s="80"/>
      <c r="E4570" s="80"/>
    </row>
    <row r="4571" spans="2:5" ht="14.25" customHeight="1" x14ac:dyDescent="0.25">
      <c r="B4571" s="103"/>
      <c r="D4571" s="80"/>
      <c r="E4571" s="80"/>
    </row>
    <row r="4572" spans="2:5" ht="14.25" customHeight="1" x14ac:dyDescent="0.25">
      <c r="B4572" s="103"/>
      <c r="D4572" s="80"/>
      <c r="E4572" s="80"/>
    </row>
    <row r="4573" spans="2:5" ht="14.25" customHeight="1" x14ac:dyDescent="0.25">
      <c r="B4573" s="103"/>
      <c r="D4573" s="80"/>
      <c r="E4573" s="80"/>
    </row>
    <row r="4574" spans="2:5" ht="14.25" customHeight="1" x14ac:dyDescent="0.25">
      <c r="B4574" s="103"/>
      <c r="D4574" s="80"/>
      <c r="E4574" s="80"/>
    </row>
    <row r="4575" spans="2:5" ht="14.25" customHeight="1" x14ac:dyDescent="0.25">
      <c r="B4575" s="103"/>
      <c r="D4575" s="80"/>
      <c r="E4575" s="80"/>
    </row>
    <row r="4576" spans="2:5" ht="14.25" customHeight="1" x14ac:dyDescent="0.25">
      <c r="B4576" s="103"/>
      <c r="D4576" s="80"/>
      <c r="E4576" s="80"/>
    </row>
    <row r="4577" spans="2:5" ht="14.25" customHeight="1" x14ac:dyDescent="0.25">
      <c r="B4577" s="103"/>
      <c r="D4577" s="80"/>
      <c r="E4577" s="80"/>
    </row>
    <row r="4578" spans="2:5" ht="14.25" customHeight="1" x14ac:dyDescent="0.25">
      <c r="B4578" s="103"/>
      <c r="D4578" s="80"/>
      <c r="E4578" s="80"/>
    </row>
    <row r="4579" spans="2:5" ht="14.25" customHeight="1" x14ac:dyDescent="0.25">
      <c r="B4579" s="103"/>
      <c r="D4579" s="80"/>
      <c r="E4579" s="80"/>
    </row>
    <row r="4580" spans="2:5" ht="14.25" customHeight="1" x14ac:dyDescent="0.25">
      <c r="B4580" s="103"/>
      <c r="D4580" s="80"/>
      <c r="E4580" s="80"/>
    </row>
    <row r="4581" spans="2:5" ht="14.25" customHeight="1" x14ac:dyDescent="0.25">
      <c r="B4581" s="103"/>
      <c r="D4581" s="80"/>
      <c r="E4581" s="80"/>
    </row>
    <row r="4582" spans="2:5" ht="14.25" customHeight="1" x14ac:dyDescent="0.25">
      <c r="B4582" s="103"/>
      <c r="D4582" s="80"/>
      <c r="E4582" s="80"/>
    </row>
    <row r="4583" spans="2:5" ht="14.25" customHeight="1" x14ac:dyDescent="0.25">
      <c r="B4583" s="103"/>
      <c r="D4583" s="80"/>
      <c r="E4583" s="80"/>
    </row>
    <row r="4584" spans="2:5" ht="14.25" customHeight="1" x14ac:dyDescent="0.25">
      <c r="B4584" s="103"/>
      <c r="D4584" s="80"/>
      <c r="E4584" s="80"/>
    </row>
    <row r="4585" spans="2:5" ht="14.25" customHeight="1" x14ac:dyDescent="0.25">
      <c r="B4585" s="103"/>
      <c r="D4585" s="80"/>
      <c r="E4585" s="80"/>
    </row>
    <row r="4586" spans="2:5" ht="14.25" customHeight="1" x14ac:dyDescent="0.25">
      <c r="B4586" s="103"/>
      <c r="D4586" s="80"/>
      <c r="E4586" s="80"/>
    </row>
    <row r="4587" spans="2:5" ht="14.25" customHeight="1" x14ac:dyDescent="0.25">
      <c r="B4587" s="103"/>
      <c r="D4587" s="80"/>
      <c r="E4587" s="80"/>
    </row>
    <row r="4588" spans="2:5" ht="14.25" customHeight="1" x14ac:dyDescent="0.25">
      <c r="B4588" s="103"/>
      <c r="D4588" s="80"/>
      <c r="E4588" s="80"/>
    </row>
    <row r="4589" spans="2:5" ht="14.25" customHeight="1" x14ac:dyDescent="0.25">
      <c r="B4589" s="103"/>
      <c r="D4589" s="80"/>
      <c r="E4589" s="80"/>
    </row>
    <row r="4590" spans="2:5" ht="14.25" customHeight="1" x14ac:dyDescent="0.25">
      <c r="B4590" s="103"/>
      <c r="D4590" s="80"/>
      <c r="E4590" s="80"/>
    </row>
    <row r="4591" spans="2:5" ht="14.25" customHeight="1" x14ac:dyDescent="0.25">
      <c r="B4591" s="103"/>
      <c r="D4591" s="80"/>
      <c r="E4591" s="80"/>
    </row>
    <row r="4592" spans="2:5" ht="14.25" customHeight="1" x14ac:dyDescent="0.25">
      <c r="B4592" s="103"/>
      <c r="D4592" s="80"/>
      <c r="E4592" s="80"/>
    </row>
    <row r="4593" spans="2:5" ht="14.25" customHeight="1" x14ac:dyDescent="0.25">
      <c r="B4593" s="103"/>
      <c r="D4593" s="80"/>
      <c r="E4593" s="80"/>
    </row>
    <row r="4594" spans="2:5" ht="14.25" customHeight="1" x14ac:dyDescent="0.25">
      <c r="B4594" s="103"/>
      <c r="D4594" s="80"/>
      <c r="E4594" s="80"/>
    </row>
    <row r="4595" spans="2:5" ht="14.25" customHeight="1" x14ac:dyDescent="0.25">
      <c r="B4595" s="103"/>
      <c r="D4595" s="80"/>
      <c r="E4595" s="80"/>
    </row>
    <row r="4596" spans="2:5" ht="14.25" customHeight="1" x14ac:dyDescent="0.25">
      <c r="B4596" s="103"/>
      <c r="D4596" s="80"/>
      <c r="E4596" s="80"/>
    </row>
    <row r="4597" spans="2:5" ht="14.25" customHeight="1" x14ac:dyDescent="0.25">
      <c r="B4597" s="103"/>
      <c r="D4597" s="80"/>
      <c r="E4597" s="80"/>
    </row>
    <row r="4598" spans="2:5" ht="14.25" customHeight="1" x14ac:dyDescent="0.25">
      <c r="B4598" s="103"/>
      <c r="D4598" s="80"/>
      <c r="E4598" s="80"/>
    </row>
    <row r="4599" spans="2:5" ht="14.25" customHeight="1" x14ac:dyDescent="0.25">
      <c r="B4599" s="103"/>
      <c r="D4599" s="80"/>
      <c r="E4599" s="80"/>
    </row>
    <row r="4600" spans="2:5" ht="14.25" customHeight="1" x14ac:dyDescent="0.25">
      <c r="B4600" s="103"/>
      <c r="D4600" s="80"/>
      <c r="E4600" s="80"/>
    </row>
    <row r="4601" spans="2:5" ht="14.25" customHeight="1" x14ac:dyDescent="0.25">
      <c r="B4601" s="103"/>
      <c r="D4601" s="80"/>
      <c r="E4601" s="80"/>
    </row>
    <row r="4602" spans="2:5" ht="14.25" customHeight="1" x14ac:dyDescent="0.25">
      <c r="B4602" s="103"/>
      <c r="D4602" s="80"/>
      <c r="E4602" s="80"/>
    </row>
    <row r="4603" spans="2:5" ht="14.25" customHeight="1" x14ac:dyDescent="0.25">
      <c r="B4603" s="103"/>
      <c r="D4603" s="80"/>
      <c r="E4603" s="80"/>
    </row>
    <row r="4604" spans="2:5" ht="14.25" customHeight="1" x14ac:dyDescent="0.25">
      <c r="B4604" s="103"/>
      <c r="D4604" s="80"/>
      <c r="E4604" s="80"/>
    </row>
    <row r="4605" spans="2:5" ht="14.25" customHeight="1" x14ac:dyDescent="0.25">
      <c r="B4605" s="103"/>
      <c r="D4605" s="80"/>
      <c r="E4605" s="80"/>
    </row>
    <row r="4606" spans="2:5" ht="14.25" customHeight="1" x14ac:dyDescent="0.25">
      <c r="B4606" s="103"/>
      <c r="D4606" s="80"/>
      <c r="E4606" s="80"/>
    </row>
    <row r="4607" spans="2:5" ht="14.25" customHeight="1" x14ac:dyDescent="0.25">
      <c r="B4607" s="103"/>
      <c r="D4607" s="80"/>
      <c r="E4607" s="80"/>
    </row>
    <row r="4608" spans="2:5" ht="14.25" customHeight="1" x14ac:dyDescent="0.25">
      <c r="B4608" s="103"/>
      <c r="D4608" s="80"/>
      <c r="E4608" s="80"/>
    </row>
    <row r="4609" spans="2:5" ht="14.25" customHeight="1" x14ac:dyDescent="0.25">
      <c r="B4609" s="103"/>
      <c r="D4609" s="80"/>
      <c r="E4609" s="80"/>
    </row>
    <row r="4610" spans="2:5" ht="14.25" customHeight="1" x14ac:dyDescent="0.25">
      <c r="B4610" s="103"/>
      <c r="D4610" s="80"/>
      <c r="E4610" s="80"/>
    </row>
    <row r="4611" spans="2:5" ht="14.25" customHeight="1" x14ac:dyDescent="0.25">
      <c r="B4611" s="103"/>
      <c r="D4611" s="80"/>
      <c r="E4611" s="80"/>
    </row>
    <row r="4612" spans="2:5" ht="14.25" customHeight="1" x14ac:dyDescent="0.25">
      <c r="B4612" s="103"/>
      <c r="D4612" s="80"/>
      <c r="E4612" s="80"/>
    </row>
    <row r="4613" spans="2:5" ht="14.25" customHeight="1" x14ac:dyDescent="0.25">
      <c r="B4613" s="103"/>
      <c r="D4613" s="80"/>
      <c r="E4613" s="80"/>
    </row>
    <row r="4614" spans="2:5" ht="14.25" customHeight="1" x14ac:dyDescent="0.25">
      <c r="B4614" s="103"/>
      <c r="D4614" s="80"/>
      <c r="E4614" s="80"/>
    </row>
    <row r="4615" spans="2:5" ht="14.25" customHeight="1" x14ac:dyDescent="0.25">
      <c r="B4615" s="103"/>
      <c r="D4615" s="80"/>
      <c r="E4615" s="80"/>
    </row>
    <row r="4616" spans="2:5" ht="14.25" customHeight="1" x14ac:dyDescent="0.25">
      <c r="B4616" s="103"/>
      <c r="D4616" s="80"/>
      <c r="E4616" s="80"/>
    </row>
    <row r="4617" spans="2:5" ht="14.25" customHeight="1" x14ac:dyDescent="0.25">
      <c r="B4617" s="103"/>
      <c r="D4617" s="80"/>
      <c r="E4617" s="80"/>
    </row>
    <row r="4618" spans="2:5" ht="14.25" customHeight="1" x14ac:dyDescent="0.25">
      <c r="B4618" s="103"/>
      <c r="D4618" s="80"/>
      <c r="E4618" s="80"/>
    </row>
    <row r="4619" spans="2:5" ht="14.25" customHeight="1" x14ac:dyDescent="0.25">
      <c r="B4619" s="103"/>
      <c r="D4619" s="80"/>
      <c r="E4619" s="80"/>
    </row>
    <row r="4620" spans="2:5" ht="14.25" customHeight="1" x14ac:dyDescent="0.25">
      <c r="B4620" s="103"/>
      <c r="D4620" s="80"/>
      <c r="E4620" s="80"/>
    </row>
    <row r="4621" spans="2:5" ht="14.25" customHeight="1" x14ac:dyDescent="0.25">
      <c r="B4621" s="103"/>
      <c r="D4621" s="80"/>
      <c r="E4621" s="80"/>
    </row>
    <row r="4622" spans="2:5" ht="14.25" customHeight="1" x14ac:dyDescent="0.25">
      <c r="B4622" s="103"/>
      <c r="D4622" s="80"/>
      <c r="E4622" s="80"/>
    </row>
    <row r="4623" spans="2:5" ht="14.25" customHeight="1" x14ac:dyDescent="0.25">
      <c r="B4623" s="103"/>
      <c r="D4623" s="80"/>
      <c r="E4623" s="80"/>
    </row>
    <row r="4624" spans="2:5" ht="14.25" customHeight="1" x14ac:dyDescent="0.25">
      <c r="B4624" s="103"/>
      <c r="D4624" s="80"/>
      <c r="E4624" s="80"/>
    </row>
    <row r="4625" spans="2:5" ht="14.25" customHeight="1" x14ac:dyDescent="0.25">
      <c r="B4625" s="103"/>
      <c r="D4625" s="80"/>
      <c r="E4625" s="80"/>
    </row>
    <row r="4626" spans="2:5" ht="14.25" customHeight="1" x14ac:dyDescent="0.25">
      <c r="B4626" s="103"/>
      <c r="D4626" s="80"/>
      <c r="E4626" s="80"/>
    </row>
    <row r="4627" spans="2:5" ht="14.25" customHeight="1" x14ac:dyDescent="0.25">
      <c r="B4627" s="103"/>
      <c r="D4627" s="80"/>
      <c r="E4627" s="80"/>
    </row>
    <row r="4628" spans="2:5" ht="14.25" customHeight="1" x14ac:dyDescent="0.25">
      <c r="B4628" s="103"/>
      <c r="D4628" s="80"/>
      <c r="E4628" s="80"/>
    </row>
    <row r="4629" spans="2:5" ht="14.25" customHeight="1" x14ac:dyDescent="0.25">
      <c r="B4629" s="103"/>
      <c r="D4629" s="80"/>
      <c r="E4629" s="80"/>
    </row>
    <row r="4630" spans="2:5" ht="14.25" customHeight="1" x14ac:dyDescent="0.25">
      <c r="B4630" s="103"/>
      <c r="D4630" s="80"/>
      <c r="E4630" s="80"/>
    </row>
    <row r="4631" spans="2:5" ht="14.25" customHeight="1" x14ac:dyDescent="0.25">
      <c r="B4631" s="103"/>
      <c r="D4631" s="80"/>
      <c r="E4631" s="80"/>
    </row>
    <row r="4632" spans="2:5" ht="14.25" customHeight="1" x14ac:dyDescent="0.25">
      <c r="B4632" s="103"/>
      <c r="D4632" s="80"/>
      <c r="E4632" s="80"/>
    </row>
    <row r="4633" spans="2:5" ht="14.25" customHeight="1" x14ac:dyDescent="0.25">
      <c r="B4633" s="103"/>
      <c r="D4633" s="80"/>
      <c r="E4633" s="80"/>
    </row>
    <row r="4634" spans="2:5" ht="14.25" customHeight="1" x14ac:dyDescent="0.25">
      <c r="B4634" s="103"/>
      <c r="D4634" s="80"/>
      <c r="E4634" s="80"/>
    </row>
    <row r="4635" spans="2:5" ht="14.25" customHeight="1" x14ac:dyDescent="0.25">
      <c r="B4635" s="103"/>
      <c r="D4635" s="80"/>
      <c r="E4635" s="80"/>
    </row>
    <row r="4636" spans="2:5" ht="14.25" customHeight="1" x14ac:dyDescent="0.25">
      <c r="B4636" s="103"/>
      <c r="D4636" s="80"/>
      <c r="E4636" s="80"/>
    </row>
    <row r="4637" spans="2:5" ht="14.25" customHeight="1" x14ac:dyDescent="0.25">
      <c r="B4637" s="103"/>
      <c r="D4637" s="80"/>
      <c r="E4637" s="80"/>
    </row>
    <row r="4638" spans="2:5" ht="14.25" customHeight="1" x14ac:dyDescent="0.25">
      <c r="B4638" s="103"/>
      <c r="D4638" s="80"/>
      <c r="E4638" s="80"/>
    </row>
    <row r="4639" spans="2:5" ht="14.25" customHeight="1" x14ac:dyDescent="0.25">
      <c r="B4639" s="103"/>
      <c r="D4639" s="80"/>
      <c r="E4639" s="80"/>
    </row>
    <row r="4640" spans="2:5" ht="14.25" customHeight="1" x14ac:dyDescent="0.25">
      <c r="B4640" s="103"/>
      <c r="D4640" s="80"/>
      <c r="E4640" s="80"/>
    </row>
    <row r="4641" spans="2:5" ht="14.25" customHeight="1" x14ac:dyDescent="0.25">
      <c r="B4641" s="103"/>
      <c r="D4641" s="80"/>
      <c r="E4641" s="80"/>
    </row>
    <row r="4642" spans="2:5" ht="14.25" customHeight="1" x14ac:dyDescent="0.25">
      <c r="B4642" s="103"/>
      <c r="D4642" s="80"/>
      <c r="E4642" s="80"/>
    </row>
    <row r="4643" spans="2:5" ht="14.25" customHeight="1" x14ac:dyDescent="0.25">
      <c r="B4643" s="103"/>
      <c r="D4643" s="80"/>
      <c r="E4643" s="80"/>
    </row>
    <row r="4644" spans="2:5" ht="14.25" customHeight="1" x14ac:dyDescent="0.25">
      <c r="B4644" s="103"/>
      <c r="D4644" s="80"/>
      <c r="E4644" s="80"/>
    </row>
    <row r="4645" spans="2:5" ht="14.25" customHeight="1" x14ac:dyDescent="0.25">
      <c r="B4645" s="103"/>
      <c r="D4645" s="80"/>
      <c r="E4645" s="80"/>
    </row>
    <row r="4646" spans="2:5" ht="14.25" customHeight="1" x14ac:dyDescent="0.25">
      <c r="B4646" s="103"/>
      <c r="D4646" s="80"/>
      <c r="E4646" s="80"/>
    </row>
    <row r="4647" spans="2:5" ht="14.25" customHeight="1" x14ac:dyDescent="0.25">
      <c r="B4647" s="103"/>
      <c r="D4647" s="80"/>
      <c r="E4647" s="80"/>
    </row>
    <row r="4648" spans="2:5" ht="14.25" customHeight="1" x14ac:dyDescent="0.25">
      <c r="B4648" s="103"/>
      <c r="D4648" s="80"/>
      <c r="E4648" s="80"/>
    </row>
    <row r="4649" spans="2:5" ht="14.25" customHeight="1" x14ac:dyDescent="0.25">
      <c r="B4649" s="103"/>
      <c r="D4649" s="80"/>
      <c r="E4649" s="80"/>
    </row>
    <row r="4650" spans="2:5" ht="14.25" customHeight="1" x14ac:dyDescent="0.25">
      <c r="B4650" s="103"/>
      <c r="D4650" s="80"/>
      <c r="E4650" s="80"/>
    </row>
    <row r="4651" spans="2:5" ht="14.25" customHeight="1" x14ac:dyDescent="0.25">
      <c r="B4651" s="103"/>
      <c r="D4651" s="80"/>
      <c r="E4651" s="80"/>
    </row>
    <row r="4652" spans="2:5" ht="14.25" customHeight="1" x14ac:dyDescent="0.25">
      <c r="B4652" s="103"/>
      <c r="D4652" s="80"/>
      <c r="E4652" s="80"/>
    </row>
    <row r="4653" spans="2:5" ht="14.25" customHeight="1" x14ac:dyDescent="0.25">
      <c r="B4653" s="103"/>
      <c r="D4653" s="80"/>
      <c r="E4653" s="80"/>
    </row>
    <row r="4654" spans="2:5" ht="14.25" customHeight="1" x14ac:dyDescent="0.25">
      <c r="B4654" s="103"/>
      <c r="D4654" s="80"/>
      <c r="E4654" s="80"/>
    </row>
    <row r="4655" spans="2:5" ht="14.25" customHeight="1" x14ac:dyDescent="0.25">
      <c r="B4655" s="103"/>
      <c r="D4655" s="80"/>
      <c r="E4655" s="80"/>
    </row>
    <row r="4656" spans="2:5" ht="14.25" customHeight="1" x14ac:dyDescent="0.25">
      <c r="B4656" s="103"/>
      <c r="D4656" s="80"/>
      <c r="E4656" s="80"/>
    </row>
    <row r="4657" spans="2:5" ht="14.25" customHeight="1" x14ac:dyDescent="0.25">
      <c r="B4657" s="103"/>
      <c r="D4657" s="80"/>
      <c r="E4657" s="80"/>
    </row>
    <row r="4658" spans="2:5" ht="14.25" customHeight="1" x14ac:dyDescent="0.25">
      <c r="B4658" s="103"/>
      <c r="D4658" s="80"/>
      <c r="E4658" s="80"/>
    </row>
    <row r="4659" spans="2:5" ht="14.25" customHeight="1" x14ac:dyDescent="0.25">
      <c r="B4659" s="103"/>
      <c r="D4659" s="80"/>
      <c r="E4659" s="80"/>
    </row>
    <row r="4660" spans="2:5" ht="14.25" customHeight="1" x14ac:dyDescent="0.25">
      <c r="B4660" s="103"/>
      <c r="D4660" s="80"/>
      <c r="E4660" s="80"/>
    </row>
    <row r="4661" spans="2:5" ht="14.25" customHeight="1" x14ac:dyDescent="0.25">
      <c r="B4661" s="103"/>
      <c r="D4661" s="80"/>
      <c r="E4661" s="80"/>
    </row>
    <row r="4662" spans="2:5" ht="14.25" customHeight="1" x14ac:dyDescent="0.25">
      <c r="B4662" s="103"/>
      <c r="D4662" s="80"/>
      <c r="E4662" s="80"/>
    </row>
    <row r="4663" spans="2:5" ht="14.25" customHeight="1" x14ac:dyDescent="0.25">
      <c r="B4663" s="103"/>
      <c r="D4663" s="80"/>
      <c r="E4663" s="80"/>
    </row>
    <row r="4664" spans="2:5" ht="14.25" customHeight="1" x14ac:dyDescent="0.25">
      <c r="B4664" s="103"/>
      <c r="D4664" s="80"/>
      <c r="E4664" s="80"/>
    </row>
    <row r="4665" spans="2:5" ht="14.25" customHeight="1" x14ac:dyDescent="0.25">
      <c r="B4665" s="103"/>
      <c r="D4665" s="80"/>
      <c r="E4665" s="80"/>
    </row>
    <row r="4666" spans="2:5" ht="14.25" customHeight="1" x14ac:dyDescent="0.25">
      <c r="B4666" s="103"/>
      <c r="D4666" s="80"/>
      <c r="E4666" s="80"/>
    </row>
    <row r="4667" spans="2:5" ht="14.25" customHeight="1" x14ac:dyDescent="0.25">
      <c r="B4667" s="103"/>
      <c r="D4667" s="80"/>
      <c r="E4667" s="80"/>
    </row>
    <row r="4668" spans="2:5" ht="14.25" customHeight="1" x14ac:dyDescent="0.25">
      <c r="B4668" s="103"/>
      <c r="D4668" s="80"/>
      <c r="E4668" s="80"/>
    </row>
    <row r="4669" spans="2:5" ht="14.25" customHeight="1" x14ac:dyDescent="0.25">
      <c r="B4669" s="103"/>
      <c r="D4669" s="80"/>
      <c r="E4669" s="80"/>
    </row>
    <row r="4670" spans="2:5" ht="14.25" customHeight="1" x14ac:dyDescent="0.25">
      <c r="B4670" s="103"/>
      <c r="D4670" s="80"/>
      <c r="E4670" s="80"/>
    </row>
    <row r="4671" spans="2:5" ht="14.25" customHeight="1" x14ac:dyDescent="0.25">
      <c r="B4671" s="103"/>
      <c r="D4671" s="80"/>
      <c r="E4671" s="80"/>
    </row>
    <row r="4672" spans="2:5" ht="14.25" customHeight="1" x14ac:dyDescent="0.25">
      <c r="B4672" s="103"/>
      <c r="D4672" s="80"/>
      <c r="E4672" s="80"/>
    </row>
    <row r="4673" spans="2:5" ht="14.25" customHeight="1" x14ac:dyDescent="0.25">
      <c r="B4673" s="103"/>
      <c r="D4673" s="80"/>
      <c r="E4673" s="80"/>
    </row>
    <row r="4674" spans="2:5" ht="14.25" customHeight="1" x14ac:dyDescent="0.25">
      <c r="B4674" s="103"/>
      <c r="D4674" s="80"/>
      <c r="E4674" s="80"/>
    </row>
    <row r="4675" spans="2:5" ht="14.25" customHeight="1" x14ac:dyDescent="0.25">
      <c r="B4675" s="103"/>
      <c r="D4675" s="80"/>
      <c r="E4675" s="80"/>
    </row>
    <row r="4676" spans="2:5" ht="14.25" customHeight="1" x14ac:dyDescent="0.25">
      <c r="B4676" s="103"/>
      <c r="D4676" s="80"/>
      <c r="E4676" s="80"/>
    </row>
    <row r="4677" spans="2:5" ht="14.25" customHeight="1" x14ac:dyDescent="0.25">
      <c r="B4677" s="103"/>
      <c r="D4677" s="80"/>
      <c r="E4677" s="80"/>
    </row>
    <row r="4678" spans="2:5" ht="14.25" customHeight="1" x14ac:dyDescent="0.25">
      <c r="B4678" s="103"/>
      <c r="D4678" s="80"/>
      <c r="E4678" s="80"/>
    </row>
    <row r="4679" spans="2:5" ht="14.25" customHeight="1" x14ac:dyDescent="0.25">
      <c r="B4679" s="103"/>
      <c r="D4679" s="80"/>
      <c r="E4679" s="80"/>
    </row>
    <row r="4680" spans="2:5" ht="14.25" customHeight="1" x14ac:dyDescent="0.25">
      <c r="B4680" s="103"/>
      <c r="D4680" s="80"/>
      <c r="E4680" s="80"/>
    </row>
    <row r="4681" spans="2:5" ht="14.25" customHeight="1" x14ac:dyDescent="0.25">
      <c r="B4681" s="103"/>
      <c r="D4681" s="80"/>
      <c r="E4681" s="80"/>
    </row>
    <row r="4682" spans="2:5" ht="14.25" customHeight="1" x14ac:dyDescent="0.25">
      <c r="B4682" s="103"/>
      <c r="D4682" s="80"/>
      <c r="E4682" s="80"/>
    </row>
    <row r="4683" spans="2:5" ht="14.25" customHeight="1" x14ac:dyDescent="0.25">
      <c r="B4683" s="103"/>
      <c r="D4683" s="80"/>
      <c r="E4683" s="80"/>
    </row>
    <row r="4684" spans="2:5" ht="14.25" customHeight="1" x14ac:dyDescent="0.25">
      <c r="B4684" s="103"/>
      <c r="D4684" s="80"/>
      <c r="E4684" s="80"/>
    </row>
    <row r="4685" spans="2:5" ht="14.25" customHeight="1" x14ac:dyDescent="0.25">
      <c r="B4685" s="103"/>
      <c r="D4685" s="80"/>
      <c r="E4685" s="80"/>
    </row>
    <row r="4686" spans="2:5" ht="14.25" customHeight="1" x14ac:dyDescent="0.25">
      <c r="B4686" s="103"/>
      <c r="D4686" s="80"/>
      <c r="E4686" s="80"/>
    </row>
    <row r="4687" spans="2:5" ht="14.25" customHeight="1" x14ac:dyDescent="0.25">
      <c r="B4687" s="103"/>
      <c r="D4687" s="80"/>
      <c r="E4687" s="80"/>
    </row>
    <row r="4688" spans="2:5" ht="14.25" customHeight="1" x14ac:dyDescent="0.25">
      <c r="B4688" s="103"/>
      <c r="D4688" s="80"/>
      <c r="E4688" s="80"/>
    </row>
    <row r="4689" spans="2:5" ht="14.25" customHeight="1" x14ac:dyDescent="0.25">
      <c r="B4689" s="103"/>
      <c r="D4689" s="80"/>
      <c r="E4689" s="80"/>
    </row>
    <row r="4690" spans="2:5" ht="14.25" customHeight="1" x14ac:dyDescent="0.25">
      <c r="B4690" s="103"/>
      <c r="D4690" s="80"/>
      <c r="E4690" s="80"/>
    </row>
    <row r="4691" spans="2:5" ht="14.25" customHeight="1" x14ac:dyDescent="0.25">
      <c r="B4691" s="103"/>
      <c r="D4691" s="80"/>
      <c r="E4691" s="80"/>
    </row>
    <row r="4692" spans="2:5" ht="14.25" customHeight="1" x14ac:dyDescent="0.25">
      <c r="B4692" s="103"/>
      <c r="D4692" s="80"/>
      <c r="E4692" s="80"/>
    </row>
    <row r="4693" spans="2:5" ht="14.25" customHeight="1" x14ac:dyDescent="0.25">
      <c r="B4693" s="103"/>
      <c r="D4693" s="80"/>
      <c r="E4693" s="80"/>
    </row>
    <row r="4694" spans="2:5" ht="14.25" customHeight="1" x14ac:dyDescent="0.25">
      <c r="B4694" s="103"/>
      <c r="D4694" s="80"/>
      <c r="E4694" s="80"/>
    </row>
    <row r="4695" spans="2:5" ht="14.25" customHeight="1" x14ac:dyDescent="0.25">
      <c r="B4695" s="103"/>
      <c r="D4695" s="80"/>
      <c r="E4695" s="80"/>
    </row>
    <row r="4696" spans="2:5" ht="14.25" customHeight="1" x14ac:dyDescent="0.25">
      <c r="B4696" s="103"/>
      <c r="D4696" s="80"/>
      <c r="E4696" s="80"/>
    </row>
    <row r="4697" spans="2:5" ht="14.25" customHeight="1" x14ac:dyDescent="0.25">
      <c r="B4697" s="103"/>
      <c r="D4697" s="80"/>
      <c r="E4697" s="80"/>
    </row>
    <row r="4698" spans="2:5" ht="14.25" customHeight="1" x14ac:dyDescent="0.25">
      <c r="B4698" s="103"/>
      <c r="D4698" s="80"/>
      <c r="E4698" s="80"/>
    </row>
    <row r="4699" spans="2:5" ht="14.25" customHeight="1" x14ac:dyDescent="0.25">
      <c r="B4699" s="103"/>
      <c r="D4699" s="80"/>
      <c r="E4699" s="80"/>
    </row>
    <row r="4700" spans="2:5" ht="14.25" customHeight="1" x14ac:dyDescent="0.25">
      <c r="B4700" s="103"/>
      <c r="D4700" s="80"/>
      <c r="E4700" s="80"/>
    </row>
    <row r="4701" spans="2:5" ht="14.25" customHeight="1" x14ac:dyDescent="0.25">
      <c r="B4701" s="103"/>
      <c r="D4701" s="80"/>
      <c r="E4701" s="80"/>
    </row>
    <row r="4702" spans="2:5" ht="14.25" customHeight="1" x14ac:dyDescent="0.25">
      <c r="B4702" s="103"/>
      <c r="D4702" s="80"/>
      <c r="E4702" s="80"/>
    </row>
    <row r="4703" spans="2:5" ht="14.25" customHeight="1" x14ac:dyDescent="0.25">
      <c r="B4703" s="103"/>
      <c r="D4703" s="80"/>
      <c r="E4703" s="80"/>
    </row>
    <row r="4704" spans="2:5" ht="14.25" customHeight="1" x14ac:dyDescent="0.25">
      <c r="B4704" s="103"/>
      <c r="D4704" s="80"/>
      <c r="E4704" s="80"/>
    </row>
    <row r="4705" spans="2:5" ht="14.25" customHeight="1" x14ac:dyDescent="0.25">
      <c r="B4705" s="103"/>
      <c r="D4705" s="80"/>
      <c r="E4705" s="80"/>
    </row>
    <row r="4706" spans="2:5" ht="14.25" customHeight="1" x14ac:dyDescent="0.25">
      <c r="B4706" s="103"/>
      <c r="D4706" s="80"/>
      <c r="E4706" s="80"/>
    </row>
    <row r="4707" spans="2:5" ht="14.25" customHeight="1" x14ac:dyDescent="0.25">
      <c r="B4707" s="103"/>
      <c r="D4707" s="80"/>
      <c r="E4707" s="80"/>
    </row>
    <row r="4708" spans="2:5" ht="14.25" customHeight="1" x14ac:dyDescent="0.25">
      <c r="B4708" s="103"/>
      <c r="D4708" s="80"/>
      <c r="E4708" s="80"/>
    </row>
    <row r="4709" spans="2:5" ht="14.25" customHeight="1" x14ac:dyDescent="0.25">
      <c r="B4709" s="103"/>
      <c r="D4709" s="80"/>
      <c r="E4709" s="80"/>
    </row>
    <row r="4710" spans="2:5" ht="14.25" customHeight="1" x14ac:dyDescent="0.25">
      <c r="B4710" s="103"/>
      <c r="D4710" s="80"/>
      <c r="E4710" s="80"/>
    </row>
    <row r="4711" spans="2:5" ht="14.25" customHeight="1" x14ac:dyDescent="0.25">
      <c r="B4711" s="103"/>
      <c r="D4711" s="80"/>
      <c r="E4711" s="80"/>
    </row>
    <row r="4712" spans="2:5" ht="14.25" customHeight="1" x14ac:dyDescent="0.25">
      <c r="B4712" s="103"/>
      <c r="D4712" s="80"/>
      <c r="E4712" s="80"/>
    </row>
    <row r="4713" spans="2:5" ht="14.25" customHeight="1" x14ac:dyDescent="0.25">
      <c r="B4713" s="103"/>
      <c r="D4713" s="80"/>
      <c r="E4713" s="80"/>
    </row>
    <row r="4714" spans="2:5" ht="14.25" customHeight="1" x14ac:dyDescent="0.25">
      <c r="B4714" s="103"/>
      <c r="D4714" s="80"/>
      <c r="E4714" s="80"/>
    </row>
    <row r="4715" spans="2:5" ht="14.25" customHeight="1" x14ac:dyDescent="0.25">
      <c r="B4715" s="103"/>
      <c r="D4715" s="80"/>
      <c r="E4715" s="80"/>
    </row>
    <row r="4716" spans="2:5" ht="14.25" customHeight="1" x14ac:dyDescent="0.25">
      <c r="B4716" s="103"/>
      <c r="D4716" s="80"/>
      <c r="E4716" s="80"/>
    </row>
    <row r="4717" spans="2:5" ht="14.25" customHeight="1" x14ac:dyDescent="0.25">
      <c r="B4717" s="103"/>
      <c r="D4717" s="80"/>
      <c r="E4717" s="80"/>
    </row>
    <row r="4718" spans="2:5" ht="14.25" customHeight="1" x14ac:dyDescent="0.25">
      <c r="B4718" s="103"/>
      <c r="D4718" s="80"/>
      <c r="E4718" s="80"/>
    </row>
    <row r="4719" spans="2:5" ht="14.25" customHeight="1" x14ac:dyDescent="0.25">
      <c r="B4719" s="103"/>
      <c r="D4719" s="80"/>
      <c r="E4719" s="80"/>
    </row>
    <row r="4720" spans="2:5" ht="14.25" customHeight="1" x14ac:dyDescent="0.25">
      <c r="B4720" s="103"/>
      <c r="D4720" s="80"/>
      <c r="E4720" s="80"/>
    </row>
    <row r="4721" spans="2:5" ht="14.25" customHeight="1" x14ac:dyDescent="0.25">
      <c r="B4721" s="103"/>
      <c r="D4721" s="80"/>
      <c r="E4721" s="80"/>
    </row>
    <row r="4722" spans="2:5" ht="14.25" customHeight="1" x14ac:dyDescent="0.25">
      <c r="B4722" s="103"/>
      <c r="D4722" s="80"/>
      <c r="E4722" s="80"/>
    </row>
    <row r="4723" spans="2:5" ht="14.25" customHeight="1" x14ac:dyDescent="0.25">
      <c r="B4723" s="103"/>
      <c r="D4723" s="80"/>
      <c r="E4723" s="80"/>
    </row>
    <row r="4724" spans="2:5" ht="14.25" customHeight="1" x14ac:dyDescent="0.25">
      <c r="B4724" s="103"/>
      <c r="D4724" s="80"/>
      <c r="E4724" s="80"/>
    </row>
    <row r="4725" spans="2:5" ht="14.25" customHeight="1" x14ac:dyDescent="0.25">
      <c r="B4725" s="103"/>
      <c r="D4725" s="80"/>
      <c r="E4725" s="80"/>
    </row>
    <row r="4726" spans="2:5" ht="14.25" customHeight="1" x14ac:dyDescent="0.25">
      <c r="B4726" s="103"/>
      <c r="D4726" s="80"/>
      <c r="E4726" s="80"/>
    </row>
    <row r="4727" spans="2:5" ht="14.25" customHeight="1" x14ac:dyDescent="0.25">
      <c r="B4727" s="103"/>
      <c r="D4727" s="80"/>
      <c r="E4727" s="80"/>
    </row>
    <row r="4728" spans="2:5" ht="14.25" customHeight="1" x14ac:dyDescent="0.25">
      <c r="B4728" s="103"/>
      <c r="D4728" s="80"/>
      <c r="E4728" s="80"/>
    </row>
    <row r="4729" spans="2:5" ht="14.25" customHeight="1" x14ac:dyDescent="0.25">
      <c r="B4729" s="103"/>
      <c r="D4729" s="80"/>
      <c r="E4729" s="80"/>
    </row>
    <row r="4730" spans="2:5" ht="14.25" customHeight="1" x14ac:dyDescent="0.25">
      <c r="B4730" s="103"/>
      <c r="D4730" s="80"/>
      <c r="E4730" s="80"/>
    </row>
    <row r="4731" spans="2:5" ht="14.25" customHeight="1" x14ac:dyDescent="0.25">
      <c r="B4731" s="103"/>
      <c r="D4731" s="80"/>
      <c r="E4731" s="80"/>
    </row>
    <row r="4732" spans="2:5" ht="14.25" customHeight="1" x14ac:dyDescent="0.25">
      <c r="B4732" s="103"/>
      <c r="D4732" s="80"/>
      <c r="E4732" s="80"/>
    </row>
    <row r="4733" spans="2:5" ht="14.25" customHeight="1" x14ac:dyDescent="0.25">
      <c r="B4733" s="103"/>
      <c r="D4733" s="80"/>
      <c r="E4733" s="80"/>
    </row>
    <row r="4734" spans="2:5" ht="14.25" customHeight="1" x14ac:dyDescent="0.25">
      <c r="B4734" s="103"/>
      <c r="D4734" s="80"/>
      <c r="E4734" s="80"/>
    </row>
    <row r="4735" spans="2:5" ht="14.25" customHeight="1" x14ac:dyDescent="0.25">
      <c r="B4735" s="103"/>
      <c r="D4735" s="80"/>
      <c r="E4735" s="80"/>
    </row>
    <row r="4736" spans="2:5" ht="14.25" customHeight="1" x14ac:dyDescent="0.25">
      <c r="B4736" s="103"/>
      <c r="D4736" s="80"/>
      <c r="E4736" s="80"/>
    </row>
    <row r="4737" spans="2:5" ht="14.25" customHeight="1" x14ac:dyDescent="0.25">
      <c r="B4737" s="103"/>
      <c r="D4737" s="80"/>
      <c r="E4737" s="80"/>
    </row>
    <row r="4738" spans="2:5" ht="14.25" customHeight="1" x14ac:dyDescent="0.25">
      <c r="B4738" s="103"/>
      <c r="D4738" s="80"/>
      <c r="E4738" s="80"/>
    </row>
    <row r="4739" spans="2:5" ht="14.25" customHeight="1" x14ac:dyDescent="0.25">
      <c r="B4739" s="103"/>
      <c r="D4739" s="80"/>
      <c r="E4739" s="80"/>
    </row>
    <row r="4740" spans="2:5" ht="14.25" customHeight="1" x14ac:dyDescent="0.25">
      <c r="B4740" s="103"/>
      <c r="D4740" s="80"/>
      <c r="E4740" s="80"/>
    </row>
    <row r="4741" spans="2:5" ht="14.25" customHeight="1" x14ac:dyDescent="0.25">
      <c r="B4741" s="103"/>
      <c r="D4741" s="80"/>
      <c r="E4741" s="80"/>
    </row>
    <row r="4742" spans="2:5" ht="14.25" customHeight="1" x14ac:dyDescent="0.25">
      <c r="B4742" s="103"/>
      <c r="D4742" s="80"/>
      <c r="E4742" s="80"/>
    </row>
    <row r="4743" spans="2:5" ht="14.25" customHeight="1" x14ac:dyDescent="0.25">
      <c r="B4743" s="103"/>
      <c r="D4743" s="80"/>
      <c r="E4743" s="80"/>
    </row>
    <row r="4744" spans="2:5" ht="14.25" customHeight="1" x14ac:dyDescent="0.25">
      <c r="B4744" s="103"/>
      <c r="D4744" s="80"/>
      <c r="E4744" s="80"/>
    </row>
    <row r="4745" spans="2:5" ht="14.25" customHeight="1" x14ac:dyDescent="0.25">
      <c r="B4745" s="103"/>
      <c r="D4745" s="80"/>
      <c r="E4745" s="80"/>
    </row>
    <row r="4746" spans="2:5" ht="14.25" customHeight="1" x14ac:dyDescent="0.25">
      <c r="B4746" s="103"/>
      <c r="D4746" s="80"/>
      <c r="E4746" s="80"/>
    </row>
    <row r="4747" spans="2:5" ht="14.25" customHeight="1" x14ac:dyDescent="0.25">
      <c r="B4747" s="103"/>
      <c r="D4747" s="80"/>
      <c r="E4747" s="80"/>
    </row>
    <row r="4748" spans="2:5" ht="14.25" customHeight="1" x14ac:dyDescent="0.25">
      <c r="B4748" s="103"/>
      <c r="D4748" s="80"/>
      <c r="E4748" s="80"/>
    </row>
    <row r="4749" spans="2:5" ht="14.25" customHeight="1" x14ac:dyDescent="0.25">
      <c r="B4749" s="103"/>
      <c r="D4749" s="80"/>
      <c r="E4749" s="80"/>
    </row>
    <row r="4750" spans="2:5" ht="14.25" customHeight="1" x14ac:dyDescent="0.25">
      <c r="B4750" s="103"/>
      <c r="D4750" s="80"/>
      <c r="E4750" s="80"/>
    </row>
    <row r="4751" spans="2:5" ht="14.25" customHeight="1" x14ac:dyDescent="0.25">
      <c r="B4751" s="103"/>
      <c r="D4751" s="80"/>
      <c r="E4751" s="80"/>
    </row>
    <row r="4752" spans="2:5" ht="14.25" customHeight="1" x14ac:dyDescent="0.25">
      <c r="B4752" s="103"/>
      <c r="D4752" s="80"/>
      <c r="E4752" s="80"/>
    </row>
    <row r="4753" spans="2:5" ht="14.25" customHeight="1" x14ac:dyDescent="0.25">
      <c r="B4753" s="103"/>
      <c r="D4753" s="80"/>
      <c r="E4753" s="80"/>
    </row>
    <row r="4754" spans="2:5" ht="14.25" customHeight="1" x14ac:dyDescent="0.25">
      <c r="B4754" s="103"/>
      <c r="D4754" s="80"/>
      <c r="E4754" s="80"/>
    </row>
    <row r="4755" spans="2:5" ht="14.25" customHeight="1" x14ac:dyDescent="0.25">
      <c r="B4755" s="103"/>
      <c r="D4755" s="80"/>
      <c r="E4755" s="80"/>
    </row>
    <row r="4756" spans="2:5" ht="14.25" customHeight="1" x14ac:dyDescent="0.25">
      <c r="B4756" s="103"/>
      <c r="D4756" s="80"/>
      <c r="E4756" s="80"/>
    </row>
    <row r="4757" spans="2:5" ht="14.25" customHeight="1" x14ac:dyDescent="0.25">
      <c r="B4757" s="103"/>
      <c r="D4757" s="80"/>
      <c r="E4757" s="80"/>
    </row>
    <row r="4758" spans="2:5" ht="14.25" customHeight="1" x14ac:dyDescent="0.25">
      <c r="B4758" s="103"/>
      <c r="D4758" s="80"/>
      <c r="E4758" s="80"/>
    </row>
    <row r="4759" spans="2:5" ht="14.25" customHeight="1" x14ac:dyDescent="0.25">
      <c r="B4759" s="103"/>
      <c r="D4759" s="80"/>
      <c r="E4759" s="80"/>
    </row>
    <row r="4760" spans="2:5" ht="14.25" customHeight="1" x14ac:dyDescent="0.25">
      <c r="B4760" s="103"/>
      <c r="D4760" s="80"/>
      <c r="E4760" s="80"/>
    </row>
    <row r="4761" spans="2:5" ht="14.25" customHeight="1" x14ac:dyDescent="0.25">
      <c r="B4761" s="103"/>
      <c r="D4761" s="80"/>
      <c r="E4761" s="80"/>
    </row>
    <row r="4762" spans="2:5" ht="14.25" customHeight="1" x14ac:dyDescent="0.25">
      <c r="B4762" s="103"/>
      <c r="D4762" s="80"/>
      <c r="E4762" s="80"/>
    </row>
    <row r="4763" spans="2:5" ht="14.25" customHeight="1" x14ac:dyDescent="0.25">
      <c r="B4763" s="103"/>
      <c r="D4763" s="80"/>
      <c r="E4763" s="80"/>
    </row>
    <row r="4764" spans="2:5" ht="14.25" customHeight="1" x14ac:dyDescent="0.25">
      <c r="B4764" s="103"/>
      <c r="D4764" s="80"/>
      <c r="E4764" s="80"/>
    </row>
    <row r="4765" spans="2:5" ht="14.25" customHeight="1" x14ac:dyDescent="0.25">
      <c r="B4765" s="103"/>
      <c r="D4765" s="80"/>
      <c r="E4765" s="80"/>
    </row>
    <row r="4766" spans="2:5" ht="14.25" customHeight="1" x14ac:dyDescent="0.25">
      <c r="B4766" s="103"/>
      <c r="D4766" s="80"/>
      <c r="E4766" s="80"/>
    </row>
    <row r="4767" spans="2:5" ht="14.25" customHeight="1" x14ac:dyDescent="0.25">
      <c r="B4767" s="103"/>
      <c r="D4767" s="80"/>
      <c r="E4767" s="80"/>
    </row>
    <row r="4768" spans="2:5" ht="14.25" customHeight="1" x14ac:dyDescent="0.25">
      <c r="B4768" s="103"/>
      <c r="D4768" s="80"/>
      <c r="E4768" s="80"/>
    </row>
    <row r="4769" spans="2:5" ht="14.25" customHeight="1" x14ac:dyDescent="0.25">
      <c r="B4769" s="103"/>
      <c r="D4769" s="80"/>
      <c r="E4769" s="80"/>
    </row>
    <row r="4770" spans="2:5" ht="14.25" customHeight="1" x14ac:dyDescent="0.25">
      <c r="B4770" s="103"/>
      <c r="D4770" s="80"/>
      <c r="E4770" s="80"/>
    </row>
    <row r="4771" spans="2:5" ht="14.25" customHeight="1" x14ac:dyDescent="0.25">
      <c r="B4771" s="103"/>
      <c r="D4771" s="80"/>
      <c r="E4771" s="80"/>
    </row>
    <row r="4772" spans="2:5" ht="14.25" customHeight="1" x14ac:dyDescent="0.25">
      <c r="B4772" s="103"/>
      <c r="D4772" s="80"/>
      <c r="E4772" s="80"/>
    </row>
    <row r="4773" spans="2:5" ht="14.25" customHeight="1" x14ac:dyDescent="0.25">
      <c r="B4773" s="103"/>
      <c r="D4773" s="80"/>
      <c r="E4773" s="80"/>
    </row>
    <row r="4774" spans="2:5" ht="14.25" customHeight="1" x14ac:dyDescent="0.25">
      <c r="B4774" s="103"/>
      <c r="D4774" s="80"/>
      <c r="E4774" s="80"/>
    </row>
    <row r="4775" spans="2:5" ht="14.25" customHeight="1" x14ac:dyDescent="0.25">
      <c r="B4775" s="103"/>
      <c r="D4775" s="80"/>
      <c r="E4775" s="80"/>
    </row>
    <row r="4776" spans="2:5" ht="14.25" customHeight="1" x14ac:dyDescent="0.25">
      <c r="B4776" s="103"/>
      <c r="D4776" s="80"/>
      <c r="E4776" s="80"/>
    </row>
    <row r="4777" spans="2:5" ht="14.25" customHeight="1" x14ac:dyDescent="0.25">
      <c r="B4777" s="103"/>
      <c r="D4777" s="80"/>
      <c r="E4777" s="80"/>
    </row>
    <row r="4778" spans="2:5" ht="14.25" customHeight="1" x14ac:dyDescent="0.25">
      <c r="B4778" s="103"/>
      <c r="D4778" s="80"/>
      <c r="E4778" s="80"/>
    </row>
    <row r="4779" spans="2:5" ht="14.25" customHeight="1" x14ac:dyDescent="0.25">
      <c r="B4779" s="103"/>
      <c r="D4779" s="80"/>
      <c r="E4779" s="80"/>
    </row>
    <row r="4780" spans="2:5" ht="14.25" customHeight="1" x14ac:dyDescent="0.25">
      <c r="B4780" s="103"/>
      <c r="D4780" s="80"/>
      <c r="E4780" s="80"/>
    </row>
    <row r="4781" spans="2:5" ht="14.25" customHeight="1" x14ac:dyDescent="0.25">
      <c r="B4781" s="103"/>
      <c r="D4781" s="80"/>
      <c r="E4781" s="80"/>
    </row>
    <row r="4782" spans="2:5" ht="14.25" customHeight="1" x14ac:dyDescent="0.25">
      <c r="B4782" s="103"/>
      <c r="D4782" s="80"/>
      <c r="E4782" s="80"/>
    </row>
    <row r="4783" spans="2:5" ht="14.25" customHeight="1" x14ac:dyDescent="0.25">
      <c r="B4783" s="103"/>
      <c r="D4783" s="80"/>
      <c r="E4783" s="80"/>
    </row>
    <row r="4784" spans="2:5" ht="14.25" customHeight="1" x14ac:dyDescent="0.25">
      <c r="B4784" s="103"/>
      <c r="D4784" s="80"/>
      <c r="E4784" s="80"/>
    </row>
    <row r="4785" spans="2:5" ht="14.25" customHeight="1" x14ac:dyDescent="0.25">
      <c r="B4785" s="103"/>
      <c r="D4785" s="80"/>
      <c r="E4785" s="80"/>
    </row>
    <row r="4786" spans="2:5" ht="14.25" customHeight="1" x14ac:dyDescent="0.25">
      <c r="B4786" s="103"/>
      <c r="D4786" s="80"/>
      <c r="E4786" s="80"/>
    </row>
    <row r="4787" spans="2:5" ht="14.25" customHeight="1" x14ac:dyDescent="0.25">
      <c r="B4787" s="103"/>
      <c r="D4787" s="80"/>
      <c r="E4787" s="80"/>
    </row>
    <row r="4788" spans="2:5" ht="14.25" customHeight="1" x14ac:dyDescent="0.25">
      <c r="B4788" s="103"/>
      <c r="D4788" s="80"/>
      <c r="E4788" s="80"/>
    </row>
    <row r="4789" spans="2:5" ht="14.25" customHeight="1" x14ac:dyDescent="0.25">
      <c r="B4789" s="103"/>
      <c r="D4789" s="80"/>
      <c r="E4789" s="80"/>
    </row>
    <row r="4790" spans="2:5" ht="14.25" customHeight="1" x14ac:dyDescent="0.25">
      <c r="B4790" s="103"/>
      <c r="D4790" s="80"/>
      <c r="E4790" s="80"/>
    </row>
    <row r="4791" spans="2:5" ht="14.25" customHeight="1" x14ac:dyDescent="0.25">
      <c r="B4791" s="103"/>
      <c r="D4791" s="80"/>
      <c r="E4791" s="80"/>
    </row>
    <row r="4792" spans="2:5" ht="14.25" customHeight="1" x14ac:dyDescent="0.25">
      <c r="B4792" s="103"/>
      <c r="D4792" s="80"/>
      <c r="E4792" s="80"/>
    </row>
    <row r="4793" spans="2:5" ht="14.25" customHeight="1" x14ac:dyDescent="0.25">
      <c r="B4793" s="103"/>
      <c r="D4793" s="80"/>
      <c r="E4793" s="80"/>
    </row>
    <row r="4794" spans="2:5" ht="14.25" customHeight="1" x14ac:dyDescent="0.25">
      <c r="B4794" s="103"/>
      <c r="D4794" s="80"/>
      <c r="E4794" s="80"/>
    </row>
    <row r="4795" spans="2:5" ht="14.25" customHeight="1" x14ac:dyDescent="0.25">
      <c r="B4795" s="103"/>
      <c r="D4795" s="80"/>
      <c r="E4795" s="80"/>
    </row>
    <row r="4796" spans="2:5" ht="14.25" customHeight="1" x14ac:dyDescent="0.25">
      <c r="B4796" s="103"/>
      <c r="D4796" s="80"/>
      <c r="E4796" s="80"/>
    </row>
    <row r="4797" spans="2:5" ht="14.25" customHeight="1" x14ac:dyDescent="0.25">
      <c r="B4797" s="103"/>
      <c r="D4797" s="80"/>
      <c r="E4797" s="80"/>
    </row>
    <row r="4798" spans="2:5" ht="14.25" customHeight="1" x14ac:dyDescent="0.25">
      <c r="B4798" s="103"/>
      <c r="D4798" s="80"/>
      <c r="E4798" s="80"/>
    </row>
    <row r="4799" spans="2:5" ht="14.25" customHeight="1" x14ac:dyDescent="0.25">
      <c r="B4799" s="103"/>
      <c r="D4799" s="80"/>
      <c r="E4799" s="80"/>
    </row>
    <row r="4800" spans="2:5" ht="14.25" customHeight="1" x14ac:dyDescent="0.25">
      <c r="B4800" s="103"/>
      <c r="D4800" s="80"/>
      <c r="E4800" s="80"/>
    </row>
    <row r="4801" spans="2:5" ht="14.25" customHeight="1" x14ac:dyDescent="0.25">
      <c r="B4801" s="103"/>
      <c r="D4801" s="80"/>
      <c r="E4801" s="80"/>
    </row>
    <row r="4802" spans="2:5" ht="14.25" customHeight="1" x14ac:dyDescent="0.25">
      <c r="B4802" s="103"/>
      <c r="D4802" s="80"/>
      <c r="E4802" s="80"/>
    </row>
    <row r="4803" spans="2:5" ht="14.25" customHeight="1" x14ac:dyDescent="0.25">
      <c r="B4803" s="103"/>
      <c r="D4803" s="80"/>
      <c r="E4803" s="80"/>
    </row>
    <row r="4804" spans="2:5" ht="14.25" customHeight="1" x14ac:dyDescent="0.25">
      <c r="B4804" s="103"/>
      <c r="D4804" s="80"/>
      <c r="E4804" s="80"/>
    </row>
    <row r="4805" spans="2:5" ht="14.25" customHeight="1" x14ac:dyDescent="0.25">
      <c r="B4805" s="103"/>
      <c r="D4805" s="80"/>
      <c r="E4805" s="80"/>
    </row>
    <row r="4806" spans="2:5" ht="14.25" customHeight="1" x14ac:dyDescent="0.25">
      <c r="B4806" s="103"/>
      <c r="D4806" s="80"/>
      <c r="E4806" s="80"/>
    </row>
    <row r="4807" spans="2:5" ht="14.25" customHeight="1" x14ac:dyDescent="0.25">
      <c r="B4807" s="103"/>
      <c r="D4807" s="80"/>
      <c r="E4807" s="80"/>
    </row>
    <row r="4808" spans="2:5" ht="14.25" customHeight="1" x14ac:dyDescent="0.25">
      <c r="B4808" s="103"/>
      <c r="D4808" s="80"/>
      <c r="E4808" s="80"/>
    </row>
    <row r="4809" spans="2:5" ht="14.25" customHeight="1" x14ac:dyDescent="0.25">
      <c r="B4809" s="103"/>
      <c r="D4809" s="80"/>
      <c r="E4809" s="80"/>
    </row>
    <row r="4810" spans="2:5" ht="14.25" customHeight="1" x14ac:dyDescent="0.25">
      <c r="B4810" s="103"/>
      <c r="D4810" s="80"/>
      <c r="E4810" s="80"/>
    </row>
    <row r="4811" spans="2:5" ht="14.25" customHeight="1" x14ac:dyDescent="0.25">
      <c r="B4811" s="103"/>
      <c r="D4811" s="80"/>
      <c r="E4811" s="80"/>
    </row>
    <row r="4812" spans="2:5" ht="14.25" customHeight="1" x14ac:dyDescent="0.25">
      <c r="B4812" s="103"/>
      <c r="D4812" s="80"/>
      <c r="E4812" s="80"/>
    </row>
    <row r="4813" spans="2:5" ht="14.25" customHeight="1" x14ac:dyDescent="0.25">
      <c r="B4813" s="103"/>
      <c r="D4813" s="80"/>
      <c r="E4813" s="80"/>
    </row>
    <row r="4814" spans="2:5" ht="14.25" customHeight="1" x14ac:dyDescent="0.25">
      <c r="B4814" s="103"/>
      <c r="D4814" s="80"/>
      <c r="E4814" s="80"/>
    </row>
    <row r="4815" spans="2:5" ht="14.25" customHeight="1" x14ac:dyDescent="0.25">
      <c r="B4815" s="103"/>
      <c r="D4815" s="80"/>
      <c r="E4815" s="80"/>
    </row>
    <row r="4816" spans="2:5" ht="14.25" customHeight="1" x14ac:dyDescent="0.25">
      <c r="B4816" s="103"/>
      <c r="D4816" s="80"/>
      <c r="E4816" s="80"/>
    </row>
    <row r="4817" spans="2:5" ht="14.25" customHeight="1" x14ac:dyDescent="0.25">
      <c r="B4817" s="103"/>
      <c r="D4817" s="80"/>
      <c r="E4817" s="80"/>
    </row>
    <row r="4818" spans="2:5" ht="14.25" customHeight="1" x14ac:dyDescent="0.25">
      <c r="B4818" s="103"/>
      <c r="D4818" s="80"/>
      <c r="E4818" s="80"/>
    </row>
    <row r="4819" spans="2:5" ht="14.25" customHeight="1" x14ac:dyDescent="0.25">
      <c r="B4819" s="103"/>
      <c r="D4819" s="80"/>
      <c r="E4819" s="80"/>
    </row>
    <row r="4820" spans="2:5" ht="14.25" customHeight="1" x14ac:dyDescent="0.25">
      <c r="B4820" s="103"/>
      <c r="D4820" s="80"/>
      <c r="E4820" s="80"/>
    </row>
    <row r="4821" spans="2:5" ht="14.25" customHeight="1" x14ac:dyDescent="0.25">
      <c r="B4821" s="103"/>
      <c r="D4821" s="80"/>
      <c r="E4821" s="80"/>
    </row>
    <row r="4822" spans="2:5" ht="14.25" customHeight="1" x14ac:dyDescent="0.25">
      <c r="B4822" s="103"/>
      <c r="D4822" s="80"/>
      <c r="E4822" s="80"/>
    </row>
    <row r="4823" spans="2:5" ht="14.25" customHeight="1" x14ac:dyDescent="0.25">
      <c r="B4823" s="103"/>
      <c r="D4823" s="80"/>
      <c r="E4823" s="80"/>
    </row>
    <row r="4824" spans="2:5" ht="14.25" customHeight="1" x14ac:dyDescent="0.25">
      <c r="B4824" s="103"/>
      <c r="D4824" s="80"/>
      <c r="E4824" s="80"/>
    </row>
    <row r="4825" spans="2:5" ht="14.25" customHeight="1" x14ac:dyDescent="0.25">
      <c r="B4825" s="103"/>
      <c r="D4825" s="80"/>
      <c r="E4825" s="80"/>
    </row>
    <row r="4826" spans="2:5" ht="14.25" customHeight="1" x14ac:dyDescent="0.25">
      <c r="B4826" s="103"/>
      <c r="D4826" s="80"/>
      <c r="E4826" s="80"/>
    </row>
    <row r="4827" spans="2:5" ht="14.25" customHeight="1" x14ac:dyDescent="0.25">
      <c r="B4827" s="103"/>
      <c r="D4827" s="80"/>
      <c r="E4827" s="80"/>
    </row>
    <row r="4828" spans="2:5" ht="14.25" customHeight="1" x14ac:dyDescent="0.25">
      <c r="B4828" s="103"/>
      <c r="D4828" s="80"/>
      <c r="E4828" s="80"/>
    </row>
    <row r="4829" spans="2:5" ht="14.25" customHeight="1" x14ac:dyDescent="0.25">
      <c r="B4829" s="103"/>
      <c r="D4829" s="80"/>
      <c r="E4829" s="80"/>
    </row>
    <row r="4830" spans="2:5" ht="14.25" customHeight="1" x14ac:dyDescent="0.25">
      <c r="B4830" s="103"/>
      <c r="D4830" s="80"/>
      <c r="E4830" s="80"/>
    </row>
    <row r="4831" spans="2:5" ht="14.25" customHeight="1" x14ac:dyDescent="0.25">
      <c r="B4831" s="103"/>
      <c r="D4831" s="80"/>
      <c r="E4831" s="80"/>
    </row>
    <row r="4832" spans="2:5" ht="14.25" customHeight="1" x14ac:dyDescent="0.25">
      <c r="B4832" s="103"/>
      <c r="D4832" s="80"/>
      <c r="E4832" s="80"/>
    </row>
    <row r="4833" spans="2:5" ht="14.25" customHeight="1" x14ac:dyDescent="0.25">
      <c r="B4833" s="103"/>
      <c r="D4833" s="80"/>
      <c r="E4833" s="80"/>
    </row>
    <row r="4834" spans="2:5" ht="14.25" customHeight="1" x14ac:dyDescent="0.25">
      <c r="B4834" s="103"/>
      <c r="D4834" s="80"/>
      <c r="E4834" s="80"/>
    </row>
    <row r="4835" spans="2:5" ht="14.25" customHeight="1" x14ac:dyDescent="0.25">
      <c r="B4835" s="103"/>
      <c r="D4835" s="80"/>
      <c r="E4835" s="80"/>
    </row>
    <row r="4836" spans="2:5" ht="14.25" customHeight="1" x14ac:dyDescent="0.25">
      <c r="B4836" s="103"/>
      <c r="D4836" s="80"/>
      <c r="E4836" s="80"/>
    </row>
    <row r="4837" spans="2:5" ht="14.25" customHeight="1" x14ac:dyDescent="0.25">
      <c r="B4837" s="103"/>
      <c r="D4837" s="80"/>
      <c r="E4837" s="80"/>
    </row>
    <row r="4838" spans="2:5" ht="14.25" customHeight="1" x14ac:dyDescent="0.25">
      <c r="B4838" s="103"/>
      <c r="D4838" s="80"/>
      <c r="E4838" s="80"/>
    </row>
    <row r="4839" spans="2:5" ht="14.25" customHeight="1" x14ac:dyDescent="0.25">
      <c r="B4839" s="103"/>
      <c r="D4839" s="80"/>
      <c r="E4839" s="80"/>
    </row>
    <row r="4840" spans="2:5" ht="14.25" customHeight="1" x14ac:dyDescent="0.25">
      <c r="B4840" s="103"/>
      <c r="D4840" s="80"/>
      <c r="E4840" s="80"/>
    </row>
    <row r="4841" spans="2:5" ht="14.25" customHeight="1" x14ac:dyDescent="0.25">
      <c r="B4841" s="103"/>
      <c r="D4841" s="80"/>
      <c r="E4841" s="80"/>
    </row>
    <row r="4842" spans="2:5" ht="14.25" customHeight="1" x14ac:dyDescent="0.25">
      <c r="B4842" s="103"/>
      <c r="D4842" s="80"/>
      <c r="E4842" s="80"/>
    </row>
    <row r="4843" spans="2:5" ht="14.25" customHeight="1" x14ac:dyDescent="0.25">
      <c r="B4843" s="103"/>
      <c r="D4843" s="80"/>
      <c r="E4843" s="80"/>
    </row>
    <row r="4844" spans="2:5" ht="14.25" customHeight="1" x14ac:dyDescent="0.25">
      <c r="B4844" s="103"/>
      <c r="D4844" s="80"/>
      <c r="E4844" s="80"/>
    </row>
    <row r="4845" spans="2:5" ht="14.25" customHeight="1" x14ac:dyDescent="0.25">
      <c r="B4845" s="103"/>
      <c r="D4845" s="80"/>
      <c r="E4845" s="80"/>
    </row>
    <row r="4846" spans="2:5" ht="14.25" customHeight="1" x14ac:dyDescent="0.25">
      <c r="B4846" s="103"/>
      <c r="D4846" s="80"/>
      <c r="E4846" s="80"/>
    </row>
    <row r="4847" spans="2:5" ht="14.25" customHeight="1" x14ac:dyDescent="0.25">
      <c r="B4847" s="103"/>
      <c r="D4847" s="80"/>
      <c r="E4847" s="80"/>
    </row>
    <row r="4848" spans="2:5" ht="14.25" customHeight="1" x14ac:dyDescent="0.25">
      <c r="B4848" s="103"/>
      <c r="D4848" s="80"/>
      <c r="E4848" s="80"/>
    </row>
    <row r="4849" spans="2:5" ht="14.25" customHeight="1" x14ac:dyDescent="0.25">
      <c r="B4849" s="103"/>
      <c r="D4849" s="80"/>
      <c r="E4849" s="80"/>
    </row>
    <row r="4850" spans="2:5" ht="14.25" customHeight="1" x14ac:dyDescent="0.25">
      <c r="B4850" s="103"/>
      <c r="D4850" s="80"/>
      <c r="E4850" s="80"/>
    </row>
    <row r="4851" spans="2:5" ht="14.25" customHeight="1" x14ac:dyDescent="0.25">
      <c r="B4851" s="103"/>
      <c r="D4851" s="80"/>
      <c r="E4851" s="80"/>
    </row>
    <row r="4852" spans="2:5" ht="14.25" customHeight="1" x14ac:dyDescent="0.25">
      <c r="B4852" s="103"/>
      <c r="D4852" s="80"/>
      <c r="E4852" s="80"/>
    </row>
    <row r="4853" spans="2:5" ht="14.25" customHeight="1" x14ac:dyDescent="0.25">
      <c r="B4853" s="103"/>
      <c r="D4853" s="80"/>
      <c r="E4853" s="80"/>
    </row>
    <row r="4854" spans="2:5" ht="14.25" customHeight="1" x14ac:dyDescent="0.25">
      <c r="B4854" s="103"/>
      <c r="D4854" s="80"/>
      <c r="E4854" s="80"/>
    </row>
    <row r="4855" spans="2:5" ht="14.25" customHeight="1" x14ac:dyDescent="0.25">
      <c r="B4855" s="103"/>
      <c r="D4855" s="80"/>
      <c r="E4855" s="80"/>
    </row>
    <row r="4856" spans="2:5" ht="14.25" customHeight="1" x14ac:dyDescent="0.25">
      <c r="B4856" s="103"/>
      <c r="D4856" s="80"/>
      <c r="E4856" s="80"/>
    </row>
    <row r="4857" spans="2:5" ht="14.25" customHeight="1" x14ac:dyDescent="0.25">
      <c r="B4857" s="103"/>
      <c r="D4857" s="80"/>
      <c r="E4857" s="80"/>
    </row>
    <row r="4858" spans="2:5" ht="14.25" customHeight="1" x14ac:dyDescent="0.25">
      <c r="B4858" s="103"/>
      <c r="D4858" s="80"/>
      <c r="E4858" s="80"/>
    </row>
    <row r="4859" spans="2:5" ht="14.25" customHeight="1" x14ac:dyDescent="0.25">
      <c r="B4859" s="103"/>
      <c r="D4859" s="80"/>
      <c r="E4859" s="80"/>
    </row>
    <row r="4860" spans="2:5" ht="14.25" customHeight="1" x14ac:dyDescent="0.25">
      <c r="B4860" s="103"/>
      <c r="D4860" s="80"/>
      <c r="E4860" s="80"/>
    </row>
    <row r="4861" spans="2:5" ht="14.25" customHeight="1" x14ac:dyDescent="0.25">
      <c r="B4861" s="103"/>
      <c r="D4861" s="80"/>
      <c r="E4861" s="80"/>
    </row>
    <row r="4862" spans="2:5" ht="14.25" customHeight="1" x14ac:dyDescent="0.25">
      <c r="B4862" s="103"/>
      <c r="D4862" s="80"/>
      <c r="E4862" s="80"/>
    </row>
    <row r="4863" spans="2:5" ht="14.25" customHeight="1" x14ac:dyDescent="0.25">
      <c r="B4863" s="103"/>
      <c r="D4863" s="80"/>
      <c r="E4863" s="80"/>
    </row>
    <row r="4864" spans="2:5" ht="14.25" customHeight="1" x14ac:dyDescent="0.25">
      <c r="B4864" s="103"/>
      <c r="D4864" s="80"/>
      <c r="E4864" s="80"/>
    </row>
    <row r="4865" spans="2:5" ht="14.25" customHeight="1" x14ac:dyDescent="0.25">
      <c r="B4865" s="103"/>
      <c r="D4865" s="80"/>
      <c r="E4865" s="80"/>
    </row>
    <row r="4866" spans="2:5" ht="14.25" customHeight="1" x14ac:dyDescent="0.25">
      <c r="B4866" s="103"/>
      <c r="D4866" s="80"/>
      <c r="E4866" s="80"/>
    </row>
    <row r="4867" spans="2:5" ht="14.25" customHeight="1" x14ac:dyDescent="0.25">
      <c r="B4867" s="103"/>
      <c r="D4867" s="80"/>
      <c r="E4867" s="80"/>
    </row>
    <row r="4868" spans="2:5" ht="14.25" customHeight="1" x14ac:dyDescent="0.25">
      <c r="B4868" s="103"/>
      <c r="D4868" s="80"/>
      <c r="E4868" s="80"/>
    </row>
    <row r="4869" spans="2:5" ht="14.25" customHeight="1" x14ac:dyDescent="0.25">
      <c r="B4869" s="103"/>
      <c r="D4869" s="80"/>
      <c r="E4869" s="80"/>
    </row>
    <row r="4870" spans="2:5" ht="14.25" customHeight="1" x14ac:dyDescent="0.25">
      <c r="B4870" s="103"/>
      <c r="D4870" s="80"/>
      <c r="E4870" s="80"/>
    </row>
    <row r="4871" spans="2:5" ht="14.25" customHeight="1" x14ac:dyDescent="0.25">
      <c r="B4871" s="103"/>
      <c r="D4871" s="80"/>
      <c r="E4871" s="80"/>
    </row>
    <row r="4872" spans="2:5" ht="14.25" customHeight="1" x14ac:dyDescent="0.25">
      <c r="B4872" s="103"/>
      <c r="D4872" s="80"/>
      <c r="E4872" s="80"/>
    </row>
    <row r="4873" spans="2:5" ht="14.25" customHeight="1" x14ac:dyDescent="0.25">
      <c r="B4873" s="103"/>
      <c r="D4873" s="80"/>
      <c r="E4873" s="80"/>
    </row>
    <row r="4874" spans="2:5" ht="14.25" customHeight="1" x14ac:dyDescent="0.25">
      <c r="B4874" s="103"/>
      <c r="D4874" s="80"/>
      <c r="E4874" s="80"/>
    </row>
    <row r="4875" spans="2:5" ht="14.25" customHeight="1" x14ac:dyDescent="0.25">
      <c r="B4875" s="103"/>
      <c r="D4875" s="80"/>
      <c r="E4875" s="80"/>
    </row>
    <row r="4876" spans="2:5" ht="14.25" customHeight="1" x14ac:dyDescent="0.25">
      <c r="B4876" s="103"/>
      <c r="D4876" s="80"/>
      <c r="E4876" s="80"/>
    </row>
    <row r="4877" spans="2:5" ht="14.25" customHeight="1" x14ac:dyDescent="0.25">
      <c r="B4877" s="103"/>
      <c r="D4877" s="80"/>
      <c r="E4877" s="80"/>
    </row>
    <row r="4878" spans="2:5" ht="14.25" customHeight="1" x14ac:dyDescent="0.25">
      <c r="B4878" s="103"/>
      <c r="D4878" s="80"/>
      <c r="E4878" s="80"/>
    </row>
    <row r="4879" spans="2:5" ht="14.25" customHeight="1" x14ac:dyDescent="0.25">
      <c r="B4879" s="103"/>
      <c r="D4879" s="80"/>
      <c r="E4879" s="80"/>
    </row>
    <row r="4880" spans="2:5" ht="14.25" customHeight="1" x14ac:dyDescent="0.25">
      <c r="B4880" s="103"/>
      <c r="D4880" s="80"/>
      <c r="E4880" s="80"/>
    </row>
    <row r="4881" spans="2:5" ht="14.25" customHeight="1" x14ac:dyDescent="0.25">
      <c r="B4881" s="103"/>
      <c r="D4881" s="80"/>
      <c r="E4881" s="80"/>
    </row>
    <row r="4882" spans="2:5" ht="14.25" customHeight="1" x14ac:dyDescent="0.25">
      <c r="B4882" s="103"/>
      <c r="D4882" s="80"/>
      <c r="E4882" s="80"/>
    </row>
    <row r="4883" spans="2:5" ht="14.25" customHeight="1" x14ac:dyDescent="0.25">
      <c r="B4883" s="103"/>
      <c r="D4883" s="80"/>
      <c r="E4883" s="80"/>
    </row>
    <row r="4884" spans="2:5" ht="14.25" customHeight="1" x14ac:dyDescent="0.25">
      <c r="B4884" s="103"/>
      <c r="D4884" s="80"/>
      <c r="E4884" s="80"/>
    </row>
    <row r="4885" spans="2:5" ht="14.25" customHeight="1" x14ac:dyDescent="0.25">
      <c r="B4885" s="103"/>
      <c r="D4885" s="80"/>
      <c r="E4885" s="80"/>
    </row>
    <row r="4886" spans="2:5" ht="14.25" customHeight="1" x14ac:dyDescent="0.25">
      <c r="B4886" s="103"/>
      <c r="D4886" s="80"/>
      <c r="E4886" s="80"/>
    </row>
    <row r="4887" spans="2:5" ht="14.25" customHeight="1" x14ac:dyDescent="0.25">
      <c r="B4887" s="103"/>
      <c r="D4887" s="80"/>
      <c r="E4887" s="80"/>
    </row>
    <row r="4888" spans="2:5" ht="14.25" customHeight="1" x14ac:dyDescent="0.25">
      <c r="B4888" s="103"/>
      <c r="D4888" s="80"/>
      <c r="E4888" s="80"/>
    </row>
    <row r="4889" spans="2:5" ht="14.25" customHeight="1" x14ac:dyDescent="0.25">
      <c r="B4889" s="103"/>
      <c r="D4889" s="80"/>
      <c r="E4889" s="80"/>
    </row>
    <row r="4890" spans="2:5" ht="14.25" customHeight="1" x14ac:dyDescent="0.25">
      <c r="B4890" s="103"/>
      <c r="D4890" s="80"/>
      <c r="E4890" s="80"/>
    </row>
    <row r="4891" spans="2:5" ht="14.25" customHeight="1" x14ac:dyDescent="0.25">
      <c r="B4891" s="103"/>
      <c r="D4891" s="80"/>
      <c r="E4891" s="80"/>
    </row>
    <row r="4892" spans="2:5" ht="14.25" customHeight="1" x14ac:dyDescent="0.25">
      <c r="B4892" s="103"/>
      <c r="D4892" s="80"/>
      <c r="E4892" s="80"/>
    </row>
    <row r="4893" spans="2:5" ht="14.25" customHeight="1" x14ac:dyDescent="0.25">
      <c r="B4893" s="103"/>
      <c r="D4893" s="80"/>
      <c r="E4893" s="80"/>
    </row>
    <row r="4894" spans="2:5" ht="14.25" customHeight="1" x14ac:dyDescent="0.25">
      <c r="B4894" s="103"/>
      <c r="D4894" s="80"/>
      <c r="E4894" s="80"/>
    </row>
    <row r="4895" spans="2:5" ht="14.25" customHeight="1" x14ac:dyDescent="0.25">
      <c r="B4895" s="103"/>
      <c r="D4895" s="80"/>
      <c r="E4895" s="80"/>
    </row>
    <row r="4896" spans="2:5" ht="14.25" customHeight="1" x14ac:dyDescent="0.25">
      <c r="B4896" s="103"/>
      <c r="D4896" s="80"/>
      <c r="E4896" s="80"/>
    </row>
    <row r="4897" spans="2:5" ht="14.25" customHeight="1" x14ac:dyDescent="0.25">
      <c r="B4897" s="103"/>
      <c r="D4897" s="80"/>
      <c r="E4897" s="80"/>
    </row>
    <row r="4898" spans="2:5" ht="14.25" customHeight="1" x14ac:dyDescent="0.25">
      <c r="B4898" s="103"/>
      <c r="D4898" s="80"/>
      <c r="E4898" s="80"/>
    </row>
    <row r="4899" spans="2:5" ht="14.25" customHeight="1" x14ac:dyDescent="0.25">
      <c r="B4899" s="103"/>
      <c r="D4899" s="80"/>
      <c r="E4899" s="80"/>
    </row>
    <row r="4900" spans="2:5" ht="14.25" customHeight="1" x14ac:dyDescent="0.25">
      <c r="B4900" s="103"/>
      <c r="D4900" s="80"/>
      <c r="E4900" s="80"/>
    </row>
    <row r="4901" spans="2:5" ht="14.25" customHeight="1" x14ac:dyDescent="0.25">
      <c r="B4901" s="103"/>
      <c r="D4901" s="80"/>
      <c r="E4901" s="80"/>
    </row>
    <row r="4902" spans="2:5" ht="14.25" customHeight="1" x14ac:dyDescent="0.25">
      <c r="B4902" s="103"/>
      <c r="D4902" s="80"/>
      <c r="E4902" s="80"/>
    </row>
    <row r="4903" spans="2:5" ht="14.25" customHeight="1" x14ac:dyDescent="0.25">
      <c r="B4903" s="103"/>
      <c r="D4903" s="80"/>
      <c r="E4903" s="80"/>
    </row>
    <row r="4904" spans="2:5" ht="14.25" customHeight="1" x14ac:dyDescent="0.25">
      <c r="B4904" s="103"/>
      <c r="D4904" s="80"/>
      <c r="E4904" s="80"/>
    </row>
    <row r="4905" spans="2:5" ht="14.25" customHeight="1" x14ac:dyDescent="0.25">
      <c r="B4905" s="103"/>
      <c r="D4905" s="80"/>
      <c r="E4905" s="80"/>
    </row>
    <row r="4906" spans="2:5" ht="14.25" customHeight="1" x14ac:dyDescent="0.25">
      <c r="B4906" s="103"/>
      <c r="D4906" s="80"/>
      <c r="E4906" s="80"/>
    </row>
    <row r="4907" spans="2:5" ht="14.25" customHeight="1" x14ac:dyDescent="0.25">
      <c r="B4907" s="103"/>
      <c r="D4907" s="80"/>
      <c r="E4907" s="80"/>
    </row>
    <row r="4908" spans="2:5" ht="14.25" customHeight="1" x14ac:dyDescent="0.25">
      <c r="B4908" s="103"/>
      <c r="D4908" s="80"/>
      <c r="E4908" s="80"/>
    </row>
    <row r="4909" spans="2:5" ht="14.25" customHeight="1" x14ac:dyDescent="0.25">
      <c r="B4909" s="103"/>
      <c r="D4909" s="80"/>
      <c r="E4909" s="80"/>
    </row>
    <row r="4910" spans="2:5" ht="14.25" customHeight="1" x14ac:dyDescent="0.25">
      <c r="B4910" s="103"/>
      <c r="D4910" s="80"/>
      <c r="E4910" s="80"/>
    </row>
    <row r="4911" spans="2:5" ht="14.25" customHeight="1" x14ac:dyDescent="0.25">
      <c r="B4911" s="103"/>
      <c r="D4911" s="80"/>
      <c r="E4911" s="80"/>
    </row>
    <row r="4912" spans="2:5" ht="14.25" customHeight="1" x14ac:dyDescent="0.25">
      <c r="B4912" s="103"/>
      <c r="D4912" s="80"/>
      <c r="E4912" s="80"/>
    </row>
    <row r="4913" spans="2:5" ht="14.25" customHeight="1" x14ac:dyDescent="0.25">
      <c r="B4913" s="103"/>
      <c r="D4913" s="80"/>
      <c r="E4913" s="80"/>
    </row>
    <row r="4914" spans="2:5" ht="14.25" customHeight="1" x14ac:dyDescent="0.25">
      <c r="B4914" s="103"/>
      <c r="D4914" s="80"/>
      <c r="E4914" s="80"/>
    </row>
    <row r="4915" spans="2:5" ht="14.25" customHeight="1" x14ac:dyDescent="0.25">
      <c r="B4915" s="103"/>
      <c r="D4915" s="80"/>
      <c r="E4915" s="80"/>
    </row>
    <row r="4916" spans="2:5" ht="14.25" customHeight="1" x14ac:dyDescent="0.25">
      <c r="B4916" s="103"/>
      <c r="D4916" s="80"/>
      <c r="E4916" s="80"/>
    </row>
    <row r="4917" spans="2:5" ht="14.25" customHeight="1" x14ac:dyDescent="0.25">
      <c r="B4917" s="103"/>
      <c r="D4917" s="80"/>
      <c r="E4917" s="80"/>
    </row>
    <row r="4918" spans="2:5" ht="14.25" customHeight="1" x14ac:dyDescent="0.25">
      <c r="B4918" s="103"/>
      <c r="D4918" s="80"/>
      <c r="E4918" s="80"/>
    </row>
    <row r="4919" spans="2:5" ht="14.25" customHeight="1" x14ac:dyDescent="0.25">
      <c r="B4919" s="103"/>
      <c r="D4919" s="80"/>
      <c r="E4919" s="80"/>
    </row>
    <row r="4920" spans="2:5" ht="14.25" customHeight="1" x14ac:dyDescent="0.25">
      <c r="B4920" s="103"/>
      <c r="D4920" s="80"/>
      <c r="E4920" s="80"/>
    </row>
    <row r="4921" spans="2:5" ht="14.25" customHeight="1" x14ac:dyDescent="0.25">
      <c r="B4921" s="103"/>
      <c r="D4921" s="80"/>
      <c r="E4921" s="80"/>
    </row>
    <row r="4922" spans="2:5" ht="14.25" customHeight="1" x14ac:dyDescent="0.25">
      <c r="B4922" s="103"/>
      <c r="D4922" s="80"/>
      <c r="E4922" s="80"/>
    </row>
    <row r="4923" spans="2:5" ht="14.25" customHeight="1" x14ac:dyDescent="0.25">
      <c r="B4923" s="103"/>
      <c r="D4923" s="80"/>
      <c r="E4923" s="80"/>
    </row>
    <row r="4924" spans="2:5" ht="14.25" customHeight="1" x14ac:dyDescent="0.25">
      <c r="B4924" s="103"/>
      <c r="D4924" s="80"/>
      <c r="E4924" s="80"/>
    </row>
    <row r="4925" spans="2:5" ht="14.25" customHeight="1" x14ac:dyDescent="0.25">
      <c r="B4925" s="103"/>
      <c r="D4925" s="80"/>
      <c r="E4925" s="80"/>
    </row>
    <row r="4926" spans="2:5" ht="14.25" customHeight="1" x14ac:dyDescent="0.25">
      <c r="B4926" s="103"/>
      <c r="D4926" s="80"/>
      <c r="E4926" s="80"/>
    </row>
    <row r="4927" spans="2:5" ht="14.25" customHeight="1" x14ac:dyDescent="0.25">
      <c r="B4927" s="103"/>
      <c r="D4927" s="80"/>
      <c r="E4927" s="80"/>
    </row>
    <row r="4928" spans="2:5" ht="14.25" customHeight="1" x14ac:dyDescent="0.25">
      <c r="B4928" s="103"/>
      <c r="D4928" s="80"/>
      <c r="E4928" s="80"/>
    </row>
    <row r="4929" spans="2:5" ht="14.25" customHeight="1" x14ac:dyDescent="0.25">
      <c r="B4929" s="103"/>
      <c r="D4929" s="80"/>
      <c r="E4929" s="80"/>
    </row>
    <row r="4930" spans="2:5" ht="14.25" customHeight="1" x14ac:dyDescent="0.25">
      <c r="B4930" s="103"/>
      <c r="D4930" s="80"/>
      <c r="E4930" s="80"/>
    </row>
    <row r="4931" spans="2:5" ht="14.25" customHeight="1" x14ac:dyDescent="0.25">
      <c r="B4931" s="103"/>
      <c r="D4931" s="80"/>
      <c r="E4931" s="80"/>
    </row>
    <row r="4932" spans="2:5" ht="14.25" customHeight="1" x14ac:dyDescent="0.25">
      <c r="B4932" s="103"/>
      <c r="D4932" s="80"/>
      <c r="E4932" s="80"/>
    </row>
    <row r="4933" spans="2:5" ht="14.25" customHeight="1" x14ac:dyDescent="0.25">
      <c r="B4933" s="103"/>
      <c r="D4933" s="80"/>
      <c r="E4933" s="80"/>
    </row>
    <row r="4934" spans="2:5" ht="14.25" customHeight="1" x14ac:dyDescent="0.25">
      <c r="B4934" s="103"/>
      <c r="D4934" s="80"/>
      <c r="E4934" s="80"/>
    </row>
    <row r="4935" spans="2:5" ht="14.25" customHeight="1" x14ac:dyDescent="0.25">
      <c r="B4935" s="103"/>
      <c r="D4935" s="80"/>
      <c r="E4935" s="80"/>
    </row>
    <row r="4936" spans="2:5" ht="14.25" customHeight="1" x14ac:dyDescent="0.25">
      <c r="B4936" s="103"/>
      <c r="D4936" s="80"/>
      <c r="E4936" s="80"/>
    </row>
    <row r="4937" spans="2:5" ht="14.25" customHeight="1" x14ac:dyDescent="0.25">
      <c r="B4937" s="103"/>
      <c r="D4937" s="80"/>
      <c r="E4937" s="80"/>
    </row>
    <row r="4938" spans="2:5" ht="14.25" customHeight="1" x14ac:dyDescent="0.25">
      <c r="B4938" s="103"/>
      <c r="D4938" s="80"/>
      <c r="E4938" s="80"/>
    </row>
    <row r="4939" spans="2:5" ht="14.25" customHeight="1" x14ac:dyDescent="0.25">
      <c r="B4939" s="103"/>
      <c r="D4939" s="80"/>
      <c r="E4939" s="80"/>
    </row>
    <row r="4940" spans="2:5" ht="14.25" customHeight="1" x14ac:dyDescent="0.25">
      <c r="B4940" s="103"/>
      <c r="D4940" s="80"/>
      <c r="E4940" s="80"/>
    </row>
    <row r="4941" spans="2:5" ht="14.25" customHeight="1" x14ac:dyDescent="0.25">
      <c r="B4941" s="103"/>
      <c r="D4941" s="80"/>
      <c r="E4941" s="80"/>
    </row>
    <row r="4942" spans="2:5" ht="14.25" customHeight="1" x14ac:dyDescent="0.25">
      <c r="B4942" s="103"/>
      <c r="D4942" s="80"/>
      <c r="E4942" s="80"/>
    </row>
    <row r="4943" spans="2:5" ht="14.25" customHeight="1" x14ac:dyDescent="0.25">
      <c r="B4943" s="103"/>
      <c r="D4943" s="80"/>
      <c r="E4943" s="80"/>
    </row>
    <row r="4944" spans="2:5" ht="14.25" customHeight="1" x14ac:dyDescent="0.25">
      <c r="B4944" s="103"/>
      <c r="D4944" s="80"/>
      <c r="E4944" s="80"/>
    </row>
    <row r="4945" spans="2:5" ht="14.25" customHeight="1" x14ac:dyDescent="0.25">
      <c r="B4945" s="103"/>
      <c r="D4945" s="80"/>
      <c r="E4945" s="80"/>
    </row>
    <row r="4946" spans="2:5" ht="14.25" customHeight="1" x14ac:dyDescent="0.25">
      <c r="B4946" s="103"/>
      <c r="D4946" s="80"/>
      <c r="E4946" s="80"/>
    </row>
    <row r="4947" spans="2:5" ht="14.25" customHeight="1" x14ac:dyDescent="0.25">
      <c r="B4947" s="103"/>
      <c r="D4947" s="80"/>
      <c r="E4947" s="80"/>
    </row>
    <row r="4948" spans="2:5" ht="14.25" customHeight="1" x14ac:dyDescent="0.25">
      <c r="B4948" s="103"/>
      <c r="D4948" s="80"/>
      <c r="E4948" s="80"/>
    </row>
    <row r="4949" spans="2:5" ht="14.25" customHeight="1" x14ac:dyDescent="0.25">
      <c r="B4949" s="103"/>
      <c r="D4949" s="80"/>
      <c r="E4949" s="80"/>
    </row>
    <row r="4950" spans="2:5" ht="14.25" customHeight="1" x14ac:dyDescent="0.25">
      <c r="B4950" s="103"/>
      <c r="D4950" s="80"/>
      <c r="E4950" s="80"/>
    </row>
    <row r="4951" spans="2:5" ht="14.25" customHeight="1" x14ac:dyDescent="0.25">
      <c r="B4951" s="103"/>
      <c r="D4951" s="80"/>
      <c r="E4951" s="80"/>
    </row>
    <row r="4952" spans="2:5" ht="14.25" customHeight="1" x14ac:dyDescent="0.25">
      <c r="B4952" s="103"/>
      <c r="D4952" s="80"/>
      <c r="E4952" s="80"/>
    </row>
    <row r="4953" spans="2:5" ht="14.25" customHeight="1" x14ac:dyDescent="0.25">
      <c r="B4953" s="103"/>
      <c r="D4953" s="80"/>
      <c r="E4953" s="80"/>
    </row>
    <row r="4954" spans="2:5" ht="14.25" customHeight="1" x14ac:dyDescent="0.25">
      <c r="B4954" s="103"/>
      <c r="D4954" s="80"/>
      <c r="E4954" s="80"/>
    </row>
    <row r="4955" spans="2:5" ht="14.25" customHeight="1" x14ac:dyDescent="0.25">
      <c r="B4955" s="103"/>
      <c r="D4955" s="80"/>
      <c r="E4955" s="80"/>
    </row>
    <row r="4956" spans="2:5" ht="14.25" customHeight="1" x14ac:dyDescent="0.25">
      <c r="B4956" s="103"/>
      <c r="D4956" s="80"/>
      <c r="E4956" s="80"/>
    </row>
    <row r="4957" spans="2:5" ht="14.25" customHeight="1" x14ac:dyDescent="0.25">
      <c r="B4957" s="103"/>
      <c r="D4957" s="80"/>
      <c r="E4957" s="80"/>
    </row>
    <row r="4958" spans="2:5" ht="14.25" customHeight="1" x14ac:dyDescent="0.25">
      <c r="B4958" s="103"/>
      <c r="D4958" s="80"/>
      <c r="E4958" s="80"/>
    </row>
    <row r="4959" spans="2:5" ht="14.25" customHeight="1" x14ac:dyDescent="0.25">
      <c r="B4959" s="103"/>
      <c r="D4959" s="80"/>
      <c r="E4959" s="80"/>
    </row>
    <row r="4960" spans="2:5" ht="14.25" customHeight="1" x14ac:dyDescent="0.25">
      <c r="B4960" s="103"/>
      <c r="D4960" s="80"/>
      <c r="E4960" s="80"/>
    </row>
    <row r="4961" spans="2:5" ht="14.25" customHeight="1" x14ac:dyDescent="0.25">
      <c r="B4961" s="103"/>
      <c r="D4961" s="80"/>
      <c r="E4961" s="80"/>
    </row>
    <row r="4962" spans="2:5" ht="14.25" customHeight="1" x14ac:dyDescent="0.25">
      <c r="B4962" s="103"/>
      <c r="D4962" s="80"/>
      <c r="E4962" s="80"/>
    </row>
    <row r="4963" spans="2:5" ht="14.25" customHeight="1" x14ac:dyDescent="0.25">
      <c r="B4963" s="103"/>
      <c r="D4963" s="80"/>
      <c r="E4963" s="80"/>
    </row>
    <row r="4964" spans="2:5" ht="14.25" customHeight="1" x14ac:dyDescent="0.25">
      <c r="B4964" s="103"/>
      <c r="D4964" s="80"/>
      <c r="E4964" s="80"/>
    </row>
    <row r="4965" spans="2:5" ht="14.25" customHeight="1" x14ac:dyDescent="0.25">
      <c r="B4965" s="103"/>
      <c r="D4965" s="80"/>
      <c r="E4965" s="80"/>
    </row>
    <row r="4966" spans="2:5" ht="14.25" customHeight="1" x14ac:dyDescent="0.25">
      <c r="B4966" s="103"/>
      <c r="D4966" s="80"/>
      <c r="E4966" s="80"/>
    </row>
    <row r="4967" spans="2:5" ht="14.25" customHeight="1" x14ac:dyDescent="0.25">
      <c r="B4967" s="103"/>
      <c r="D4967" s="80"/>
      <c r="E4967" s="80"/>
    </row>
    <row r="4968" spans="2:5" ht="14.25" customHeight="1" x14ac:dyDescent="0.25">
      <c r="B4968" s="103"/>
      <c r="D4968" s="80"/>
      <c r="E4968" s="80"/>
    </row>
    <row r="4969" spans="2:5" ht="14.25" customHeight="1" x14ac:dyDescent="0.25">
      <c r="B4969" s="103"/>
      <c r="D4969" s="80"/>
      <c r="E4969" s="80"/>
    </row>
    <row r="4970" spans="2:5" ht="14.25" customHeight="1" x14ac:dyDescent="0.25">
      <c r="B4970" s="103"/>
      <c r="D4970" s="80"/>
      <c r="E4970" s="80"/>
    </row>
    <row r="4971" spans="2:5" ht="14.25" customHeight="1" x14ac:dyDescent="0.25">
      <c r="B4971" s="103"/>
      <c r="D4971" s="80"/>
      <c r="E4971" s="80"/>
    </row>
    <row r="4972" spans="2:5" ht="14.25" customHeight="1" x14ac:dyDescent="0.25">
      <c r="B4972" s="103"/>
      <c r="D4972" s="80"/>
      <c r="E4972" s="80"/>
    </row>
    <row r="4973" spans="2:5" ht="14.25" customHeight="1" x14ac:dyDescent="0.25">
      <c r="B4973" s="103"/>
      <c r="D4973" s="80"/>
      <c r="E4973" s="80"/>
    </row>
    <row r="4974" spans="2:5" ht="14.25" customHeight="1" x14ac:dyDescent="0.25">
      <c r="B4974" s="103"/>
      <c r="D4974" s="80"/>
      <c r="E4974" s="80"/>
    </row>
    <row r="4975" spans="2:5" ht="14.25" customHeight="1" x14ac:dyDescent="0.25">
      <c r="B4975" s="103"/>
      <c r="D4975" s="80"/>
      <c r="E4975" s="80"/>
    </row>
    <row r="4976" spans="2:5" ht="14.25" customHeight="1" x14ac:dyDescent="0.25">
      <c r="B4976" s="103"/>
      <c r="D4976" s="80"/>
      <c r="E4976" s="80"/>
    </row>
    <row r="4977" spans="2:5" ht="14.25" customHeight="1" x14ac:dyDescent="0.25">
      <c r="B4977" s="103"/>
      <c r="D4977" s="80"/>
      <c r="E4977" s="80"/>
    </row>
    <row r="4978" spans="2:5" ht="14.25" customHeight="1" x14ac:dyDescent="0.25">
      <c r="B4978" s="103"/>
      <c r="D4978" s="80"/>
      <c r="E4978" s="80"/>
    </row>
    <row r="4979" spans="2:5" ht="14.25" customHeight="1" x14ac:dyDescent="0.25">
      <c r="B4979" s="103"/>
      <c r="D4979" s="80"/>
      <c r="E4979" s="80"/>
    </row>
    <row r="4980" spans="2:5" ht="14.25" customHeight="1" x14ac:dyDescent="0.25">
      <c r="B4980" s="103"/>
      <c r="D4980" s="80"/>
      <c r="E4980" s="80"/>
    </row>
    <row r="4981" spans="2:5" ht="14.25" customHeight="1" x14ac:dyDescent="0.25">
      <c r="B4981" s="103"/>
      <c r="D4981" s="80"/>
      <c r="E4981" s="80"/>
    </row>
    <row r="4982" spans="2:5" ht="14.25" customHeight="1" x14ac:dyDescent="0.25">
      <c r="B4982" s="103"/>
      <c r="D4982" s="80"/>
      <c r="E4982" s="80"/>
    </row>
    <row r="4983" spans="2:5" ht="14.25" customHeight="1" x14ac:dyDescent="0.25">
      <c r="B4983" s="103"/>
      <c r="D4983" s="80"/>
      <c r="E4983" s="80"/>
    </row>
    <row r="4984" spans="2:5" ht="14.25" customHeight="1" x14ac:dyDescent="0.25">
      <c r="B4984" s="103"/>
      <c r="D4984" s="80"/>
      <c r="E4984" s="80"/>
    </row>
    <row r="4985" spans="2:5" ht="14.25" customHeight="1" x14ac:dyDescent="0.25">
      <c r="B4985" s="103"/>
      <c r="D4985" s="80"/>
      <c r="E4985" s="80"/>
    </row>
    <row r="4986" spans="2:5" ht="14.25" customHeight="1" x14ac:dyDescent="0.25">
      <c r="B4986" s="103"/>
      <c r="D4986" s="80"/>
      <c r="E4986" s="80"/>
    </row>
    <row r="4987" spans="2:5" ht="14.25" customHeight="1" x14ac:dyDescent="0.25">
      <c r="B4987" s="103"/>
      <c r="D4987" s="80"/>
      <c r="E4987" s="80"/>
    </row>
    <row r="4988" spans="2:5" ht="14.25" customHeight="1" x14ac:dyDescent="0.25">
      <c r="B4988" s="103"/>
      <c r="D4988" s="80"/>
      <c r="E4988" s="80"/>
    </row>
    <row r="4989" spans="2:5" ht="14.25" customHeight="1" x14ac:dyDescent="0.25">
      <c r="B4989" s="103"/>
      <c r="D4989" s="80"/>
      <c r="E4989" s="80"/>
    </row>
    <row r="4990" spans="2:5" ht="14.25" customHeight="1" x14ac:dyDescent="0.25">
      <c r="B4990" s="103"/>
      <c r="D4990" s="80"/>
      <c r="E4990" s="80"/>
    </row>
    <row r="4991" spans="2:5" ht="14.25" customHeight="1" x14ac:dyDescent="0.25">
      <c r="B4991" s="103"/>
      <c r="D4991" s="80"/>
      <c r="E4991" s="80"/>
    </row>
    <row r="4992" spans="2:5" ht="14.25" customHeight="1" x14ac:dyDescent="0.25">
      <c r="B4992" s="103"/>
      <c r="D4992" s="80"/>
      <c r="E4992" s="80"/>
    </row>
    <row r="4993" spans="2:5" ht="14.25" customHeight="1" x14ac:dyDescent="0.25">
      <c r="B4993" s="103"/>
      <c r="D4993" s="80"/>
      <c r="E4993" s="80"/>
    </row>
    <row r="4994" spans="2:5" ht="14.25" customHeight="1" x14ac:dyDescent="0.25">
      <c r="B4994" s="103"/>
      <c r="D4994" s="80"/>
      <c r="E4994" s="80"/>
    </row>
    <row r="4995" spans="2:5" ht="14.25" customHeight="1" x14ac:dyDescent="0.25">
      <c r="B4995" s="103"/>
      <c r="D4995" s="80"/>
      <c r="E4995" s="80"/>
    </row>
    <row r="4996" spans="2:5" ht="14.25" customHeight="1" x14ac:dyDescent="0.25">
      <c r="B4996" s="103"/>
      <c r="D4996" s="80"/>
      <c r="E4996" s="80"/>
    </row>
    <row r="4997" spans="2:5" ht="14.25" customHeight="1" x14ac:dyDescent="0.25">
      <c r="B4997" s="103"/>
      <c r="D4997" s="80"/>
      <c r="E4997" s="80"/>
    </row>
    <row r="4998" spans="2:5" ht="14.25" customHeight="1" x14ac:dyDescent="0.25">
      <c r="B4998" s="103"/>
      <c r="D4998" s="80"/>
      <c r="E4998" s="80"/>
    </row>
    <row r="4999" spans="2:5" ht="14.25" customHeight="1" x14ac:dyDescent="0.25">
      <c r="B4999" s="103"/>
      <c r="D4999" s="80"/>
      <c r="E4999" s="80"/>
    </row>
    <row r="5000" spans="2:5" ht="14.25" customHeight="1" x14ac:dyDescent="0.25">
      <c r="B5000" s="103"/>
      <c r="D5000" s="80"/>
      <c r="E5000" s="80"/>
    </row>
    <row r="5001" spans="2:5" ht="14.25" customHeight="1" x14ac:dyDescent="0.25">
      <c r="B5001" s="103"/>
      <c r="D5001" s="80"/>
      <c r="E5001" s="80"/>
    </row>
    <row r="5002" spans="2:5" ht="14.25" customHeight="1" x14ac:dyDescent="0.25">
      <c r="B5002" s="103"/>
      <c r="D5002" s="80"/>
      <c r="E5002" s="80"/>
    </row>
    <row r="5003" spans="2:5" ht="14.25" customHeight="1" x14ac:dyDescent="0.25">
      <c r="B5003" s="103"/>
      <c r="D5003" s="80"/>
      <c r="E5003" s="80"/>
    </row>
    <row r="5004" spans="2:5" ht="14.25" customHeight="1" x14ac:dyDescent="0.25">
      <c r="B5004" s="103"/>
      <c r="D5004" s="80"/>
      <c r="E5004" s="80"/>
    </row>
    <row r="5005" spans="2:5" ht="14.25" customHeight="1" x14ac:dyDescent="0.25">
      <c r="B5005" s="103"/>
      <c r="D5005" s="80"/>
      <c r="E5005" s="80"/>
    </row>
    <row r="5006" spans="2:5" ht="14.25" customHeight="1" x14ac:dyDescent="0.25">
      <c r="B5006" s="103"/>
      <c r="D5006" s="80"/>
      <c r="E5006" s="80"/>
    </row>
    <row r="5007" spans="2:5" ht="14.25" customHeight="1" x14ac:dyDescent="0.25">
      <c r="B5007" s="103"/>
      <c r="D5007" s="80"/>
      <c r="E5007" s="80"/>
    </row>
    <row r="5008" spans="2:5" ht="14.25" customHeight="1" x14ac:dyDescent="0.25">
      <c r="B5008" s="103"/>
      <c r="D5008" s="80"/>
      <c r="E5008" s="80"/>
    </row>
    <row r="5009" spans="2:5" ht="14.25" customHeight="1" x14ac:dyDescent="0.25">
      <c r="B5009" s="103"/>
      <c r="D5009" s="80"/>
      <c r="E5009" s="80"/>
    </row>
    <row r="5010" spans="2:5" ht="14.25" customHeight="1" x14ac:dyDescent="0.25">
      <c r="B5010" s="103"/>
      <c r="D5010" s="80"/>
      <c r="E5010" s="80"/>
    </row>
    <row r="5011" spans="2:5" ht="14.25" customHeight="1" x14ac:dyDescent="0.25">
      <c r="B5011" s="103"/>
      <c r="D5011" s="80"/>
      <c r="E5011" s="80"/>
    </row>
    <row r="5012" spans="2:5" ht="14.25" customHeight="1" x14ac:dyDescent="0.25">
      <c r="B5012" s="103"/>
      <c r="D5012" s="80"/>
      <c r="E5012" s="80"/>
    </row>
    <row r="5013" spans="2:5" ht="14.25" customHeight="1" x14ac:dyDescent="0.25">
      <c r="B5013" s="103"/>
      <c r="D5013" s="80"/>
      <c r="E5013" s="80"/>
    </row>
    <row r="5014" spans="2:5" ht="14.25" customHeight="1" x14ac:dyDescent="0.25">
      <c r="B5014" s="103"/>
      <c r="D5014" s="80"/>
      <c r="E5014" s="80"/>
    </row>
    <row r="5015" spans="2:5" ht="14.25" customHeight="1" x14ac:dyDescent="0.25">
      <c r="B5015" s="103"/>
      <c r="D5015" s="80"/>
      <c r="E5015" s="80"/>
    </row>
    <row r="5016" spans="2:5" ht="14.25" customHeight="1" x14ac:dyDescent="0.25">
      <c r="B5016" s="103"/>
      <c r="D5016" s="80"/>
      <c r="E5016" s="80"/>
    </row>
    <row r="5017" spans="2:5" ht="14.25" customHeight="1" x14ac:dyDescent="0.25">
      <c r="B5017" s="103"/>
      <c r="D5017" s="80"/>
      <c r="E5017" s="80"/>
    </row>
    <row r="5018" spans="2:5" ht="14.25" customHeight="1" x14ac:dyDescent="0.25">
      <c r="B5018" s="103"/>
      <c r="D5018" s="80"/>
      <c r="E5018" s="80"/>
    </row>
    <row r="5019" spans="2:5" ht="14.25" customHeight="1" x14ac:dyDescent="0.25">
      <c r="B5019" s="103"/>
      <c r="D5019" s="80"/>
      <c r="E5019" s="80"/>
    </row>
    <row r="5020" spans="2:5" ht="14.25" customHeight="1" x14ac:dyDescent="0.25">
      <c r="B5020" s="103"/>
      <c r="D5020" s="80"/>
      <c r="E5020" s="80"/>
    </row>
    <row r="5021" spans="2:5" ht="14.25" customHeight="1" x14ac:dyDescent="0.25">
      <c r="B5021" s="103"/>
      <c r="D5021" s="80"/>
      <c r="E5021" s="80"/>
    </row>
    <row r="5022" spans="2:5" ht="14.25" customHeight="1" x14ac:dyDescent="0.25">
      <c r="B5022" s="103"/>
      <c r="D5022" s="80"/>
      <c r="E5022" s="80"/>
    </row>
    <row r="5023" spans="2:5" ht="14.25" customHeight="1" x14ac:dyDescent="0.25">
      <c r="B5023" s="103"/>
      <c r="D5023" s="80"/>
      <c r="E5023" s="80"/>
    </row>
    <row r="5024" spans="2:5" ht="14.25" customHeight="1" x14ac:dyDescent="0.25">
      <c r="B5024" s="103"/>
      <c r="D5024" s="80"/>
      <c r="E5024" s="80"/>
    </row>
    <row r="5025" spans="2:5" ht="14.25" customHeight="1" x14ac:dyDescent="0.25">
      <c r="B5025" s="103"/>
      <c r="D5025" s="80"/>
      <c r="E5025" s="80"/>
    </row>
    <row r="5026" spans="2:5" ht="14.25" customHeight="1" x14ac:dyDescent="0.25">
      <c r="B5026" s="103"/>
      <c r="D5026" s="80"/>
      <c r="E5026" s="80"/>
    </row>
    <row r="5027" spans="2:5" ht="14.25" customHeight="1" x14ac:dyDescent="0.25">
      <c r="B5027" s="103"/>
      <c r="D5027" s="80"/>
      <c r="E5027" s="80"/>
    </row>
    <row r="5028" spans="2:5" ht="14.25" customHeight="1" x14ac:dyDescent="0.25">
      <c r="B5028" s="103"/>
      <c r="D5028" s="80"/>
      <c r="E5028" s="80"/>
    </row>
    <row r="5029" spans="2:5" ht="14.25" customHeight="1" x14ac:dyDescent="0.25">
      <c r="B5029" s="103"/>
      <c r="D5029" s="80"/>
      <c r="E5029" s="80"/>
    </row>
    <row r="5030" spans="2:5" ht="14.25" customHeight="1" x14ac:dyDescent="0.25">
      <c r="B5030" s="103"/>
      <c r="D5030" s="80"/>
      <c r="E5030" s="80"/>
    </row>
    <row r="5031" spans="2:5" ht="14.25" customHeight="1" x14ac:dyDescent="0.25">
      <c r="B5031" s="103"/>
      <c r="D5031" s="80"/>
      <c r="E5031" s="80"/>
    </row>
    <row r="5032" spans="2:5" ht="14.25" customHeight="1" x14ac:dyDescent="0.25">
      <c r="B5032" s="103"/>
      <c r="D5032" s="80"/>
      <c r="E5032" s="80"/>
    </row>
    <row r="5033" spans="2:5" ht="14.25" customHeight="1" x14ac:dyDescent="0.25">
      <c r="B5033" s="103"/>
      <c r="D5033" s="80"/>
      <c r="E5033" s="80"/>
    </row>
    <row r="5034" spans="2:5" ht="14.25" customHeight="1" x14ac:dyDescent="0.25">
      <c r="B5034" s="103"/>
      <c r="D5034" s="80"/>
      <c r="E5034" s="80"/>
    </row>
    <row r="5035" spans="2:5" ht="14.25" customHeight="1" x14ac:dyDescent="0.25">
      <c r="B5035" s="103"/>
      <c r="D5035" s="80"/>
      <c r="E5035" s="80"/>
    </row>
    <row r="5036" spans="2:5" ht="14.25" customHeight="1" x14ac:dyDescent="0.25">
      <c r="B5036" s="103"/>
      <c r="D5036" s="80"/>
      <c r="E5036" s="80"/>
    </row>
    <row r="5037" spans="2:5" ht="14.25" customHeight="1" x14ac:dyDescent="0.25">
      <c r="B5037" s="103"/>
      <c r="D5037" s="80"/>
      <c r="E5037" s="80"/>
    </row>
    <row r="5038" spans="2:5" ht="14.25" customHeight="1" x14ac:dyDescent="0.25">
      <c r="B5038" s="103"/>
      <c r="D5038" s="80"/>
      <c r="E5038" s="80"/>
    </row>
    <row r="5039" spans="2:5" ht="14.25" customHeight="1" x14ac:dyDescent="0.25">
      <c r="B5039" s="103"/>
      <c r="D5039" s="80"/>
      <c r="E5039" s="80"/>
    </row>
    <row r="5040" spans="2:5" ht="14.25" customHeight="1" x14ac:dyDescent="0.25">
      <c r="B5040" s="103"/>
      <c r="D5040" s="80"/>
      <c r="E5040" s="80"/>
    </row>
    <row r="5041" spans="2:5" ht="14.25" customHeight="1" x14ac:dyDescent="0.25">
      <c r="B5041" s="103"/>
      <c r="D5041" s="80"/>
      <c r="E5041" s="80"/>
    </row>
    <row r="5042" spans="2:5" ht="14.25" customHeight="1" x14ac:dyDescent="0.25">
      <c r="B5042" s="103"/>
      <c r="D5042" s="80"/>
      <c r="E5042" s="80"/>
    </row>
    <row r="5043" spans="2:5" ht="14.25" customHeight="1" x14ac:dyDescent="0.25">
      <c r="B5043" s="103"/>
      <c r="D5043" s="80"/>
      <c r="E5043" s="80"/>
    </row>
    <row r="5044" spans="2:5" ht="14.25" customHeight="1" x14ac:dyDescent="0.25">
      <c r="B5044" s="103"/>
      <c r="D5044" s="80"/>
      <c r="E5044" s="80"/>
    </row>
    <row r="5045" spans="2:5" ht="14.25" customHeight="1" x14ac:dyDescent="0.25">
      <c r="B5045" s="103"/>
      <c r="D5045" s="80"/>
      <c r="E5045" s="80"/>
    </row>
    <row r="5046" spans="2:5" ht="14.25" customHeight="1" x14ac:dyDescent="0.25">
      <c r="B5046" s="103"/>
      <c r="D5046" s="80"/>
      <c r="E5046" s="80"/>
    </row>
    <row r="5047" spans="2:5" ht="14.25" customHeight="1" x14ac:dyDescent="0.25">
      <c r="B5047" s="103"/>
      <c r="D5047" s="80"/>
      <c r="E5047" s="80"/>
    </row>
    <row r="5048" spans="2:5" ht="14.25" customHeight="1" x14ac:dyDescent="0.25">
      <c r="B5048" s="103"/>
      <c r="D5048" s="80"/>
      <c r="E5048" s="80"/>
    </row>
    <row r="5049" spans="2:5" ht="14.25" customHeight="1" x14ac:dyDescent="0.25">
      <c r="B5049" s="103"/>
      <c r="D5049" s="80"/>
      <c r="E5049" s="80"/>
    </row>
    <row r="5050" spans="2:5" ht="14.25" customHeight="1" x14ac:dyDescent="0.25">
      <c r="B5050" s="103"/>
      <c r="D5050" s="80"/>
      <c r="E5050" s="80"/>
    </row>
    <row r="5051" spans="2:5" ht="14.25" customHeight="1" x14ac:dyDescent="0.25">
      <c r="B5051" s="103"/>
      <c r="D5051" s="80"/>
      <c r="E5051" s="80"/>
    </row>
    <row r="5052" spans="2:5" ht="14.25" customHeight="1" x14ac:dyDescent="0.25">
      <c r="B5052" s="103"/>
      <c r="D5052" s="80"/>
      <c r="E5052" s="80"/>
    </row>
    <row r="5053" spans="2:5" ht="14.25" customHeight="1" x14ac:dyDescent="0.25">
      <c r="B5053" s="103"/>
      <c r="D5053" s="80"/>
      <c r="E5053" s="80"/>
    </row>
    <row r="5054" spans="2:5" ht="14.25" customHeight="1" x14ac:dyDescent="0.25">
      <c r="B5054" s="103"/>
      <c r="D5054" s="80"/>
      <c r="E5054" s="80"/>
    </row>
    <row r="5055" spans="2:5" ht="14.25" customHeight="1" x14ac:dyDescent="0.25">
      <c r="B5055" s="103"/>
      <c r="D5055" s="80"/>
      <c r="E5055" s="80"/>
    </row>
    <row r="5056" spans="2:5" ht="14.25" customHeight="1" x14ac:dyDescent="0.25">
      <c r="B5056" s="103"/>
      <c r="D5056" s="80"/>
      <c r="E5056" s="80"/>
    </row>
    <row r="5057" spans="2:5" ht="14.25" customHeight="1" x14ac:dyDescent="0.25">
      <c r="B5057" s="103"/>
      <c r="D5057" s="80"/>
      <c r="E5057" s="80"/>
    </row>
    <row r="5058" spans="2:5" ht="14.25" customHeight="1" x14ac:dyDescent="0.25">
      <c r="B5058" s="103"/>
      <c r="D5058" s="80"/>
      <c r="E5058" s="80"/>
    </row>
    <row r="5059" spans="2:5" ht="14.25" customHeight="1" x14ac:dyDescent="0.25">
      <c r="B5059" s="103"/>
      <c r="D5059" s="80"/>
      <c r="E5059" s="80"/>
    </row>
    <row r="5060" spans="2:5" ht="14.25" customHeight="1" x14ac:dyDescent="0.25">
      <c r="B5060" s="103"/>
      <c r="D5060" s="80"/>
      <c r="E5060" s="80"/>
    </row>
    <row r="5061" spans="2:5" ht="14.25" customHeight="1" x14ac:dyDescent="0.25">
      <c r="B5061" s="103"/>
      <c r="D5061" s="80"/>
      <c r="E5061" s="80"/>
    </row>
    <row r="5062" spans="2:5" ht="14.25" customHeight="1" x14ac:dyDescent="0.25">
      <c r="B5062" s="103"/>
      <c r="D5062" s="80"/>
      <c r="E5062" s="80"/>
    </row>
    <row r="5063" spans="2:5" ht="14.25" customHeight="1" x14ac:dyDescent="0.25">
      <c r="B5063" s="103"/>
      <c r="D5063" s="80"/>
      <c r="E5063" s="80"/>
    </row>
    <row r="5064" spans="2:5" ht="14.25" customHeight="1" x14ac:dyDescent="0.25">
      <c r="B5064" s="103"/>
      <c r="D5064" s="80"/>
      <c r="E5064" s="80"/>
    </row>
    <row r="5065" spans="2:5" ht="14.25" customHeight="1" x14ac:dyDescent="0.25">
      <c r="B5065" s="103"/>
      <c r="D5065" s="80"/>
      <c r="E5065" s="80"/>
    </row>
    <row r="5066" spans="2:5" ht="14.25" customHeight="1" x14ac:dyDescent="0.25">
      <c r="B5066" s="103"/>
      <c r="D5066" s="80"/>
      <c r="E5066" s="80"/>
    </row>
    <row r="5067" spans="2:5" ht="14.25" customHeight="1" x14ac:dyDescent="0.25">
      <c r="B5067" s="103"/>
      <c r="D5067" s="80"/>
      <c r="E5067" s="80"/>
    </row>
    <row r="5068" spans="2:5" ht="14.25" customHeight="1" x14ac:dyDescent="0.25">
      <c r="B5068" s="103"/>
      <c r="D5068" s="80"/>
      <c r="E5068" s="80"/>
    </row>
    <row r="5069" spans="2:5" ht="14.25" customHeight="1" x14ac:dyDescent="0.25">
      <c r="B5069" s="103"/>
      <c r="D5069" s="80"/>
      <c r="E5069" s="80"/>
    </row>
    <row r="5070" spans="2:5" ht="14.25" customHeight="1" x14ac:dyDescent="0.25">
      <c r="B5070" s="103"/>
      <c r="D5070" s="80"/>
      <c r="E5070" s="80"/>
    </row>
    <row r="5071" spans="2:5" ht="14.25" customHeight="1" x14ac:dyDescent="0.25">
      <c r="B5071" s="103"/>
      <c r="D5071" s="80"/>
      <c r="E5071" s="80"/>
    </row>
    <row r="5072" spans="2:5" ht="14.25" customHeight="1" x14ac:dyDescent="0.25">
      <c r="B5072" s="103"/>
      <c r="D5072" s="80"/>
      <c r="E5072" s="80"/>
    </row>
    <row r="5073" spans="2:5" ht="14.25" customHeight="1" x14ac:dyDescent="0.25">
      <c r="B5073" s="103"/>
      <c r="D5073" s="80"/>
      <c r="E5073" s="80"/>
    </row>
    <row r="5074" spans="2:5" ht="14.25" customHeight="1" x14ac:dyDescent="0.25">
      <c r="B5074" s="103"/>
      <c r="D5074" s="80"/>
      <c r="E5074" s="80"/>
    </row>
    <row r="5075" spans="2:5" ht="14.25" customHeight="1" x14ac:dyDescent="0.25">
      <c r="B5075" s="103"/>
      <c r="D5075" s="80"/>
      <c r="E5075" s="80"/>
    </row>
    <row r="5076" spans="2:5" ht="14.25" customHeight="1" x14ac:dyDescent="0.25">
      <c r="B5076" s="103"/>
      <c r="D5076" s="80"/>
      <c r="E5076" s="80"/>
    </row>
    <row r="5077" spans="2:5" ht="14.25" customHeight="1" x14ac:dyDescent="0.25">
      <c r="B5077" s="103"/>
      <c r="D5077" s="80"/>
      <c r="E5077" s="80"/>
    </row>
    <row r="5078" spans="2:5" ht="14.25" customHeight="1" x14ac:dyDescent="0.25">
      <c r="B5078" s="103"/>
      <c r="D5078" s="80"/>
      <c r="E5078" s="80"/>
    </row>
    <row r="5079" spans="2:5" ht="14.25" customHeight="1" x14ac:dyDescent="0.25">
      <c r="B5079" s="103"/>
      <c r="D5079" s="80"/>
      <c r="E5079" s="80"/>
    </row>
    <row r="5080" spans="2:5" ht="14.25" customHeight="1" x14ac:dyDescent="0.25">
      <c r="B5080" s="103"/>
      <c r="D5080" s="80"/>
      <c r="E5080" s="80"/>
    </row>
    <row r="5081" spans="2:5" ht="14.25" customHeight="1" x14ac:dyDescent="0.25">
      <c r="B5081" s="103"/>
      <c r="D5081" s="80"/>
      <c r="E5081" s="80"/>
    </row>
    <row r="5082" spans="2:5" ht="14.25" customHeight="1" x14ac:dyDescent="0.25">
      <c r="B5082" s="103"/>
      <c r="D5082" s="80"/>
      <c r="E5082" s="80"/>
    </row>
    <row r="5083" spans="2:5" ht="14.25" customHeight="1" x14ac:dyDescent="0.25">
      <c r="B5083" s="103"/>
      <c r="D5083" s="80"/>
      <c r="E5083" s="80"/>
    </row>
    <row r="5084" spans="2:5" ht="14.25" customHeight="1" x14ac:dyDescent="0.25">
      <c r="B5084" s="103"/>
      <c r="D5084" s="80"/>
      <c r="E5084" s="80"/>
    </row>
    <row r="5085" spans="2:5" ht="14.25" customHeight="1" x14ac:dyDescent="0.25">
      <c r="B5085" s="103"/>
      <c r="D5085" s="80"/>
      <c r="E5085" s="80"/>
    </row>
    <row r="5086" spans="2:5" ht="14.25" customHeight="1" x14ac:dyDescent="0.25">
      <c r="B5086" s="103"/>
      <c r="D5086" s="80"/>
      <c r="E5086" s="80"/>
    </row>
    <row r="5087" spans="2:5" ht="14.25" customHeight="1" x14ac:dyDescent="0.25">
      <c r="B5087" s="103"/>
      <c r="D5087" s="80"/>
      <c r="E5087" s="80"/>
    </row>
    <row r="5088" spans="2:5" ht="14.25" customHeight="1" x14ac:dyDescent="0.25">
      <c r="B5088" s="103"/>
      <c r="D5088" s="80"/>
      <c r="E5088" s="80"/>
    </row>
    <row r="5089" spans="2:5" ht="14.25" customHeight="1" x14ac:dyDescent="0.25">
      <c r="B5089" s="103"/>
      <c r="D5089" s="80"/>
      <c r="E5089" s="80"/>
    </row>
    <row r="5090" spans="2:5" ht="14.25" customHeight="1" x14ac:dyDescent="0.25">
      <c r="B5090" s="103"/>
      <c r="D5090" s="80"/>
      <c r="E5090" s="80"/>
    </row>
    <row r="5091" spans="2:5" ht="14.25" customHeight="1" x14ac:dyDescent="0.25">
      <c r="B5091" s="103"/>
      <c r="D5091" s="80"/>
      <c r="E5091" s="80"/>
    </row>
    <row r="5092" spans="2:5" ht="14.25" customHeight="1" x14ac:dyDescent="0.25">
      <c r="B5092" s="103"/>
      <c r="D5092" s="80"/>
      <c r="E5092" s="80"/>
    </row>
    <row r="5093" spans="2:5" ht="14.25" customHeight="1" x14ac:dyDescent="0.25">
      <c r="B5093" s="103"/>
      <c r="D5093" s="80"/>
      <c r="E5093" s="80"/>
    </row>
    <row r="5094" spans="2:5" ht="14.25" customHeight="1" x14ac:dyDescent="0.25">
      <c r="B5094" s="103"/>
      <c r="D5094" s="80"/>
      <c r="E5094" s="80"/>
    </row>
    <row r="5095" spans="2:5" ht="14.25" customHeight="1" x14ac:dyDescent="0.25">
      <c r="B5095" s="103"/>
      <c r="D5095" s="80"/>
      <c r="E5095" s="80"/>
    </row>
    <row r="5096" spans="2:5" ht="14.25" customHeight="1" x14ac:dyDescent="0.25">
      <c r="B5096" s="103"/>
      <c r="D5096" s="80"/>
      <c r="E5096" s="80"/>
    </row>
    <row r="5097" spans="2:5" ht="14.25" customHeight="1" x14ac:dyDescent="0.25">
      <c r="B5097" s="103"/>
      <c r="D5097" s="80"/>
      <c r="E5097" s="80"/>
    </row>
    <row r="5098" spans="2:5" ht="14.25" customHeight="1" x14ac:dyDescent="0.25">
      <c r="B5098" s="103"/>
      <c r="D5098" s="80"/>
      <c r="E5098" s="80"/>
    </row>
    <row r="5099" spans="2:5" ht="14.25" customHeight="1" x14ac:dyDescent="0.25">
      <c r="B5099" s="103"/>
      <c r="D5099" s="80"/>
      <c r="E5099" s="80"/>
    </row>
    <row r="5100" spans="2:5" ht="14.25" customHeight="1" x14ac:dyDescent="0.25">
      <c r="B5100" s="103"/>
      <c r="D5100" s="80"/>
      <c r="E5100" s="80"/>
    </row>
    <row r="5101" spans="2:5" ht="14.25" customHeight="1" x14ac:dyDescent="0.25">
      <c r="B5101" s="103"/>
      <c r="D5101" s="80"/>
      <c r="E5101" s="80"/>
    </row>
    <row r="5102" spans="2:5" ht="14.25" customHeight="1" x14ac:dyDescent="0.25">
      <c r="B5102" s="103"/>
      <c r="D5102" s="80"/>
      <c r="E5102" s="80"/>
    </row>
    <row r="5103" spans="2:5" ht="14.25" customHeight="1" x14ac:dyDescent="0.25">
      <c r="B5103" s="103"/>
      <c r="D5103" s="80"/>
      <c r="E5103" s="80"/>
    </row>
    <row r="5104" spans="2:5" ht="14.25" customHeight="1" x14ac:dyDescent="0.25">
      <c r="B5104" s="103"/>
      <c r="D5104" s="80"/>
      <c r="E5104" s="80"/>
    </row>
    <row r="5105" spans="2:5" ht="14.25" customHeight="1" x14ac:dyDescent="0.25">
      <c r="B5105" s="103"/>
      <c r="D5105" s="80"/>
      <c r="E5105" s="80"/>
    </row>
    <row r="5106" spans="2:5" ht="14.25" customHeight="1" x14ac:dyDescent="0.25">
      <c r="B5106" s="103"/>
      <c r="D5106" s="80"/>
      <c r="E5106" s="80"/>
    </row>
    <row r="5107" spans="2:5" ht="14.25" customHeight="1" x14ac:dyDescent="0.25">
      <c r="B5107" s="103"/>
      <c r="D5107" s="80"/>
      <c r="E5107" s="80"/>
    </row>
    <row r="5108" spans="2:5" ht="14.25" customHeight="1" x14ac:dyDescent="0.25">
      <c r="B5108" s="103"/>
      <c r="D5108" s="80"/>
      <c r="E5108" s="80"/>
    </row>
    <row r="5109" spans="2:5" ht="14.25" customHeight="1" x14ac:dyDescent="0.25">
      <c r="B5109" s="103"/>
      <c r="D5109" s="80"/>
      <c r="E5109" s="80"/>
    </row>
    <row r="5110" spans="2:5" ht="14.25" customHeight="1" x14ac:dyDescent="0.25">
      <c r="B5110" s="103"/>
      <c r="D5110" s="80"/>
      <c r="E5110" s="80"/>
    </row>
    <row r="5111" spans="2:5" ht="14.25" customHeight="1" x14ac:dyDescent="0.25">
      <c r="B5111" s="103"/>
      <c r="D5111" s="80"/>
      <c r="E5111" s="80"/>
    </row>
    <row r="5112" spans="2:5" ht="14.25" customHeight="1" x14ac:dyDescent="0.25">
      <c r="B5112" s="103"/>
      <c r="D5112" s="80"/>
      <c r="E5112" s="80"/>
    </row>
    <row r="5113" spans="2:5" ht="14.25" customHeight="1" x14ac:dyDescent="0.25">
      <c r="B5113" s="103"/>
      <c r="D5113" s="80"/>
      <c r="E5113" s="80"/>
    </row>
    <row r="5114" spans="2:5" ht="14.25" customHeight="1" x14ac:dyDescent="0.25">
      <c r="B5114" s="103"/>
      <c r="D5114" s="80"/>
      <c r="E5114" s="80"/>
    </row>
    <row r="5115" spans="2:5" ht="14.25" customHeight="1" x14ac:dyDescent="0.25">
      <c r="B5115" s="103"/>
      <c r="D5115" s="80"/>
      <c r="E5115" s="80"/>
    </row>
    <row r="5116" spans="2:5" ht="14.25" customHeight="1" x14ac:dyDescent="0.25">
      <c r="B5116" s="103"/>
      <c r="D5116" s="80"/>
      <c r="E5116" s="80"/>
    </row>
    <row r="5117" spans="2:5" ht="14.25" customHeight="1" x14ac:dyDescent="0.25">
      <c r="B5117" s="103"/>
      <c r="D5117" s="80"/>
      <c r="E5117" s="80"/>
    </row>
    <row r="5118" spans="2:5" ht="14.25" customHeight="1" x14ac:dyDescent="0.25">
      <c r="B5118" s="103"/>
      <c r="D5118" s="80"/>
      <c r="E5118" s="80"/>
    </row>
    <row r="5119" spans="2:5" ht="14.25" customHeight="1" x14ac:dyDescent="0.25">
      <c r="B5119" s="103"/>
      <c r="D5119" s="80"/>
      <c r="E5119" s="80"/>
    </row>
    <row r="5120" spans="2:5" ht="14.25" customHeight="1" x14ac:dyDescent="0.25">
      <c r="B5120" s="103"/>
      <c r="D5120" s="80"/>
      <c r="E5120" s="80"/>
    </row>
    <row r="5121" spans="2:5" ht="14.25" customHeight="1" x14ac:dyDescent="0.25">
      <c r="B5121" s="103"/>
      <c r="D5121" s="80"/>
      <c r="E5121" s="80"/>
    </row>
    <row r="5122" spans="2:5" ht="14.25" customHeight="1" x14ac:dyDescent="0.25">
      <c r="B5122" s="103"/>
      <c r="D5122" s="80"/>
      <c r="E5122" s="80"/>
    </row>
    <row r="5123" spans="2:5" ht="14.25" customHeight="1" x14ac:dyDescent="0.25">
      <c r="B5123" s="103"/>
      <c r="D5123" s="80"/>
      <c r="E5123" s="80"/>
    </row>
    <row r="5124" spans="2:5" ht="14.25" customHeight="1" x14ac:dyDescent="0.25">
      <c r="B5124" s="103"/>
      <c r="D5124" s="80"/>
      <c r="E5124" s="80"/>
    </row>
    <row r="5125" spans="2:5" ht="14.25" customHeight="1" x14ac:dyDescent="0.25">
      <c r="B5125" s="103"/>
      <c r="D5125" s="80"/>
      <c r="E5125" s="80"/>
    </row>
    <row r="5126" spans="2:5" ht="14.25" customHeight="1" x14ac:dyDescent="0.25">
      <c r="B5126" s="103"/>
      <c r="D5126" s="80"/>
      <c r="E5126" s="80"/>
    </row>
    <row r="5127" spans="2:5" ht="14.25" customHeight="1" x14ac:dyDescent="0.25">
      <c r="B5127" s="103"/>
      <c r="D5127" s="80"/>
      <c r="E5127" s="80"/>
    </row>
    <row r="5128" spans="2:5" ht="14.25" customHeight="1" x14ac:dyDescent="0.25">
      <c r="B5128" s="103"/>
      <c r="D5128" s="80"/>
      <c r="E5128" s="80"/>
    </row>
    <row r="5129" spans="2:5" ht="14.25" customHeight="1" x14ac:dyDescent="0.25">
      <c r="B5129" s="103"/>
      <c r="D5129" s="80"/>
      <c r="E5129" s="80"/>
    </row>
    <row r="5130" spans="2:5" ht="14.25" customHeight="1" x14ac:dyDescent="0.25">
      <c r="B5130" s="103"/>
      <c r="D5130" s="80"/>
      <c r="E5130" s="80"/>
    </row>
    <row r="5131" spans="2:5" ht="14.25" customHeight="1" x14ac:dyDescent="0.25">
      <c r="B5131" s="103"/>
      <c r="D5131" s="80"/>
      <c r="E5131" s="80"/>
    </row>
    <row r="5132" spans="2:5" ht="14.25" customHeight="1" x14ac:dyDescent="0.25">
      <c r="B5132" s="103"/>
      <c r="D5132" s="80"/>
      <c r="E5132" s="80"/>
    </row>
    <row r="5133" spans="2:5" ht="14.25" customHeight="1" x14ac:dyDescent="0.25">
      <c r="B5133" s="103"/>
      <c r="D5133" s="80"/>
      <c r="E5133" s="80"/>
    </row>
    <row r="5134" spans="2:5" ht="14.25" customHeight="1" x14ac:dyDescent="0.25">
      <c r="B5134" s="103"/>
      <c r="D5134" s="80"/>
      <c r="E5134" s="80"/>
    </row>
    <row r="5135" spans="2:5" ht="14.25" customHeight="1" x14ac:dyDescent="0.25">
      <c r="B5135" s="103"/>
      <c r="D5135" s="80"/>
      <c r="E5135" s="80"/>
    </row>
    <row r="5136" spans="2:5" ht="14.25" customHeight="1" x14ac:dyDescent="0.25">
      <c r="B5136" s="103"/>
      <c r="D5136" s="80"/>
      <c r="E5136" s="80"/>
    </row>
    <row r="5137" spans="2:5" ht="14.25" customHeight="1" x14ac:dyDescent="0.25">
      <c r="B5137" s="103"/>
      <c r="D5137" s="80"/>
      <c r="E5137" s="80"/>
    </row>
    <row r="5138" spans="2:5" ht="14.25" customHeight="1" x14ac:dyDescent="0.25">
      <c r="B5138" s="103"/>
      <c r="D5138" s="80"/>
      <c r="E5138" s="80"/>
    </row>
    <row r="5139" spans="2:5" ht="14.25" customHeight="1" x14ac:dyDescent="0.25">
      <c r="B5139" s="103"/>
      <c r="D5139" s="80"/>
      <c r="E5139" s="80"/>
    </row>
    <row r="5140" spans="2:5" ht="14.25" customHeight="1" x14ac:dyDescent="0.25">
      <c r="B5140" s="103"/>
      <c r="D5140" s="80"/>
      <c r="E5140" s="80"/>
    </row>
    <row r="5141" spans="2:5" ht="14.25" customHeight="1" x14ac:dyDescent="0.25">
      <c r="B5141" s="103"/>
      <c r="D5141" s="80"/>
      <c r="E5141" s="80"/>
    </row>
    <row r="5142" spans="2:5" ht="14.25" customHeight="1" x14ac:dyDescent="0.25">
      <c r="B5142" s="103"/>
      <c r="D5142" s="80"/>
      <c r="E5142" s="80"/>
    </row>
    <row r="5143" spans="2:5" ht="14.25" customHeight="1" x14ac:dyDescent="0.25">
      <c r="B5143" s="103"/>
      <c r="D5143" s="80"/>
      <c r="E5143" s="80"/>
    </row>
    <row r="5144" spans="2:5" ht="14.25" customHeight="1" x14ac:dyDescent="0.25">
      <c r="B5144" s="103"/>
      <c r="D5144" s="80"/>
      <c r="E5144" s="80"/>
    </row>
    <row r="5145" spans="2:5" ht="14.25" customHeight="1" x14ac:dyDescent="0.25">
      <c r="B5145" s="103"/>
      <c r="D5145" s="80"/>
      <c r="E5145" s="80"/>
    </row>
    <row r="5146" spans="2:5" ht="14.25" customHeight="1" x14ac:dyDescent="0.25">
      <c r="B5146" s="103"/>
      <c r="D5146" s="80"/>
      <c r="E5146" s="80"/>
    </row>
    <row r="5147" spans="2:5" ht="14.25" customHeight="1" x14ac:dyDescent="0.25">
      <c r="B5147" s="103"/>
      <c r="D5147" s="80"/>
      <c r="E5147" s="80"/>
    </row>
    <row r="5148" spans="2:5" ht="14.25" customHeight="1" x14ac:dyDescent="0.25">
      <c r="B5148" s="103"/>
      <c r="D5148" s="80"/>
      <c r="E5148" s="80"/>
    </row>
    <row r="5149" spans="2:5" ht="14.25" customHeight="1" x14ac:dyDescent="0.25">
      <c r="B5149" s="103"/>
      <c r="D5149" s="80"/>
      <c r="E5149" s="80"/>
    </row>
    <row r="5150" spans="2:5" ht="14.25" customHeight="1" x14ac:dyDescent="0.25">
      <c r="B5150" s="103"/>
      <c r="D5150" s="80"/>
      <c r="E5150" s="80"/>
    </row>
    <row r="5151" spans="2:5" ht="14.25" customHeight="1" x14ac:dyDescent="0.25">
      <c r="B5151" s="103"/>
      <c r="D5151" s="80"/>
      <c r="E5151" s="80"/>
    </row>
    <row r="5152" spans="2:5" ht="14.25" customHeight="1" x14ac:dyDescent="0.25">
      <c r="B5152" s="103"/>
      <c r="D5152" s="80"/>
      <c r="E5152" s="80"/>
    </row>
    <row r="5153" spans="2:5" ht="14.25" customHeight="1" x14ac:dyDescent="0.25">
      <c r="B5153" s="103"/>
      <c r="D5153" s="80"/>
      <c r="E5153" s="80"/>
    </row>
    <row r="5154" spans="2:5" ht="14.25" customHeight="1" x14ac:dyDescent="0.25">
      <c r="B5154" s="103"/>
      <c r="D5154" s="80"/>
      <c r="E5154" s="80"/>
    </row>
    <row r="5155" spans="2:5" ht="14.25" customHeight="1" x14ac:dyDescent="0.25">
      <c r="B5155" s="103"/>
      <c r="D5155" s="80"/>
      <c r="E5155" s="80"/>
    </row>
    <row r="5156" spans="2:5" ht="14.25" customHeight="1" x14ac:dyDescent="0.25">
      <c r="B5156" s="103"/>
      <c r="D5156" s="80"/>
      <c r="E5156" s="80"/>
    </row>
    <row r="5157" spans="2:5" ht="14.25" customHeight="1" x14ac:dyDescent="0.25">
      <c r="B5157" s="103"/>
      <c r="D5157" s="80"/>
      <c r="E5157" s="80"/>
    </row>
    <row r="5158" spans="2:5" ht="14.25" customHeight="1" x14ac:dyDescent="0.25">
      <c r="B5158" s="103"/>
      <c r="D5158" s="80"/>
      <c r="E5158" s="80"/>
    </row>
    <row r="5159" spans="2:5" ht="14.25" customHeight="1" x14ac:dyDescent="0.25">
      <c r="B5159" s="103"/>
      <c r="D5159" s="80"/>
      <c r="E5159" s="80"/>
    </row>
    <row r="5160" spans="2:5" ht="14.25" customHeight="1" x14ac:dyDescent="0.25">
      <c r="B5160" s="103"/>
      <c r="D5160" s="80"/>
      <c r="E5160" s="80"/>
    </row>
    <row r="5161" spans="2:5" ht="14.25" customHeight="1" x14ac:dyDescent="0.25">
      <c r="B5161" s="103"/>
      <c r="D5161" s="80"/>
      <c r="E5161" s="80"/>
    </row>
    <row r="5162" spans="2:5" ht="14.25" customHeight="1" x14ac:dyDescent="0.25">
      <c r="B5162" s="103"/>
      <c r="D5162" s="80"/>
      <c r="E5162" s="80"/>
    </row>
    <row r="5163" spans="2:5" ht="14.25" customHeight="1" x14ac:dyDescent="0.25">
      <c r="B5163" s="103"/>
      <c r="D5163" s="80"/>
      <c r="E5163" s="80"/>
    </row>
    <row r="5164" spans="2:5" ht="14.25" customHeight="1" x14ac:dyDescent="0.25">
      <c r="B5164" s="103"/>
      <c r="D5164" s="80"/>
      <c r="E5164" s="80"/>
    </row>
    <row r="5165" spans="2:5" ht="14.25" customHeight="1" x14ac:dyDescent="0.25">
      <c r="B5165" s="103"/>
      <c r="D5165" s="80"/>
      <c r="E5165" s="80"/>
    </row>
    <row r="5166" spans="2:5" ht="14.25" customHeight="1" x14ac:dyDescent="0.25">
      <c r="B5166" s="103"/>
      <c r="D5166" s="80"/>
      <c r="E5166" s="80"/>
    </row>
    <row r="5167" spans="2:5" ht="14.25" customHeight="1" x14ac:dyDescent="0.25">
      <c r="B5167" s="103"/>
      <c r="D5167" s="80"/>
      <c r="E5167" s="80"/>
    </row>
    <row r="5168" spans="2:5" ht="14.25" customHeight="1" x14ac:dyDescent="0.25">
      <c r="B5168" s="103"/>
      <c r="D5168" s="80"/>
      <c r="E5168" s="80"/>
    </row>
    <row r="5169" spans="2:5" ht="14.25" customHeight="1" x14ac:dyDescent="0.25">
      <c r="B5169" s="103"/>
      <c r="D5169" s="80"/>
      <c r="E5169" s="80"/>
    </row>
    <row r="5170" spans="2:5" ht="14.25" customHeight="1" x14ac:dyDescent="0.25">
      <c r="B5170" s="103"/>
      <c r="D5170" s="80"/>
      <c r="E5170" s="80"/>
    </row>
    <row r="5171" spans="2:5" ht="14.25" customHeight="1" x14ac:dyDescent="0.25">
      <c r="B5171" s="103"/>
      <c r="D5171" s="80"/>
      <c r="E5171" s="80"/>
    </row>
    <row r="5172" spans="2:5" ht="14.25" customHeight="1" x14ac:dyDescent="0.25">
      <c r="B5172" s="103"/>
      <c r="D5172" s="80"/>
      <c r="E5172" s="80"/>
    </row>
    <row r="5173" spans="2:5" ht="14.25" customHeight="1" x14ac:dyDescent="0.25">
      <c r="B5173" s="103"/>
      <c r="D5173" s="80"/>
      <c r="E5173" s="80"/>
    </row>
    <row r="5174" spans="2:5" ht="14.25" customHeight="1" x14ac:dyDescent="0.25">
      <c r="B5174" s="103"/>
      <c r="D5174" s="80"/>
      <c r="E5174" s="80"/>
    </row>
    <row r="5175" spans="2:5" ht="14.25" customHeight="1" x14ac:dyDescent="0.25">
      <c r="B5175" s="103"/>
      <c r="D5175" s="80"/>
      <c r="E5175" s="80"/>
    </row>
    <row r="5176" spans="2:5" ht="14.25" customHeight="1" x14ac:dyDescent="0.25">
      <c r="B5176" s="103"/>
      <c r="D5176" s="80"/>
      <c r="E5176" s="80"/>
    </row>
    <row r="5177" spans="2:5" ht="14.25" customHeight="1" x14ac:dyDescent="0.25">
      <c r="B5177" s="103"/>
      <c r="D5177" s="80"/>
      <c r="E5177" s="80"/>
    </row>
    <row r="5178" spans="2:5" ht="14.25" customHeight="1" x14ac:dyDescent="0.25">
      <c r="B5178" s="103"/>
      <c r="D5178" s="80"/>
      <c r="E5178" s="80"/>
    </row>
    <row r="5179" spans="2:5" ht="14.25" customHeight="1" x14ac:dyDescent="0.25">
      <c r="B5179" s="103"/>
      <c r="D5179" s="80"/>
      <c r="E5179" s="80"/>
    </row>
    <row r="5180" spans="2:5" ht="14.25" customHeight="1" x14ac:dyDescent="0.25">
      <c r="B5180" s="103"/>
      <c r="D5180" s="80"/>
      <c r="E5180" s="80"/>
    </row>
    <row r="5181" spans="2:5" ht="14.25" customHeight="1" x14ac:dyDescent="0.25">
      <c r="B5181" s="103"/>
      <c r="D5181" s="80"/>
      <c r="E5181" s="80"/>
    </row>
    <row r="5182" spans="2:5" ht="14.25" customHeight="1" x14ac:dyDescent="0.25">
      <c r="B5182" s="103"/>
      <c r="D5182" s="80"/>
      <c r="E5182" s="80"/>
    </row>
    <row r="5183" spans="2:5" ht="14.25" customHeight="1" x14ac:dyDescent="0.25">
      <c r="B5183" s="103"/>
      <c r="D5183" s="80"/>
      <c r="E5183" s="80"/>
    </row>
    <row r="5184" spans="2:5" ht="14.25" customHeight="1" x14ac:dyDescent="0.25">
      <c r="B5184" s="103"/>
      <c r="D5184" s="80"/>
      <c r="E5184" s="80"/>
    </row>
    <row r="5185" spans="2:5" ht="14.25" customHeight="1" x14ac:dyDescent="0.25">
      <c r="B5185" s="103"/>
      <c r="D5185" s="80"/>
      <c r="E5185" s="80"/>
    </row>
    <row r="5186" spans="2:5" ht="14.25" customHeight="1" x14ac:dyDescent="0.25">
      <c r="B5186" s="103"/>
      <c r="D5186" s="80"/>
      <c r="E5186" s="80"/>
    </row>
    <row r="5187" spans="2:5" ht="14.25" customHeight="1" x14ac:dyDescent="0.25">
      <c r="B5187" s="103"/>
      <c r="D5187" s="80"/>
      <c r="E5187" s="80"/>
    </row>
    <row r="5188" spans="2:5" ht="14.25" customHeight="1" x14ac:dyDescent="0.25">
      <c r="B5188" s="103"/>
      <c r="D5188" s="80"/>
      <c r="E5188" s="80"/>
    </row>
    <row r="5189" spans="2:5" ht="14.25" customHeight="1" x14ac:dyDescent="0.25">
      <c r="B5189" s="103"/>
      <c r="D5189" s="80"/>
      <c r="E5189" s="80"/>
    </row>
    <row r="5190" spans="2:5" ht="14.25" customHeight="1" x14ac:dyDescent="0.25">
      <c r="B5190" s="103"/>
      <c r="D5190" s="80"/>
      <c r="E5190" s="80"/>
    </row>
    <row r="5191" spans="2:5" ht="14.25" customHeight="1" x14ac:dyDescent="0.25">
      <c r="B5191" s="103"/>
      <c r="D5191" s="80"/>
      <c r="E5191" s="80"/>
    </row>
    <row r="5192" spans="2:5" ht="14.25" customHeight="1" x14ac:dyDescent="0.25">
      <c r="B5192" s="103"/>
      <c r="D5192" s="80"/>
      <c r="E5192" s="80"/>
    </row>
    <row r="5193" spans="2:5" ht="14.25" customHeight="1" x14ac:dyDescent="0.25">
      <c r="B5193" s="103"/>
      <c r="D5193" s="80"/>
      <c r="E5193" s="80"/>
    </row>
    <row r="5194" spans="2:5" ht="14.25" customHeight="1" x14ac:dyDescent="0.25">
      <c r="B5194" s="103"/>
      <c r="D5194" s="80"/>
      <c r="E5194" s="80"/>
    </row>
    <row r="5195" spans="2:5" ht="14.25" customHeight="1" x14ac:dyDescent="0.25">
      <c r="B5195" s="103"/>
      <c r="D5195" s="80"/>
      <c r="E5195" s="80"/>
    </row>
    <row r="5196" spans="2:5" ht="14.25" customHeight="1" x14ac:dyDescent="0.25">
      <c r="B5196" s="103"/>
      <c r="D5196" s="80"/>
      <c r="E5196" s="80"/>
    </row>
    <row r="5197" spans="2:5" ht="14.25" customHeight="1" x14ac:dyDescent="0.25">
      <c r="B5197" s="103"/>
      <c r="D5197" s="80"/>
      <c r="E5197" s="80"/>
    </row>
    <row r="5198" spans="2:5" ht="14.25" customHeight="1" x14ac:dyDescent="0.25">
      <c r="B5198" s="103"/>
      <c r="D5198" s="80"/>
      <c r="E5198" s="80"/>
    </row>
    <row r="5199" spans="2:5" ht="14.25" customHeight="1" x14ac:dyDescent="0.25">
      <c r="B5199" s="103"/>
      <c r="D5199" s="80"/>
      <c r="E5199" s="80"/>
    </row>
    <row r="5200" spans="2:5" ht="14.25" customHeight="1" x14ac:dyDescent="0.25">
      <c r="B5200" s="103"/>
      <c r="D5200" s="80"/>
      <c r="E5200" s="80"/>
    </row>
    <row r="5201" spans="2:5" ht="14.25" customHeight="1" x14ac:dyDescent="0.25">
      <c r="B5201" s="103"/>
      <c r="D5201" s="80"/>
      <c r="E5201" s="80"/>
    </row>
    <row r="5202" spans="2:5" ht="14.25" customHeight="1" x14ac:dyDescent="0.25">
      <c r="B5202" s="103"/>
      <c r="D5202" s="80"/>
      <c r="E5202" s="80"/>
    </row>
    <row r="5203" spans="2:5" ht="14.25" customHeight="1" x14ac:dyDescent="0.25">
      <c r="B5203" s="103"/>
      <c r="D5203" s="80"/>
      <c r="E5203" s="80"/>
    </row>
    <row r="5204" spans="2:5" ht="14.25" customHeight="1" x14ac:dyDescent="0.25">
      <c r="B5204" s="103"/>
      <c r="D5204" s="80"/>
      <c r="E5204" s="80"/>
    </row>
    <row r="5205" spans="2:5" ht="14.25" customHeight="1" x14ac:dyDescent="0.25">
      <c r="B5205" s="103"/>
      <c r="D5205" s="80"/>
      <c r="E5205" s="80"/>
    </row>
    <row r="5206" spans="2:5" ht="14.25" customHeight="1" x14ac:dyDescent="0.25">
      <c r="B5206" s="103"/>
      <c r="D5206" s="80"/>
      <c r="E5206" s="80"/>
    </row>
    <row r="5207" spans="2:5" ht="14.25" customHeight="1" x14ac:dyDescent="0.25">
      <c r="B5207" s="103"/>
      <c r="D5207" s="80"/>
      <c r="E5207" s="80"/>
    </row>
    <row r="5208" spans="2:5" ht="14.25" customHeight="1" x14ac:dyDescent="0.25">
      <c r="B5208" s="103"/>
      <c r="D5208" s="80"/>
      <c r="E5208" s="80"/>
    </row>
    <row r="5209" spans="2:5" ht="14.25" customHeight="1" x14ac:dyDescent="0.25">
      <c r="B5209" s="103"/>
      <c r="D5209" s="80"/>
      <c r="E5209" s="80"/>
    </row>
    <row r="5210" spans="2:5" ht="14.25" customHeight="1" x14ac:dyDescent="0.25">
      <c r="B5210" s="103"/>
      <c r="D5210" s="80"/>
      <c r="E5210" s="80"/>
    </row>
    <row r="5211" spans="2:5" ht="14.25" customHeight="1" x14ac:dyDescent="0.25">
      <c r="B5211" s="103"/>
      <c r="D5211" s="80"/>
      <c r="E5211" s="80"/>
    </row>
    <row r="5212" spans="2:5" ht="14.25" customHeight="1" x14ac:dyDescent="0.25">
      <c r="B5212" s="103"/>
      <c r="D5212" s="80"/>
      <c r="E5212" s="80"/>
    </row>
    <row r="5213" spans="2:5" ht="14.25" customHeight="1" x14ac:dyDescent="0.25">
      <c r="B5213" s="103"/>
      <c r="D5213" s="80"/>
      <c r="E5213" s="80"/>
    </row>
    <row r="5214" spans="2:5" ht="14.25" customHeight="1" x14ac:dyDescent="0.25">
      <c r="B5214" s="103"/>
      <c r="D5214" s="80"/>
      <c r="E5214" s="80"/>
    </row>
    <row r="5215" spans="2:5" ht="14.25" customHeight="1" x14ac:dyDescent="0.25">
      <c r="B5215" s="103"/>
      <c r="D5215" s="80"/>
      <c r="E5215" s="80"/>
    </row>
    <row r="5216" spans="2:5" ht="14.25" customHeight="1" x14ac:dyDescent="0.25">
      <c r="B5216" s="103"/>
      <c r="D5216" s="80"/>
      <c r="E5216" s="80"/>
    </row>
    <row r="5217" spans="2:5" ht="14.25" customHeight="1" x14ac:dyDescent="0.25">
      <c r="B5217" s="103"/>
      <c r="D5217" s="80"/>
      <c r="E5217" s="80"/>
    </row>
    <row r="5218" spans="2:5" ht="14.25" customHeight="1" x14ac:dyDescent="0.25">
      <c r="B5218" s="103"/>
      <c r="D5218" s="80"/>
      <c r="E5218" s="80"/>
    </row>
    <row r="5219" spans="2:5" ht="14.25" customHeight="1" x14ac:dyDescent="0.25">
      <c r="B5219" s="103"/>
      <c r="D5219" s="80"/>
      <c r="E5219" s="80"/>
    </row>
    <row r="5220" spans="2:5" ht="14.25" customHeight="1" x14ac:dyDescent="0.25">
      <c r="B5220" s="103"/>
      <c r="D5220" s="80"/>
      <c r="E5220" s="80"/>
    </row>
    <row r="5221" spans="2:5" ht="14.25" customHeight="1" x14ac:dyDescent="0.25">
      <c r="B5221" s="103"/>
      <c r="D5221" s="80"/>
      <c r="E5221" s="80"/>
    </row>
    <row r="5222" spans="2:5" ht="14.25" customHeight="1" x14ac:dyDescent="0.25">
      <c r="B5222" s="103"/>
      <c r="D5222" s="80"/>
      <c r="E5222" s="80"/>
    </row>
    <row r="5223" spans="2:5" ht="14.25" customHeight="1" x14ac:dyDescent="0.25">
      <c r="B5223" s="103"/>
      <c r="D5223" s="80"/>
      <c r="E5223" s="80"/>
    </row>
    <row r="5224" spans="2:5" ht="14.25" customHeight="1" x14ac:dyDescent="0.25">
      <c r="B5224" s="103"/>
      <c r="D5224" s="80"/>
      <c r="E5224" s="80"/>
    </row>
    <row r="5225" spans="2:5" ht="14.25" customHeight="1" x14ac:dyDescent="0.25">
      <c r="B5225" s="103"/>
      <c r="D5225" s="80"/>
      <c r="E5225" s="80"/>
    </row>
    <row r="5226" spans="2:5" ht="14.25" customHeight="1" x14ac:dyDescent="0.25">
      <c r="B5226" s="103"/>
      <c r="D5226" s="80"/>
      <c r="E5226" s="80"/>
    </row>
    <row r="5227" spans="2:5" ht="14.25" customHeight="1" x14ac:dyDescent="0.25">
      <c r="B5227" s="103"/>
      <c r="D5227" s="80"/>
      <c r="E5227" s="80"/>
    </row>
    <row r="5228" spans="2:5" ht="14.25" customHeight="1" x14ac:dyDescent="0.25">
      <c r="B5228" s="103"/>
      <c r="D5228" s="80"/>
      <c r="E5228" s="80"/>
    </row>
    <row r="5229" spans="2:5" ht="14.25" customHeight="1" x14ac:dyDescent="0.25">
      <c r="B5229" s="103"/>
      <c r="D5229" s="80"/>
      <c r="E5229" s="80"/>
    </row>
    <row r="5230" spans="2:5" ht="14.25" customHeight="1" x14ac:dyDescent="0.25">
      <c r="B5230" s="103"/>
      <c r="D5230" s="80"/>
      <c r="E5230" s="80"/>
    </row>
    <row r="5231" spans="2:5" ht="14.25" customHeight="1" x14ac:dyDescent="0.25">
      <c r="B5231" s="103"/>
      <c r="D5231" s="80"/>
      <c r="E5231" s="80"/>
    </row>
    <row r="5232" spans="2:5" ht="14.25" customHeight="1" x14ac:dyDescent="0.25">
      <c r="B5232" s="103"/>
      <c r="D5232" s="80"/>
      <c r="E5232" s="80"/>
    </row>
    <row r="5233" spans="2:5" ht="14.25" customHeight="1" x14ac:dyDescent="0.25">
      <c r="B5233" s="103"/>
      <c r="D5233" s="80"/>
      <c r="E5233" s="80"/>
    </row>
    <row r="5234" spans="2:5" ht="14.25" customHeight="1" x14ac:dyDescent="0.25">
      <c r="B5234" s="103"/>
      <c r="D5234" s="80"/>
      <c r="E5234" s="80"/>
    </row>
    <row r="5235" spans="2:5" ht="14.25" customHeight="1" x14ac:dyDescent="0.25">
      <c r="B5235" s="103"/>
      <c r="D5235" s="80"/>
      <c r="E5235" s="80"/>
    </row>
    <row r="5236" spans="2:5" ht="14.25" customHeight="1" x14ac:dyDescent="0.25">
      <c r="B5236" s="103"/>
      <c r="D5236" s="80"/>
      <c r="E5236" s="80"/>
    </row>
    <row r="5237" spans="2:5" ht="14.25" customHeight="1" x14ac:dyDescent="0.25">
      <c r="B5237" s="103"/>
      <c r="D5237" s="80"/>
      <c r="E5237" s="80"/>
    </row>
    <row r="5238" spans="2:5" ht="14.25" customHeight="1" x14ac:dyDescent="0.25">
      <c r="B5238" s="103"/>
      <c r="D5238" s="80"/>
      <c r="E5238" s="80"/>
    </row>
    <row r="5239" spans="2:5" ht="14.25" customHeight="1" x14ac:dyDescent="0.25">
      <c r="B5239" s="103"/>
      <c r="D5239" s="80"/>
      <c r="E5239" s="80"/>
    </row>
    <row r="5240" spans="2:5" ht="14.25" customHeight="1" x14ac:dyDescent="0.25">
      <c r="B5240" s="103"/>
      <c r="D5240" s="80"/>
      <c r="E5240" s="80"/>
    </row>
    <row r="5241" spans="2:5" ht="14.25" customHeight="1" x14ac:dyDescent="0.25">
      <c r="B5241" s="103"/>
      <c r="D5241" s="80"/>
      <c r="E5241" s="80"/>
    </row>
    <row r="5242" spans="2:5" ht="14.25" customHeight="1" x14ac:dyDescent="0.25">
      <c r="B5242" s="103"/>
      <c r="D5242" s="80"/>
      <c r="E5242" s="80"/>
    </row>
    <row r="5243" spans="2:5" ht="14.25" customHeight="1" x14ac:dyDescent="0.25">
      <c r="B5243" s="103"/>
      <c r="D5243" s="80"/>
      <c r="E5243" s="80"/>
    </row>
    <row r="5244" spans="2:5" ht="14.25" customHeight="1" x14ac:dyDescent="0.25">
      <c r="B5244" s="103"/>
      <c r="D5244" s="80"/>
      <c r="E5244" s="80"/>
    </row>
    <row r="5245" spans="2:5" ht="14.25" customHeight="1" x14ac:dyDescent="0.25">
      <c r="B5245" s="103"/>
      <c r="D5245" s="80"/>
      <c r="E5245" s="80"/>
    </row>
    <row r="5246" spans="2:5" ht="14.25" customHeight="1" x14ac:dyDescent="0.25">
      <c r="B5246" s="103"/>
      <c r="D5246" s="80"/>
      <c r="E5246" s="80"/>
    </row>
    <row r="5247" spans="2:5" ht="14.25" customHeight="1" x14ac:dyDescent="0.25">
      <c r="B5247" s="103"/>
      <c r="D5247" s="80"/>
      <c r="E5247" s="80"/>
    </row>
    <row r="5248" spans="2:5" ht="14.25" customHeight="1" x14ac:dyDescent="0.25">
      <c r="B5248" s="103"/>
      <c r="D5248" s="80"/>
      <c r="E5248" s="80"/>
    </row>
    <row r="5249" spans="2:5" ht="14.25" customHeight="1" x14ac:dyDescent="0.25">
      <c r="B5249" s="103"/>
      <c r="D5249" s="80"/>
      <c r="E5249" s="80"/>
    </row>
    <row r="5250" spans="2:5" ht="14.25" customHeight="1" x14ac:dyDescent="0.25">
      <c r="B5250" s="103"/>
      <c r="D5250" s="80"/>
      <c r="E5250" s="80"/>
    </row>
    <row r="5251" spans="2:5" ht="14.25" customHeight="1" x14ac:dyDescent="0.25">
      <c r="B5251" s="103"/>
      <c r="D5251" s="80"/>
      <c r="E5251" s="80"/>
    </row>
    <row r="5252" spans="2:5" ht="14.25" customHeight="1" x14ac:dyDescent="0.25">
      <c r="B5252" s="103"/>
      <c r="D5252" s="80"/>
      <c r="E5252" s="80"/>
    </row>
    <row r="5253" spans="2:5" ht="14.25" customHeight="1" x14ac:dyDescent="0.25">
      <c r="B5253" s="103"/>
      <c r="D5253" s="80"/>
      <c r="E5253" s="80"/>
    </row>
    <row r="5254" spans="2:5" ht="14.25" customHeight="1" x14ac:dyDescent="0.25">
      <c r="B5254" s="103"/>
      <c r="D5254" s="80"/>
      <c r="E5254" s="80"/>
    </row>
    <row r="5255" spans="2:5" ht="14.25" customHeight="1" x14ac:dyDescent="0.25">
      <c r="B5255" s="103"/>
      <c r="D5255" s="80"/>
      <c r="E5255" s="80"/>
    </row>
    <row r="5256" spans="2:5" ht="14.25" customHeight="1" x14ac:dyDescent="0.25">
      <c r="B5256" s="103"/>
      <c r="D5256" s="80"/>
      <c r="E5256" s="80"/>
    </row>
    <row r="5257" spans="2:5" ht="14.25" customHeight="1" x14ac:dyDescent="0.25">
      <c r="B5257" s="103"/>
      <c r="D5257" s="80"/>
      <c r="E5257" s="80"/>
    </row>
    <row r="5258" spans="2:5" ht="14.25" customHeight="1" x14ac:dyDescent="0.25">
      <c r="B5258" s="103"/>
      <c r="D5258" s="80"/>
      <c r="E5258" s="80"/>
    </row>
    <row r="5259" spans="2:5" ht="14.25" customHeight="1" x14ac:dyDescent="0.25">
      <c r="B5259" s="103"/>
      <c r="D5259" s="80"/>
      <c r="E5259" s="80"/>
    </row>
    <row r="5260" spans="2:5" ht="14.25" customHeight="1" x14ac:dyDescent="0.25">
      <c r="B5260" s="103"/>
      <c r="D5260" s="80"/>
      <c r="E5260" s="80"/>
    </row>
    <row r="5261" spans="2:5" ht="14.25" customHeight="1" x14ac:dyDescent="0.25">
      <c r="B5261" s="103"/>
      <c r="D5261" s="80"/>
      <c r="E5261" s="80"/>
    </row>
    <row r="5262" spans="2:5" ht="14.25" customHeight="1" x14ac:dyDescent="0.25">
      <c r="B5262" s="103"/>
      <c r="D5262" s="80"/>
      <c r="E5262" s="80"/>
    </row>
    <row r="5263" spans="2:5" ht="14.25" customHeight="1" x14ac:dyDescent="0.25">
      <c r="B5263" s="103"/>
      <c r="D5263" s="80"/>
      <c r="E5263" s="80"/>
    </row>
    <row r="5264" spans="2:5" ht="14.25" customHeight="1" x14ac:dyDescent="0.25">
      <c r="B5264" s="103"/>
      <c r="D5264" s="80"/>
      <c r="E5264" s="80"/>
    </row>
    <row r="5265" spans="2:5" ht="14.25" customHeight="1" x14ac:dyDescent="0.25">
      <c r="B5265" s="103"/>
      <c r="D5265" s="80"/>
      <c r="E5265" s="80"/>
    </row>
    <row r="5266" spans="2:5" ht="14.25" customHeight="1" x14ac:dyDescent="0.25">
      <c r="B5266" s="103"/>
      <c r="D5266" s="80"/>
      <c r="E5266" s="80"/>
    </row>
    <row r="5267" spans="2:5" ht="14.25" customHeight="1" x14ac:dyDescent="0.25">
      <c r="B5267" s="103"/>
      <c r="D5267" s="80"/>
      <c r="E5267" s="80"/>
    </row>
    <row r="5268" spans="2:5" ht="14.25" customHeight="1" x14ac:dyDescent="0.25">
      <c r="B5268" s="103"/>
      <c r="D5268" s="80"/>
      <c r="E5268" s="80"/>
    </row>
    <row r="5269" spans="2:5" ht="14.25" customHeight="1" x14ac:dyDescent="0.25">
      <c r="B5269" s="103"/>
      <c r="D5269" s="80"/>
      <c r="E5269" s="80"/>
    </row>
    <row r="5270" spans="2:5" ht="14.25" customHeight="1" x14ac:dyDescent="0.25">
      <c r="B5270" s="103"/>
      <c r="D5270" s="80"/>
      <c r="E5270" s="80"/>
    </row>
    <row r="5271" spans="2:5" ht="14.25" customHeight="1" x14ac:dyDescent="0.25">
      <c r="B5271" s="103"/>
      <c r="D5271" s="80"/>
      <c r="E5271" s="80"/>
    </row>
    <row r="5272" spans="2:5" ht="14.25" customHeight="1" x14ac:dyDescent="0.25">
      <c r="B5272" s="103"/>
      <c r="D5272" s="80"/>
      <c r="E5272" s="80"/>
    </row>
    <row r="5273" spans="2:5" ht="14.25" customHeight="1" x14ac:dyDescent="0.25">
      <c r="B5273" s="103"/>
      <c r="D5273" s="80"/>
      <c r="E5273" s="80"/>
    </row>
    <row r="5274" spans="2:5" ht="14.25" customHeight="1" x14ac:dyDescent="0.25">
      <c r="B5274" s="103"/>
      <c r="D5274" s="80"/>
      <c r="E5274" s="80"/>
    </row>
    <row r="5275" spans="2:5" ht="14.25" customHeight="1" x14ac:dyDescent="0.25">
      <c r="B5275" s="103"/>
      <c r="D5275" s="80"/>
      <c r="E5275" s="80"/>
    </row>
    <row r="5276" spans="2:5" ht="14.25" customHeight="1" x14ac:dyDescent="0.25">
      <c r="B5276" s="103"/>
      <c r="D5276" s="80"/>
      <c r="E5276" s="80"/>
    </row>
    <row r="5277" spans="2:5" ht="14.25" customHeight="1" x14ac:dyDescent="0.25">
      <c r="B5277" s="103"/>
      <c r="D5277" s="80"/>
      <c r="E5277" s="80"/>
    </row>
    <row r="5278" spans="2:5" ht="14.25" customHeight="1" x14ac:dyDescent="0.25">
      <c r="B5278" s="103"/>
      <c r="D5278" s="80"/>
      <c r="E5278" s="80"/>
    </row>
    <row r="5279" spans="2:5" ht="14.25" customHeight="1" x14ac:dyDescent="0.25">
      <c r="B5279" s="103"/>
      <c r="D5279" s="80"/>
      <c r="E5279" s="80"/>
    </row>
    <row r="5280" spans="2:5" ht="14.25" customHeight="1" x14ac:dyDescent="0.25">
      <c r="B5280" s="103"/>
      <c r="D5280" s="80"/>
      <c r="E5280" s="80"/>
    </row>
    <row r="5281" spans="2:5" ht="14.25" customHeight="1" x14ac:dyDescent="0.25">
      <c r="B5281" s="103"/>
      <c r="D5281" s="80"/>
      <c r="E5281" s="80"/>
    </row>
    <row r="5282" spans="2:5" ht="14.25" customHeight="1" x14ac:dyDescent="0.25">
      <c r="B5282" s="103"/>
      <c r="D5282" s="80"/>
      <c r="E5282" s="80"/>
    </row>
    <row r="5283" spans="2:5" ht="14.25" customHeight="1" x14ac:dyDescent="0.25">
      <c r="B5283" s="103"/>
      <c r="D5283" s="80"/>
      <c r="E5283" s="80"/>
    </row>
    <row r="5284" spans="2:5" ht="14.25" customHeight="1" x14ac:dyDescent="0.25">
      <c r="B5284" s="103"/>
      <c r="D5284" s="80"/>
      <c r="E5284" s="80"/>
    </row>
    <row r="5285" spans="2:5" ht="14.25" customHeight="1" x14ac:dyDescent="0.25">
      <c r="B5285" s="103"/>
      <c r="D5285" s="80"/>
      <c r="E5285" s="80"/>
    </row>
    <row r="5286" spans="2:5" ht="14.25" customHeight="1" x14ac:dyDescent="0.25">
      <c r="B5286" s="103"/>
      <c r="D5286" s="80"/>
      <c r="E5286" s="80"/>
    </row>
    <row r="5287" spans="2:5" ht="14.25" customHeight="1" x14ac:dyDescent="0.25">
      <c r="B5287" s="103"/>
      <c r="D5287" s="80"/>
      <c r="E5287" s="80"/>
    </row>
    <row r="5288" spans="2:5" ht="14.25" customHeight="1" x14ac:dyDescent="0.25">
      <c r="B5288" s="103"/>
      <c r="D5288" s="80"/>
      <c r="E5288" s="80"/>
    </row>
    <row r="5289" spans="2:5" ht="14.25" customHeight="1" x14ac:dyDescent="0.25">
      <c r="B5289" s="103"/>
      <c r="D5289" s="80"/>
      <c r="E5289" s="80"/>
    </row>
    <row r="5290" spans="2:5" ht="14.25" customHeight="1" x14ac:dyDescent="0.25">
      <c r="B5290" s="103"/>
      <c r="D5290" s="80"/>
      <c r="E5290" s="80"/>
    </row>
    <row r="5291" spans="2:5" ht="14.25" customHeight="1" x14ac:dyDescent="0.25">
      <c r="B5291" s="103"/>
      <c r="D5291" s="80"/>
      <c r="E5291" s="80"/>
    </row>
    <row r="5292" spans="2:5" ht="14.25" customHeight="1" x14ac:dyDescent="0.25">
      <c r="B5292" s="103"/>
      <c r="D5292" s="80"/>
      <c r="E5292" s="80"/>
    </row>
    <row r="5293" spans="2:5" ht="14.25" customHeight="1" x14ac:dyDescent="0.25">
      <c r="B5293" s="103"/>
      <c r="D5293" s="80"/>
      <c r="E5293" s="80"/>
    </row>
    <row r="5294" spans="2:5" ht="14.25" customHeight="1" x14ac:dyDescent="0.25">
      <c r="B5294" s="103"/>
      <c r="D5294" s="80"/>
      <c r="E5294" s="80"/>
    </row>
    <row r="5295" spans="2:5" ht="14.25" customHeight="1" x14ac:dyDescent="0.25">
      <c r="B5295" s="103"/>
      <c r="D5295" s="80"/>
      <c r="E5295" s="80"/>
    </row>
    <row r="5296" spans="2:5" ht="14.25" customHeight="1" x14ac:dyDescent="0.25">
      <c r="B5296" s="103"/>
      <c r="D5296" s="80"/>
      <c r="E5296" s="80"/>
    </row>
    <row r="5297" spans="2:5" ht="14.25" customHeight="1" x14ac:dyDescent="0.25">
      <c r="B5297" s="103"/>
      <c r="D5297" s="80"/>
      <c r="E5297" s="80"/>
    </row>
    <row r="5298" spans="2:5" ht="14.25" customHeight="1" x14ac:dyDescent="0.25">
      <c r="B5298" s="103"/>
      <c r="D5298" s="80"/>
      <c r="E5298" s="80"/>
    </row>
    <row r="5299" spans="2:5" ht="14.25" customHeight="1" x14ac:dyDescent="0.25">
      <c r="B5299" s="103"/>
      <c r="D5299" s="80"/>
      <c r="E5299" s="80"/>
    </row>
    <row r="5300" spans="2:5" ht="14.25" customHeight="1" x14ac:dyDescent="0.25">
      <c r="B5300" s="103"/>
      <c r="D5300" s="80"/>
      <c r="E5300" s="80"/>
    </row>
    <row r="5301" spans="2:5" ht="14.25" customHeight="1" x14ac:dyDescent="0.25">
      <c r="B5301" s="103"/>
      <c r="D5301" s="80"/>
      <c r="E5301" s="80"/>
    </row>
    <row r="5302" spans="2:5" ht="14.25" customHeight="1" x14ac:dyDescent="0.25">
      <c r="B5302" s="103"/>
      <c r="D5302" s="80"/>
      <c r="E5302" s="80"/>
    </row>
    <row r="5303" spans="2:5" ht="14.25" customHeight="1" x14ac:dyDescent="0.25">
      <c r="B5303" s="103"/>
      <c r="D5303" s="80"/>
      <c r="E5303" s="80"/>
    </row>
    <row r="5304" spans="2:5" ht="14.25" customHeight="1" x14ac:dyDescent="0.25">
      <c r="B5304" s="103"/>
      <c r="D5304" s="80"/>
      <c r="E5304" s="80"/>
    </row>
    <row r="5305" spans="2:5" ht="14.25" customHeight="1" x14ac:dyDescent="0.25">
      <c r="B5305" s="103"/>
      <c r="D5305" s="80"/>
      <c r="E5305" s="80"/>
    </row>
    <row r="5306" spans="2:5" ht="14.25" customHeight="1" x14ac:dyDescent="0.25">
      <c r="B5306" s="103"/>
      <c r="D5306" s="80"/>
      <c r="E5306" s="80"/>
    </row>
    <row r="5307" spans="2:5" ht="14.25" customHeight="1" x14ac:dyDescent="0.25">
      <c r="B5307" s="103"/>
      <c r="D5307" s="80"/>
      <c r="E5307" s="80"/>
    </row>
    <row r="5308" spans="2:5" ht="14.25" customHeight="1" x14ac:dyDescent="0.25">
      <c r="B5308" s="103"/>
      <c r="D5308" s="80"/>
      <c r="E5308" s="80"/>
    </row>
    <row r="5309" spans="2:5" ht="14.25" customHeight="1" x14ac:dyDescent="0.25">
      <c r="B5309" s="103"/>
      <c r="D5309" s="80"/>
      <c r="E5309" s="80"/>
    </row>
    <row r="5310" spans="2:5" ht="14.25" customHeight="1" x14ac:dyDescent="0.25">
      <c r="B5310" s="103"/>
      <c r="D5310" s="80"/>
      <c r="E5310" s="80"/>
    </row>
    <row r="5311" spans="2:5" ht="14.25" customHeight="1" x14ac:dyDescent="0.25">
      <c r="B5311" s="103"/>
      <c r="D5311" s="80"/>
      <c r="E5311" s="80"/>
    </row>
    <row r="5312" spans="2:5" ht="14.25" customHeight="1" x14ac:dyDescent="0.25">
      <c r="B5312" s="103"/>
      <c r="D5312" s="80"/>
      <c r="E5312" s="80"/>
    </row>
    <row r="5313" spans="2:5" ht="14.25" customHeight="1" x14ac:dyDescent="0.25">
      <c r="B5313" s="103"/>
      <c r="D5313" s="80"/>
      <c r="E5313" s="80"/>
    </row>
    <row r="5314" spans="2:5" ht="14.25" customHeight="1" x14ac:dyDescent="0.25">
      <c r="B5314" s="103"/>
      <c r="D5314" s="80"/>
      <c r="E5314" s="80"/>
    </row>
    <row r="5315" spans="2:5" ht="14.25" customHeight="1" x14ac:dyDescent="0.25">
      <c r="B5315" s="103"/>
      <c r="D5315" s="80"/>
      <c r="E5315" s="80"/>
    </row>
    <row r="5316" spans="2:5" ht="14.25" customHeight="1" x14ac:dyDescent="0.25">
      <c r="B5316" s="103"/>
      <c r="D5316" s="80"/>
      <c r="E5316" s="80"/>
    </row>
    <row r="5317" spans="2:5" ht="14.25" customHeight="1" x14ac:dyDescent="0.25">
      <c r="B5317" s="103"/>
      <c r="D5317" s="80"/>
      <c r="E5317" s="80"/>
    </row>
    <row r="5318" spans="2:5" ht="14.25" customHeight="1" x14ac:dyDescent="0.25">
      <c r="B5318" s="103"/>
      <c r="D5318" s="80"/>
      <c r="E5318" s="80"/>
    </row>
    <row r="5319" spans="2:5" ht="14.25" customHeight="1" x14ac:dyDescent="0.25">
      <c r="B5319" s="103"/>
      <c r="D5319" s="80"/>
      <c r="E5319" s="80"/>
    </row>
    <row r="5320" spans="2:5" ht="14.25" customHeight="1" x14ac:dyDescent="0.25">
      <c r="B5320" s="103"/>
      <c r="D5320" s="80"/>
      <c r="E5320" s="80"/>
    </row>
    <row r="5321" spans="2:5" ht="14.25" customHeight="1" x14ac:dyDescent="0.25">
      <c r="B5321" s="103"/>
      <c r="D5321" s="80"/>
      <c r="E5321" s="80"/>
    </row>
    <row r="5322" spans="2:5" ht="14.25" customHeight="1" x14ac:dyDescent="0.25">
      <c r="B5322" s="103"/>
      <c r="D5322" s="80"/>
      <c r="E5322" s="80"/>
    </row>
    <row r="5323" spans="2:5" ht="14.25" customHeight="1" x14ac:dyDescent="0.25">
      <c r="B5323" s="103"/>
      <c r="D5323" s="80"/>
      <c r="E5323" s="80"/>
    </row>
    <row r="5324" spans="2:5" ht="14.25" customHeight="1" x14ac:dyDescent="0.25">
      <c r="B5324" s="103"/>
      <c r="D5324" s="80"/>
      <c r="E5324" s="80"/>
    </row>
    <row r="5325" spans="2:5" ht="14.25" customHeight="1" x14ac:dyDescent="0.25">
      <c r="B5325" s="103"/>
      <c r="D5325" s="80"/>
      <c r="E5325" s="80"/>
    </row>
    <row r="5326" spans="2:5" ht="14.25" customHeight="1" x14ac:dyDescent="0.25">
      <c r="B5326" s="103"/>
      <c r="D5326" s="80"/>
      <c r="E5326" s="80"/>
    </row>
    <row r="5327" spans="2:5" ht="14.25" customHeight="1" x14ac:dyDescent="0.25">
      <c r="B5327" s="103"/>
      <c r="D5327" s="80"/>
      <c r="E5327" s="80"/>
    </row>
    <row r="5328" spans="2:5" ht="14.25" customHeight="1" x14ac:dyDescent="0.25">
      <c r="B5328" s="103"/>
      <c r="D5328" s="80"/>
      <c r="E5328" s="80"/>
    </row>
    <row r="5329" spans="2:5" ht="14.25" customHeight="1" x14ac:dyDescent="0.25">
      <c r="B5329" s="103"/>
      <c r="D5329" s="80"/>
      <c r="E5329" s="80"/>
    </row>
    <row r="5330" spans="2:5" ht="14.25" customHeight="1" x14ac:dyDescent="0.25">
      <c r="B5330" s="103"/>
      <c r="D5330" s="80"/>
      <c r="E5330" s="80"/>
    </row>
    <row r="5331" spans="2:5" ht="14.25" customHeight="1" x14ac:dyDescent="0.25">
      <c r="B5331" s="103"/>
      <c r="D5331" s="80"/>
      <c r="E5331" s="80"/>
    </row>
    <row r="5332" spans="2:5" ht="14.25" customHeight="1" x14ac:dyDescent="0.25">
      <c r="B5332" s="103"/>
      <c r="D5332" s="80"/>
      <c r="E5332" s="80"/>
    </row>
    <row r="5333" spans="2:5" ht="14.25" customHeight="1" x14ac:dyDescent="0.25">
      <c r="B5333" s="103"/>
      <c r="D5333" s="80"/>
      <c r="E5333" s="80"/>
    </row>
    <row r="5334" spans="2:5" ht="14.25" customHeight="1" x14ac:dyDescent="0.25">
      <c r="B5334" s="103"/>
      <c r="D5334" s="80"/>
      <c r="E5334" s="80"/>
    </row>
    <row r="5335" spans="2:5" ht="14.25" customHeight="1" x14ac:dyDescent="0.25">
      <c r="B5335" s="103"/>
      <c r="D5335" s="80"/>
      <c r="E5335" s="80"/>
    </row>
    <row r="5336" spans="2:5" ht="14.25" customHeight="1" x14ac:dyDescent="0.25">
      <c r="B5336" s="103"/>
      <c r="D5336" s="80"/>
      <c r="E5336" s="80"/>
    </row>
    <row r="5337" spans="2:5" ht="14.25" customHeight="1" x14ac:dyDescent="0.25">
      <c r="B5337" s="103"/>
      <c r="D5337" s="80"/>
      <c r="E5337" s="80"/>
    </row>
    <row r="5338" spans="2:5" ht="14.25" customHeight="1" x14ac:dyDescent="0.25">
      <c r="B5338" s="103"/>
      <c r="D5338" s="80"/>
      <c r="E5338" s="80"/>
    </row>
    <row r="5339" spans="2:5" ht="14.25" customHeight="1" x14ac:dyDescent="0.25">
      <c r="B5339" s="103"/>
      <c r="D5339" s="80"/>
      <c r="E5339" s="80"/>
    </row>
    <row r="5340" spans="2:5" ht="14.25" customHeight="1" x14ac:dyDescent="0.25">
      <c r="B5340" s="103"/>
      <c r="D5340" s="80"/>
      <c r="E5340" s="80"/>
    </row>
    <row r="5341" spans="2:5" ht="14.25" customHeight="1" x14ac:dyDescent="0.25">
      <c r="B5341" s="103"/>
      <c r="D5341" s="80"/>
      <c r="E5341" s="80"/>
    </row>
    <row r="5342" spans="2:5" ht="14.25" customHeight="1" x14ac:dyDescent="0.25">
      <c r="B5342" s="103"/>
      <c r="D5342" s="80"/>
      <c r="E5342" s="80"/>
    </row>
    <row r="5343" spans="2:5" ht="14.25" customHeight="1" x14ac:dyDescent="0.25">
      <c r="B5343" s="103"/>
      <c r="D5343" s="80"/>
      <c r="E5343" s="80"/>
    </row>
    <row r="5344" spans="2:5" ht="14.25" customHeight="1" x14ac:dyDescent="0.25">
      <c r="B5344" s="103"/>
      <c r="D5344" s="80"/>
      <c r="E5344" s="80"/>
    </row>
    <row r="5345" spans="2:5" ht="14.25" customHeight="1" x14ac:dyDescent="0.25">
      <c r="B5345" s="103"/>
      <c r="D5345" s="80"/>
      <c r="E5345" s="80"/>
    </row>
    <row r="5346" spans="2:5" ht="14.25" customHeight="1" x14ac:dyDescent="0.25">
      <c r="B5346" s="103"/>
      <c r="D5346" s="80"/>
      <c r="E5346" s="80"/>
    </row>
    <row r="5347" spans="2:5" ht="14.25" customHeight="1" x14ac:dyDescent="0.25">
      <c r="B5347" s="103"/>
      <c r="D5347" s="80"/>
      <c r="E5347" s="80"/>
    </row>
    <row r="5348" spans="2:5" ht="14.25" customHeight="1" x14ac:dyDescent="0.25">
      <c r="B5348" s="103"/>
      <c r="D5348" s="80"/>
      <c r="E5348" s="80"/>
    </row>
    <row r="5349" spans="2:5" ht="14.25" customHeight="1" x14ac:dyDescent="0.25">
      <c r="B5349" s="103"/>
      <c r="D5349" s="80"/>
      <c r="E5349" s="80"/>
    </row>
    <row r="5350" spans="2:5" ht="14.25" customHeight="1" x14ac:dyDescent="0.25">
      <c r="B5350" s="103"/>
      <c r="D5350" s="80"/>
      <c r="E5350" s="80"/>
    </row>
    <row r="5351" spans="2:5" ht="14.25" customHeight="1" x14ac:dyDescent="0.25">
      <c r="B5351" s="103"/>
      <c r="D5351" s="80"/>
      <c r="E5351" s="80"/>
    </row>
    <row r="5352" spans="2:5" ht="14.25" customHeight="1" x14ac:dyDescent="0.25">
      <c r="B5352" s="103"/>
      <c r="D5352" s="80"/>
      <c r="E5352" s="80"/>
    </row>
    <row r="5353" spans="2:5" ht="14.25" customHeight="1" x14ac:dyDescent="0.25">
      <c r="B5353" s="103"/>
      <c r="D5353" s="80"/>
      <c r="E5353" s="80"/>
    </row>
    <row r="5354" spans="2:5" ht="14.25" customHeight="1" x14ac:dyDescent="0.25">
      <c r="B5354" s="103"/>
      <c r="D5354" s="80"/>
      <c r="E5354" s="80"/>
    </row>
    <row r="5355" spans="2:5" ht="14.25" customHeight="1" x14ac:dyDescent="0.25">
      <c r="B5355" s="103"/>
      <c r="D5355" s="80"/>
      <c r="E5355" s="80"/>
    </row>
    <row r="5356" spans="2:5" ht="14.25" customHeight="1" x14ac:dyDescent="0.25">
      <c r="B5356" s="103"/>
      <c r="D5356" s="80"/>
      <c r="E5356" s="80"/>
    </row>
    <row r="5357" spans="2:5" ht="14.25" customHeight="1" x14ac:dyDescent="0.25">
      <c r="B5357" s="103"/>
      <c r="D5357" s="80"/>
      <c r="E5357" s="80"/>
    </row>
    <row r="5358" spans="2:5" ht="14.25" customHeight="1" x14ac:dyDescent="0.25">
      <c r="B5358" s="103"/>
      <c r="D5358" s="80"/>
      <c r="E5358" s="80"/>
    </row>
    <row r="5359" spans="2:5" ht="14.25" customHeight="1" x14ac:dyDescent="0.25">
      <c r="B5359" s="103"/>
      <c r="D5359" s="80"/>
      <c r="E5359" s="80"/>
    </row>
    <row r="5360" spans="2:5" ht="14.25" customHeight="1" x14ac:dyDescent="0.25">
      <c r="B5360" s="103"/>
      <c r="D5360" s="80"/>
      <c r="E5360" s="80"/>
    </row>
    <row r="5361" spans="2:5" ht="14.25" customHeight="1" x14ac:dyDescent="0.25">
      <c r="B5361" s="103"/>
      <c r="D5361" s="80"/>
      <c r="E5361" s="80"/>
    </row>
    <row r="5362" spans="2:5" ht="14.25" customHeight="1" x14ac:dyDescent="0.25">
      <c r="B5362" s="103"/>
      <c r="D5362" s="80"/>
      <c r="E5362" s="80"/>
    </row>
    <row r="5363" spans="2:5" ht="14.25" customHeight="1" x14ac:dyDescent="0.25">
      <c r="B5363" s="103"/>
      <c r="D5363" s="80"/>
      <c r="E5363" s="80"/>
    </row>
    <row r="5364" spans="2:5" ht="14.25" customHeight="1" x14ac:dyDescent="0.25">
      <c r="B5364" s="103"/>
      <c r="D5364" s="80"/>
      <c r="E5364" s="80"/>
    </row>
    <row r="5365" spans="2:5" ht="14.25" customHeight="1" x14ac:dyDescent="0.25">
      <c r="B5365" s="103"/>
      <c r="D5365" s="80"/>
      <c r="E5365" s="80"/>
    </row>
    <row r="5366" spans="2:5" ht="14.25" customHeight="1" x14ac:dyDescent="0.25">
      <c r="B5366" s="103"/>
      <c r="D5366" s="80"/>
      <c r="E5366" s="80"/>
    </row>
    <row r="5367" spans="2:5" ht="14.25" customHeight="1" x14ac:dyDescent="0.25">
      <c r="B5367" s="103"/>
      <c r="D5367" s="80"/>
      <c r="E5367" s="80"/>
    </row>
    <row r="5368" spans="2:5" ht="14.25" customHeight="1" x14ac:dyDescent="0.25">
      <c r="B5368" s="103"/>
      <c r="D5368" s="80"/>
      <c r="E5368" s="80"/>
    </row>
    <row r="5369" spans="2:5" ht="14.25" customHeight="1" x14ac:dyDescent="0.25">
      <c r="B5369" s="103"/>
      <c r="D5369" s="80"/>
      <c r="E5369" s="80"/>
    </row>
    <row r="5370" spans="2:5" ht="14.25" customHeight="1" x14ac:dyDescent="0.25">
      <c r="B5370" s="103"/>
      <c r="D5370" s="80"/>
      <c r="E5370" s="80"/>
    </row>
    <row r="5371" spans="2:5" ht="14.25" customHeight="1" x14ac:dyDescent="0.25">
      <c r="B5371" s="103"/>
      <c r="D5371" s="80"/>
      <c r="E5371" s="80"/>
    </row>
    <row r="5372" spans="2:5" ht="14.25" customHeight="1" x14ac:dyDescent="0.25">
      <c r="B5372" s="103"/>
      <c r="D5372" s="80"/>
      <c r="E5372" s="80"/>
    </row>
    <row r="5373" spans="2:5" ht="14.25" customHeight="1" x14ac:dyDescent="0.25">
      <c r="B5373" s="103"/>
      <c r="D5373" s="80"/>
      <c r="E5373" s="80"/>
    </row>
    <row r="5374" spans="2:5" ht="14.25" customHeight="1" x14ac:dyDescent="0.25">
      <c r="B5374" s="103"/>
      <c r="D5374" s="80"/>
      <c r="E5374" s="80"/>
    </row>
    <row r="5375" spans="2:5" ht="14.25" customHeight="1" x14ac:dyDescent="0.25">
      <c r="B5375" s="103"/>
      <c r="D5375" s="80"/>
      <c r="E5375" s="80"/>
    </row>
    <row r="5376" spans="2:5" ht="14.25" customHeight="1" x14ac:dyDescent="0.25">
      <c r="B5376" s="103"/>
      <c r="D5376" s="80"/>
      <c r="E5376" s="80"/>
    </row>
    <row r="5377" spans="2:5" ht="14.25" customHeight="1" x14ac:dyDescent="0.25">
      <c r="B5377" s="103"/>
      <c r="D5377" s="80"/>
      <c r="E5377" s="80"/>
    </row>
    <row r="5378" spans="2:5" ht="14.25" customHeight="1" x14ac:dyDescent="0.25">
      <c r="B5378" s="103"/>
      <c r="D5378" s="80"/>
      <c r="E5378" s="80"/>
    </row>
    <row r="5379" spans="2:5" ht="14.25" customHeight="1" x14ac:dyDescent="0.25">
      <c r="B5379" s="103"/>
      <c r="D5379" s="80"/>
      <c r="E5379" s="80"/>
    </row>
    <row r="5380" spans="2:5" ht="14.25" customHeight="1" x14ac:dyDescent="0.25">
      <c r="B5380" s="103"/>
      <c r="D5380" s="80"/>
      <c r="E5380" s="80"/>
    </row>
    <row r="5381" spans="2:5" ht="14.25" customHeight="1" x14ac:dyDescent="0.25">
      <c r="B5381" s="103"/>
      <c r="D5381" s="80"/>
      <c r="E5381" s="80"/>
    </row>
    <row r="5382" spans="2:5" ht="14.25" customHeight="1" x14ac:dyDescent="0.25">
      <c r="B5382" s="103"/>
      <c r="D5382" s="80"/>
      <c r="E5382" s="80"/>
    </row>
    <row r="5383" spans="2:5" ht="14.25" customHeight="1" x14ac:dyDescent="0.25">
      <c r="B5383" s="103"/>
      <c r="D5383" s="80"/>
      <c r="E5383" s="80"/>
    </row>
    <row r="5384" spans="2:5" ht="14.25" customHeight="1" x14ac:dyDescent="0.25">
      <c r="B5384" s="103"/>
      <c r="D5384" s="80"/>
      <c r="E5384" s="80"/>
    </row>
    <row r="5385" spans="2:5" ht="14.25" customHeight="1" x14ac:dyDescent="0.25">
      <c r="B5385" s="103"/>
      <c r="D5385" s="80"/>
      <c r="E5385" s="80"/>
    </row>
    <row r="5386" spans="2:5" ht="14.25" customHeight="1" x14ac:dyDescent="0.25">
      <c r="B5386" s="103"/>
      <c r="D5386" s="80"/>
      <c r="E5386" s="80"/>
    </row>
    <row r="5387" spans="2:5" ht="14.25" customHeight="1" x14ac:dyDescent="0.25">
      <c r="B5387" s="103"/>
      <c r="D5387" s="80"/>
      <c r="E5387" s="80"/>
    </row>
    <row r="5388" spans="2:5" ht="14.25" customHeight="1" x14ac:dyDescent="0.25">
      <c r="B5388" s="103"/>
      <c r="D5388" s="80"/>
      <c r="E5388" s="80"/>
    </row>
    <row r="5389" spans="2:5" ht="14.25" customHeight="1" x14ac:dyDescent="0.25">
      <c r="B5389" s="103"/>
      <c r="D5389" s="80"/>
      <c r="E5389" s="80"/>
    </row>
    <row r="5390" spans="2:5" ht="14.25" customHeight="1" x14ac:dyDescent="0.25">
      <c r="B5390" s="103"/>
      <c r="D5390" s="80"/>
      <c r="E5390" s="80"/>
    </row>
    <row r="5391" spans="2:5" ht="14.25" customHeight="1" x14ac:dyDescent="0.25">
      <c r="B5391" s="103"/>
      <c r="D5391" s="80"/>
      <c r="E5391" s="80"/>
    </row>
    <row r="5392" spans="2:5" ht="14.25" customHeight="1" x14ac:dyDescent="0.25">
      <c r="B5392" s="103"/>
      <c r="D5392" s="80"/>
      <c r="E5392" s="80"/>
    </row>
    <row r="5393" spans="2:5" ht="14.25" customHeight="1" x14ac:dyDescent="0.25">
      <c r="B5393" s="103"/>
      <c r="D5393" s="80"/>
      <c r="E5393" s="80"/>
    </row>
    <row r="5394" spans="2:5" ht="14.25" customHeight="1" x14ac:dyDescent="0.25">
      <c r="B5394" s="103"/>
      <c r="D5394" s="80"/>
      <c r="E5394" s="80"/>
    </row>
    <row r="5395" spans="2:5" ht="14.25" customHeight="1" x14ac:dyDescent="0.25">
      <c r="B5395" s="103"/>
      <c r="D5395" s="80"/>
      <c r="E5395" s="80"/>
    </row>
    <row r="5396" spans="2:5" ht="14.25" customHeight="1" x14ac:dyDescent="0.25">
      <c r="B5396" s="103"/>
      <c r="D5396" s="80"/>
      <c r="E5396" s="80"/>
    </row>
    <row r="5397" spans="2:5" ht="14.25" customHeight="1" x14ac:dyDescent="0.25">
      <c r="B5397" s="103"/>
      <c r="D5397" s="80"/>
      <c r="E5397" s="80"/>
    </row>
    <row r="5398" spans="2:5" ht="14.25" customHeight="1" x14ac:dyDescent="0.25">
      <c r="B5398" s="103"/>
      <c r="D5398" s="80"/>
      <c r="E5398" s="80"/>
    </row>
    <row r="5399" spans="2:5" ht="14.25" customHeight="1" x14ac:dyDescent="0.25">
      <c r="B5399" s="103"/>
      <c r="D5399" s="80"/>
      <c r="E5399" s="80"/>
    </row>
    <row r="5400" spans="2:5" ht="14.25" customHeight="1" x14ac:dyDescent="0.25">
      <c r="B5400" s="103"/>
      <c r="D5400" s="80"/>
      <c r="E5400" s="80"/>
    </row>
    <row r="5401" spans="2:5" ht="14.25" customHeight="1" x14ac:dyDescent="0.25">
      <c r="B5401" s="103"/>
      <c r="D5401" s="80"/>
      <c r="E5401" s="80"/>
    </row>
    <row r="5402" spans="2:5" ht="14.25" customHeight="1" x14ac:dyDescent="0.25">
      <c r="B5402" s="103"/>
      <c r="D5402" s="80"/>
      <c r="E5402" s="80"/>
    </row>
    <row r="5403" spans="2:5" ht="14.25" customHeight="1" x14ac:dyDescent="0.25">
      <c r="B5403" s="103"/>
      <c r="D5403" s="80"/>
      <c r="E5403" s="80"/>
    </row>
    <row r="5404" spans="2:5" ht="14.25" customHeight="1" x14ac:dyDescent="0.25">
      <c r="B5404" s="103"/>
      <c r="D5404" s="80"/>
      <c r="E5404" s="80"/>
    </row>
    <row r="5405" spans="2:5" ht="14.25" customHeight="1" x14ac:dyDescent="0.25">
      <c r="B5405" s="103"/>
      <c r="D5405" s="80"/>
      <c r="E5405" s="80"/>
    </row>
    <row r="5406" spans="2:5" ht="14.25" customHeight="1" x14ac:dyDescent="0.25">
      <c r="B5406" s="103"/>
      <c r="D5406" s="80"/>
      <c r="E5406" s="80"/>
    </row>
    <row r="5407" spans="2:5" ht="14.25" customHeight="1" x14ac:dyDescent="0.25">
      <c r="B5407" s="103"/>
      <c r="D5407" s="80"/>
      <c r="E5407" s="80"/>
    </row>
    <row r="5408" spans="2:5" ht="14.25" customHeight="1" x14ac:dyDescent="0.25">
      <c r="B5408" s="103"/>
      <c r="D5408" s="80"/>
      <c r="E5408" s="80"/>
    </row>
    <row r="5409" spans="2:5" ht="14.25" customHeight="1" x14ac:dyDescent="0.25">
      <c r="B5409" s="103"/>
      <c r="D5409" s="80"/>
      <c r="E5409" s="80"/>
    </row>
    <row r="5410" spans="2:5" ht="14.25" customHeight="1" x14ac:dyDescent="0.25">
      <c r="B5410" s="103"/>
      <c r="D5410" s="80"/>
      <c r="E5410" s="80"/>
    </row>
    <row r="5411" spans="2:5" ht="14.25" customHeight="1" x14ac:dyDescent="0.25">
      <c r="B5411" s="103"/>
      <c r="D5411" s="80"/>
      <c r="E5411" s="80"/>
    </row>
    <row r="5412" spans="2:5" ht="14.25" customHeight="1" x14ac:dyDescent="0.25">
      <c r="B5412" s="103"/>
      <c r="D5412" s="80"/>
      <c r="E5412" s="80"/>
    </row>
    <row r="5413" spans="2:5" ht="14.25" customHeight="1" x14ac:dyDescent="0.25">
      <c r="B5413" s="103"/>
      <c r="D5413" s="80"/>
      <c r="E5413" s="80"/>
    </row>
    <row r="5414" spans="2:5" ht="14.25" customHeight="1" x14ac:dyDescent="0.25">
      <c r="B5414" s="103"/>
      <c r="D5414" s="80"/>
      <c r="E5414" s="80"/>
    </row>
    <row r="5415" spans="2:5" ht="14.25" customHeight="1" x14ac:dyDescent="0.25">
      <c r="B5415" s="103"/>
      <c r="D5415" s="80"/>
      <c r="E5415" s="80"/>
    </row>
    <row r="5416" spans="2:5" ht="14.25" customHeight="1" x14ac:dyDescent="0.25">
      <c r="B5416" s="103"/>
      <c r="D5416" s="80"/>
      <c r="E5416" s="80"/>
    </row>
    <row r="5417" spans="2:5" ht="14.25" customHeight="1" x14ac:dyDescent="0.25">
      <c r="B5417" s="103"/>
      <c r="D5417" s="80"/>
      <c r="E5417" s="80"/>
    </row>
    <row r="5418" spans="2:5" ht="14.25" customHeight="1" x14ac:dyDescent="0.25">
      <c r="B5418" s="103"/>
      <c r="D5418" s="80"/>
      <c r="E5418" s="80"/>
    </row>
    <row r="5419" spans="2:5" ht="14.25" customHeight="1" x14ac:dyDescent="0.25">
      <c r="B5419" s="103"/>
      <c r="D5419" s="80"/>
      <c r="E5419" s="80"/>
    </row>
    <row r="5420" spans="2:5" ht="14.25" customHeight="1" x14ac:dyDescent="0.25">
      <c r="B5420" s="103"/>
      <c r="D5420" s="80"/>
      <c r="E5420" s="80"/>
    </row>
    <row r="5421" spans="2:5" ht="14.25" customHeight="1" x14ac:dyDescent="0.25">
      <c r="B5421" s="103"/>
      <c r="D5421" s="80"/>
      <c r="E5421" s="80"/>
    </row>
    <row r="5422" spans="2:5" ht="14.25" customHeight="1" x14ac:dyDescent="0.25">
      <c r="B5422" s="103"/>
      <c r="D5422" s="80"/>
      <c r="E5422" s="80"/>
    </row>
    <row r="5423" spans="2:5" ht="14.25" customHeight="1" x14ac:dyDescent="0.25">
      <c r="B5423" s="103"/>
      <c r="D5423" s="80"/>
      <c r="E5423" s="80"/>
    </row>
    <row r="5424" spans="2:5" ht="14.25" customHeight="1" x14ac:dyDescent="0.25">
      <c r="B5424" s="103"/>
      <c r="D5424" s="80"/>
      <c r="E5424" s="80"/>
    </row>
    <row r="5425" spans="2:5" ht="14.25" customHeight="1" x14ac:dyDescent="0.25">
      <c r="B5425" s="103"/>
      <c r="D5425" s="80"/>
      <c r="E5425" s="80"/>
    </row>
    <row r="5426" spans="2:5" ht="14.25" customHeight="1" x14ac:dyDescent="0.25">
      <c r="B5426" s="103"/>
      <c r="D5426" s="80"/>
      <c r="E5426" s="80"/>
    </row>
    <row r="5427" spans="2:5" ht="14.25" customHeight="1" x14ac:dyDescent="0.25">
      <c r="B5427" s="103"/>
      <c r="D5427" s="80"/>
      <c r="E5427" s="80"/>
    </row>
    <row r="5428" spans="2:5" ht="14.25" customHeight="1" x14ac:dyDescent="0.25">
      <c r="B5428" s="103"/>
      <c r="D5428" s="80"/>
      <c r="E5428" s="80"/>
    </row>
    <row r="5429" spans="2:5" ht="14.25" customHeight="1" x14ac:dyDescent="0.25">
      <c r="B5429" s="103"/>
      <c r="D5429" s="80"/>
      <c r="E5429" s="80"/>
    </row>
    <row r="5430" spans="2:5" ht="14.25" customHeight="1" x14ac:dyDescent="0.25">
      <c r="B5430" s="103"/>
      <c r="D5430" s="80"/>
      <c r="E5430" s="80"/>
    </row>
    <row r="5431" spans="2:5" ht="14.25" customHeight="1" x14ac:dyDescent="0.25">
      <c r="B5431" s="103"/>
      <c r="D5431" s="80"/>
      <c r="E5431" s="80"/>
    </row>
    <row r="5432" spans="2:5" ht="14.25" customHeight="1" x14ac:dyDescent="0.25">
      <c r="B5432" s="103"/>
      <c r="D5432" s="80"/>
      <c r="E5432" s="80"/>
    </row>
    <row r="5433" spans="2:5" ht="14.25" customHeight="1" x14ac:dyDescent="0.25">
      <c r="B5433" s="103"/>
      <c r="D5433" s="80"/>
      <c r="E5433" s="80"/>
    </row>
    <row r="5434" spans="2:5" ht="14.25" customHeight="1" x14ac:dyDescent="0.25">
      <c r="B5434" s="103"/>
      <c r="D5434" s="80"/>
      <c r="E5434" s="80"/>
    </row>
    <row r="5435" spans="2:5" ht="14.25" customHeight="1" x14ac:dyDescent="0.25">
      <c r="B5435" s="103"/>
      <c r="D5435" s="80"/>
      <c r="E5435" s="80"/>
    </row>
    <row r="5436" spans="2:5" ht="14.25" customHeight="1" x14ac:dyDescent="0.25">
      <c r="B5436" s="103"/>
      <c r="D5436" s="80"/>
      <c r="E5436" s="80"/>
    </row>
    <row r="5437" spans="2:5" ht="14.25" customHeight="1" x14ac:dyDescent="0.25">
      <c r="B5437" s="103"/>
      <c r="D5437" s="80"/>
      <c r="E5437" s="80"/>
    </row>
    <row r="5438" spans="2:5" ht="14.25" customHeight="1" x14ac:dyDescent="0.25">
      <c r="B5438" s="103"/>
      <c r="D5438" s="80"/>
      <c r="E5438" s="80"/>
    </row>
    <row r="5439" spans="2:5" ht="14.25" customHeight="1" x14ac:dyDescent="0.25">
      <c r="B5439" s="103"/>
      <c r="D5439" s="80"/>
      <c r="E5439" s="80"/>
    </row>
    <row r="5440" spans="2:5" ht="14.25" customHeight="1" x14ac:dyDescent="0.25">
      <c r="B5440" s="103"/>
      <c r="D5440" s="80"/>
      <c r="E5440" s="80"/>
    </row>
    <row r="5441" spans="2:5" ht="14.25" customHeight="1" x14ac:dyDescent="0.25">
      <c r="B5441" s="103"/>
      <c r="D5441" s="80"/>
      <c r="E5441" s="80"/>
    </row>
    <row r="5442" spans="2:5" ht="14.25" customHeight="1" x14ac:dyDescent="0.25">
      <c r="B5442" s="103"/>
      <c r="D5442" s="80"/>
      <c r="E5442" s="80"/>
    </row>
    <row r="5443" spans="2:5" ht="14.25" customHeight="1" x14ac:dyDescent="0.25">
      <c r="B5443" s="103"/>
      <c r="D5443" s="80"/>
      <c r="E5443" s="80"/>
    </row>
    <row r="5444" spans="2:5" ht="14.25" customHeight="1" x14ac:dyDescent="0.25">
      <c r="B5444" s="103"/>
      <c r="D5444" s="80"/>
      <c r="E5444" s="80"/>
    </row>
    <row r="5445" spans="2:5" ht="14.25" customHeight="1" x14ac:dyDescent="0.25">
      <c r="B5445" s="103"/>
      <c r="D5445" s="80"/>
      <c r="E5445" s="80"/>
    </row>
    <row r="5446" spans="2:5" ht="14.25" customHeight="1" x14ac:dyDescent="0.25">
      <c r="B5446" s="103"/>
      <c r="D5446" s="80"/>
      <c r="E5446" s="80"/>
    </row>
    <row r="5447" spans="2:5" ht="14.25" customHeight="1" x14ac:dyDescent="0.25">
      <c r="B5447" s="103"/>
      <c r="D5447" s="80"/>
      <c r="E5447" s="80"/>
    </row>
    <row r="5448" spans="2:5" ht="14.25" customHeight="1" x14ac:dyDescent="0.25">
      <c r="B5448" s="103"/>
      <c r="D5448" s="80"/>
      <c r="E5448" s="80"/>
    </row>
    <row r="5449" spans="2:5" ht="14.25" customHeight="1" x14ac:dyDescent="0.25">
      <c r="B5449" s="103"/>
      <c r="D5449" s="80"/>
      <c r="E5449" s="80"/>
    </row>
    <row r="5450" spans="2:5" ht="14.25" customHeight="1" x14ac:dyDescent="0.25">
      <c r="B5450" s="103"/>
      <c r="D5450" s="80"/>
      <c r="E5450" s="80"/>
    </row>
    <row r="5451" spans="2:5" ht="14.25" customHeight="1" x14ac:dyDescent="0.25">
      <c r="B5451" s="103"/>
      <c r="D5451" s="80"/>
      <c r="E5451" s="80"/>
    </row>
    <row r="5452" spans="2:5" ht="14.25" customHeight="1" x14ac:dyDescent="0.25">
      <c r="B5452" s="103"/>
      <c r="D5452" s="80"/>
      <c r="E5452" s="80"/>
    </row>
    <row r="5453" spans="2:5" ht="14.25" customHeight="1" x14ac:dyDescent="0.25">
      <c r="B5453" s="103"/>
      <c r="D5453" s="80"/>
      <c r="E5453" s="80"/>
    </row>
    <row r="5454" spans="2:5" ht="14.25" customHeight="1" x14ac:dyDescent="0.25">
      <c r="B5454" s="103"/>
      <c r="D5454" s="80"/>
      <c r="E5454" s="80"/>
    </row>
    <row r="5455" spans="2:5" ht="14.25" customHeight="1" x14ac:dyDescent="0.25">
      <c r="B5455" s="103"/>
      <c r="D5455" s="80"/>
      <c r="E5455" s="80"/>
    </row>
    <row r="5456" spans="2:5" ht="14.25" customHeight="1" x14ac:dyDescent="0.25">
      <c r="B5456" s="103"/>
      <c r="D5456" s="80"/>
      <c r="E5456" s="80"/>
    </row>
    <row r="5457" spans="2:5" ht="14.25" customHeight="1" x14ac:dyDescent="0.25">
      <c r="B5457" s="103"/>
      <c r="D5457" s="80"/>
      <c r="E5457" s="80"/>
    </row>
    <row r="5458" spans="2:5" ht="14.25" customHeight="1" x14ac:dyDescent="0.25">
      <c r="B5458" s="103"/>
      <c r="D5458" s="80"/>
      <c r="E5458" s="80"/>
    </row>
    <row r="5459" spans="2:5" ht="14.25" customHeight="1" x14ac:dyDescent="0.25">
      <c r="B5459" s="103"/>
      <c r="D5459" s="80"/>
      <c r="E5459" s="80"/>
    </row>
    <row r="5460" spans="2:5" ht="14.25" customHeight="1" x14ac:dyDescent="0.25">
      <c r="B5460" s="103"/>
      <c r="D5460" s="80"/>
      <c r="E5460" s="80"/>
    </row>
    <row r="5461" spans="2:5" ht="14.25" customHeight="1" x14ac:dyDescent="0.25">
      <c r="B5461" s="103"/>
      <c r="D5461" s="80"/>
      <c r="E5461" s="80"/>
    </row>
    <row r="5462" spans="2:5" ht="14.25" customHeight="1" x14ac:dyDescent="0.25">
      <c r="B5462" s="103"/>
      <c r="D5462" s="80"/>
      <c r="E5462" s="80"/>
    </row>
    <row r="5463" spans="2:5" ht="14.25" customHeight="1" x14ac:dyDescent="0.25">
      <c r="B5463" s="103"/>
      <c r="D5463" s="80"/>
      <c r="E5463" s="80"/>
    </row>
    <row r="5464" spans="2:5" ht="14.25" customHeight="1" x14ac:dyDescent="0.25">
      <c r="B5464" s="103"/>
      <c r="D5464" s="80"/>
      <c r="E5464" s="80"/>
    </row>
    <row r="5465" spans="2:5" ht="14.25" customHeight="1" x14ac:dyDescent="0.25">
      <c r="B5465" s="103"/>
      <c r="D5465" s="80"/>
      <c r="E5465" s="80"/>
    </row>
    <row r="5466" spans="2:5" ht="14.25" customHeight="1" x14ac:dyDescent="0.25">
      <c r="B5466" s="103"/>
      <c r="D5466" s="80"/>
      <c r="E5466" s="80"/>
    </row>
    <row r="5467" spans="2:5" ht="14.25" customHeight="1" x14ac:dyDescent="0.25">
      <c r="B5467" s="103"/>
      <c r="D5467" s="80"/>
      <c r="E5467" s="80"/>
    </row>
    <row r="5468" spans="2:5" ht="14.25" customHeight="1" x14ac:dyDescent="0.25">
      <c r="B5468" s="103"/>
      <c r="D5468" s="80"/>
      <c r="E5468" s="80"/>
    </row>
    <row r="5469" spans="2:5" ht="14.25" customHeight="1" x14ac:dyDescent="0.25">
      <c r="B5469" s="103"/>
      <c r="D5469" s="80"/>
      <c r="E5469" s="80"/>
    </row>
    <row r="5470" spans="2:5" ht="14.25" customHeight="1" x14ac:dyDescent="0.25">
      <c r="B5470" s="103"/>
      <c r="D5470" s="80"/>
      <c r="E5470" s="80"/>
    </row>
    <row r="5471" spans="2:5" ht="14.25" customHeight="1" x14ac:dyDescent="0.25">
      <c r="B5471" s="103"/>
      <c r="D5471" s="80"/>
      <c r="E5471" s="80"/>
    </row>
    <row r="5472" spans="2:5" ht="14.25" customHeight="1" x14ac:dyDescent="0.25">
      <c r="B5472" s="103"/>
      <c r="D5472" s="80"/>
      <c r="E5472" s="80"/>
    </row>
    <row r="5473" spans="2:5" ht="14.25" customHeight="1" x14ac:dyDescent="0.25">
      <c r="B5473" s="103"/>
      <c r="D5473" s="80"/>
      <c r="E5473" s="80"/>
    </row>
    <row r="5474" spans="2:5" ht="14.25" customHeight="1" x14ac:dyDescent="0.25">
      <c r="B5474" s="103"/>
      <c r="D5474" s="80"/>
      <c r="E5474" s="80"/>
    </row>
    <row r="5475" spans="2:5" ht="14.25" customHeight="1" x14ac:dyDescent="0.25">
      <c r="B5475" s="103"/>
      <c r="D5475" s="80"/>
      <c r="E5475" s="80"/>
    </row>
    <row r="5476" spans="2:5" ht="14.25" customHeight="1" x14ac:dyDescent="0.25">
      <c r="B5476" s="103"/>
      <c r="D5476" s="80"/>
      <c r="E5476" s="80"/>
    </row>
    <row r="5477" spans="2:5" ht="14.25" customHeight="1" x14ac:dyDescent="0.25">
      <c r="B5477" s="103"/>
      <c r="D5477" s="80"/>
      <c r="E5477" s="80"/>
    </row>
    <row r="5478" spans="2:5" ht="14.25" customHeight="1" x14ac:dyDescent="0.25">
      <c r="B5478" s="103"/>
      <c r="D5478" s="80"/>
      <c r="E5478" s="80"/>
    </row>
    <row r="5479" spans="2:5" ht="14.25" customHeight="1" x14ac:dyDescent="0.25">
      <c r="B5479" s="103"/>
      <c r="D5479" s="80"/>
      <c r="E5479" s="80"/>
    </row>
    <row r="5480" spans="2:5" ht="14.25" customHeight="1" x14ac:dyDescent="0.25">
      <c r="B5480" s="103"/>
      <c r="D5480" s="80"/>
      <c r="E5480" s="80"/>
    </row>
    <row r="5481" spans="2:5" ht="14.25" customHeight="1" x14ac:dyDescent="0.25">
      <c r="B5481" s="103"/>
      <c r="D5481" s="80"/>
      <c r="E5481" s="80"/>
    </row>
    <row r="5482" spans="2:5" ht="14.25" customHeight="1" x14ac:dyDescent="0.25">
      <c r="B5482" s="103"/>
      <c r="D5482" s="80"/>
      <c r="E5482" s="80"/>
    </row>
    <row r="5483" spans="2:5" ht="14.25" customHeight="1" x14ac:dyDescent="0.25">
      <c r="B5483" s="103"/>
      <c r="D5483" s="80"/>
      <c r="E5483" s="80"/>
    </row>
    <row r="5484" spans="2:5" ht="14.25" customHeight="1" x14ac:dyDescent="0.25">
      <c r="B5484" s="103"/>
      <c r="D5484" s="80"/>
      <c r="E5484" s="80"/>
    </row>
    <row r="5485" spans="2:5" ht="14.25" customHeight="1" x14ac:dyDescent="0.25">
      <c r="B5485" s="103"/>
      <c r="D5485" s="80"/>
      <c r="E5485" s="80"/>
    </row>
    <row r="5486" spans="2:5" ht="14.25" customHeight="1" x14ac:dyDescent="0.25">
      <c r="B5486" s="103"/>
      <c r="D5486" s="80"/>
      <c r="E5486" s="80"/>
    </row>
    <row r="5487" spans="2:5" ht="14.25" customHeight="1" x14ac:dyDescent="0.25">
      <c r="B5487" s="103"/>
      <c r="D5487" s="80"/>
      <c r="E5487" s="80"/>
    </row>
    <row r="5488" spans="2:5" ht="14.25" customHeight="1" x14ac:dyDescent="0.25">
      <c r="B5488" s="103"/>
      <c r="D5488" s="80"/>
      <c r="E5488" s="80"/>
    </row>
    <row r="5489" spans="2:5" ht="14.25" customHeight="1" x14ac:dyDescent="0.25">
      <c r="B5489" s="103"/>
      <c r="D5489" s="80"/>
      <c r="E5489" s="80"/>
    </row>
    <row r="5490" spans="2:5" ht="14.25" customHeight="1" x14ac:dyDescent="0.25">
      <c r="B5490" s="103"/>
      <c r="D5490" s="80"/>
      <c r="E5490" s="80"/>
    </row>
    <row r="5491" spans="2:5" ht="14.25" customHeight="1" x14ac:dyDescent="0.25">
      <c r="B5491" s="103"/>
      <c r="D5491" s="80"/>
      <c r="E5491" s="80"/>
    </row>
    <row r="5492" spans="2:5" ht="14.25" customHeight="1" x14ac:dyDescent="0.25">
      <c r="B5492" s="103"/>
      <c r="D5492" s="80"/>
      <c r="E5492" s="80"/>
    </row>
    <row r="5493" spans="2:5" ht="14.25" customHeight="1" x14ac:dyDescent="0.25">
      <c r="B5493" s="103"/>
      <c r="D5493" s="80"/>
      <c r="E5493" s="80"/>
    </row>
    <row r="5494" spans="2:5" ht="14.25" customHeight="1" x14ac:dyDescent="0.25">
      <c r="B5494" s="103"/>
      <c r="D5494" s="80"/>
      <c r="E5494" s="80"/>
    </row>
    <row r="5495" spans="2:5" ht="14.25" customHeight="1" x14ac:dyDescent="0.25">
      <c r="B5495" s="103"/>
      <c r="D5495" s="80"/>
      <c r="E5495" s="80"/>
    </row>
    <row r="5496" spans="2:5" ht="14.25" customHeight="1" x14ac:dyDescent="0.25">
      <c r="B5496" s="103"/>
      <c r="D5496" s="80"/>
      <c r="E5496" s="80"/>
    </row>
    <row r="5497" spans="2:5" ht="14.25" customHeight="1" x14ac:dyDescent="0.25">
      <c r="B5497" s="103"/>
      <c r="D5497" s="80"/>
      <c r="E5497" s="80"/>
    </row>
    <row r="5498" spans="2:5" ht="14.25" customHeight="1" x14ac:dyDescent="0.25">
      <c r="B5498" s="103"/>
      <c r="D5498" s="80"/>
      <c r="E5498" s="80"/>
    </row>
    <row r="5499" spans="2:5" ht="14.25" customHeight="1" x14ac:dyDescent="0.25">
      <c r="B5499" s="103"/>
      <c r="D5499" s="80"/>
      <c r="E5499" s="80"/>
    </row>
    <row r="5500" spans="2:5" ht="14.25" customHeight="1" x14ac:dyDescent="0.25">
      <c r="B5500" s="103"/>
      <c r="D5500" s="80"/>
      <c r="E5500" s="80"/>
    </row>
    <row r="5501" spans="2:5" ht="14.25" customHeight="1" x14ac:dyDescent="0.25">
      <c r="B5501" s="103"/>
      <c r="D5501" s="80"/>
      <c r="E5501" s="80"/>
    </row>
    <row r="5502" spans="2:5" ht="14.25" customHeight="1" x14ac:dyDescent="0.25">
      <c r="B5502" s="103"/>
      <c r="D5502" s="80"/>
      <c r="E5502" s="80"/>
    </row>
    <row r="5503" spans="2:5" ht="14.25" customHeight="1" x14ac:dyDescent="0.25">
      <c r="B5503" s="103"/>
      <c r="D5503" s="80"/>
      <c r="E5503" s="80"/>
    </row>
    <row r="5504" spans="2:5" ht="14.25" customHeight="1" x14ac:dyDescent="0.25">
      <c r="B5504" s="103"/>
      <c r="D5504" s="80"/>
      <c r="E5504" s="80"/>
    </row>
    <row r="5505" spans="2:5" ht="14.25" customHeight="1" x14ac:dyDescent="0.25">
      <c r="B5505" s="103"/>
      <c r="D5505" s="80"/>
      <c r="E5505" s="80"/>
    </row>
    <row r="5506" spans="2:5" ht="14.25" customHeight="1" x14ac:dyDescent="0.25">
      <c r="B5506" s="103"/>
      <c r="D5506" s="80"/>
      <c r="E5506" s="80"/>
    </row>
    <row r="5507" spans="2:5" ht="14.25" customHeight="1" x14ac:dyDescent="0.25">
      <c r="B5507" s="103"/>
      <c r="D5507" s="80"/>
      <c r="E5507" s="80"/>
    </row>
    <row r="5508" spans="2:5" ht="14.25" customHeight="1" x14ac:dyDescent="0.25">
      <c r="B5508" s="103"/>
      <c r="D5508" s="80"/>
      <c r="E5508" s="80"/>
    </row>
    <row r="5509" spans="2:5" ht="14.25" customHeight="1" x14ac:dyDescent="0.25">
      <c r="B5509" s="103"/>
      <c r="D5509" s="80"/>
      <c r="E5509" s="80"/>
    </row>
    <row r="5510" spans="2:5" ht="14.25" customHeight="1" x14ac:dyDescent="0.25">
      <c r="B5510" s="103"/>
      <c r="D5510" s="80"/>
      <c r="E5510" s="80"/>
    </row>
    <row r="5511" spans="2:5" ht="14.25" customHeight="1" x14ac:dyDescent="0.25">
      <c r="B5511" s="103"/>
      <c r="D5511" s="80"/>
      <c r="E5511" s="80"/>
    </row>
    <row r="5512" spans="2:5" ht="14.25" customHeight="1" x14ac:dyDescent="0.25">
      <c r="B5512" s="103"/>
      <c r="D5512" s="80"/>
      <c r="E5512" s="80"/>
    </row>
    <row r="5513" spans="2:5" ht="14.25" customHeight="1" x14ac:dyDescent="0.25">
      <c r="B5513" s="103"/>
      <c r="D5513" s="80"/>
      <c r="E5513" s="80"/>
    </row>
    <row r="5514" spans="2:5" ht="14.25" customHeight="1" x14ac:dyDescent="0.25">
      <c r="B5514" s="103"/>
      <c r="D5514" s="80"/>
      <c r="E5514" s="80"/>
    </row>
    <row r="5515" spans="2:5" ht="14.25" customHeight="1" x14ac:dyDescent="0.25">
      <c r="B5515" s="103"/>
      <c r="D5515" s="80"/>
      <c r="E5515" s="80"/>
    </row>
    <row r="5516" spans="2:5" ht="14.25" customHeight="1" x14ac:dyDescent="0.25">
      <c r="B5516" s="103"/>
      <c r="D5516" s="80"/>
      <c r="E5516" s="80"/>
    </row>
    <row r="5517" spans="2:5" ht="14.25" customHeight="1" x14ac:dyDescent="0.25">
      <c r="B5517" s="103"/>
      <c r="D5517" s="80"/>
      <c r="E5517" s="80"/>
    </row>
    <row r="5518" spans="2:5" ht="14.25" customHeight="1" x14ac:dyDescent="0.25">
      <c r="B5518" s="103"/>
      <c r="D5518" s="80"/>
      <c r="E5518" s="80"/>
    </row>
    <row r="5519" spans="2:5" ht="14.25" customHeight="1" x14ac:dyDescent="0.25">
      <c r="B5519" s="103"/>
      <c r="D5519" s="80"/>
      <c r="E5519" s="80"/>
    </row>
    <row r="5520" spans="2:5" ht="14.25" customHeight="1" x14ac:dyDescent="0.25">
      <c r="B5520" s="103"/>
      <c r="D5520" s="80"/>
      <c r="E5520" s="80"/>
    </row>
    <row r="5521" spans="2:5" ht="14.25" customHeight="1" x14ac:dyDescent="0.25">
      <c r="B5521" s="103"/>
      <c r="D5521" s="80"/>
      <c r="E5521" s="80"/>
    </row>
    <row r="5522" spans="2:5" ht="14.25" customHeight="1" x14ac:dyDescent="0.25">
      <c r="B5522" s="103"/>
      <c r="D5522" s="80"/>
      <c r="E5522" s="80"/>
    </row>
    <row r="5523" spans="2:5" ht="14.25" customHeight="1" x14ac:dyDescent="0.25">
      <c r="B5523" s="103"/>
      <c r="D5523" s="80"/>
      <c r="E5523" s="80"/>
    </row>
    <row r="5524" spans="2:5" ht="14.25" customHeight="1" x14ac:dyDescent="0.25">
      <c r="B5524" s="103"/>
      <c r="D5524" s="80"/>
      <c r="E5524" s="80"/>
    </row>
    <row r="5525" spans="2:5" ht="14.25" customHeight="1" x14ac:dyDescent="0.25">
      <c r="B5525" s="103"/>
      <c r="D5525" s="80"/>
      <c r="E5525" s="80"/>
    </row>
    <row r="5526" spans="2:5" ht="14.25" customHeight="1" x14ac:dyDescent="0.25">
      <c r="B5526" s="103"/>
      <c r="D5526" s="80"/>
      <c r="E5526" s="80"/>
    </row>
    <row r="5527" spans="2:5" ht="14.25" customHeight="1" x14ac:dyDescent="0.25">
      <c r="B5527" s="103"/>
      <c r="D5527" s="80"/>
      <c r="E5527" s="80"/>
    </row>
    <row r="5528" spans="2:5" ht="14.25" customHeight="1" x14ac:dyDescent="0.25">
      <c r="B5528" s="103"/>
      <c r="D5528" s="80"/>
      <c r="E5528" s="80"/>
    </row>
    <row r="5529" spans="2:5" ht="14.25" customHeight="1" x14ac:dyDescent="0.25">
      <c r="B5529" s="103"/>
      <c r="D5529" s="80"/>
      <c r="E5529" s="80"/>
    </row>
    <row r="5530" spans="2:5" ht="14.25" customHeight="1" x14ac:dyDescent="0.25">
      <c r="B5530" s="103"/>
      <c r="D5530" s="80"/>
      <c r="E5530" s="80"/>
    </row>
    <row r="5531" spans="2:5" ht="14.25" customHeight="1" x14ac:dyDescent="0.25">
      <c r="B5531" s="103"/>
      <c r="D5531" s="80"/>
      <c r="E5531" s="80"/>
    </row>
    <row r="5532" spans="2:5" ht="14.25" customHeight="1" x14ac:dyDescent="0.25">
      <c r="B5532" s="103"/>
      <c r="D5532" s="80"/>
      <c r="E5532" s="80"/>
    </row>
    <row r="5533" spans="2:5" ht="14.25" customHeight="1" x14ac:dyDescent="0.25">
      <c r="B5533" s="103"/>
      <c r="D5533" s="80"/>
      <c r="E5533" s="80"/>
    </row>
    <row r="5534" spans="2:5" ht="14.25" customHeight="1" x14ac:dyDescent="0.25">
      <c r="B5534" s="103"/>
      <c r="D5534" s="80"/>
      <c r="E5534" s="80"/>
    </row>
    <row r="5535" spans="2:5" ht="14.25" customHeight="1" x14ac:dyDescent="0.25">
      <c r="B5535" s="103"/>
      <c r="D5535" s="80"/>
      <c r="E5535" s="80"/>
    </row>
    <row r="5536" spans="2:5" ht="14.25" customHeight="1" x14ac:dyDescent="0.25">
      <c r="B5536" s="103"/>
      <c r="D5536" s="80"/>
      <c r="E5536" s="80"/>
    </row>
    <row r="5537" spans="2:5" ht="14.25" customHeight="1" x14ac:dyDescent="0.25">
      <c r="B5537" s="103"/>
      <c r="D5537" s="80"/>
      <c r="E5537" s="80"/>
    </row>
    <row r="5538" spans="2:5" ht="14.25" customHeight="1" x14ac:dyDescent="0.25">
      <c r="B5538" s="103"/>
      <c r="D5538" s="80"/>
      <c r="E5538" s="80"/>
    </row>
    <row r="5539" spans="2:5" ht="14.25" customHeight="1" x14ac:dyDescent="0.25">
      <c r="B5539" s="103"/>
      <c r="D5539" s="80"/>
      <c r="E5539" s="80"/>
    </row>
    <row r="5540" spans="2:5" ht="14.25" customHeight="1" x14ac:dyDescent="0.25">
      <c r="B5540" s="103"/>
      <c r="D5540" s="80"/>
      <c r="E5540" s="80"/>
    </row>
    <row r="5541" spans="2:5" ht="14.25" customHeight="1" x14ac:dyDescent="0.25">
      <c r="B5541" s="103"/>
      <c r="D5541" s="80"/>
      <c r="E5541" s="80"/>
    </row>
    <row r="5542" spans="2:5" ht="14.25" customHeight="1" x14ac:dyDescent="0.25">
      <c r="B5542" s="103"/>
      <c r="D5542" s="80"/>
      <c r="E5542" s="80"/>
    </row>
    <row r="5543" spans="2:5" ht="14.25" customHeight="1" x14ac:dyDescent="0.25">
      <c r="B5543" s="103"/>
      <c r="D5543" s="80"/>
      <c r="E5543" s="80"/>
    </row>
    <row r="5544" spans="2:5" ht="14.25" customHeight="1" x14ac:dyDescent="0.25">
      <c r="B5544" s="103"/>
      <c r="D5544" s="80"/>
      <c r="E5544" s="80"/>
    </row>
    <row r="5545" spans="2:5" ht="14.25" customHeight="1" x14ac:dyDescent="0.25">
      <c r="B5545" s="103"/>
      <c r="D5545" s="80"/>
      <c r="E5545" s="80"/>
    </row>
    <row r="5546" spans="2:5" ht="14.25" customHeight="1" x14ac:dyDescent="0.25">
      <c r="B5546" s="103"/>
      <c r="D5546" s="80"/>
      <c r="E5546" s="80"/>
    </row>
    <row r="5547" spans="2:5" ht="14.25" customHeight="1" x14ac:dyDescent="0.25">
      <c r="B5547" s="103"/>
      <c r="D5547" s="80"/>
      <c r="E5547" s="80"/>
    </row>
    <row r="5548" spans="2:5" ht="14.25" customHeight="1" x14ac:dyDescent="0.25">
      <c r="B5548" s="103"/>
      <c r="D5548" s="80"/>
      <c r="E5548" s="80"/>
    </row>
    <row r="5549" spans="2:5" ht="14.25" customHeight="1" x14ac:dyDescent="0.25">
      <c r="B5549" s="103"/>
      <c r="D5549" s="80"/>
      <c r="E5549" s="80"/>
    </row>
    <row r="5550" spans="2:5" ht="14.25" customHeight="1" x14ac:dyDescent="0.25">
      <c r="B5550" s="103"/>
      <c r="D5550" s="80"/>
      <c r="E5550" s="80"/>
    </row>
    <row r="5551" spans="2:5" ht="14.25" customHeight="1" x14ac:dyDescent="0.25">
      <c r="B5551" s="103"/>
      <c r="D5551" s="80"/>
      <c r="E5551" s="80"/>
    </row>
    <row r="5552" spans="2:5" ht="14.25" customHeight="1" x14ac:dyDescent="0.25">
      <c r="B5552" s="103"/>
      <c r="D5552" s="80"/>
      <c r="E5552" s="80"/>
    </row>
    <row r="5553" spans="2:5" ht="14.25" customHeight="1" x14ac:dyDescent="0.25">
      <c r="B5553" s="103"/>
      <c r="D5553" s="80"/>
      <c r="E5553" s="80"/>
    </row>
    <row r="5554" spans="2:5" ht="14.25" customHeight="1" x14ac:dyDescent="0.25">
      <c r="B5554" s="103"/>
      <c r="D5554" s="80"/>
      <c r="E5554" s="80"/>
    </row>
    <row r="5555" spans="2:5" ht="14.25" customHeight="1" x14ac:dyDescent="0.25">
      <c r="B5555" s="103"/>
      <c r="D5555" s="80"/>
      <c r="E5555" s="80"/>
    </row>
    <row r="5556" spans="2:5" ht="14.25" customHeight="1" x14ac:dyDescent="0.25">
      <c r="B5556" s="103"/>
      <c r="D5556" s="80"/>
      <c r="E5556" s="80"/>
    </row>
    <row r="5557" spans="2:5" ht="14.25" customHeight="1" x14ac:dyDescent="0.25">
      <c r="B5557" s="103"/>
      <c r="D5557" s="80"/>
      <c r="E5557" s="80"/>
    </row>
    <row r="5558" spans="2:5" ht="14.25" customHeight="1" x14ac:dyDescent="0.25">
      <c r="B5558" s="103"/>
      <c r="D5558" s="80"/>
      <c r="E5558" s="80"/>
    </row>
    <row r="5559" spans="2:5" ht="14.25" customHeight="1" x14ac:dyDescent="0.25">
      <c r="B5559" s="103"/>
      <c r="D5559" s="80"/>
      <c r="E5559" s="80"/>
    </row>
    <row r="5560" spans="2:5" ht="14.25" customHeight="1" x14ac:dyDescent="0.25">
      <c r="B5560" s="103"/>
      <c r="D5560" s="80"/>
      <c r="E5560" s="80"/>
    </row>
    <row r="5561" spans="2:5" ht="14.25" customHeight="1" x14ac:dyDescent="0.25">
      <c r="B5561" s="103"/>
      <c r="D5561" s="80"/>
      <c r="E5561" s="80"/>
    </row>
    <row r="5562" spans="2:5" ht="14.25" customHeight="1" x14ac:dyDescent="0.25">
      <c r="B5562" s="103"/>
      <c r="D5562" s="80"/>
      <c r="E5562" s="80"/>
    </row>
    <row r="5563" spans="2:5" ht="14.25" customHeight="1" x14ac:dyDescent="0.25">
      <c r="B5563" s="103"/>
      <c r="D5563" s="80"/>
      <c r="E5563" s="80"/>
    </row>
    <row r="5564" spans="2:5" ht="14.25" customHeight="1" x14ac:dyDescent="0.25">
      <c r="B5564" s="103"/>
      <c r="D5564" s="80"/>
      <c r="E5564" s="80"/>
    </row>
    <row r="5565" spans="2:5" ht="14.25" customHeight="1" x14ac:dyDescent="0.25">
      <c r="B5565" s="103"/>
      <c r="D5565" s="80"/>
      <c r="E5565" s="80"/>
    </row>
    <row r="5566" spans="2:5" ht="14.25" customHeight="1" x14ac:dyDescent="0.25">
      <c r="B5566" s="103"/>
      <c r="D5566" s="80"/>
      <c r="E5566" s="80"/>
    </row>
    <row r="5567" spans="2:5" ht="14.25" customHeight="1" x14ac:dyDescent="0.25">
      <c r="B5567" s="103"/>
      <c r="D5567" s="80"/>
      <c r="E5567" s="80"/>
    </row>
    <row r="5568" spans="2:5" ht="14.25" customHeight="1" x14ac:dyDescent="0.25">
      <c r="B5568" s="103"/>
      <c r="D5568" s="80"/>
      <c r="E5568" s="80"/>
    </row>
    <row r="5569" spans="2:5" ht="14.25" customHeight="1" x14ac:dyDescent="0.25">
      <c r="B5569" s="103"/>
      <c r="D5569" s="80"/>
      <c r="E5569" s="80"/>
    </row>
    <row r="5570" spans="2:5" ht="14.25" customHeight="1" x14ac:dyDescent="0.25">
      <c r="B5570" s="103"/>
      <c r="D5570" s="80"/>
      <c r="E5570" s="80"/>
    </row>
    <row r="5571" spans="2:5" ht="14.25" customHeight="1" x14ac:dyDescent="0.25">
      <c r="B5571" s="103"/>
      <c r="D5571" s="80"/>
      <c r="E5571" s="80"/>
    </row>
    <row r="5572" spans="2:5" ht="14.25" customHeight="1" x14ac:dyDescent="0.25">
      <c r="B5572" s="103"/>
      <c r="D5572" s="80"/>
      <c r="E5572" s="80"/>
    </row>
    <row r="5573" spans="2:5" ht="14.25" customHeight="1" x14ac:dyDescent="0.25">
      <c r="B5573" s="103"/>
      <c r="D5573" s="80"/>
      <c r="E5573" s="80"/>
    </row>
    <row r="5574" spans="2:5" ht="14.25" customHeight="1" x14ac:dyDescent="0.25">
      <c r="B5574" s="103"/>
      <c r="D5574" s="80"/>
      <c r="E5574" s="80"/>
    </row>
    <row r="5575" spans="2:5" ht="14.25" customHeight="1" x14ac:dyDescent="0.25">
      <c r="B5575" s="103"/>
      <c r="D5575" s="80"/>
      <c r="E5575" s="80"/>
    </row>
    <row r="5576" spans="2:5" ht="14.25" customHeight="1" x14ac:dyDescent="0.25">
      <c r="B5576" s="103"/>
      <c r="D5576" s="80"/>
      <c r="E5576" s="80"/>
    </row>
    <row r="5577" spans="2:5" ht="14.25" customHeight="1" x14ac:dyDescent="0.25">
      <c r="B5577" s="103"/>
      <c r="D5577" s="80"/>
      <c r="E5577" s="80"/>
    </row>
    <row r="5578" spans="2:5" ht="14.25" customHeight="1" x14ac:dyDescent="0.25">
      <c r="B5578" s="103"/>
      <c r="D5578" s="80"/>
      <c r="E5578" s="80"/>
    </row>
    <row r="5579" spans="2:5" ht="14.25" customHeight="1" x14ac:dyDescent="0.25">
      <c r="B5579" s="103"/>
      <c r="D5579" s="80"/>
      <c r="E5579" s="80"/>
    </row>
    <row r="5580" spans="2:5" ht="14.25" customHeight="1" x14ac:dyDescent="0.25">
      <c r="B5580" s="103"/>
      <c r="D5580" s="80"/>
      <c r="E5580" s="80"/>
    </row>
    <row r="5581" spans="2:5" ht="14.25" customHeight="1" x14ac:dyDescent="0.25">
      <c r="B5581" s="103"/>
      <c r="D5581" s="80"/>
      <c r="E5581" s="80"/>
    </row>
    <row r="5582" spans="2:5" ht="14.25" customHeight="1" x14ac:dyDescent="0.25">
      <c r="B5582" s="103"/>
      <c r="D5582" s="80"/>
      <c r="E5582" s="80"/>
    </row>
    <row r="5583" spans="2:5" ht="14.25" customHeight="1" x14ac:dyDescent="0.25">
      <c r="B5583" s="103"/>
      <c r="D5583" s="80"/>
      <c r="E5583" s="80"/>
    </row>
    <row r="5584" spans="2:5" ht="14.25" customHeight="1" x14ac:dyDescent="0.25">
      <c r="B5584" s="103"/>
      <c r="D5584" s="80"/>
      <c r="E5584" s="80"/>
    </row>
    <row r="5585" spans="2:5" ht="14.25" customHeight="1" x14ac:dyDescent="0.25">
      <c r="B5585" s="103"/>
      <c r="D5585" s="80"/>
      <c r="E5585" s="80"/>
    </row>
    <row r="5586" spans="2:5" ht="14.25" customHeight="1" x14ac:dyDescent="0.25">
      <c r="B5586" s="103"/>
      <c r="D5586" s="80"/>
      <c r="E5586" s="80"/>
    </row>
    <row r="5587" spans="2:5" ht="14.25" customHeight="1" x14ac:dyDescent="0.25">
      <c r="B5587" s="103"/>
      <c r="D5587" s="80"/>
      <c r="E5587" s="80"/>
    </row>
    <row r="5588" spans="2:5" ht="14.25" customHeight="1" x14ac:dyDescent="0.25">
      <c r="B5588" s="103"/>
      <c r="D5588" s="80"/>
      <c r="E5588" s="80"/>
    </row>
    <row r="5589" spans="2:5" ht="14.25" customHeight="1" x14ac:dyDescent="0.25">
      <c r="B5589" s="103"/>
      <c r="D5589" s="80"/>
      <c r="E5589" s="80"/>
    </row>
    <row r="5590" spans="2:5" ht="14.25" customHeight="1" x14ac:dyDescent="0.25">
      <c r="B5590" s="103"/>
      <c r="D5590" s="80"/>
      <c r="E5590" s="80"/>
    </row>
    <row r="5591" spans="2:5" ht="14.25" customHeight="1" x14ac:dyDescent="0.25">
      <c r="B5591" s="103"/>
      <c r="D5591" s="80"/>
      <c r="E5591" s="80"/>
    </row>
    <row r="5592" spans="2:5" ht="14.25" customHeight="1" x14ac:dyDescent="0.25">
      <c r="B5592" s="103"/>
      <c r="D5592" s="80"/>
      <c r="E5592" s="80"/>
    </row>
    <row r="5593" spans="2:5" ht="14.25" customHeight="1" x14ac:dyDescent="0.25">
      <c r="B5593" s="103"/>
      <c r="D5593" s="80"/>
      <c r="E5593" s="80"/>
    </row>
    <row r="5594" spans="2:5" ht="14.25" customHeight="1" x14ac:dyDescent="0.25">
      <c r="B5594" s="103"/>
      <c r="D5594" s="80"/>
      <c r="E5594" s="80"/>
    </row>
    <row r="5595" spans="2:5" ht="14.25" customHeight="1" x14ac:dyDescent="0.25">
      <c r="B5595" s="103"/>
      <c r="D5595" s="80"/>
      <c r="E5595" s="80"/>
    </row>
    <row r="5596" spans="2:5" ht="14.25" customHeight="1" x14ac:dyDescent="0.25">
      <c r="B5596" s="103"/>
      <c r="D5596" s="80"/>
      <c r="E5596" s="80"/>
    </row>
    <row r="5597" spans="2:5" ht="14.25" customHeight="1" x14ac:dyDescent="0.25">
      <c r="B5597" s="103"/>
      <c r="D5597" s="80"/>
      <c r="E5597" s="80"/>
    </row>
    <row r="5598" spans="2:5" ht="14.25" customHeight="1" x14ac:dyDescent="0.25">
      <c r="B5598" s="103"/>
      <c r="D5598" s="80"/>
      <c r="E5598" s="80"/>
    </row>
    <row r="5599" spans="2:5" ht="14.25" customHeight="1" x14ac:dyDescent="0.25">
      <c r="B5599" s="103"/>
      <c r="D5599" s="80"/>
      <c r="E5599" s="80"/>
    </row>
    <row r="5600" spans="2:5" ht="14.25" customHeight="1" x14ac:dyDescent="0.25">
      <c r="B5600" s="103"/>
      <c r="D5600" s="80"/>
      <c r="E5600" s="80"/>
    </row>
    <row r="5601" spans="2:5" ht="14.25" customHeight="1" x14ac:dyDescent="0.25">
      <c r="B5601" s="103"/>
      <c r="D5601" s="80"/>
      <c r="E5601" s="80"/>
    </row>
    <row r="5602" spans="2:5" ht="14.25" customHeight="1" x14ac:dyDescent="0.25">
      <c r="B5602" s="103"/>
      <c r="D5602" s="80"/>
      <c r="E5602" s="80"/>
    </row>
    <row r="5603" spans="2:5" ht="14.25" customHeight="1" x14ac:dyDescent="0.25">
      <c r="B5603" s="103"/>
      <c r="D5603" s="80"/>
      <c r="E5603" s="80"/>
    </row>
    <row r="5604" spans="2:5" ht="14.25" customHeight="1" x14ac:dyDescent="0.25">
      <c r="B5604" s="103"/>
      <c r="D5604" s="80"/>
      <c r="E5604" s="80"/>
    </row>
    <row r="5605" spans="2:5" ht="14.25" customHeight="1" x14ac:dyDescent="0.25">
      <c r="B5605" s="103"/>
      <c r="D5605" s="80"/>
      <c r="E5605" s="80"/>
    </row>
    <row r="5606" spans="2:5" ht="14.25" customHeight="1" x14ac:dyDescent="0.25">
      <c r="B5606" s="103"/>
      <c r="D5606" s="80"/>
      <c r="E5606" s="80"/>
    </row>
    <row r="5607" spans="2:5" ht="14.25" customHeight="1" x14ac:dyDescent="0.25">
      <c r="B5607" s="103"/>
      <c r="D5607" s="80"/>
      <c r="E5607" s="80"/>
    </row>
    <row r="5608" spans="2:5" ht="14.25" customHeight="1" x14ac:dyDescent="0.25">
      <c r="B5608" s="103"/>
      <c r="D5608" s="80"/>
      <c r="E5608" s="80"/>
    </row>
    <row r="5609" spans="2:5" ht="14.25" customHeight="1" x14ac:dyDescent="0.25">
      <c r="B5609" s="103"/>
      <c r="D5609" s="80"/>
      <c r="E5609" s="80"/>
    </row>
    <row r="5610" spans="2:5" ht="14.25" customHeight="1" x14ac:dyDescent="0.25">
      <c r="B5610" s="103"/>
      <c r="D5610" s="80"/>
      <c r="E5610" s="80"/>
    </row>
    <row r="5611" spans="2:5" ht="14.25" customHeight="1" x14ac:dyDescent="0.25">
      <c r="B5611" s="103"/>
      <c r="D5611" s="80"/>
      <c r="E5611" s="80"/>
    </row>
    <row r="5612" spans="2:5" ht="14.25" customHeight="1" x14ac:dyDescent="0.25">
      <c r="B5612" s="103"/>
      <c r="D5612" s="80"/>
      <c r="E5612" s="80"/>
    </row>
    <row r="5613" spans="2:5" ht="14.25" customHeight="1" x14ac:dyDescent="0.25">
      <c r="B5613" s="103"/>
      <c r="D5613" s="80"/>
      <c r="E5613" s="80"/>
    </row>
    <row r="5614" spans="2:5" ht="14.25" customHeight="1" x14ac:dyDescent="0.25">
      <c r="B5614" s="103"/>
      <c r="D5614" s="80"/>
      <c r="E5614" s="80"/>
    </row>
    <row r="5615" spans="2:5" ht="14.25" customHeight="1" x14ac:dyDescent="0.25">
      <c r="B5615" s="103"/>
      <c r="D5615" s="80"/>
      <c r="E5615" s="80"/>
    </row>
    <row r="5616" spans="2:5" ht="14.25" customHeight="1" x14ac:dyDescent="0.25">
      <c r="B5616" s="103"/>
      <c r="D5616" s="80"/>
      <c r="E5616" s="80"/>
    </row>
    <row r="5617" spans="2:5" ht="14.25" customHeight="1" x14ac:dyDescent="0.25">
      <c r="B5617" s="103"/>
      <c r="D5617" s="80"/>
      <c r="E5617" s="80"/>
    </row>
    <row r="5618" spans="2:5" ht="14.25" customHeight="1" x14ac:dyDescent="0.25">
      <c r="B5618" s="103"/>
      <c r="D5618" s="80"/>
      <c r="E5618" s="80"/>
    </row>
    <row r="5619" spans="2:5" ht="14.25" customHeight="1" x14ac:dyDescent="0.25">
      <c r="B5619" s="103"/>
      <c r="D5619" s="80"/>
      <c r="E5619" s="80"/>
    </row>
    <row r="5620" spans="2:5" ht="14.25" customHeight="1" x14ac:dyDescent="0.25">
      <c r="B5620" s="103"/>
      <c r="D5620" s="80"/>
      <c r="E5620" s="80"/>
    </row>
    <row r="5621" spans="2:5" ht="14.25" customHeight="1" x14ac:dyDescent="0.25">
      <c r="B5621" s="103"/>
      <c r="D5621" s="80"/>
      <c r="E5621" s="80"/>
    </row>
    <row r="5622" spans="2:5" ht="14.25" customHeight="1" x14ac:dyDescent="0.25">
      <c r="B5622" s="103"/>
      <c r="D5622" s="80"/>
      <c r="E5622" s="80"/>
    </row>
    <row r="5623" spans="2:5" ht="14.25" customHeight="1" x14ac:dyDescent="0.25">
      <c r="B5623" s="103"/>
      <c r="D5623" s="80"/>
      <c r="E5623" s="80"/>
    </row>
    <row r="5624" spans="2:5" ht="14.25" customHeight="1" x14ac:dyDescent="0.25">
      <c r="B5624" s="103"/>
      <c r="D5624" s="80"/>
      <c r="E5624" s="80"/>
    </row>
    <row r="5625" spans="2:5" ht="14.25" customHeight="1" x14ac:dyDescent="0.25">
      <c r="B5625" s="103"/>
      <c r="D5625" s="80"/>
      <c r="E5625" s="80"/>
    </row>
    <row r="5626" spans="2:5" ht="14.25" customHeight="1" x14ac:dyDescent="0.25">
      <c r="B5626" s="103"/>
      <c r="D5626" s="80"/>
      <c r="E5626" s="80"/>
    </row>
    <row r="5627" spans="2:5" ht="14.25" customHeight="1" x14ac:dyDescent="0.25">
      <c r="B5627" s="103"/>
      <c r="D5627" s="80"/>
      <c r="E5627" s="80"/>
    </row>
    <row r="5628" spans="2:5" ht="14.25" customHeight="1" x14ac:dyDescent="0.25">
      <c r="B5628" s="103"/>
      <c r="D5628" s="80"/>
      <c r="E5628" s="80"/>
    </row>
    <row r="5629" spans="2:5" ht="14.25" customHeight="1" x14ac:dyDescent="0.25">
      <c r="B5629" s="103"/>
      <c r="D5629" s="80"/>
      <c r="E5629" s="80"/>
    </row>
    <row r="5630" spans="2:5" ht="14.25" customHeight="1" x14ac:dyDescent="0.25">
      <c r="B5630" s="103"/>
      <c r="D5630" s="80"/>
      <c r="E5630" s="80"/>
    </row>
    <row r="5631" spans="2:5" ht="14.25" customHeight="1" x14ac:dyDescent="0.25">
      <c r="B5631" s="103"/>
      <c r="D5631" s="80"/>
      <c r="E5631" s="80"/>
    </row>
    <row r="5632" spans="2:5" ht="14.25" customHeight="1" x14ac:dyDescent="0.25">
      <c r="B5632" s="103"/>
      <c r="D5632" s="80"/>
      <c r="E5632" s="80"/>
    </row>
    <row r="5633" spans="2:5" ht="14.25" customHeight="1" x14ac:dyDescent="0.25">
      <c r="B5633" s="103"/>
      <c r="D5633" s="80"/>
      <c r="E5633" s="80"/>
    </row>
    <row r="5634" spans="2:5" ht="14.25" customHeight="1" x14ac:dyDescent="0.25">
      <c r="B5634" s="103"/>
      <c r="D5634" s="80"/>
      <c r="E5634" s="80"/>
    </row>
    <row r="5635" spans="2:5" ht="14.25" customHeight="1" x14ac:dyDescent="0.25">
      <c r="B5635" s="103"/>
      <c r="D5635" s="80"/>
      <c r="E5635" s="80"/>
    </row>
    <row r="5636" spans="2:5" ht="14.25" customHeight="1" x14ac:dyDescent="0.25">
      <c r="B5636" s="103"/>
      <c r="D5636" s="80"/>
      <c r="E5636" s="80"/>
    </row>
    <row r="5637" spans="2:5" ht="14.25" customHeight="1" x14ac:dyDescent="0.25">
      <c r="B5637" s="103"/>
      <c r="D5637" s="80"/>
      <c r="E5637" s="80"/>
    </row>
    <row r="5638" spans="2:5" ht="14.25" customHeight="1" x14ac:dyDescent="0.25">
      <c r="B5638" s="103"/>
      <c r="D5638" s="80"/>
      <c r="E5638" s="80"/>
    </row>
    <row r="5639" spans="2:5" ht="14.25" customHeight="1" x14ac:dyDescent="0.25">
      <c r="B5639" s="103"/>
      <c r="D5639" s="80"/>
      <c r="E5639" s="80"/>
    </row>
    <row r="5640" spans="2:5" ht="14.25" customHeight="1" x14ac:dyDescent="0.25">
      <c r="B5640" s="103"/>
      <c r="D5640" s="80"/>
      <c r="E5640" s="80"/>
    </row>
    <row r="5641" spans="2:5" ht="14.25" customHeight="1" x14ac:dyDescent="0.25">
      <c r="B5641" s="103"/>
      <c r="D5641" s="80"/>
      <c r="E5641" s="80"/>
    </row>
    <row r="5642" spans="2:5" ht="14.25" customHeight="1" x14ac:dyDescent="0.25">
      <c r="B5642" s="103"/>
      <c r="D5642" s="80"/>
      <c r="E5642" s="80"/>
    </row>
    <row r="5643" spans="2:5" ht="14.25" customHeight="1" x14ac:dyDescent="0.25">
      <c r="B5643" s="103"/>
      <c r="D5643" s="80"/>
      <c r="E5643" s="80"/>
    </row>
    <row r="5644" spans="2:5" ht="14.25" customHeight="1" x14ac:dyDescent="0.25">
      <c r="B5644" s="103"/>
      <c r="D5644" s="80"/>
      <c r="E5644" s="80"/>
    </row>
    <row r="5645" spans="2:5" ht="14.25" customHeight="1" x14ac:dyDescent="0.25">
      <c r="B5645" s="103"/>
      <c r="D5645" s="80"/>
      <c r="E5645" s="80"/>
    </row>
    <row r="5646" spans="2:5" ht="14.25" customHeight="1" x14ac:dyDescent="0.25">
      <c r="B5646" s="103"/>
      <c r="D5646" s="80"/>
      <c r="E5646" s="80"/>
    </row>
    <row r="5647" spans="2:5" ht="14.25" customHeight="1" x14ac:dyDescent="0.25">
      <c r="B5647" s="103"/>
      <c r="D5647" s="80"/>
      <c r="E5647" s="80"/>
    </row>
    <row r="5648" spans="2:5" ht="14.25" customHeight="1" x14ac:dyDescent="0.25">
      <c r="B5648" s="103"/>
      <c r="D5648" s="80"/>
      <c r="E5648" s="80"/>
    </row>
    <row r="5649" spans="2:5" ht="14.25" customHeight="1" x14ac:dyDescent="0.25">
      <c r="B5649" s="103"/>
      <c r="D5649" s="80"/>
      <c r="E5649" s="80"/>
    </row>
    <row r="5650" spans="2:5" ht="14.25" customHeight="1" x14ac:dyDescent="0.25">
      <c r="B5650" s="103"/>
      <c r="D5650" s="80"/>
      <c r="E5650" s="80"/>
    </row>
    <row r="5651" spans="2:5" ht="14.25" customHeight="1" x14ac:dyDescent="0.25">
      <c r="B5651" s="103"/>
      <c r="D5651" s="80"/>
      <c r="E5651" s="80"/>
    </row>
    <row r="5652" spans="2:5" ht="14.25" customHeight="1" x14ac:dyDescent="0.25">
      <c r="B5652" s="103"/>
      <c r="D5652" s="80"/>
      <c r="E5652" s="80"/>
    </row>
    <row r="5653" spans="2:5" ht="14.25" customHeight="1" x14ac:dyDescent="0.25">
      <c r="B5653" s="103"/>
      <c r="D5653" s="80"/>
      <c r="E5653" s="80"/>
    </row>
    <row r="5654" spans="2:5" ht="14.25" customHeight="1" x14ac:dyDescent="0.25">
      <c r="B5654" s="103"/>
      <c r="D5654" s="80"/>
      <c r="E5654" s="80"/>
    </row>
    <row r="5655" spans="2:5" ht="14.25" customHeight="1" x14ac:dyDescent="0.25">
      <c r="B5655" s="103"/>
      <c r="D5655" s="80"/>
      <c r="E5655" s="80"/>
    </row>
    <row r="5656" spans="2:5" ht="14.25" customHeight="1" x14ac:dyDescent="0.25">
      <c r="B5656" s="103"/>
      <c r="D5656" s="80"/>
      <c r="E5656" s="80"/>
    </row>
    <row r="5657" spans="2:5" ht="14.25" customHeight="1" x14ac:dyDescent="0.25">
      <c r="B5657" s="103"/>
      <c r="D5657" s="80"/>
      <c r="E5657" s="80"/>
    </row>
    <row r="5658" spans="2:5" ht="14.25" customHeight="1" x14ac:dyDescent="0.25">
      <c r="B5658" s="103"/>
      <c r="D5658" s="80"/>
      <c r="E5658" s="80"/>
    </row>
    <row r="5659" spans="2:5" ht="14.25" customHeight="1" x14ac:dyDescent="0.25">
      <c r="B5659" s="103"/>
      <c r="D5659" s="80"/>
      <c r="E5659" s="80"/>
    </row>
    <row r="5660" spans="2:5" ht="14.25" customHeight="1" x14ac:dyDescent="0.25">
      <c r="B5660" s="103"/>
      <c r="D5660" s="80"/>
      <c r="E5660" s="80"/>
    </row>
    <row r="5661" spans="2:5" ht="14.25" customHeight="1" x14ac:dyDescent="0.25">
      <c r="B5661" s="103"/>
      <c r="D5661" s="80"/>
      <c r="E5661" s="80"/>
    </row>
    <row r="5662" spans="2:5" ht="14.25" customHeight="1" x14ac:dyDescent="0.25">
      <c r="B5662" s="103"/>
      <c r="D5662" s="80"/>
      <c r="E5662" s="80"/>
    </row>
    <row r="5663" spans="2:5" ht="14.25" customHeight="1" x14ac:dyDescent="0.25">
      <c r="B5663" s="103"/>
      <c r="D5663" s="80"/>
      <c r="E5663" s="80"/>
    </row>
    <row r="5664" spans="2:5" ht="14.25" customHeight="1" x14ac:dyDescent="0.25">
      <c r="B5664" s="103"/>
      <c r="D5664" s="80"/>
      <c r="E5664" s="80"/>
    </row>
    <row r="5665" spans="2:5" ht="14.25" customHeight="1" x14ac:dyDescent="0.25">
      <c r="B5665" s="103"/>
      <c r="D5665" s="80"/>
      <c r="E5665" s="80"/>
    </row>
    <row r="5666" spans="2:5" ht="14.25" customHeight="1" x14ac:dyDescent="0.25">
      <c r="B5666" s="103"/>
      <c r="D5666" s="80"/>
      <c r="E5666" s="80"/>
    </row>
    <row r="5667" spans="2:5" ht="14.25" customHeight="1" x14ac:dyDescent="0.25">
      <c r="B5667" s="103"/>
      <c r="D5667" s="80"/>
      <c r="E5667" s="80"/>
    </row>
    <row r="5668" spans="2:5" ht="14.25" customHeight="1" x14ac:dyDescent="0.25">
      <c r="B5668" s="103"/>
      <c r="D5668" s="80"/>
      <c r="E5668" s="80"/>
    </row>
    <row r="5669" spans="2:5" ht="14.25" customHeight="1" x14ac:dyDescent="0.25">
      <c r="B5669" s="103"/>
      <c r="D5669" s="80"/>
      <c r="E5669" s="80"/>
    </row>
    <row r="5670" spans="2:5" ht="14.25" customHeight="1" x14ac:dyDescent="0.25">
      <c r="B5670" s="103"/>
      <c r="D5670" s="80"/>
      <c r="E5670" s="80"/>
    </row>
    <row r="5671" spans="2:5" ht="14.25" customHeight="1" x14ac:dyDescent="0.25">
      <c r="B5671" s="103"/>
      <c r="D5671" s="80"/>
      <c r="E5671" s="80"/>
    </row>
    <row r="5672" spans="2:5" ht="14.25" customHeight="1" x14ac:dyDescent="0.25">
      <c r="B5672" s="103"/>
      <c r="D5672" s="80"/>
      <c r="E5672" s="80"/>
    </row>
    <row r="5673" spans="2:5" ht="14.25" customHeight="1" x14ac:dyDescent="0.25">
      <c r="B5673" s="103"/>
      <c r="D5673" s="80"/>
      <c r="E5673" s="80"/>
    </row>
    <row r="5674" spans="2:5" ht="14.25" customHeight="1" x14ac:dyDescent="0.25">
      <c r="B5674" s="103"/>
      <c r="D5674" s="80"/>
      <c r="E5674" s="80"/>
    </row>
    <row r="5675" spans="2:5" ht="14.25" customHeight="1" x14ac:dyDescent="0.25">
      <c r="B5675" s="103"/>
      <c r="D5675" s="80"/>
      <c r="E5675" s="80"/>
    </row>
    <row r="5676" spans="2:5" ht="14.25" customHeight="1" x14ac:dyDescent="0.25">
      <c r="B5676" s="103"/>
      <c r="D5676" s="80"/>
      <c r="E5676" s="80"/>
    </row>
    <row r="5677" spans="2:5" ht="14.25" customHeight="1" x14ac:dyDescent="0.25">
      <c r="B5677" s="103"/>
      <c r="D5677" s="80"/>
      <c r="E5677" s="80"/>
    </row>
    <row r="5678" spans="2:5" ht="14.25" customHeight="1" x14ac:dyDescent="0.25">
      <c r="B5678" s="103"/>
      <c r="D5678" s="80"/>
      <c r="E5678" s="80"/>
    </row>
    <row r="5679" spans="2:5" ht="14.25" customHeight="1" x14ac:dyDescent="0.25">
      <c r="B5679" s="103"/>
      <c r="D5679" s="80"/>
      <c r="E5679" s="80"/>
    </row>
    <row r="5680" spans="2:5" ht="14.25" customHeight="1" x14ac:dyDescent="0.25">
      <c r="B5680" s="103"/>
      <c r="D5680" s="80"/>
      <c r="E5680" s="80"/>
    </row>
    <row r="5681" spans="2:5" ht="14.25" customHeight="1" x14ac:dyDescent="0.25">
      <c r="B5681" s="103"/>
      <c r="D5681" s="80"/>
      <c r="E5681" s="80"/>
    </row>
    <row r="5682" spans="2:5" ht="14.25" customHeight="1" x14ac:dyDescent="0.25">
      <c r="B5682" s="103"/>
      <c r="D5682" s="80"/>
      <c r="E5682" s="80"/>
    </row>
    <row r="5683" spans="2:5" ht="14.25" customHeight="1" x14ac:dyDescent="0.25">
      <c r="B5683" s="103"/>
      <c r="D5683" s="80"/>
      <c r="E5683" s="80"/>
    </row>
    <row r="5684" spans="2:5" ht="14.25" customHeight="1" x14ac:dyDescent="0.25">
      <c r="B5684" s="103"/>
      <c r="D5684" s="80"/>
      <c r="E5684" s="80"/>
    </row>
    <row r="5685" spans="2:5" ht="14.25" customHeight="1" x14ac:dyDescent="0.25">
      <c r="B5685" s="103"/>
      <c r="D5685" s="80"/>
      <c r="E5685" s="80"/>
    </row>
    <row r="5686" spans="2:5" ht="14.25" customHeight="1" x14ac:dyDescent="0.25">
      <c r="B5686" s="103"/>
      <c r="D5686" s="80"/>
      <c r="E5686" s="80"/>
    </row>
    <row r="5687" spans="2:5" ht="14.25" customHeight="1" x14ac:dyDescent="0.25">
      <c r="B5687" s="103"/>
      <c r="D5687" s="80"/>
      <c r="E5687" s="80"/>
    </row>
    <row r="5688" spans="2:5" ht="14.25" customHeight="1" x14ac:dyDescent="0.25">
      <c r="B5688" s="103"/>
      <c r="D5688" s="80"/>
      <c r="E5688" s="80"/>
    </row>
    <row r="5689" spans="2:5" ht="14.25" customHeight="1" x14ac:dyDescent="0.25">
      <c r="B5689" s="103"/>
      <c r="D5689" s="80"/>
      <c r="E5689" s="80"/>
    </row>
    <row r="5690" spans="2:5" ht="14.25" customHeight="1" x14ac:dyDescent="0.25">
      <c r="B5690" s="103"/>
      <c r="D5690" s="80"/>
      <c r="E5690" s="80"/>
    </row>
    <row r="5691" spans="2:5" ht="14.25" customHeight="1" x14ac:dyDescent="0.25">
      <c r="B5691" s="103"/>
      <c r="D5691" s="80"/>
      <c r="E5691" s="80"/>
    </row>
    <row r="5692" spans="2:5" ht="14.25" customHeight="1" x14ac:dyDescent="0.25">
      <c r="B5692" s="103"/>
      <c r="D5692" s="80"/>
      <c r="E5692" s="80"/>
    </row>
    <row r="5693" spans="2:5" ht="14.25" customHeight="1" x14ac:dyDescent="0.25">
      <c r="B5693" s="103"/>
      <c r="D5693" s="80"/>
      <c r="E5693" s="80"/>
    </row>
    <row r="5694" spans="2:5" ht="14.25" customHeight="1" x14ac:dyDescent="0.25">
      <c r="B5694" s="103"/>
      <c r="D5694" s="80"/>
      <c r="E5694" s="80"/>
    </row>
    <row r="5695" spans="2:5" ht="14.25" customHeight="1" x14ac:dyDescent="0.25">
      <c r="B5695" s="103"/>
      <c r="D5695" s="80"/>
      <c r="E5695" s="80"/>
    </row>
    <row r="5696" spans="2:5" ht="14.25" customHeight="1" x14ac:dyDescent="0.25">
      <c r="B5696" s="103"/>
      <c r="D5696" s="80"/>
      <c r="E5696" s="80"/>
    </row>
    <row r="5697" spans="2:5" ht="14.25" customHeight="1" x14ac:dyDescent="0.25">
      <c r="B5697" s="103"/>
      <c r="D5697" s="80"/>
      <c r="E5697" s="80"/>
    </row>
    <row r="5698" spans="2:5" ht="14.25" customHeight="1" x14ac:dyDescent="0.25">
      <c r="B5698" s="103"/>
      <c r="D5698" s="80"/>
      <c r="E5698" s="80"/>
    </row>
    <row r="5699" spans="2:5" ht="14.25" customHeight="1" x14ac:dyDescent="0.25">
      <c r="B5699" s="103"/>
      <c r="D5699" s="80"/>
      <c r="E5699" s="80"/>
    </row>
    <row r="5700" spans="2:5" ht="14.25" customHeight="1" x14ac:dyDescent="0.25">
      <c r="B5700" s="103"/>
      <c r="D5700" s="80"/>
      <c r="E5700" s="80"/>
    </row>
    <row r="5701" spans="2:5" ht="14.25" customHeight="1" x14ac:dyDescent="0.25">
      <c r="B5701" s="103"/>
      <c r="D5701" s="80"/>
      <c r="E5701" s="80"/>
    </row>
    <row r="5702" spans="2:5" ht="14.25" customHeight="1" x14ac:dyDescent="0.25">
      <c r="B5702" s="103"/>
      <c r="D5702" s="80"/>
      <c r="E5702" s="80"/>
    </row>
    <row r="5703" spans="2:5" ht="14.25" customHeight="1" x14ac:dyDescent="0.25">
      <c r="B5703" s="103"/>
      <c r="D5703" s="80"/>
      <c r="E5703" s="80"/>
    </row>
    <row r="5704" spans="2:5" ht="14.25" customHeight="1" x14ac:dyDescent="0.25">
      <c r="B5704" s="103"/>
      <c r="D5704" s="80"/>
      <c r="E5704" s="80"/>
    </row>
    <row r="5705" spans="2:5" ht="14.25" customHeight="1" x14ac:dyDescent="0.25">
      <c r="B5705" s="103"/>
      <c r="D5705" s="80"/>
      <c r="E5705" s="80"/>
    </row>
    <row r="5706" spans="2:5" ht="14.25" customHeight="1" x14ac:dyDescent="0.25">
      <c r="B5706" s="103"/>
      <c r="D5706" s="80"/>
      <c r="E5706" s="80"/>
    </row>
    <row r="5707" spans="2:5" ht="14.25" customHeight="1" x14ac:dyDescent="0.25">
      <c r="B5707" s="103"/>
      <c r="D5707" s="80"/>
      <c r="E5707" s="80"/>
    </row>
    <row r="5708" spans="2:5" ht="14.25" customHeight="1" x14ac:dyDescent="0.25">
      <c r="B5708" s="103"/>
      <c r="D5708" s="80"/>
      <c r="E5708" s="80"/>
    </row>
    <row r="5709" spans="2:5" ht="14.25" customHeight="1" x14ac:dyDescent="0.25">
      <c r="B5709" s="103"/>
      <c r="D5709" s="80"/>
      <c r="E5709" s="80"/>
    </row>
    <row r="5710" spans="2:5" ht="14.25" customHeight="1" x14ac:dyDescent="0.25">
      <c r="B5710" s="103"/>
      <c r="D5710" s="80"/>
      <c r="E5710" s="80"/>
    </row>
    <row r="5711" spans="2:5" ht="14.25" customHeight="1" x14ac:dyDescent="0.25">
      <c r="B5711" s="103"/>
      <c r="D5711" s="80"/>
      <c r="E5711" s="80"/>
    </row>
    <row r="5712" spans="2:5" ht="14.25" customHeight="1" x14ac:dyDescent="0.25">
      <c r="B5712" s="103"/>
      <c r="D5712" s="80"/>
      <c r="E5712" s="80"/>
    </row>
    <row r="5713" spans="2:5" ht="14.25" customHeight="1" x14ac:dyDescent="0.25">
      <c r="B5713" s="103"/>
      <c r="D5713" s="80"/>
      <c r="E5713" s="80"/>
    </row>
    <row r="5714" spans="2:5" ht="14.25" customHeight="1" x14ac:dyDescent="0.25">
      <c r="B5714" s="103"/>
      <c r="D5714" s="80"/>
      <c r="E5714" s="80"/>
    </row>
    <row r="5715" spans="2:5" ht="14.25" customHeight="1" x14ac:dyDescent="0.25">
      <c r="B5715" s="103"/>
      <c r="D5715" s="80"/>
      <c r="E5715" s="80"/>
    </row>
    <row r="5716" spans="2:5" ht="14.25" customHeight="1" x14ac:dyDescent="0.25">
      <c r="B5716" s="103"/>
      <c r="D5716" s="80"/>
      <c r="E5716" s="80"/>
    </row>
    <row r="5717" spans="2:5" ht="14.25" customHeight="1" x14ac:dyDescent="0.25">
      <c r="B5717" s="103"/>
      <c r="D5717" s="80"/>
      <c r="E5717" s="80"/>
    </row>
    <row r="5718" spans="2:5" ht="14.25" customHeight="1" x14ac:dyDescent="0.25">
      <c r="B5718" s="103"/>
      <c r="D5718" s="80"/>
      <c r="E5718" s="80"/>
    </row>
    <row r="5719" spans="2:5" ht="14.25" customHeight="1" x14ac:dyDescent="0.25">
      <c r="B5719" s="103"/>
      <c r="D5719" s="80"/>
      <c r="E5719" s="80"/>
    </row>
    <row r="5720" spans="2:5" ht="14.25" customHeight="1" x14ac:dyDescent="0.25">
      <c r="B5720" s="103"/>
      <c r="D5720" s="80"/>
      <c r="E5720" s="80"/>
    </row>
    <row r="5721" spans="2:5" ht="14.25" customHeight="1" x14ac:dyDescent="0.25">
      <c r="B5721" s="103"/>
      <c r="D5721" s="80"/>
      <c r="E5721" s="80"/>
    </row>
    <row r="5722" spans="2:5" ht="14.25" customHeight="1" x14ac:dyDescent="0.25">
      <c r="B5722" s="103"/>
      <c r="D5722" s="80"/>
      <c r="E5722" s="80"/>
    </row>
    <row r="5723" spans="2:5" ht="14.25" customHeight="1" x14ac:dyDescent="0.25">
      <c r="B5723" s="103"/>
      <c r="D5723" s="80"/>
      <c r="E5723" s="80"/>
    </row>
    <row r="5724" spans="2:5" ht="14.25" customHeight="1" x14ac:dyDescent="0.25">
      <c r="B5724" s="103"/>
      <c r="D5724" s="80"/>
      <c r="E5724" s="80"/>
    </row>
    <row r="5725" spans="2:5" ht="14.25" customHeight="1" x14ac:dyDescent="0.25">
      <c r="B5725" s="103"/>
      <c r="D5725" s="80"/>
      <c r="E5725" s="80"/>
    </row>
    <row r="5726" spans="2:5" ht="14.25" customHeight="1" x14ac:dyDescent="0.25">
      <c r="B5726" s="103"/>
      <c r="D5726" s="80"/>
      <c r="E5726" s="80"/>
    </row>
    <row r="5727" spans="2:5" ht="14.25" customHeight="1" x14ac:dyDescent="0.25">
      <c r="B5727" s="103"/>
      <c r="D5727" s="80"/>
      <c r="E5727" s="80"/>
    </row>
    <row r="5728" spans="2:5" ht="14.25" customHeight="1" x14ac:dyDescent="0.25">
      <c r="B5728" s="103"/>
      <c r="D5728" s="80"/>
      <c r="E5728" s="80"/>
    </row>
    <row r="5729" spans="2:5" ht="14.25" customHeight="1" x14ac:dyDescent="0.25">
      <c r="B5729" s="103"/>
      <c r="D5729" s="80"/>
      <c r="E5729" s="80"/>
    </row>
    <row r="5730" spans="2:5" ht="14.25" customHeight="1" x14ac:dyDescent="0.25">
      <c r="B5730" s="103"/>
      <c r="D5730" s="80"/>
      <c r="E5730" s="80"/>
    </row>
    <row r="5731" spans="2:5" ht="14.25" customHeight="1" x14ac:dyDescent="0.25">
      <c r="B5731" s="103"/>
      <c r="D5731" s="80"/>
      <c r="E5731" s="80"/>
    </row>
    <row r="5732" spans="2:5" ht="14.25" customHeight="1" x14ac:dyDescent="0.25">
      <c r="B5732" s="103"/>
      <c r="D5732" s="80"/>
      <c r="E5732" s="80"/>
    </row>
    <row r="5733" spans="2:5" ht="14.25" customHeight="1" x14ac:dyDescent="0.25">
      <c r="B5733" s="103"/>
      <c r="D5733" s="80"/>
      <c r="E5733" s="80"/>
    </row>
    <row r="5734" spans="2:5" ht="14.25" customHeight="1" x14ac:dyDescent="0.25">
      <c r="B5734" s="103"/>
      <c r="D5734" s="80"/>
      <c r="E5734" s="80"/>
    </row>
    <row r="5735" spans="2:5" ht="14.25" customHeight="1" x14ac:dyDescent="0.25">
      <c r="B5735" s="103"/>
      <c r="D5735" s="80"/>
      <c r="E5735" s="80"/>
    </row>
    <row r="5736" spans="2:5" ht="14.25" customHeight="1" x14ac:dyDescent="0.25">
      <c r="B5736" s="103"/>
      <c r="D5736" s="80"/>
      <c r="E5736" s="80"/>
    </row>
    <row r="5737" spans="2:5" ht="14.25" customHeight="1" x14ac:dyDescent="0.25">
      <c r="B5737" s="103"/>
      <c r="D5737" s="80"/>
      <c r="E5737" s="80"/>
    </row>
    <row r="5738" spans="2:5" ht="14.25" customHeight="1" x14ac:dyDescent="0.25">
      <c r="B5738" s="103"/>
      <c r="D5738" s="80"/>
      <c r="E5738" s="80"/>
    </row>
    <row r="5739" spans="2:5" ht="14.25" customHeight="1" x14ac:dyDescent="0.25">
      <c r="B5739" s="103"/>
      <c r="D5739" s="80"/>
      <c r="E5739" s="80"/>
    </row>
    <row r="5740" spans="2:5" ht="14.25" customHeight="1" x14ac:dyDescent="0.25">
      <c r="B5740" s="103"/>
      <c r="D5740" s="80"/>
      <c r="E5740" s="80"/>
    </row>
    <row r="5741" spans="2:5" ht="14.25" customHeight="1" x14ac:dyDescent="0.25">
      <c r="B5741" s="103"/>
      <c r="D5741" s="80"/>
      <c r="E5741" s="80"/>
    </row>
    <row r="5742" spans="2:5" ht="14.25" customHeight="1" x14ac:dyDescent="0.25">
      <c r="B5742" s="103"/>
      <c r="D5742" s="80"/>
      <c r="E5742" s="80"/>
    </row>
    <row r="5743" spans="2:5" ht="14.25" customHeight="1" x14ac:dyDescent="0.25">
      <c r="B5743" s="103"/>
      <c r="D5743" s="80"/>
      <c r="E5743" s="80"/>
    </row>
    <row r="5744" spans="2:5" ht="14.25" customHeight="1" x14ac:dyDescent="0.25">
      <c r="B5744" s="103"/>
      <c r="D5744" s="80"/>
      <c r="E5744" s="80"/>
    </row>
    <row r="5745" spans="2:5" ht="14.25" customHeight="1" x14ac:dyDescent="0.25">
      <c r="B5745" s="103"/>
      <c r="D5745" s="80"/>
      <c r="E5745" s="80"/>
    </row>
    <row r="5746" spans="2:5" ht="14.25" customHeight="1" x14ac:dyDescent="0.25">
      <c r="B5746" s="103"/>
      <c r="D5746" s="80"/>
      <c r="E5746" s="80"/>
    </row>
    <row r="5747" spans="2:5" ht="14.25" customHeight="1" x14ac:dyDescent="0.25">
      <c r="B5747" s="103"/>
      <c r="D5747" s="80"/>
      <c r="E5747" s="80"/>
    </row>
    <row r="5748" spans="2:5" ht="14.25" customHeight="1" x14ac:dyDescent="0.25">
      <c r="B5748" s="103"/>
      <c r="D5748" s="80"/>
      <c r="E5748" s="80"/>
    </row>
    <row r="5749" spans="2:5" ht="14.25" customHeight="1" x14ac:dyDescent="0.25">
      <c r="B5749" s="103"/>
      <c r="D5749" s="80"/>
      <c r="E5749" s="80"/>
    </row>
    <row r="5750" spans="2:5" ht="14.25" customHeight="1" x14ac:dyDescent="0.25">
      <c r="B5750" s="103"/>
      <c r="D5750" s="80"/>
      <c r="E5750" s="80"/>
    </row>
    <row r="5751" spans="2:5" ht="14.25" customHeight="1" x14ac:dyDescent="0.25">
      <c r="B5751" s="103"/>
      <c r="D5751" s="80"/>
      <c r="E5751" s="80"/>
    </row>
    <row r="5752" spans="2:5" ht="14.25" customHeight="1" x14ac:dyDescent="0.25">
      <c r="B5752" s="103"/>
      <c r="D5752" s="80"/>
      <c r="E5752" s="80"/>
    </row>
    <row r="5753" spans="2:5" ht="14.25" customHeight="1" x14ac:dyDescent="0.25">
      <c r="B5753" s="103"/>
      <c r="D5753" s="80"/>
      <c r="E5753" s="80"/>
    </row>
    <row r="5754" spans="2:5" ht="14.25" customHeight="1" x14ac:dyDescent="0.25">
      <c r="B5754" s="103"/>
      <c r="D5754" s="80"/>
      <c r="E5754" s="80"/>
    </row>
    <row r="5755" spans="2:5" ht="14.25" customHeight="1" x14ac:dyDescent="0.25">
      <c r="B5755" s="103"/>
      <c r="D5755" s="80"/>
      <c r="E5755" s="80"/>
    </row>
    <row r="5756" spans="2:5" ht="14.25" customHeight="1" x14ac:dyDescent="0.25">
      <c r="B5756" s="103"/>
      <c r="D5756" s="80"/>
      <c r="E5756" s="80"/>
    </row>
    <row r="5757" spans="2:5" ht="14.25" customHeight="1" x14ac:dyDescent="0.25">
      <c r="B5757" s="103"/>
      <c r="D5757" s="80"/>
      <c r="E5757" s="80"/>
    </row>
    <row r="5758" spans="2:5" ht="14.25" customHeight="1" x14ac:dyDescent="0.25">
      <c r="B5758" s="103"/>
      <c r="D5758" s="80"/>
      <c r="E5758" s="80"/>
    </row>
    <row r="5759" spans="2:5" ht="14.25" customHeight="1" x14ac:dyDescent="0.25">
      <c r="B5759" s="103"/>
      <c r="D5759" s="80"/>
      <c r="E5759" s="80"/>
    </row>
    <row r="5760" spans="2:5" ht="14.25" customHeight="1" x14ac:dyDescent="0.25">
      <c r="B5760" s="103"/>
      <c r="D5760" s="80"/>
      <c r="E5760" s="80"/>
    </row>
    <row r="5761" spans="2:5" ht="14.25" customHeight="1" x14ac:dyDescent="0.25">
      <c r="B5761" s="103"/>
      <c r="D5761" s="80"/>
      <c r="E5761" s="80"/>
    </row>
    <row r="5762" spans="2:5" ht="14.25" customHeight="1" x14ac:dyDescent="0.25">
      <c r="B5762" s="103"/>
      <c r="D5762" s="80"/>
      <c r="E5762" s="80"/>
    </row>
    <row r="5763" spans="2:5" ht="14.25" customHeight="1" x14ac:dyDescent="0.25">
      <c r="B5763" s="103"/>
      <c r="D5763" s="80"/>
      <c r="E5763" s="80"/>
    </row>
    <row r="5764" spans="2:5" ht="14.25" customHeight="1" x14ac:dyDescent="0.25">
      <c r="B5764" s="103"/>
      <c r="D5764" s="80"/>
      <c r="E5764" s="80"/>
    </row>
    <row r="5765" spans="2:5" ht="14.25" customHeight="1" x14ac:dyDescent="0.25">
      <c r="B5765" s="103"/>
      <c r="D5765" s="80"/>
      <c r="E5765" s="80"/>
    </row>
    <row r="5766" spans="2:5" ht="14.25" customHeight="1" x14ac:dyDescent="0.25">
      <c r="B5766" s="103"/>
      <c r="D5766" s="80"/>
      <c r="E5766" s="80"/>
    </row>
    <row r="5767" spans="2:5" ht="14.25" customHeight="1" x14ac:dyDescent="0.25">
      <c r="B5767" s="103"/>
      <c r="D5767" s="80"/>
      <c r="E5767" s="80"/>
    </row>
    <row r="5768" spans="2:5" ht="14.25" customHeight="1" x14ac:dyDescent="0.25">
      <c r="B5768" s="103"/>
      <c r="D5768" s="80"/>
      <c r="E5768" s="80"/>
    </row>
    <row r="5769" spans="2:5" ht="14.25" customHeight="1" x14ac:dyDescent="0.25">
      <c r="B5769" s="103"/>
      <c r="D5769" s="80"/>
      <c r="E5769" s="80"/>
    </row>
    <row r="5770" spans="2:5" ht="14.25" customHeight="1" x14ac:dyDescent="0.25">
      <c r="B5770" s="103"/>
      <c r="D5770" s="80"/>
      <c r="E5770" s="80"/>
    </row>
    <row r="5771" spans="2:5" ht="14.25" customHeight="1" x14ac:dyDescent="0.25">
      <c r="B5771" s="103"/>
      <c r="D5771" s="80"/>
      <c r="E5771" s="80"/>
    </row>
    <row r="5772" spans="2:5" ht="14.25" customHeight="1" x14ac:dyDescent="0.25">
      <c r="B5772" s="103"/>
      <c r="D5772" s="80"/>
      <c r="E5772" s="80"/>
    </row>
    <row r="5773" spans="2:5" ht="14.25" customHeight="1" x14ac:dyDescent="0.25">
      <c r="B5773" s="103"/>
      <c r="D5773" s="80"/>
      <c r="E5773" s="80"/>
    </row>
    <row r="5774" spans="2:5" ht="14.25" customHeight="1" x14ac:dyDescent="0.25">
      <c r="B5774" s="103"/>
      <c r="D5774" s="80"/>
      <c r="E5774" s="80"/>
    </row>
    <row r="5775" spans="2:5" ht="14.25" customHeight="1" x14ac:dyDescent="0.25">
      <c r="B5775" s="103"/>
      <c r="D5775" s="80"/>
      <c r="E5775" s="80"/>
    </row>
    <row r="5776" spans="2:5" ht="14.25" customHeight="1" x14ac:dyDescent="0.25">
      <c r="B5776" s="103"/>
      <c r="D5776" s="80"/>
      <c r="E5776" s="80"/>
    </row>
    <row r="5777" spans="2:5" ht="14.25" customHeight="1" x14ac:dyDescent="0.25">
      <c r="B5777" s="103"/>
      <c r="D5777" s="80"/>
      <c r="E5777" s="80"/>
    </row>
    <row r="5778" spans="2:5" ht="14.25" customHeight="1" x14ac:dyDescent="0.25">
      <c r="B5778" s="103"/>
      <c r="D5778" s="80"/>
      <c r="E5778" s="80"/>
    </row>
    <row r="5779" spans="2:5" ht="14.25" customHeight="1" x14ac:dyDescent="0.25">
      <c r="B5779" s="103"/>
      <c r="D5779" s="80"/>
      <c r="E5779" s="80"/>
    </row>
    <row r="5780" spans="2:5" ht="14.25" customHeight="1" x14ac:dyDescent="0.25">
      <c r="B5780" s="103"/>
      <c r="D5780" s="80"/>
      <c r="E5780" s="80"/>
    </row>
    <row r="5781" spans="2:5" ht="14.25" customHeight="1" x14ac:dyDescent="0.25">
      <c r="B5781" s="103"/>
      <c r="D5781" s="80"/>
      <c r="E5781" s="80"/>
    </row>
    <row r="5782" spans="2:5" ht="14.25" customHeight="1" x14ac:dyDescent="0.25">
      <c r="B5782" s="103"/>
      <c r="D5782" s="80"/>
      <c r="E5782" s="80"/>
    </row>
    <row r="5783" spans="2:5" ht="14.25" customHeight="1" x14ac:dyDescent="0.25">
      <c r="B5783" s="103"/>
      <c r="D5783" s="80"/>
      <c r="E5783" s="80"/>
    </row>
    <row r="5784" spans="2:5" ht="14.25" customHeight="1" x14ac:dyDescent="0.25">
      <c r="B5784" s="103"/>
      <c r="D5784" s="80"/>
      <c r="E5784" s="80"/>
    </row>
    <row r="5785" spans="2:5" ht="14.25" customHeight="1" x14ac:dyDescent="0.25">
      <c r="B5785" s="103"/>
      <c r="D5785" s="80"/>
      <c r="E5785" s="80"/>
    </row>
    <row r="5786" spans="2:5" ht="14.25" customHeight="1" x14ac:dyDescent="0.25">
      <c r="B5786" s="103"/>
      <c r="D5786" s="80"/>
      <c r="E5786" s="80"/>
    </row>
    <row r="5787" spans="2:5" ht="14.25" customHeight="1" x14ac:dyDescent="0.25">
      <c r="B5787" s="103"/>
      <c r="D5787" s="80"/>
      <c r="E5787" s="80"/>
    </row>
    <row r="5788" spans="2:5" ht="14.25" customHeight="1" x14ac:dyDescent="0.25">
      <c r="B5788" s="103"/>
      <c r="D5788" s="80"/>
      <c r="E5788" s="80"/>
    </row>
    <row r="5789" spans="2:5" ht="14.25" customHeight="1" x14ac:dyDescent="0.25">
      <c r="B5789" s="103"/>
      <c r="D5789" s="80"/>
      <c r="E5789" s="80"/>
    </row>
    <row r="5790" spans="2:5" ht="14.25" customHeight="1" x14ac:dyDescent="0.25">
      <c r="B5790" s="103"/>
      <c r="D5790" s="80"/>
      <c r="E5790" s="80"/>
    </row>
    <row r="5791" spans="2:5" ht="14.25" customHeight="1" x14ac:dyDescent="0.25">
      <c r="B5791" s="103"/>
      <c r="D5791" s="80"/>
      <c r="E5791" s="80"/>
    </row>
    <row r="5792" spans="2:5" ht="14.25" customHeight="1" x14ac:dyDescent="0.25">
      <c r="B5792" s="103"/>
      <c r="D5792" s="80"/>
      <c r="E5792" s="80"/>
    </row>
    <row r="5793" spans="2:5" ht="14.25" customHeight="1" x14ac:dyDescent="0.25">
      <c r="B5793" s="103"/>
      <c r="D5793" s="80"/>
      <c r="E5793" s="80"/>
    </row>
    <row r="5794" spans="2:5" ht="14.25" customHeight="1" x14ac:dyDescent="0.25">
      <c r="B5794" s="103"/>
      <c r="D5794" s="80"/>
      <c r="E5794" s="80"/>
    </row>
    <row r="5795" spans="2:5" ht="14.25" customHeight="1" x14ac:dyDescent="0.25">
      <c r="B5795" s="103"/>
      <c r="D5795" s="80"/>
      <c r="E5795" s="80"/>
    </row>
    <row r="5796" spans="2:5" ht="14.25" customHeight="1" x14ac:dyDescent="0.25">
      <c r="B5796" s="103"/>
      <c r="D5796" s="80"/>
      <c r="E5796" s="80"/>
    </row>
    <row r="5797" spans="2:5" ht="14.25" customHeight="1" x14ac:dyDescent="0.25">
      <c r="B5797" s="103"/>
      <c r="D5797" s="80"/>
      <c r="E5797" s="80"/>
    </row>
    <row r="5798" spans="2:5" ht="14.25" customHeight="1" x14ac:dyDescent="0.25">
      <c r="B5798" s="103"/>
      <c r="D5798" s="80"/>
      <c r="E5798" s="80"/>
    </row>
    <row r="5799" spans="2:5" ht="14.25" customHeight="1" x14ac:dyDescent="0.25">
      <c r="B5799" s="103"/>
      <c r="D5799" s="80"/>
      <c r="E5799" s="80"/>
    </row>
    <row r="5800" spans="2:5" ht="14.25" customHeight="1" x14ac:dyDescent="0.25">
      <c r="B5800" s="103"/>
      <c r="D5800" s="80"/>
      <c r="E5800" s="80"/>
    </row>
    <row r="5801" spans="2:5" ht="14.25" customHeight="1" x14ac:dyDescent="0.25">
      <c r="B5801" s="103"/>
      <c r="D5801" s="80"/>
      <c r="E5801" s="80"/>
    </row>
    <row r="5802" spans="2:5" ht="14.25" customHeight="1" x14ac:dyDescent="0.25">
      <c r="B5802" s="103"/>
      <c r="D5802" s="80"/>
      <c r="E5802" s="80"/>
    </row>
    <row r="5803" spans="2:5" ht="14.25" customHeight="1" x14ac:dyDescent="0.25">
      <c r="B5803" s="103"/>
      <c r="D5803" s="80"/>
      <c r="E5803" s="80"/>
    </row>
    <row r="5804" spans="2:5" ht="14.25" customHeight="1" x14ac:dyDescent="0.25">
      <c r="B5804" s="103"/>
      <c r="D5804" s="80"/>
      <c r="E5804" s="80"/>
    </row>
    <row r="5805" spans="2:5" ht="14.25" customHeight="1" x14ac:dyDescent="0.25">
      <c r="B5805" s="103"/>
      <c r="D5805" s="80"/>
      <c r="E5805" s="80"/>
    </row>
    <row r="5806" spans="2:5" ht="14.25" customHeight="1" x14ac:dyDescent="0.25">
      <c r="B5806" s="103"/>
      <c r="D5806" s="80"/>
      <c r="E5806" s="80"/>
    </row>
    <row r="5807" spans="2:5" ht="14.25" customHeight="1" x14ac:dyDescent="0.25">
      <c r="B5807" s="103"/>
      <c r="D5807" s="80"/>
      <c r="E5807" s="80"/>
    </row>
    <row r="5808" spans="2:5" ht="14.25" customHeight="1" x14ac:dyDescent="0.25">
      <c r="B5808" s="103"/>
      <c r="D5808" s="80"/>
      <c r="E5808" s="80"/>
    </row>
    <row r="5809" spans="2:5" ht="14.25" customHeight="1" x14ac:dyDescent="0.25">
      <c r="B5809" s="103"/>
      <c r="D5809" s="80"/>
      <c r="E5809" s="80"/>
    </row>
    <row r="5810" spans="2:5" ht="14.25" customHeight="1" x14ac:dyDescent="0.25">
      <c r="B5810" s="103"/>
      <c r="D5810" s="80"/>
      <c r="E5810" s="80"/>
    </row>
    <row r="5811" spans="2:5" ht="14.25" customHeight="1" x14ac:dyDescent="0.25">
      <c r="B5811" s="103"/>
      <c r="D5811" s="80"/>
      <c r="E5811" s="80"/>
    </row>
    <row r="5812" spans="2:5" ht="14.25" customHeight="1" x14ac:dyDescent="0.25">
      <c r="B5812" s="103"/>
      <c r="D5812" s="80"/>
      <c r="E5812" s="80"/>
    </row>
    <row r="5813" spans="2:5" ht="14.25" customHeight="1" x14ac:dyDescent="0.25">
      <c r="B5813" s="103"/>
      <c r="D5813" s="80"/>
      <c r="E5813" s="80"/>
    </row>
    <row r="5814" spans="2:5" ht="14.25" customHeight="1" x14ac:dyDescent="0.25">
      <c r="B5814" s="103"/>
      <c r="D5814" s="80"/>
      <c r="E5814" s="80"/>
    </row>
    <row r="5815" spans="2:5" ht="14.25" customHeight="1" x14ac:dyDescent="0.25">
      <c r="B5815" s="103"/>
      <c r="D5815" s="80"/>
      <c r="E5815" s="80"/>
    </row>
    <row r="5816" spans="2:5" ht="14.25" customHeight="1" x14ac:dyDescent="0.25">
      <c r="B5816" s="103"/>
      <c r="D5816" s="80"/>
      <c r="E5816" s="80"/>
    </row>
    <row r="5817" spans="2:5" ht="14.25" customHeight="1" x14ac:dyDescent="0.25">
      <c r="B5817" s="103"/>
      <c r="D5817" s="80"/>
      <c r="E5817" s="80"/>
    </row>
    <row r="5818" spans="2:5" ht="14.25" customHeight="1" x14ac:dyDescent="0.25">
      <c r="B5818" s="103"/>
      <c r="D5818" s="80"/>
      <c r="E5818" s="80"/>
    </row>
    <row r="5819" spans="2:5" ht="14.25" customHeight="1" x14ac:dyDescent="0.25">
      <c r="B5819" s="103"/>
      <c r="D5819" s="80"/>
      <c r="E5819" s="80"/>
    </row>
    <row r="5820" spans="2:5" ht="14.25" customHeight="1" x14ac:dyDescent="0.25">
      <c r="B5820" s="103"/>
      <c r="D5820" s="80"/>
      <c r="E5820" s="80"/>
    </row>
    <row r="5821" spans="2:5" ht="14.25" customHeight="1" x14ac:dyDescent="0.25">
      <c r="B5821" s="103"/>
      <c r="D5821" s="80"/>
      <c r="E5821" s="80"/>
    </row>
    <row r="5822" spans="2:5" ht="14.25" customHeight="1" x14ac:dyDescent="0.25">
      <c r="B5822" s="103"/>
      <c r="D5822" s="80"/>
      <c r="E5822" s="80"/>
    </row>
    <row r="5823" spans="2:5" ht="14.25" customHeight="1" x14ac:dyDescent="0.25">
      <c r="B5823" s="103"/>
      <c r="D5823" s="80"/>
      <c r="E5823" s="80"/>
    </row>
    <row r="5824" spans="2:5" ht="14.25" customHeight="1" x14ac:dyDescent="0.25">
      <c r="B5824" s="103"/>
      <c r="D5824" s="80"/>
      <c r="E5824" s="80"/>
    </row>
    <row r="5825" spans="2:5" ht="14.25" customHeight="1" x14ac:dyDescent="0.25">
      <c r="B5825" s="103"/>
      <c r="D5825" s="80"/>
      <c r="E5825" s="80"/>
    </row>
    <row r="5826" spans="2:5" ht="14.25" customHeight="1" x14ac:dyDescent="0.25">
      <c r="B5826" s="103"/>
      <c r="D5826" s="80"/>
      <c r="E5826" s="80"/>
    </row>
    <row r="5827" spans="2:5" ht="14.25" customHeight="1" x14ac:dyDescent="0.25">
      <c r="B5827" s="103"/>
      <c r="D5827" s="80"/>
      <c r="E5827" s="80"/>
    </row>
    <row r="5828" spans="2:5" ht="14.25" customHeight="1" x14ac:dyDescent="0.25">
      <c r="B5828" s="103"/>
      <c r="D5828" s="80"/>
      <c r="E5828" s="80"/>
    </row>
    <row r="5829" spans="2:5" ht="14.25" customHeight="1" x14ac:dyDescent="0.25">
      <c r="B5829" s="103"/>
      <c r="D5829" s="80"/>
      <c r="E5829" s="80"/>
    </row>
    <row r="5830" spans="2:5" ht="14.25" customHeight="1" x14ac:dyDescent="0.25">
      <c r="B5830" s="103"/>
      <c r="D5830" s="80"/>
      <c r="E5830" s="80"/>
    </row>
    <row r="5831" spans="2:5" ht="14.25" customHeight="1" x14ac:dyDescent="0.25">
      <c r="B5831" s="103"/>
      <c r="D5831" s="80"/>
      <c r="E5831" s="80"/>
    </row>
    <row r="5832" spans="2:5" ht="14.25" customHeight="1" x14ac:dyDescent="0.25">
      <c r="B5832" s="103"/>
      <c r="D5832" s="80"/>
      <c r="E5832" s="80"/>
    </row>
    <row r="5833" spans="2:5" ht="14.25" customHeight="1" x14ac:dyDescent="0.25">
      <c r="B5833" s="103"/>
      <c r="D5833" s="80"/>
      <c r="E5833" s="80"/>
    </row>
    <row r="5834" spans="2:5" ht="14.25" customHeight="1" x14ac:dyDescent="0.25">
      <c r="B5834" s="103"/>
      <c r="D5834" s="80"/>
      <c r="E5834" s="80"/>
    </row>
    <row r="5835" spans="2:5" ht="14.25" customHeight="1" x14ac:dyDescent="0.25">
      <c r="B5835" s="103"/>
      <c r="D5835" s="80"/>
      <c r="E5835" s="80"/>
    </row>
    <row r="5836" spans="2:5" ht="14.25" customHeight="1" x14ac:dyDescent="0.25">
      <c r="B5836" s="103"/>
      <c r="D5836" s="80"/>
      <c r="E5836" s="80"/>
    </row>
    <row r="5837" spans="2:5" ht="14.25" customHeight="1" x14ac:dyDescent="0.25">
      <c r="B5837" s="103"/>
      <c r="D5837" s="80"/>
      <c r="E5837" s="80"/>
    </row>
    <row r="5838" spans="2:5" ht="14.25" customHeight="1" x14ac:dyDescent="0.25">
      <c r="B5838" s="103"/>
      <c r="D5838" s="80"/>
      <c r="E5838" s="80"/>
    </row>
    <row r="5839" spans="2:5" ht="14.25" customHeight="1" x14ac:dyDescent="0.25">
      <c r="B5839" s="103"/>
      <c r="D5839" s="80"/>
      <c r="E5839" s="80"/>
    </row>
    <row r="5840" spans="2:5" ht="14.25" customHeight="1" x14ac:dyDescent="0.25">
      <c r="B5840" s="103"/>
      <c r="D5840" s="80"/>
      <c r="E5840" s="80"/>
    </row>
    <row r="5841" spans="2:5" ht="14.25" customHeight="1" x14ac:dyDescent="0.25">
      <c r="B5841" s="103"/>
      <c r="D5841" s="80"/>
      <c r="E5841" s="80"/>
    </row>
    <row r="5842" spans="2:5" ht="14.25" customHeight="1" x14ac:dyDescent="0.25">
      <c r="B5842" s="103"/>
      <c r="D5842" s="80"/>
      <c r="E5842" s="80"/>
    </row>
    <row r="5843" spans="2:5" ht="14.25" customHeight="1" x14ac:dyDescent="0.25">
      <c r="B5843" s="103"/>
      <c r="D5843" s="80"/>
      <c r="E5843" s="80"/>
    </row>
    <row r="5844" spans="2:5" ht="14.25" customHeight="1" x14ac:dyDescent="0.25">
      <c r="B5844" s="103"/>
      <c r="D5844" s="80"/>
      <c r="E5844" s="80"/>
    </row>
    <row r="5845" spans="2:5" ht="14.25" customHeight="1" x14ac:dyDescent="0.25">
      <c r="B5845" s="103"/>
      <c r="D5845" s="80"/>
      <c r="E5845" s="80"/>
    </row>
    <row r="5846" spans="2:5" ht="14.25" customHeight="1" x14ac:dyDescent="0.25">
      <c r="B5846" s="103"/>
      <c r="D5846" s="80"/>
      <c r="E5846" s="80"/>
    </row>
    <row r="5847" spans="2:5" ht="14.25" customHeight="1" x14ac:dyDescent="0.25">
      <c r="B5847" s="103"/>
      <c r="D5847" s="80"/>
      <c r="E5847" s="80"/>
    </row>
    <row r="5848" spans="2:5" ht="14.25" customHeight="1" x14ac:dyDescent="0.25">
      <c r="B5848" s="103"/>
      <c r="D5848" s="80"/>
      <c r="E5848" s="80"/>
    </row>
    <row r="5849" spans="2:5" ht="14.25" customHeight="1" x14ac:dyDescent="0.25">
      <c r="B5849" s="103"/>
      <c r="D5849" s="80"/>
      <c r="E5849" s="80"/>
    </row>
    <row r="5850" spans="2:5" ht="14.25" customHeight="1" x14ac:dyDescent="0.25">
      <c r="B5850" s="103"/>
      <c r="D5850" s="80"/>
      <c r="E5850" s="80"/>
    </row>
    <row r="5851" spans="2:5" ht="14.25" customHeight="1" x14ac:dyDescent="0.25">
      <c r="B5851" s="103"/>
      <c r="D5851" s="80"/>
      <c r="E5851" s="80"/>
    </row>
    <row r="5852" spans="2:5" ht="14.25" customHeight="1" x14ac:dyDescent="0.25">
      <c r="B5852" s="103"/>
      <c r="D5852" s="80"/>
      <c r="E5852" s="80"/>
    </row>
    <row r="5853" spans="2:5" ht="14.25" customHeight="1" x14ac:dyDescent="0.25">
      <c r="B5853" s="103"/>
      <c r="D5853" s="80"/>
      <c r="E5853" s="80"/>
    </row>
    <row r="5854" spans="2:5" ht="14.25" customHeight="1" x14ac:dyDescent="0.25">
      <c r="B5854" s="103"/>
      <c r="D5854" s="80"/>
      <c r="E5854" s="80"/>
    </row>
    <row r="5855" spans="2:5" ht="14.25" customHeight="1" x14ac:dyDescent="0.25">
      <c r="B5855" s="103"/>
      <c r="D5855" s="80"/>
      <c r="E5855" s="80"/>
    </row>
    <row r="5856" spans="2:5" ht="14.25" customHeight="1" x14ac:dyDescent="0.25">
      <c r="B5856" s="103"/>
      <c r="D5856" s="80"/>
      <c r="E5856" s="80"/>
    </row>
    <row r="5857" spans="2:5" ht="14.25" customHeight="1" x14ac:dyDescent="0.25">
      <c r="B5857" s="103"/>
      <c r="D5857" s="80"/>
      <c r="E5857" s="80"/>
    </row>
    <row r="5858" spans="2:5" ht="14.25" customHeight="1" x14ac:dyDescent="0.25">
      <c r="B5858" s="103"/>
      <c r="D5858" s="80"/>
      <c r="E5858" s="80"/>
    </row>
    <row r="5859" spans="2:5" ht="14.25" customHeight="1" x14ac:dyDescent="0.25">
      <c r="B5859" s="103"/>
      <c r="D5859" s="80"/>
      <c r="E5859" s="80"/>
    </row>
    <row r="5860" spans="2:5" ht="14.25" customHeight="1" x14ac:dyDescent="0.25">
      <c r="B5860" s="103"/>
      <c r="D5860" s="80"/>
      <c r="E5860" s="80"/>
    </row>
    <row r="5861" spans="2:5" ht="14.25" customHeight="1" x14ac:dyDescent="0.25">
      <c r="B5861" s="103"/>
      <c r="D5861" s="80"/>
      <c r="E5861" s="80"/>
    </row>
    <row r="5862" spans="2:5" ht="14.25" customHeight="1" x14ac:dyDescent="0.25">
      <c r="B5862" s="103"/>
      <c r="D5862" s="80"/>
      <c r="E5862" s="80"/>
    </row>
    <row r="5863" spans="2:5" ht="14.25" customHeight="1" x14ac:dyDescent="0.25">
      <c r="B5863" s="103"/>
      <c r="D5863" s="80"/>
      <c r="E5863" s="80"/>
    </row>
    <row r="5864" spans="2:5" ht="14.25" customHeight="1" x14ac:dyDescent="0.25">
      <c r="B5864" s="103"/>
      <c r="D5864" s="80"/>
      <c r="E5864" s="80"/>
    </row>
    <row r="5865" spans="2:5" ht="14.25" customHeight="1" x14ac:dyDescent="0.25">
      <c r="B5865" s="103"/>
      <c r="D5865" s="80"/>
      <c r="E5865" s="80"/>
    </row>
    <row r="5866" spans="2:5" ht="14.25" customHeight="1" x14ac:dyDescent="0.25">
      <c r="B5866" s="103"/>
      <c r="D5866" s="80"/>
      <c r="E5866" s="80"/>
    </row>
    <row r="5867" spans="2:5" ht="14.25" customHeight="1" x14ac:dyDescent="0.25">
      <c r="B5867" s="103"/>
      <c r="D5867" s="80"/>
      <c r="E5867" s="80"/>
    </row>
    <row r="5868" spans="2:5" ht="14.25" customHeight="1" x14ac:dyDescent="0.25">
      <c r="B5868" s="103"/>
      <c r="D5868" s="80"/>
      <c r="E5868" s="80"/>
    </row>
    <row r="5869" spans="2:5" ht="14.25" customHeight="1" x14ac:dyDescent="0.25">
      <c r="B5869" s="103"/>
      <c r="D5869" s="80"/>
      <c r="E5869" s="80"/>
    </row>
    <row r="5870" spans="2:5" ht="14.25" customHeight="1" x14ac:dyDescent="0.25">
      <c r="B5870" s="103"/>
      <c r="D5870" s="80"/>
      <c r="E5870" s="80"/>
    </row>
    <row r="5871" spans="2:5" ht="14.25" customHeight="1" x14ac:dyDescent="0.25">
      <c r="B5871" s="103"/>
      <c r="D5871" s="80"/>
      <c r="E5871" s="80"/>
    </row>
    <row r="5872" spans="2:5" ht="14.25" customHeight="1" x14ac:dyDescent="0.25">
      <c r="B5872" s="103"/>
      <c r="D5872" s="80"/>
      <c r="E5872" s="80"/>
    </row>
    <row r="5873" spans="2:5" ht="14.25" customHeight="1" x14ac:dyDescent="0.25">
      <c r="B5873" s="103"/>
      <c r="D5873" s="80"/>
      <c r="E5873" s="80"/>
    </row>
    <row r="5874" spans="2:5" ht="14.25" customHeight="1" x14ac:dyDescent="0.25">
      <c r="B5874" s="103"/>
      <c r="D5874" s="80"/>
      <c r="E5874" s="80"/>
    </row>
    <row r="5875" spans="2:5" ht="14.25" customHeight="1" x14ac:dyDescent="0.25">
      <c r="B5875" s="103"/>
      <c r="D5875" s="80"/>
      <c r="E5875" s="80"/>
    </row>
    <row r="5876" spans="2:5" ht="14.25" customHeight="1" x14ac:dyDescent="0.25">
      <c r="B5876" s="103"/>
      <c r="D5876" s="80"/>
      <c r="E5876" s="80"/>
    </row>
    <row r="5877" spans="2:5" ht="14.25" customHeight="1" x14ac:dyDescent="0.25">
      <c r="B5877" s="103"/>
      <c r="D5877" s="80"/>
      <c r="E5877" s="80"/>
    </row>
    <row r="5878" spans="2:5" ht="14.25" customHeight="1" x14ac:dyDescent="0.25">
      <c r="B5878" s="103"/>
      <c r="D5878" s="80"/>
      <c r="E5878" s="80"/>
    </row>
    <row r="5879" spans="2:5" ht="14.25" customHeight="1" x14ac:dyDescent="0.25">
      <c r="B5879" s="103"/>
      <c r="D5879" s="80"/>
      <c r="E5879" s="80"/>
    </row>
    <row r="5880" spans="2:5" ht="14.25" customHeight="1" x14ac:dyDescent="0.25">
      <c r="B5880" s="103"/>
      <c r="D5880" s="80"/>
      <c r="E5880" s="80"/>
    </row>
    <row r="5881" spans="2:5" ht="14.25" customHeight="1" x14ac:dyDescent="0.25">
      <c r="B5881" s="103"/>
      <c r="D5881" s="80"/>
      <c r="E5881" s="80"/>
    </row>
    <row r="5882" spans="2:5" ht="14.25" customHeight="1" x14ac:dyDescent="0.25">
      <c r="B5882" s="103"/>
      <c r="D5882" s="80"/>
      <c r="E5882" s="80"/>
    </row>
    <row r="5883" spans="2:5" ht="14.25" customHeight="1" x14ac:dyDescent="0.25">
      <c r="B5883" s="103"/>
      <c r="D5883" s="80"/>
      <c r="E5883" s="80"/>
    </row>
    <row r="5884" spans="2:5" ht="14.25" customHeight="1" x14ac:dyDescent="0.25">
      <c r="B5884" s="103"/>
      <c r="D5884" s="80"/>
      <c r="E5884" s="80"/>
    </row>
    <row r="5885" spans="2:5" ht="14.25" customHeight="1" x14ac:dyDescent="0.25">
      <c r="B5885" s="103"/>
      <c r="D5885" s="80"/>
      <c r="E5885" s="80"/>
    </row>
    <row r="5886" spans="2:5" ht="14.25" customHeight="1" x14ac:dyDescent="0.25">
      <c r="B5886" s="103"/>
      <c r="D5886" s="80"/>
      <c r="E5886" s="80"/>
    </row>
    <row r="5887" spans="2:5" ht="14.25" customHeight="1" x14ac:dyDescent="0.25">
      <c r="B5887" s="103"/>
      <c r="D5887" s="80"/>
      <c r="E5887" s="80"/>
    </row>
    <row r="5888" spans="2:5" ht="14.25" customHeight="1" x14ac:dyDescent="0.25">
      <c r="B5888" s="103"/>
      <c r="D5888" s="80"/>
      <c r="E5888" s="80"/>
    </row>
    <row r="5889" spans="2:5" ht="14.25" customHeight="1" x14ac:dyDescent="0.25">
      <c r="B5889" s="103"/>
      <c r="D5889" s="80"/>
      <c r="E5889" s="80"/>
    </row>
    <row r="5890" spans="2:5" ht="14.25" customHeight="1" x14ac:dyDescent="0.25">
      <c r="B5890" s="103"/>
      <c r="D5890" s="80"/>
      <c r="E5890" s="80"/>
    </row>
    <row r="5891" spans="2:5" ht="14.25" customHeight="1" x14ac:dyDescent="0.25">
      <c r="B5891" s="103"/>
      <c r="D5891" s="80"/>
      <c r="E5891" s="80"/>
    </row>
    <row r="5892" spans="2:5" ht="14.25" customHeight="1" x14ac:dyDescent="0.25">
      <c r="B5892" s="103"/>
      <c r="D5892" s="80"/>
      <c r="E5892" s="80"/>
    </row>
    <row r="5893" spans="2:5" ht="14.25" customHeight="1" x14ac:dyDescent="0.25">
      <c r="B5893" s="103"/>
      <c r="D5893" s="80"/>
      <c r="E5893" s="80"/>
    </row>
    <row r="5894" spans="2:5" ht="14.25" customHeight="1" x14ac:dyDescent="0.25">
      <c r="B5894" s="103"/>
      <c r="D5894" s="80"/>
      <c r="E5894" s="80"/>
    </row>
    <row r="5895" spans="2:5" ht="14.25" customHeight="1" x14ac:dyDescent="0.25">
      <c r="B5895" s="103"/>
      <c r="D5895" s="80"/>
      <c r="E5895" s="80"/>
    </row>
    <row r="5896" spans="2:5" ht="14.25" customHeight="1" x14ac:dyDescent="0.25">
      <c r="B5896" s="103"/>
      <c r="D5896" s="80"/>
      <c r="E5896" s="80"/>
    </row>
    <row r="5897" spans="2:5" ht="14.25" customHeight="1" x14ac:dyDescent="0.25">
      <c r="B5897" s="103"/>
      <c r="D5897" s="80"/>
      <c r="E5897" s="80"/>
    </row>
    <row r="5898" spans="2:5" ht="14.25" customHeight="1" x14ac:dyDescent="0.25">
      <c r="B5898" s="103"/>
      <c r="D5898" s="80"/>
      <c r="E5898" s="80"/>
    </row>
    <row r="5899" spans="2:5" ht="14.25" customHeight="1" x14ac:dyDescent="0.25">
      <c r="B5899" s="103"/>
      <c r="D5899" s="80"/>
      <c r="E5899" s="80"/>
    </row>
    <row r="5900" spans="2:5" ht="14.25" customHeight="1" x14ac:dyDescent="0.25">
      <c r="B5900" s="103"/>
      <c r="D5900" s="80"/>
      <c r="E5900" s="80"/>
    </row>
    <row r="5901" spans="2:5" ht="14.25" customHeight="1" x14ac:dyDescent="0.25">
      <c r="B5901" s="103"/>
      <c r="D5901" s="80"/>
      <c r="E5901" s="80"/>
    </row>
    <row r="5902" spans="2:5" ht="14.25" customHeight="1" x14ac:dyDescent="0.25">
      <c r="B5902" s="103"/>
      <c r="D5902" s="80"/>
      <c r="E5902" s="80"/>
    </row>
    <row r="5903" spans="2:5" ht="14.25" customHeight="1" x14ac:dyDescent="0.25">
      <c r="B5903" s="103"/>
      <c r="D5903" s="80"/>
      <c r="E5903" s="80"/>
    </row>
    <row r="5904" spans="2:5" ht="14.25" customHeight="1" x14ac:dyDescent="0.25">
      <c r="B5904" s="103"/>
      <c r="D5904" s="80"/>
      <c r="E5904" s="80"/>
    </row>
    <row r="5905" spans="2:5" ht="14.25" customHeight="1" x14ac:dyDescent="0.25">
      <c r="B5905" s="103"/>
      <c r="D5905" s="80"/>
      <c r="E5905" s="80"/>
    </row>
    <row r="5906" spans="2:5" ht="14.25" customHeight="1" x14ac:dyDescent="0.25">
      <c r="B5906" s="103"/>
      <c r="D5906" s="80"/>
      <c r="E5906" s="80"/>
    </row>
    <row r="5907" spans="2:5" ht="14.25" customHeight="1" x14ac:dyDescent="0.25">
      <c r="B5907" s="103"/>
      <c r="D5907" s="80"/>
      <c r="E5907" s="80"/>
    </row>
    <row r="5908" spans="2:5" ht="14.25" customHeight="1" x14ac:dyDescent="0.25">
      <c r="B5908" s="103"/>
      <c r="D5908" s="80"/>
      <c r="E5908" s="80"/>
    </row>
    <row r="5909" spans="2:5" ht="14.25" customHeight="1" x14ac:dyDescent="0.25">
      <c r="B5909" s="103"/>
      <c r="D5909" s="80"/>
      <c r="E5909" s="80"/>
    </row>
    <row r="5910" spans="2:5" ht="14.25" customHeight="1" x14ac:dyDescent="0.25">
      <c r="B5910" s="103"/>
      <c r="D5910" s="80"/>
      <c r="E5910" s="80"/>
    </row>
    <row r="5911" spans="2:5" ht="14.25" customHeight="1" x14ac:dyDescent="0.25">
      <c r="B5911" s="103"/>
      <c r="D5911" s="80"/>
      <c r="E5911" s="80"/>
    </row>
    <row r="5912" spans="2:5" ht="14.25" customHeight="1" x14ac:dyDescent="0.25">
      <c r="B5912" s="103"/>
      <c r="D5912" s="80"/>
      <c r="E5912" s="80"/>
    </row>
    <row r="5913" spans="2:5" ht="14.25" customHeight="1" x14ac:dyDescent="0.25">
      <c r="B5913" s="103"/>
      <c r="D5913" s="80"/>
      <c r="E5913" s="80"/>
    </row>
    <row r="5914" spans="2:5" ht="14.25" customHeight="1" x14ac:dyDescent="0.25">
      <c r="B5914" s="103"/>
      <c r="D5914" s="80"/>
      <c r="E5914" s="80"/>
    </row>
    <row r="5915" spans="2:5" ht="14.25" customHeight="1" x14ac:dyDescent="0.25">
      <c r="B5915" s="103"/>
      <c r="D5915" s="80"/>
      <c r="E5915" s="80"/>
    </row>
    <row r="5916" spans="2:5" ht="14.25" customHeight="1" x14ac:dyDescent="0.25">
      <c r="B5916" s="103"/>
      <c r="D5916" s="80"/>
      <c r="E5916" s="80"/>
    </row>
    <row r="5917" spans="2:5" ht="14.25" customHeight="1" x14ac:dyDescent="0.25">
      <c r="B5917" s="103"/>
      <c r="D5917" s="80"/>
      <c r="E5917" s="80"/>
    </row>
    <row r="5918" spans="2:5" ht="14.25" customHeight="1" x14ac:dyDescent="0.25">
      <c r="B5918" s="103"/>
      <c r="D5918" s="80"/>
      <c r="E5918" s="80"/>
    </row>
    <row r="5919" spans="2:5" ht="14.25" customHeight="1" x14ac:dyDescent="0.25">
      <c r="B5919" s="103"/>
      <c r="D5919" s="80"/>
      <c r="E5919" s="80"/>
    </row>
    <row r="5920" spans="2:5" ht="14.25" customHeight="1" x14ac:dyDescent="0.25">
      <c r="B5920" s="103"/>
      <c r="D5920" s="80"/>
      <c r="E5920" s="80"/>
    </row>
    <row r="5921" spans="2:5" ht="14.25" customHeight="1" x14ac:dyDescent="0.25">
      <c r="B5921" s="103"/>
      <c r="D5921" s="80"/>
      <c r="E5921" s="80"/>
    </row>
    <row r="5922" spans="2:5" ht="14.25" customHeight="1" x14ac:dyDescent="0.25">
      <c r="B5922" s="103"/>
      <c r="D5922" s="80"/>
      <c r="E5922" s="80"/>
    </row>
    <row r="5923" spans="2:5" ht="14.25" customHeight="1" x14ac:dyDescent="0.25">
      <c r="B5923" s="103"/>
      <c r="D5923" s="80"/>
      <c r="E5923" s="80"/>
    </row>
    <row r="5924" spans="2:5" ht="14.25" customHeight="1" x14ac:dyDescent="0.25">
      <c r="B5924" s="103"/>
      <c r="D5924" s="80"/>
      <c r="E5924" s="80"/>
    </row>
    <row r="5925" spans="2:5" ht="14.25" customHeight="1" x14ac:dyDescent="0.25">
      <c r="B5925" s="103"/>
      <c r="D5925" s="80"/>
      <c r="E5925" s="80"/>
    </row>
    <row r="5926" spans="2:5" ht="14.25" customHeight="1" x14ac:dyDescent="0.25">
      <c r="B5926" s="103"/>
      <c r="D5926" s="80"/>
      <c r="E5926" s="80"/>
    </row>
    <row r="5927" spans="2:5" ht="14.25" customHeight="1" x14ac:dyDescent="0.25">
      <c r="B5927" s="103"/>
      <c r="D5927" s="80"/>
      <c r="E5927" s="80"/>
    </row>
    <row r="5928" spans="2:5" ht="14.25" customHeight="1" x14ac:dyDescent="0.25">
      <c r="B5928" s="103"/>
      <c r="D5928" s="80"/>
      <c r="E5928" s="80"/>
    </row>
    <row r="5929" spans="2:5" ht="14.25" customHeight="1" x14ac:dyDescent="0.25">
      <c r="B5929" s="103"/>
      <c r="D5929" s="80"/>
      <c r="E5929" s="80"/>
    </row>
    <row r="5930" spans="2:5" ht="14.25" customHeight="1" x14ac:dyDescent="0.25">
      <c r="B5930" s="103"/>
      <c r="D5930" s="80"/>
      <c r="E5930" s="80"/>
    </row>
    <row r="5931" spans="2:5" ht="14.25" customHeight="1" x14ac:dyDescent="0.25">
      <c r="B5931" s="103"/>
      <c r="D5931" s="80"/>
      <c r="E5931" s="80"/>
    </row>
    <row r="5932" spans="2:5" ht="14.25" customHeight="1" x14ac:dyDescent="0.25">
      <c r="B5932" s="103"/>
      <c r="D5932" s="80"/>
      <c r="E5932" s="80"/>
    </row>
    <row r="5933" spans="2:5" ht="14.25" customHeight="1" x14ac:dyDescent="0.25">
      <c r="B5933" s="103"/>
      <c r="D5933" s="80"/>
      <c r="E5933" s="80"/>
    </row>
    <row r="5934" spans="2:5" ht="14.25" customHeight="1" x14ac:dyDescent="0.25">
      <c r="B5934" s="103"/>
      <c r="D5934" s="80"/>
      <c r="E5934" s="80"/>
    </row>
    <row r="5935" spans="2:5" ht="14.25" customHeight="1" x14ac:dyDescent="0.25">
      <c r="B5935" s="103"/>
      <c r="D5935" s="80"/>
      <c r="E5935" s="80"/>
    </row>
    <row r="5936" spans="2:5" ht="14.25" customHeight="1" x14ac:dyDescent="0.25">
      <c r="B5936" s="103"/>
      <c r="D5936" s="80"/>
      <c r="E5936" s="80"/>
    </row>
    <row r="5937" spans="2:5" ht="14.25" customHeight="1" x14ac:dyDescent="0.25">
      <c r="B5937" s="103"/>
      <c r="D5937" s="80"/>
      <c r="E5937" s="80"/>
    </row>
    <row r="5938" spans="2:5" ht="14.25" customHeight="1" x14ac:dyDescent="0.25">
      <c r="B5938" s="103"/>
      <c r="D5938" s="80"/>
      <c r="E5938" s="80"/>
    </row>
    <row r="5939" spans="2:5" ht="14.25" customHeight="1" x14ac:dyDescent="0.25">
      <c r="B5939" s="103"/>
      <c r="D5939" s="80"/>
      <c r="E5939" s="80"/>
    </row>
    <row r="5940" spans="2:5" ht="14.25" customHeight="1" x14ac:dyDescent="0.25">
      <c r="B5940" s="103"/>
      <c r="D5940" s="80"/>
      <c r="E5940" s="80"/>
    </row>
    <row r="5941" spans="2:5" ht="14.25" customHeight="1" x14ac:dyDescent="0.25">
      <c r="B5941" s="103"/>
      <c r="D5941" s="80"/>
      <c r="E5941" s="80"/>
    </row>
    <row r="5942" spans="2:5" ht="14.25" customHeight="1" x14ac:dyDescent="0.25">
      <c r="B5942" s="103"/>
      <c r="D5942" s="80"/>
      <c r="E5942" s="80"/>
    </row>
    <row r="5943" spans="2:5" ht="14.25" customHeight="1" x14ac:dyDescent="0.25">
      <c r="B5943" s="103"/>
      <c r="D5943" s="80"/>
      <c r="E5943" s="80"/>
    </row>
    <row r="5944" spans="2:5" ht="14.25" customHeight="1" x14ac:dyDescent="0.25">
      <c r="B5944" s="103"/>
      <c r="D5944" s="80"/>
      <c r="E5944" s="80"/>
    </row>
    <row r="5945" spans="2:5" ht="14.25" customHeight="1" x14ac:dyDescent="0.25">
      <c r="B5945" s="103"/>
      <c r="D5945" s="80"/>
      <c r="E5945" s="80"/>
    </row>
    <row r="5946" spans="2:5" ht="14.25" customHeight="1" x14ac:dyDescent="0.25">
      <c r="B5946" s="103"/>
      <c r="D5946" s="80"/>
      <c r="E5946" s="80"/>
    </row>
    <row r="5947" spans="2:5" ht="14.25" customHeight="1" x14ac:dyDescent="0.25">
      <c r="B5947" s="103"/>
      <c r="D5947" s="80"/>
      <c r="E5947" s="80"/>
    </row>
    <row r="5948" spans="2:5" ht="14.25" customHeight="1" x14ac:dyDescent="0.25">
      <c r="B5948" s="103"/>
      <c r="D5948" s="80"/>
      <c r="E5948" s="80"/>
    </row>
    <row r="5949" spans="2:5" ht="14.25" customHeight="1" x14ac:dyDescent="0.25">
      <c r="B5949" s="103"/>
      <c r="D5949" s="80"/>
      <c r="E5949" s="80"/>
    </row>
    <row r="5950" spans="2:5" ht="14.25" customHeight="1" x14ac:dyDescent="0.25">
      <c r="B5950" s="103"/>
      <c r="D5950" s="80"/>
      <c r="E5950" s="80"/>
    </row>
    <row r="5951" spans="2:5" ht="14.25" customHeight="1" x14ac:dyDescent="0.25">
      <c r="B5951" s="103"/>
      <c r="D5951" s="80"/>
      <c r="E5951" s="80"/>
    </row>
    <row r="5952" spans="2:5" ht="14.25" customHeight="1" x14ac:dyDescent="0.25">
      <c r="B5952" s="103"/>
      <c r="D5952" s="80"/>
      <c r="E5952" s="80"/>
    </row>
    <row r="5953" spans="2:5" ht="14.25" customHeight="1" x14ac:dyDescent="0.25">
      <c r="B5953" s="103"/>
      <c r="D5953" s="80"/>
      <c r="E5953" s="80"/>
    </row>
    <row r="5954" spans="2:5" ht="14.25" customHeight="1" x14ac:dyDescent="0.25">
      <c r="B5954" s="103"/>
      <c r="D5954" s="80"/>
      <c r="E5954" s="80"/>
    </row>
    <row r="5955" spans="2:5" ht="14.25" customHeight="1" x14ac:dyDescent="0.25">
      <c r="B5955" s="103"/>
      <c r="D5955" s="80"/>
      <c r="E5955" s="80"/>
    </row>
    <row r="5956" spans="2:5" ht="14.25" customHeight="1" x14ac:dyDescent="0.25">
      <c r="B5956" s="103"/>
      <c r="D5956" s="80"/>
      <c r="E5956" s="80"/>
    </row>
    <row r="5957" spans="2:5" ht="14.25" customHeight="1" x14ac:dyDescent="0.25">
      <c r="B5957" s="103"/>
      <c r="D5957" s="80"/>
      <c r="E5957" s="80"/>
    </row>
    <row r="5958" spans="2:5" ht="14.25" customHeight="1" x14ac:dyDescent="0.25">
      <c r="B5958" s="103"/>
      <c r="D5958" s="80"/>
      <c r="E5958" s="80"/>
    </row>
    <row r="5959" spans="2:5" ht="14.25" customHeight="1" x14ac:dyDescent="0.25">
      <c r="B5959" s="103"/>
      <c r="D5959" s="80"/>
      <c r="E5959" s="80"/>
    </row>
    <row r="5960" spans="2:5" ht="14.25" customHeight="1" x14ac:dyDescent="0.25">
      <c r="B5960" s="103"/>
      <c r="D5960" s="80"/>
      <c r="E5960" s="80"/>
    </row>
    <row r="5961" spans="2:5" ht="14.25" customHeight="1" x14ac:dyDescent="0.25">
      <c r="B5961" s="103"/>
      <c r="D5961" s="80"/>
      <c r="E5961" s="80"/>
    </row>
    <row r="5962" spans="2:5" ht="14.25" customHeight="1" x14ac:dyDescent="0.25">
      <c r="B5962" s="103"/>
      <c r="D5962" s="80"/>
      <c r="E5962" s="80"/>
    </row>
    <row r="5963" spans="2:5" ht="14.25" customHeight="1" x14ac:dyDescent="0.25">
      <c r="B5963" s="103"/>
      <c r="D5963" s="80"/>
      <c r="E5963" s="80"/>
    </row>
    <row r="5964" spans="2:5" ht="14.25" customHeight="1" x14ac:dyDescent="0.25">
      <c r="B5964" s="103"/>
      <c r="D5964" s="80"/>
      <c r="E5964" s="80"/>
    </row>
    <row r="5965" spans="2:5" ht="14.25" customHeight="1" x14ac:dyDescent="0.25">
      <c r="B5965" s="103"/>
      <c r="D5965" s="80"/>
      <c r="E5965" s="80"/>
    </row>
    <row r="5966" spans="2:5" ht="14.25" customHeight="1" x14ac:dyDescent="0.25">
      <c r="B5966" s="103"/>
      <c r="D5966" s="80"/>
      <c r="E5966" s="80"/>
    </row>
    <row r="5967" spans="2:5" ht="14.25" customHeight="1" x14ac:dyDescent="0.25">
      <c r="B5967" s="103"/>
      <c r="D5967" s="80"/>
      <c r="E5967" s="80"/>
    </row>
    <row r="5968" spans="2:5" ht="14.25" customHeight="1" x14ac:dyDescent="0.25">
      <c r="B5968" s="103"/>
      <c r="D5968" s="80"/>
      <c r="E5968" s="80"/>
    </row>
    <row r="5969" spans="2:5" ht="14.25" customHeight="1" x14ac:dyDescent="0.25">
      <c r="B5969" s="103"/>
      <c r="D5969" s="80"/>
      <c r="E5969" s="80"/>
    </row>
    <row r="5970" spans="2:5" ht="14.25" customHeight="1" x14ac:dyDescent="0.25">
      <c r="B5970" s="103"/>
      <c r="D5970" s="80"/>
      <c r="E5970" s="80"/>
    </row>
    <row r="5971" spans="2:5" ht="14.25" customHeight="1" x14ac:dyDescent="0.25">
      <c r="B5971" s="103"/>
      <c r="D5971" s="80"/>
      <c r="E5971" s="80"/>
    </row>
    <row r="5972" spans="2:5" ht="14.25" customHeight="1" x14ac:dyDescent="0.25">
      <c r="B5972" s="103"/>
      <c r="D5972" s="80"/>
      <c r="E5972" s="80"/>
    </row>
    <row r="5973" spans="2:5" ht="14.25" customHeight="1" x14ac:dyDescent="0.25">
      <c r="B5973" s="103"/>
      <c r="D5973" s="80"/>
      <c r="E5973" s="80"/>
    </row>
    <row r="5974" spans="2:5" ht="14.25" customHeight="1" x14ac:dyDescent="0.25">
      <c r="B5974" s="103"/>
      <c r="D5974" s="80"/>
      <c r="E5974" s="80"/>
    </row>
    <row r="5975" spans="2:5" ht="14.25" customHeight="1" x14ac:dyDescent="0.25">
      <c r="B5975" s="103"/>
      <c r="D5975" s="80"/>
      <c r="E5975" s="80"/>
    </row>
    <row r="5976" spans="2:5" ht="14.25" customHeight="1" x14ac:dyDescent="0.25">
      <c r="B5976" s="103"/>
      <c r="D5976" s="80"/>
      <c r="E5976" s="80"/>
    </row>
    <row r="5977" spans="2:5" ht="14.25" customHeight="1" x14ac:dyDescent="0.25">
      <c r="B5977" s="103"/>
      <c r="D5977" s="80"/>
      <c r="E5977" s="80"/>
    </row>
    <row r="5978" spans="2:5" ht="14.25" customHeight="1" x14ac:dyDescent="0.25">
      <c r="B5978" s="103"/>
      <c r="D5978" s="80"/>
      <c r="E5978" s="80"/>
    </row>
    <row r="5979" spans="2:5" ht="14.25" customHeight="1" x14ac:dyDescent="0.25">
      <c r="B5979" s="103"/>
      <c r="D5979" s="80"/>
      <c r="E5979" s="80"/>
    </row>
    <row r="5980" spans="2:5" ht="14.25" customHeight="1" x14ac:dyDescent="0.25">
      <c r="B5980" s="103"/>
      <c r="D5980" s="80"/>
      <c r="E5980" s="80"/>
    </row>
    <row r="5981" spans="2:5" ht="14.25" customHeight="1" x14ac:dyDescent="0.25">
      <c r="B5981" s="103"/>
      <c r="D5981" s="80"/>
      <c r="E5981" s="80"/>
    </row>
    <row r="5982" spans="2:5" ht="14.25" customHeight="1" x14ac:dyDescent="0.25">
      <c r="B5982" s="103"/>
      <c r="D5982" s="80"/>
      <c r="E5982" s="80"/>
    </row>
    <row r="5983" spans="2:5" ht="14.25" customHeight="1" x14ac:dyDescent="0.25">
      <c r="B5983" s="103"/>
      <c r="D5983" s="80"/>
      <c r="E5983" s="80"/>
    </row>
    <row r="5984" spans="2:5" ht="14.25" customHeight="1" x14ac:dyDescent="0.25">
      <c r="B5984" s="103"/>
      <c r="D5984" s="80"/>
      <c r="E5984" s="80"/>
    </row>
    <row r="5985" spans="2:5" ht="14.25" customHeight="1" x14ac:dyDescent="0.25">
      <c r="B5985" s="103"/>
      <c r="D5985" s="80"/>
      <c r="E5985" s="80"/>
    </row>
    <row r="5986" spans="2:5" ht="14.25" customHeight="1" x14ac:dyDescent="0.25">
      <c r="B5986" s="103"/>
      <c r="D5986" s="80"/>
      <c r="E5986" s="80"/>
    </row>
    <row r="5987" spans="2:5" ht="14.25" customHeight="1" x14ac:dyDescent="0.25">
      <c r="B5987" s="103"/>
      <c r="D5987" s="80"/>
      <c r="E5987" s="80"/>
    </row>
    <row r="5988" spans="2:5" ht="14.25" customHeight="1" x14ac:dyDescent="0.25">
      <c r="B5988" s="103"/>
      <c r="D5988" s="80"/>
      <c r="E5988" s="80"/>
    </row>
    <row r="5989" spans="2:5" ht="14.25" customHeight="1" x14ac:dyDescent="0.25">
      <c r="B5989" s="103"/>
      <c r="D5989" s="80"/>
      <c r="E5989" s="80"/>
    </row>
    <row r="5990" spans="2:5" ht="14.25" customHeight="1" x14ac:dyDescent="0.25">
      <c r="B5990" s="103"/>
      <c r="D5990" s="80"/>
      <c r="E5990" s="80"/>
    </row>
    <row r="5991" spans="2:5" ht="14.25" customHeight="1" x14ac:dyDescent="0.25">
      <c r="B5991" s="103"/>
      <c r="D5991" s="80"/>
      <c r="E5991" s="80"/>
    </row>
    <row r="5992" spans="2:5" ht="14.25" customHeight="1" x14ac:dyDescent="0.25">
      <c r="B5992" s="103"/>
      <c r="D5992" s="80"/>
      <c r="E5992" s="80"/>
    </row>
    <row r="5993" spans="2:5" ht="14.25" customHeight="1" x14ac:dyDescent="0.25">
      <c r="B5993" s="103"/>
      <c r="D5993" s="80"/>
      <c r="E5993" s="80"/>
    </row>
    <row r="5994" spans="2:5" ht="14.25" customHeight="1" x14ac:dyDescent="0.25">
      <c r="B5994" s="103"/>
      <c r="D5994" s="80"/>
      <c r="E5994" s="80"/>
    </row>
    <row r="5995" spans="2:5" ht="14.25" customHeight="1" x14ac:dyDescent="0.25">
      <c r="B5995" s="103"/>
      <c r="D5995" s="80"/>
      <c r="E5995" s="80"/>
    </row>
    <row r="5996" spans="2:5" ht="14.25" customHeight="1" x14ac:dyDescent="0.25">
      <c r="B5996" s="103"/>
      <c r="D5996" s="80"/>
      <c r="E5996" s="80"/>
    </row>
    <row r="5997" spans="2:5" ht="14.25" customHeight="1" x14ac:dyDescent="0.25">
      <c r="B5997" s="103"/>
      <c r="D5997" s="80"/>
      <c r="E5997" s="80"/>
    </row>
    <row r="5998" spans="2:5" ht="14.25" customHeight="1" x14ac:dyDescent="0.25">
      <c r="B5998" s="103"/>
      <c r="D5998" s="80"/>
      <c r="E5998" s="80"/>
    </row>
    <row r="5999" spans="2:5" ht="14.25" customHeight="1" x14ac:dyDescent="0.25">
      <c r="B5999" s="103"/>
      <c r="D5999" s="80"/>
      <c r="E5999" s="80"/>
    </row>
    <row r="6000" spans="2:5" ht="14.25" customHeight="1" x14ac:dyDescent="0.25">
      <c r="B6000" s="103"/>
      <c r="D6000" s="80"/>
      <c r="E6000" s="80"/>
    </row>
    <row r="6001" spans="2:5" ht="14.25" customHeight="1" x14ac:dyDescent="0.25">
      <c r="B6001" s="103"/>
      <c r="D6001" s="80"/>
      <c r="E6001" s="80"/>
    </row>
    <row r="6002" spans="2:5" ht="14.25" customHeight="1" x14ac:dyDescent="0.25">
      <c r="B6002" s="103"/>
      <c r="D6002" s="80"/>
      <c r="E6002" s="80"/>
    </row>
    <row r="6003" spans="2:5" ht="14.25" customHeight="1" x14ac:dyDescent="0.25">
      <c r="B6003" s="103"/>
      <c r="D6003" s="80"/>
      <c r="E6003" s="80"/>
    </row>
    <row r="6004" spans="2:5" ht="14.25" customHeight="1" x14ac:dyDescent="0.25">
      <c r="B6004" s="103"/>
      <c r="D6004" s="80"/>
      <c r="E6004" s="80"/>
    </row>
    <row r="6005" spans="2:5" ht="14.25" customHeight="1" x14ac:dyDescent="0.25">
      <c r="B6005" s="103"/>
      <c r="D6005" s="80"/>
      <c r="E6005" s="80"/>
    </row>
    <row r="6006" spans="2:5" ht="14.25" customHeight="1" x14ac:dyDescent="0.25">
      <c r="B6006" s="103"/>
      <c r="D6006" s="80"/>
      <c r="E6006" s="80"/>
    </row>
    <row r="6007" spans="2:5" ht="14.25" customHeight="1" x14ac:dyDescent="0.25">
      <c r="B6007" s="103"/>
      <c r="D6007" s="80"/>
      <c r="E6007" s="80"/>
    </row>
    <row r="6008" spans="2:5" ht="14.25" customHeight="1" x14ac:dyDescent="0.25">
      <c r="B6008" s="103"/>
      <c r="D6008" s="80"/>
      <c r="E6008" s="80"/>
    </row>
    <row r="6009" spans="2:5" ht="14.25" customHeight="1" x14ac:dyDescent="0.25">
      <c r="B6009" s="103"/>
      <c r="D6009" s="80"/>
      <c r="E6009" s="80"/>
    </row>
    <row r="6010" spans="2:5" ht="14.25" customHeight="1" x14ac:dyDescent="0.25">
      <c r="B6010" s="103"/>
      <c r="D6010" s="80"/>
      <c r="E6010" s="80"/>
    </row>
    <row r="6011" spans="2:5" ht="14.25" customHeight="1" x14ac:dyDescent="0.25">
      <c r="B6011" s="103"/>
      <c r="D6011" s="80"/>
      <c r="E6011" s="80"/>
    </row>
    <row r="6012" spans="2:5" ht="14.25" customHeight="1" x14ac:dyDescent="0.25">
      <c r="B6012" s="103"/>
      <c r="D6012" s="80"/>
      <c r="E6012" s="80"/>
    </row>
    <row r="6013" spans="2:5" ht="14.25" customHeight="1" x14ac:dyDescent="0.25">
      <c r="B6013" s="103"/>
      <c r="D6013" s="80"/>
      <c r="E6013" s="80"/>
    </row>
    <row r="6014" spans="2:5" ht="14.25" customHeight="1" x14ac:dyDescent="0.25">
      <c r="B6014" s="103"/>
      <c r="D6014" s="80"/>
      <c r="E6014" s="80"/>
    </row>
    <row r="6015" spans="2:5" ht="14.25" customHeight="1" x14ac:dyDescent="0.25">
      <c r="B6015" s="103"/>
      <c r="D6015" s="80"/>
      <c r="E6015" s="80"/>
    </row>
    <row r="6016" spans="2:5" ht="14.25" customHeight="1" x14ac:dyDescent="0.25">
      <c r="B6016" s="103"/>
      <c r="D6016" s="80"/>
      <c r="E6016" s="80"/>
    </row>
    <row r="6017" spans="2:5" ht="14.25" customHeight="1" x14ac:dyDescent="0.25">
      <c r="B6017" s="103"/>
      <c r="D6017" s="80"/>
      <c r="E6017" s="80"/>
    </row>
    <row r="6018" spans="2:5" ht="14.25" customHeight="1" x14ac:dyDescent="0.25">
      <c r="B6018" s="103"/>
      <c r="D6018" s="80"/>
      <c r="E6018" s="80"/>
    </row>
    <row r="6019" spans="2:5" ht="14.25" customHeight="1" x14ac:dyDescent="0.25">
      <c r="B6019" s="103"/>
      <c r="D6019" s="80"/>
      <c r="E6019" s="80"/>
    </row>
    <row r="6020" spans="2:5" ht="14.25" customHeight="1" x14ac:dyDescent="0.25">
      <c r="B6020" s="103"/>
      <c r="D6020" s="80"/>
      <c r="E6020" s="80"/>
    </row>
    <row r="6021" spans="2:5" ht="14.25" customHeight="1" x14ac:dyDescent="0.25">
      <c r="B6021" s="103"/>
      <c r="D6021" s="80"/>
      <c r="E6021" s="80"/>
    </row>
    <row r="6022" spans="2:5" ht="14.25" customHeight="1" x14ac:dyDescent="0.25">
      <c r="B6022" s="103"/>
      <c r="D6022" s="80"/>
      <c r="E6022" s="80"/>
    </row>
    <row r="6023" spans="2:5" ht="14.25" customHeight="1" x14ac:dyDescent="0.25">
      <c r="B6023" s="103"/>
      <c r="D6023" s="80"/>
      <c r="E6023" s="80"/>
    </row>
    <row r="6024" spans="2:5" ht="14.25" customHeight="1" x14ac:dyDescent="0.25">
      <c r="B6024" s="103"/>
      <c r="D6024" s="80"/>
      <c r="E6024" s="80"/>
    </row>
    <row r="6025" spans="2:5" ht="14.25" customHeight="1" x14ac:dyDescent="0.25">
      <c r="B6025" s="103"/>
      <c r="D6025" s="80"/>
      <c r="E6025" s="80"/>
    </row>
    <row r="6026" spans="2:5" ht="14.25" customHeight="1" x14ac:dyDescent="0.25">
      <c r="B6026" s="103"/>
      <c r="D6026" s="80"/>
      <c r="E6026" s="80"/>
    </row>
    <row r="6027" spans="2:5" ht="14.25" customHeight="1" x14ac:dyDescent="0.25">
      <c r="B6027" s="103"/>
      <c r="D6027" s="80"/>
      <c r="E6027" s="80"/>
    </row>
    <row r="6028" spans="2:5" ht="14.25" customHeight="1" x14ac:dyDescent="0.25">
      <c r="B6028" s="103"/>
      <c r="D6028" s="80"/>
      <c r="E6028" s="80"/>
    </row>
    <row r="6029" spans="2:5" ht="14.25" customHeight="1" x14ac:dyDescent="0.25">
      <c r="B6029" s="103"/>
      <c r="D6029" s="80"/>
      <c r="E6029" s="80"/>
    </row>
    <row r="6030" spans="2:5" ht="14.25" customHeight="1" x14ac:dyDescent="0.25">
      <c r="B6030" s="103"/>
      <c r="D6030" s="80"/>
      <c r="E6030" s="80"/>
    </row>
    <row r="6031" spans="2:5" ht="14.25" customHeight="1" x14ac:dyDescent="0.25">
      <c r="B6031" s="103"/>
      <c r="D6031" s="80"/>
      <c r="E6031" s="80"/>
    </row>
    <row r="6032" spans="2:5" ht="14.25" customHeight="1" x14ac:dyDescent="0.25">
      <c r="B6032" s="103"/>
      <c r="D6032" s="80"/>
      <c r="E6032" s="80"/>
    </row>
    <row r="6033" spans="2:5" ht="14.25" customHeight="1" x14ac:dyDescent="0.25">
      <c r="B6033" s="103"/>
      <c r="D6033" s="80"/>
      <c r="E6033" s="80"/>
    </row>
    <row r="6034" spans="2:5" ht="14.25" customHeight="1" x14ac:dyDescent="0.25">
      <c r="B6034" s="103"/>
      <c r="D6034" s="80"/>
      <c r="E6034" s="80"/>
    </row>
    <row r="6035" spans="2:5" ht="14.25" customHeight="1" x14ac:dyDescent="0.25">
      <c r="B6035" s="103"/>
      <c r="D6035" s="80"/>
      <c r="E6035" s="80"/>
    </row>
    <row r="6036" spans="2:5" ht="14.25" customHeight="1" x14ac:dyDescent="0.25">
      <c r="B6036" s="103"/>
      <c r="D6036" s="80"/>
      <c r="E6036" s="80"/>
    </row>
    <row r="6037" spans="2:5" ht="14.25" customHeight="1" x14ac:dyDescent="0.25">
      <c r="B6037" s="103"/>
      <c r="D6037" s="80"/>
      <c r="E6037" s="80"/>
    </row>
    <row r="6038" spans="2:5" ht="14.25" customHeight="1" x14ac:dyDescent="0.25">
      <c r="B6038" s="103"/>
      <c r="D6038" s="80"/>
      <c r="E6038" s="80"/>
    </row>
    <row r="6039" spans="2:5" ht="14.25" customHeight="1" x14ac:dyDescent="0.25">
      <c r="B6039" s="103"/>
      <c r="D6039" s="80"/>
      <c r="E6039" s="80"/>
    </row>
    <row r="6040" spans="2:5" ht="14.25" customHeight="1" x14ac:dyDescent="0.25">
      <c r="B6040" s="103"/>
      <c r="D6040" s="80"/>
      <c r="E6040" s="80"/>
    </row>
    <row r="6041" spans="2:5" ht="14.25" customHeight="1" x14ac:dyDescent="0.25">
      <c r="B6041" s="103"/>
      <c r="D6041" s="80"/>
      <c r="E6041" s="80"/>
    </row>
    <row r="6042" spans="2:5" ht="14.25" customHeight="1" x14ac:dyDescent="0.25">
      <c r="B6042" s="103"/>
      <c r="D6042" s="80"/>
      <c r="E6042" s="80"/>
    </row>
    <row r="6043" spans="2:5" ht="14.25" customHeight="1" x14ac:dyDescent="0.25">
      <c r="B6043" s="103"/>
      <c r="D6043" s="80"/>
      <c r="E6043" s="80"/>
    </row>
    <row r="6044" spans="2:5" ht="14.25" customHeight="1" x14ac:dyDescent="0.25">
      <c r="B6044" s="103"/>
      <c r="D6044" s="80"/>
      <c r="E6044" s="80"/>
    </row>
    <row r="6045" spans="2:5" ht="14.25" customHeight="1" x14ac:dyDescent="0.25">
      <c r="B6045" s="103"/>
      <c r="D6045" s="80"/>
      <c r="E6045" s="80"/>
    </row>
    <row r="6046" spans="2:5" ht="14.25" customHeight="1" x14ac:dyDescent="0.25">
      <c r="B6046" s="103"/>
      <c r="D6046" s="80"/>
      <c r="E6046" s="80"/>
    </row>
    <row r="6047" spans="2:5" ht="14.25" customHeight="1" x14ac:dyDescent="0.25">
      <c r="B6047" s="103"/>
      <c r="D6047" s="80"/>
      <c r="E6047" s="80"/>
    </row>
    <row r="6048" spans="2:5" ht="14.25" customHeight="1" x14ac:dyDescent="0.25">
      <c r="B6048" s="103"/>
      <c r="D6048" s="80"/>
      <c r="E6048" s="80"/>
    </row>
    <row r="6049" spans="2:5" ht="14.25" customHeight="1" x14ac:dyDescent="0.25">
      <c r="B6049" s="103"/>
      <c r="D6049" s="80"/>
      <c r="E6049" s="80"/>
    </row>
    <row r="6050" spans="2:5" ht="14.25" customHeight="1" x14ac:dyDescent="0.25">
      <c r="B6050" s="103"/>
      <c r="D6050" s="80"/>
      <c r="E6050" s="80"/>
    </row>
    <row r="6051" spans="2:5" ht="14.25" customHeight="1" x14ac:dyDescent="0.25">
      <c r="B6051" s="103"/>
      <c r="D6051" s="80"/>
      <c r="E6051" s="80"/>
    </row>
    <row r="6052" spans="2:5" ht="14.25" customHeight="1" x14ac:dyDescent="0.25">
      <c r="B6052" s="103"/>
      <c r="D6052" s="80"/>
      <c r="E6052" s="80"/>
    </row>
    <row r="6053" spans="2:5" ht="14.25" customHeight="1" x14ac:dyDescent="0.25">
      <c r="B6053" s="103"/>
      <c r="D6053" s="80"/>
      <c r="E6053" s="80"/>
    </row>
    <row r="6054" spans="2:5" ht="14.25" customHeight="1" x14ac:dyDescent="0.25">
      <c r="B6054" s="103"/>
      <c r="D6054" s="80"/>
      <c r="E6054" s="80"/>
    </row>
    <row r="6055" spans="2:5" ht="14.25" customHeight="1" x14ac:dyDescent="0.25">
      <c r="B6055" s="103"/>
      <c r="D6055" s="80"/>
      <c r="E6055" s="80"/>
    </row>
    <row r="6056" spans="2:5" ht="14.25" customHeight="1" x14ac:dyDescent="0.25">
      <c r="B6056" s="103"/>
      <c r="D6056" s="80"/>
      <c r="E6056" s="80"/>
    </row>
    <row r="6057" spans="2:5" ht="14.25" customHeight="1" x14ac:dyDescent="0.25">
      <c r="B6057" s="103"/>
      <c r="D6057" s="80"/>
      <c r="E6057" s="80"/>
    </row>
    <row r="6058" spans="2:5" ht="14.25" customHeight="1" x14ac:dyDescent="0.25">
      <c r="B6058" s="103"/>
      <c r="D6058" s="80"/>
      <c r="E6058" s="80"/>
    </row>
    <row r="6059" spans="2:5" ht="14.25" customHeight="1" x14ac:dyDescent="0.25">
      <c r="B6059" s="103"/>
      <c r="D6059" s="80"/>
      <c r="E6059" s="80"/>
    </row>
    <row r="6060" spans="2:5" ht="14.25" customHeight="1" x14ac:dyDescent="0.25">
      <c r="B6060" s="103"/>
      <c r="D6060" s="80"/>
      <c r="E6060" s="80"/>
    </row>
    <row r="6061" spans="2:5" ht="14.25" customHeight="1" x14ac:dyDescent="0.25">
      <c r="B6061" s="103"/>
      <c r="D6061" s="80"/>
      <c r="E6061" s="80"/>
    </row>
    <row r="6062" spans="2:5" ht="14.25" customHeight="1" x14ac:dyDescent="0.25">
      <c r="B6062" s="103"/>
      <c r="D6062" s="80"/>
      <c r="E6062" s="80"/>
    </row>
    <row r="6063" spans="2:5" ht="14.25" customHeight="1" x14ac:dyDescent="0.25">
      <c r="B6063" s="103"/>
      <c r="D6063" s="80"/>
      <c r="E6063" s="80"/>
    </row>
    <row r="6064" spans="2:5" ht="14.25" customHeight="1" x14ac:dyDescent="0.25">
      <c r="B6064" s="103"/>
      <c r="D6064" s="80"/>
      <c r="E6064" s="80"/>
    </row>
    <row r="6065" spans="2:5" ht="14.25" customHeight="1" x14ac:dyDescent="0.25">
      <c r="B6065" s="103"/>
      <c r="D6065" s="80"/>
      <c r="E6065" s="80"/>
    </row>
    <row r="6066" spans="2:5" ht="14.25" customHeight="1" x14ac:dyDescent="0.25">
      <c r="B6066" s="103"/>
      <c r="D6066" s="80"/>
      <c r="E6066" s="80"/>
    </row>
    <row r="6067" spans="2:5" ht="14.25" customHeight="1" x14ac:dyDescent="0.25">
      <c r="B6067" s="103"/>
      <c r="D6067" s="80"/>
      <c r="E6067" s="80"/>
    </row>
    <row r="6068" spans="2:5" ht="14.25" customHeight="1" x14ac:dyDescent="0.25">
      <c r="B6068" s="103"/>
      <c r="D6068" s="80"/>
      <c r="E6068" s="80"/>
    </row>
    <row r="6069" spans="2:5" ht="14.25" customHeight="1" x14ac:dyDescent="0.25">
      <c r="B6069" s="103"/>
      <c r="D6069" s="80"/>
      <c r="E6069" s="80"/>
    </row>
    <row r="6070" spans="2:5" ht="14.25" customHeight="1" x14ac:dyDescent="0.25">
      <c r="B6070" s="103"/>
      <c r="D6070" s="80"/>
      <c r="E6070" s="80"/>
    </row>
    <row r="6071" spans="2:5" ht="14.25" customHeight="1" x14ac:dyDescent="0.25">
      <c r="B6071" s="103"/>
      <c r="D6071" s="80"/>
      <c r="E6071" s="80"/>
    </row>
    <row r="6072" spans="2:5" ht="14.25" customHeight="1" x14ac:dyDescent="0.25">
      <c r="B6072" s="103"/>
      <c r="D6072" s="80"/>
      <c r="E6072" s="80"/>
    </row>
    <row r="6073" spans="2:5" ht="14.25" customHeight="1" x14ac:dyDescent="0.25">
      <c r="B6073" s="103"/>
      <c r="D6073" s="80"/>
      <c r="E6073" s="80"/>
    </row>
    <row r="6074" spans="2:5" ht="14.25" customHeight="1" x14ac:dyDescent="0.25">
      <c r="B6074" s="103"/>
      <c r="D6074" s="80"/>
      <c r="E6074" s="80"/>
    </row>
    <row r="6075" spans="2:5" ht="14.25" customHeight="1" x14ac:dyDescent="0.25">
      <c r="B6075" s="103"/>
      <c r="D6075" s="80"/>
      <c r="E6075" s="80"/>
    </row>
    <row r="6076" spans="2:5" ht="14.25" customHeight="1" x14ac:dyDescent="0.25">
      <c r="B6076" s="103"/>
      <c r="D6076" s="80"/>
      <c r="E6076" s="80"/>
    </row>
    <row r="6077" spans="2:5" ht="14.25" customHeight="1" x14ac:dyDescent="0.25">
      <c r="B6077" s="103"/>
      <c r="D6077" s="80"/>
      <c r="E6077" s="80"/>
    </row>
    <row r="6078" spans="2:5" ht="14.25" customHeight="1" x14ac:dyDescent="0.25">
      <c r="B6078" s="103"/>
      <c r="D6078" s="80"/>
      <c r="E6078" s="80"/>
    </row>
    <row r="6079" spans="2:5" ht="14.25" customHeight="1" x14ac:dyDescent="0.25">
      <c r="B6079" s="103"/>
      <c r="D6079" s="80"/>
      <c r="E6079" s="80"/>
    </row>
    <row r="6080" spans="2:5" ht="14.25" customHeight="1" x14ac:dyDescent="0.25">
      <c r="B6080" s="103"/>
      <c r="D6080" s="80"/>
      <c r="E6080" s="80"/>
    </row>
    <row r="6081" spans="2:5" ht="14.25" customHeight="1" x14ac:dyDescent="0.25">
      <c r="B6081" s="103"/>
      <c r="D6081" s="80"/>
      <c r="E6081" s="80"/>
    </row>
    <row r="6082" spans="2:5" ht="14.25" customHeight="1" x14ac:dyDescent="0.25">
      <c r="B6082" s="103"/>
      <c r="D6082" s="80"/>
      <c r="E6082" s="80"/>
    </row>
    <row r="6083" spans="2:5" ht="14.25" customHeight="1" x14ac:dyDescent="0.25">
      <c r="B6083" s="103"/>
      <c r="D6083" s="80"/>
      <c r="E6083" s="80"/>
    </row>
    <row r="6084" spans="2:5" ht="14.25" customHeight="1" x14ac:dyDescent="0.25">
      <c r="B6084" s="103"/>
      <c r="D6084" s="80"/>
      <c r="E6084" s="80"/>
    </row>
    <row r="6085" spans="2:5" ht="14.25" customHeight="1" x14ac:dyDescent="0.25">
      <c r="B6085" s="103"/>
      <c r="D6085" s="80"/>
      <c r="E6085" s="80"/>
    </row>
    <row r="6086" spans="2:5" ht="14.25" customHeight="1" x14ac:dyDescent="0.25">
      <c r="B6086" s="103"/>
      <c r="D6086" s="80"/>
      <c r="E6086" s="80"/>
    </row>
    <row r="6087" spans="2:5" ht="14.25" customHeight="1" x14ac:dyDescent="0.25">
      <c r="B6087" s="103"/>
      <c r="D6087" s="80"/>
      <c r="E6087" s="80"/>
    </row>
    <row r="6088" spans="2:5" ht="14.25" customHeight="1" x14ac:dyDescent="0.25">
      <c r="B6088" s="103"/>
      <c r="D6088" s="80"/>
      <c r="E6088" s="80"/>
    </row>
    <row r="6089" spans="2:5" ht="14.25" customHeight="1" x14ac:dyDescent="0.25">
      <c r="B6089" s="103"/>
      <c r="D6089" s="80"/>
      <c r="E6089" s="80"/>
    </row>
    <row r="6090" spans="2:5" ht="14.25" customHeight="1" x14ac:dyDescent="0.25">
      <c r="B6090" s="103"/>
      <c r="D6090" s="80"/>
      <c r="E6090" s="80"/>
    </row>
    <row r="6091" spans="2:5" ht="14.25" customHeight="1" x14ac:dyDescent="0.25">
      <c r="B6091" s="103"/>
      <c r="D6091" s="80"/>
      <c r="E6091" s="80"/>
    </row>
    <row r="6092" spans="2:5" ht="14.25" customHeight="1" x14ac:dyDescent="0.25">
      <c r="B6092" s="103"/>
      <c r="D6092" s="80"/>
      <c r="E6092" s="80"/>
    </row>
    <row r="6093" spans="2:5" ht="14.25" customHeight="1" x14ac:dyDescent="0.25">
      <c r="B6093" s="103"/>
      <c r="D6093" s="80"/>
      <c r="E6093" s="80"/>
    </row>
    <row r="6094" spans="2:5" ht="14.25" customHeight="1" x14ac:dyDescent="0.25">
      <c r="B6094" s="103"/>
      <c r="D6094" s="80"/>
      <c r="E6094" s="80"/>
    </row>
    <row r="6095" spans="2:5" ht="14.25" customHeight="1" x14ac:dyDescent="0.25">
      <c r="B6095" s="103"/>
      <c r="D6095" s="80"/>
      <c r="E6095" s="80"/>
    </row>
    <row r="6096" spans="2:5" ht="14.25" customHeight="1" x14ac:dyDescent="0.25">
      <c r="B6096" s="103"/>
      <c r="D6096" s="80"/>
      <c r="E6096" s="80"/>
    </row>
    <row r="6097" spans="2:5" ht="14.25" customHeight="1" x14ac:dyDescent="0.25">
      <c r="B6097" s="103"/>
      <c r="D6097" s="80"/>
      <c r="E6097" s="80"/>
    </row>
    <row r="6098" spans="2:5" ht="14.25" customHeight="1" x14ac:dyDescent="0.25">
      <c r="B6098" s="103"/>
      <c r="D6098" s="80"/>
      <c r="E6098" s="80"/>
    </row>
    <row r="6099" spans="2:5" ht="14.25" customHeight="1" x14ac:dyDescent="0.25">
      <c r="B6099" s="103"/>
      <c r="D6099" s="80"/>
      <c r="E6099" s="80"/>
    </row>
    <row r="6100" spans="2:5" ht="14.25" customHeight="1" x14ac:dyDescent="0.25">
      <c r="B6100" s="103"/>
      <c r="D6100" s="80"/>
      <c r="E6100" s="80"/>
    </row>
    <row r="6101" spans="2:5" ht="14.25" customHeight="1" x14ac:dyDescent="0.25">
      <c r="B6101" s="103"/>
      <c r="D6101" s="80"/>
      <c r="E6101" s="80"/>
    </row>
    <row r="6102" spans="2:5" ht="14.25" customHeight="1" x14ac:dyDescent="0.25">
      <c r="B6102" s="103"/>
      <c r="D6102" s="80"/>
      <c r="E6102" s="80"/>
    </row>
    <row r="6103" spans="2:5" ht="14.25" customHeight="1" x14ac:dyDescent="0.25">
      <c r="B6103" s="103"/>
      <c r="D6103" s="80"/>
      <c r="E6103" s="80"/>
    </row>
    <row r="6104" spans="2:5" ht="14.25" customHeight="1" x14ac:dyDescent="0.25">
      <c r="B6104" s="103"/>
      <c r="D6104" s="80"/>
      <c r="E6104" s="80"/>
    </row>
    <row r="6105" spans="2:5" ht="14.25" customHeight="1" x14ac:dyDescent="0.25">
      <c r="B6105" s="103"/>
      <c r="D6105" s="80"/>
      <c r="E6105" s="80"/>
    </row>
    <row r="6106" spans="2:5" ht="14.25" customHeight="1" x14ac:dyDescent="0.25">
      <c r="B6106" s="103"/>
      <c r="D6106" s="80"/>
      <c r="E6106" s="80"/>
    </row>
    <row r="6107" spans="2:5" ht="14.25" customHeight="1" x14ac:dyDescent="0.25">
      <c r="B6107" s="103"/>
      <c r="D6107" s="80"/>
      <c r="E6107" s="80"/>
    </row>
    <row r="6108" spans="2:5" ht="14.25" customHeight="1" x14ac:dyDescent="0.25">
      <c r="B6108" s="103"/>
      <c r="D6108" s="80"/>
      <c r="E6108" s="80"/>
    </row>
    <row r="6109" spans="2:5" ht="14.25" customHeight="1" x14ac:dyDescent="0.25">
      <c r="B6109" s="103"/>
      <c r="D6109" s="80"/>
      <c r="E6109" s="80"/>
    </row>
    <row r="6110" spans="2:5" ht="14.25" customHeight="1" x14ac:dyDescent="0.25">
      <c r="B6110" s="103"/>
      <c r="D6110" s="80"/>
      <c r="E6110" s="80"/>
    </row>
    <row r="6111" spans="2:5" ht="14.25" customHeight="1" x14ac:dyDescent="0.25">
      <c r="B6111" s="103"/>
      <c r="D6111" s="80"/>
      <c r="E6111" s="80"/>
    </row>
    <row r="6112" spans="2:5" ht="14.25" customHeight="1" x14ac:dyDescent="0.25">
      <c r="B6112" s="103"/>
      <c r="D6112" s="80"/>
      <c r="E6112" s="80"/>
    </row>
    <row r="6113" spans="2:5" ht="14.25" customHeight="1" x14ac:dyDescent="0.25">
      <c r="B6113" s="103"/>
      <c r="D6113" s="80"/>
      <c r="E6113" s="80"/>
    </row>
    <row r="6114" spans="2:5" ht="14.25" customHeight="1" x14ac:dyDescent="0.25">
      <c r="B6114" s="103"/>
      <c r="D6114" s="80"/>
      <c r="E6114" s="80"/>
    </row>
    <row r="6115" spans="2:5" ht="14.25" customHeight="1" x14ac:dyDescent="0.25">
      <c r="B6115" s="103"/>
      <c r="D6115" s="80"/>
      <c r="E6115" s="80"/>
    </row>
    <row r="6116" spans="2:5" ht="14.25" customHeight="1" x14ac:dyDescent="0.25">
      <c r="B6116" s="103"/>
      <c r="D6116" s="80"/>
      <c r="E6116" s="80"/>
    </row>
    <row r="6117" spans="2:5" ht="14.25" customHeight="1" x14ac:dyDescent="0.25">
      <c r="B6117" s="103"/>
      <c r="D6117" s="80"/>
      <c r="E6117" s="80"/>
    </row>
    <row r="6118" spans="2:5" ht="14.25" customHeight="1" x14ac:dyDescent="0.25">
      <c r="B6118" s="103"/>
      <c r="D6118" s="80"/>
      <c r="E6118" s="80"/>
    </row>
    <row r="6119" spans="2:5" ht="14.25" customHeight="1" x14ac:dyDescent="0.25">
      <c r="B6119" s="103"/>
      <c r="D6119" s="80"/>
      <c r="E6119" s="80"/>
    </row>
    <row r="6120" spans="2:5" ht="14.25" customHeight="1" x14ac:dyDescent="0.25">
      <c r="B6120" s="103"/>
      <c r="D6120" s="80"/>
      <c r="E6120" s="80"/>
    </row>
    <row r="6121" spans="2:5" ht="14.25" customHeight="1" x14ac:dyDescent="0.25">
      <c r="B6121" s="103"/>
      <c r="D6121" s="80"/>
      <c r="E6121" s="80"/>
    </row>
    <row r="6122" spans="2:5" ht="14.25" customHeight="1" x14ac:dyDescent="0.25">
      <c r="B6122" s="103"/>
      <c r="D6122" s="80"/>
      <c r="E6122" s="80"/>
    </row>
    <row r="6123" spans="2:5" ht="14.25" customHeight="1" x14ac:dyDescent="0.25">
      <c r="B6123" s="103"/>
      <c r="D6123" s="80"/>
      <c r="E6123" s="80"/>
    </row>
    <row r="6124" spans="2:5" ht="14.25" customHeight="1" x14ac:dyDescent="0.25">
      <c r="B6124" s="103"/>
      <c r="D6124" s="80"/>
      <c r="E6124" s="80"/>
    </row>
    <row r="6125" spans="2:5" ht="14.25" customHeight="1" x14ac:dyDescent="0.25">
      <c r="B6125" s="103"/>
      <c r="D6125" s="80"/>
      <c r="E6125" s="80"/>
    </row>
    <row r="6126" spans="2:5" ht="14.25" customHeight="1" x14ac:dyDescent="0.25">
      <c r="B6126" s="103"/>
      <c r="D6126" s="80"/>
      <c r="E6126" s="80"/>
    </row>
    <row r="6127" spans="2:5" ht="14.25" customHeight="1" x14ac:dyDescent="0.25">
      <c r="B6127" s="103"/>
      <c r="D6127" s="80"/>
      <c r="E6127" s="80"/>
    </row>
    <row r="6128" spans="2:5" ht="14.25" customHeight="1" x14ac:dyDescent="0.25">
      <c r="B6128" s="103"/>
      <c r="D6128" s="80"/>
      <c r="E6128" s="80"/>
    </row>
    <row r="6129" spans="2:5" ht="14.25" customHeight="1" x14ac:dyDescent="0.25">
      <c r="B6129" s="103"/>
      <c r="D6129" s="80"/>
      <c r="E6129" s="80"/>
    </row>
    <row r="6130" spans="2:5" ht="14.25" customHeight="1" x14ac:dyDescent="0.25">
      <c r="B6130" s="103"/>
      <c r="D6130" s="80"/>
      <c r="E6130" s="80"/>
    </row>
    <row r="6131" spans="2:5" ht="14.25" customHeight="1" x14ac:dyDescent="0.25">
      <c r="B6131" s="103"/>
      <c r="D6131" s="80"/>
      <c r="E6131" s="80"/>
    </row>
    <row r="6132" spans="2:5" ht="14.25" customHeight="1" x14ac:dyDescent="0.25">
      <c r="B6132" s="103"/>
      <c r="D6132" s="80"/>
      <c r="E6132" s="80"/>
    </row>
    <row r="6133" spans="2:5" ht="14.25" customHeight="1" x14ac:dyDescent="0.25">
      <c r="B6133" s="103"/>
      <c r="D6133" s="80"/>
      <c r="E6133" s="80"/>
    </row>
    <row r="6134" spans="2:5" ht="14.25" customHeight="1" x14ac:dyDescent="0.25">
      <c r="B6134" s="103"/>
      <c r="D6134" s="80"/>
      <c r="E6134" s="80"/>
    </row>
    <row r="6135" spans="2:5" ht="14.25" customHeight="1" x14ac:dyDescent="0.25">
      <c r="B6135" s="103"/>
      <c r="D6135" s="80"/>
      <c r="E6135" s="80"/>
    </row>
    <row r="6136" spans="2:5" ht="14.25" customHeight="1" x14ac:dyDescent="0.25">
      <c r="B6136" s="103"/>
      <c r="D6136" s="80"/>
      <c r="E6136" s="80"/>
    </row>
    <row r="6137" spans="2:5" ht="14.25" customHeight="1" x14ac:dyDescent="0.25">
      <c r="B6137" s="103"/>
      <c r="D6137" s="80"/>
      <c r="E6137" s="80"/>
    </row>
    <row r="6138" spans="2:5" ht="14.25" customHeight="1" x14ac:dyDescent="0.25">
      <c r="B6138" s="103"/>
      <c r="D6138" s="80"/>
      <c r="E6138" s="80"/>
    </row>
    <row r="6139" spans="2:5" ht="14.25" customHeight="1" x14ac:dyDescent="0.25">
      <c r="B6139" s="103"/>
      <c r="D6139" s="80"/>
      <c r="E6139" s="80"/>
    </row>
    <row r="6140" spans="2:5" ht="14.25" customHeight="1" x14ac:dyDescent="0.25">
      <c r="B6140" s="103"/>
      <c r="D6140" s="80"/>
      <c r="E6140" s="80"/>
    </row>
    <row r="6141" spans="2:5" ht="14.25" customHeight="1" x14ac:dyDescent="0.25">
      <c r="B6141" s="103"/>
      <c r="D6141" s="80"/>
      <c r="E6141" s="80"/>
    </row>
    <row r="6142" spans="2:5" ht="14.25" customHeight="1" x14ac:dyDescent="0.25">
      <c r="B6142" s="103"/>
      <c r="D6142" s="80"/>
      <c r="E6142" s="80"/>
    </row>
    <row r="6143" spans="2:5" ht="14.25" customHeight="1" x14ac:dyDescent="0.25">
      <c r="B6143" s="103"/>
      <c r="D6143" s="80"/>
      <c r="E6143" s="80"/>
    </row>
    <row r="6144" spans="2:5" ht="14.25" customHeight="1" x14ac:dyDescent="0.25">
      <c r="B6144" s="103"/>
      <c r="D6144" s="80"/>
      <c r="E6144" s="80"/>
    </row>
    <row r="6145" spans="2:5" ht="14.25" customHeight="1" x14ac:dyDescent="0.25">
      <c r="B6145" s="103"/>
      <c r="D6145" s="80"/>
      <c r="E6145" s="80"/>
    </row>
    <row r="6146" spans="2:5" ht="14.25" customHeight="1" x14ac:dyDescent="0.25">
      <c r="B6146" s="103"/>
      <c r="D6146" s="80"/>
      <c r="E6146" s="80"/>
    </row>
    <row r="6147" spans="2:5" ht="14.25" customHeight="1" x14ac:dyDescent="0.25">
      <c r="B6147" s="103"/>
      <c r="D6147" s="80"/>
      <c r="E6147" s="80"/>
    </row>
    <row r="6148" spans="2:5" ht="14.25" customHeight="1" x14ac:dyDescent="0.25">
      <c r="B6148" s="103"/>
      <c r="D6148" s="80"/>
      <c r="E6148" s="80"/>
    </row>
    <row r="6149" spans="2:5" ht="14.25" customHeight="1" x14ac:dyDescent="0.25">
      <c r="B6149" s="103"/>
      <c r="D6149" s="80"/>
      <c r="E6149" s="80"/>
    </row>
    <row r="6150" spans="2:5" ht="14.25" customHeight="1" x14ac:dyDescent="0.25">
      <c r="B6150" s="103"/>
      <c r="D6150" s="80"/>
      <c r="E6150" s="80"/>
    </row>
    <row r="6151" spans="2:5" ht="14.25" customHeight="1" x14ac:dyDescent="0.25">
      <c r="B6151" s="103"/>
      <c r="D6151" s="80"/>
      <c r="E6151" s="80"/>
    </row>
    <row r="6152" spans="2:5" ht="14.25" customHeight="1" x14ac:dyDescent="0.25">
      <c r="B6152" s="103"/>
      <c r="D6152" s="80"/>
      <c r="E6152" s="80"/>
    </row>
    <row r="6153" spans="2:5" ht="14.25" customHeight="1" x14ac:dyDescent="0.25">
      <c r="B6153" s="103"/>
      <c r="D6153" s="80"/>
      <c r="E6153" s="80"/>
    </row>
    <row r="6154" spans="2:5" ht="14.25" customHeight="1" x14ac:dyDescent="0.25">
      <c r="B6154" s="103"/>
      <c r="D6154" s="80"/>
      <c r="E6154" s="80"/>
    </row>
    <row r="6155" spans="2:5" ht="14.25" customHeight="1" x14ac:dyDescent="0.25">
      <c r="B6155" s="103"/>
      <c r="D6155" s="80"/>
      <c r="E6155" s="80"/>
    </row>
    <row r="6156" spans="2:5" ht="14.25" customHeight="1" x14ac:dyDescent="0.25">
      <c r="B6156" s="103"/>
      <c r="D6156" s="80"/>
      <c r="E6156" s="80"/>
    </row>
    <row r="6157" spans="2:5" ht="14.25" customHeight="1" x14ac:dyDescent="0.25">
      <c r="B6157" s="103"/>
      <c r="D6157" s="80"/>
      <c r="E6157" s="80"/>
    </row>
    <row r="6158" spans="2:5" ht="14.25" customHeight="1" x14ac:dyDescent="0.25">
      <c r="B6158" s="103"/>
      <c r="D6158" s="80"/>
      <c r="E6158" s="80"/>
    </row>
    <row r="6159" spans="2:5" ht="14.25" customHeight="1" x14ac:dyDescent="0.25">
      <c r="B6159" s="103"/>
      <c r="D6159" s="80"/>
      <c r="E6159" s="80"/>
    </row>
    <row r="6160" spans="2:5" ht="14.25" customHeight="1" x14ac:dyDescent="0.25">
      <c r="B6160" s="103"/>
      <c r="D6160" s="80"/>
      <c r="E6160" s="80"/>
    </row>
    <row r="6161" spans="2:5" ht="14.25" customHeight="1" x14ac:dyDescent="0.25">
      <c r="B6161" s="103"/>
      <c r="D6161" s="80"/>
      <c r="E6161" s="80"/>
    </row>
    <row r="6162" spans="2:5" ht="14.25" customHeight="1" x14ac:dyDescent="0.25">
      <c r="B6162" s="103"/>
      <c r="D6162" s="80"/>
      <c r="E6162" s="80"/>
    </row>
    <row r="6163" spans="2:5" ht="14.25" customHeight="1" x14ac:dyDescent="0.25">
      <c r="B6163" s="103"/>
      <c r="D6163" s="80"/>
      <c r="E6163" s="80"/>
    </row>
    <row r="6164" spans="2:5" ht="14.25" customHeight="1" x14ac:dyDescent="0.25">
      <c r="B6164" s="103"/>
      <c r="D6164" s="80"/>
      <c r="E6164" s="80"/>
    </row>
    <row r="6165" spans="2:5" ht="14.25" customHeight="1" x14ac:dyDescent="0.25">
      <c r="B6165" s="103"/>
      <c r="D6165" s="80"/>
      <c r="E6165" s="80"/>
    </row>
    <row r="6166" spans="2:5" ht="14.25" customHeight="1" x14ac:dyDescent="0.25">
      <c r="B6166" s="103"/>
      <c r="D6166" s="80"/>
      <c r="E6166" s="80"/>
    </row>
    <row r="6167" spans="2:5" ht="14.25" customHeight="1" x14ac:dyDescent="0.25">
      <c r="B6167" s="103"/>
      <c r="D6167" s="80"/>
      <c r="E6167" s="80"/>
    </row>
    <row r="6168" spans="2:5" ht="14.25" customHeight="1" x14ac:dyDescent="0.25">
      <c r="B6168" s="103"/>
      <c r="D6168" s="80"/>
      <c r="E6168" s="80"/>
    </row>
    <row r="6169" spans="2:5" ht="14.25" customHeight="1" x14ac:dyDescent="0.25">
      <c r="B6169" s="103"/>
      <c r="D6169" s="80"/>
      <c r="E6169" s="80"/>
    </row>
    <row r="6170" spans="2:5" ht="14.25" customHeight="1" x14ac:dyDescent="0.25">
      <c r="B6170" s="103"/>
      <c r="D6170" s="80"/>
      <c r="E6170" s="80"/>
    </row>
    <row r="6171" spans="2:5" ht="14.25" customHeight="1" x14ac:dyDescent="0.25">
      <c r="B6171" s="103"/>
      <c r="D6171" s="80"/>
      <c r="E6171" s="80"/>
    </row>
    <row r="6172" spans="2:5" ht="14.25" customHeight="1" x14ac:dyDescent="0.25">
      <c r="B6172" s="103"/>
      <c r="D6172" s="80"/>
      <c r="E6172" s="80"/>
    </row>
    <row r="6173" spans="2:5" ht="14.25" customHeight="1" x14ac:dyDescent="0.25">
      <c r="B6173" s="103"/>
      <c r="D6173" s="80"/>
      <c r="E6173" s="80"/>
    </row>
    <row r="6174" spans="2:5" ht="14.25" customHeight="1" x14ac:dyDescent="0.25">
      <c r="B6174" s="103"/>
      <c r="D6174" s="80"/>
      <c r="E6174" s="80"/>
    </row>
    <row r="6175" spans="2:5" ht="14.25" customHeight="1" x14ac:dyDescent="0.25">
      <c r="B6175" s="103"/>
      <c r="D6175" s="80"/>
      <c r="E6175" s="80"/>
    </row>
    <row r="6176" spans="2:5" ht="14.25" customHeight="1" x14ac:dyDescent="0.25">
      <c r="B6176" s="103"/>
      <c r="D6176" s="80"/>
      <c r="E6176" s="80"/>
    </row>
    <row r="6177" spans="2:5" ht="14.25" customHeight="1" x14ac:dyDescent="0.25">
      <c r="B6177" s="103"/>
      <c r="D6177" s="80"/>
      <c r="E6177" s="80"/>
    </row>
    <row r="6178" spans="2:5" ht="14.25" customHeight="1" x14ac:dyDescent="0.25">
      <c r="B6178" s="103"/>
      <c r="D6178" s="80"/>
      <c r="E6178" s="80"/>
    </row>
    <row r="6179" spans="2:5" ht="14.25" customHeight="1" x14ac:dyDescent="0.25">
      <c r="B6179" s="103"/>
      <c r="D6179" s="80"/>
      <c r="E6179" s="80"/>
    </row>
    <row r="6180" spans="2:5" ht="14.25" customHeight="1" x14ac:dyDescent="0.25">
      <c r="B6180" s="103"/>
      <c r="D6180" s="80"/>
      <c r="E6180" s="80"/>
    </row>
    <row r="6181" spans="2:5" ht="14.25" customHeight="1" x14ac:dyDescent="0.25">
      <c r="B6181" s="103"/>
      <c r="D6181" s="80"/>
      <c r="E6181" s="80"/>
    </row>
    <row r="6182" spans="2:5" ht="14.25" customHeight="1" x14ac:dyDescent="0.25">
      <c r="B6182" s="103"/>
      <c r="D6182" s="80"/>
      <c r="E6182" s="80"/>
    </row>
    <row r="6183" spans="2:5" ht="14.25" customHeight="1" x14ac:dyDescent="0.25">
      <c r="B6183" s="103"/>
      <c r="D6183" s="80"/>
      <c r="E6183" s="80"/>
    </row>
    <row r="6184" spans="2:5" ht="14.25" customHeight="1" x14ac:dyDescent="0.25">
      <c r="B6184" s="103"/>
      <c r="D6184" s="80"/>
      <c r="E6184" s="80"/>
    </row>
    <row r="6185" spans="2:5" ht="14.25" customHeight="1" x14ac:dyDescent="0.25">
      <c r="B6185" s="103"/>
      <c r="D6185" s="80"/>
      <c r="E6185" s="80"/>
    </row>
    <row r="6186" spans="2:5" ht="14.25" customHeight="1" x14ac:dyDescent="0.25">
      <c r="B6186" s="103"/>
      <c r="D6186" s="80"/>
      <c r="E6186" s="80"/>
    </row>
    <row r="6187" spans="2:5" ht="14.25" customHeight="1" x14ac:dyDescent="0.25">
      <c r="B6187" s="103"/>
      <c r="D6187" s="80"/>
      <c r="E6187" s="80"/>
    </row>
    <row r="6188" spans="2:5" ht="14.25" customHeight="1" x14ac:dyDescent="0.25">
      <c r="B6188" s="103"/>
      <c r="D6188" s="80"/>
      <c r="E6188" s="80"/>
    </row>
    <row r="6189" spans="2:5" ht="14.25" customHeight="1" x14ac:dyDescent="0.25">
      <c r="B6189" s="103"/>
      <c r="D6189" s="80"/>
      <c r="E6189" s="80"/>
    </row>
    <row r="6190" spans="2:5" ht="14.25" customHeight="1" x14ac:dyDescent="0.25">
      <c r="B6190" s="103"/>
      <c r="D6190" s="80"/>
      <c r="E6190" s="80"/>
    </row>
    <row r="6191" spans="2:5" ht="14.25" customHeight="1" x14ac:dyDescent="0.25">
      <c r="B6191" s="103"/>
      <c r="D6191" s="80"/>
      <c r="E6191" s="80"/>
    </row>
    <row r="6192" spans="2:5" ht="14.25" customHeight="1" x14ac:dyDescent="0.25">
      <c r="B6192" s="103"/>
      <c r="D6192" s="80"/>
      <c r="E6192" s="80"/>
    </row>
    <row r="6193" spans="2:5" ht="14.25" customHeight="1" x14ac:dyDescent="0.25">
      <c r="B6193" s="103"/>
      <c r="D6193" s="80"/>
      <c r="E6193" s="80"/>
    </row>
    <row r="6194" spans="2:5" ht="14.25" customHeight="1" x14ac:dyDescent="0.25">
      <c r="B6194" s="103"/>
      <c r="D6194" s="80"/>
      <c r="E6194" s="80"/>
    </row>
    <row r="6195" spans="2:5" ht="14.25" customHeight="1" x14ac:dyDescent="0.25">
      <c r="B6195" s="103"/>
      <c r="D6195" s="80"/>
      <c r="E6195" s="80"/>
    </row>
    <row r="6196" spans="2:5" ht="14.25" customHeight="1" x14ac:dyDescent="0.25">
      <c r="B6196" s="103"/>
      <c r="D6196" s="80"/>
      <c r="E6196" s="80"/>
    </row>
    <row r="6197" spans="2:5" ht="14.25" customHeight="1" x14ac:dyDescent="0.25">
      <c r="B6197" s="103"/>
      <c r="D6197" s="80"/>
      <c r="E6197" s="80"/>
    </row>
    <row r="6198" spans="2:5" ht="14.25" customHeight="1" x14ac:dyDescent="0.25">
      <c r="B6198" s="103"/>
      <c r="D6198" s="80"/>
      <c r="E6198" s="80"/>
    </row>
    <row r="6199" spans="2:5" ht="14.25" customHeight="1" x14ac:dyDescent="0.25">
      <c r="B6199" s="103"/>
      <c r="D6199" s="80"/>
      <c r="E6199" s="80"/>
    </row>
    <row r="6200" spans="2:5" ht="14.25" customHeight="1" x14ac:dyDescent="0.25">
      <c r="B6200" s="103"/>
      <c r="D6200" s="80"/>
      <c r="E6200" s="80"/>
    </row>
    <row r="6201" spans="2:5" ht="14.25" customHeight="1" x14ac:dyDescent="0.25">
      <c r="B6201" s="103"/>
      <c r="D6201" s="80"/>
      <c r="E6201" s="80"/>
    </row>
    <row r="6202" spans="2:5" ht="14.25" customHeight="1" x14ac:dyDescent="0.25">
      <c r="B6202" s="103"/>
      <c r="D6202" s="80"/>
      <c r="E6202" s="80"/>
    </row>
    <row r="6203" spans="2:5" ht="14.25" customHeight="1" x14ac:dyDescent="0.25">
      <c r="B6203" s="103"/>
      <c r="D6203" s="80"/>
      <c r="E6203" s="80"/>
    </row>
    <row r="6204" spans="2:5" ht="14.25" customHeight="1" x14ac:dyDescent="0.25">
      <c r="B6204" s="103"/>
      <c r="D6204" s="80"/>
      <c r="E6204" s="80"/>
    </row>
    <row r="6205" spans="2:5" ht="14.25" customHeight="1" x14ac:dyDescent="0.25">
      <c r="B6205" s="103"/>
      <c r="D6205" s="80"/>
      <c r="E6205" s="80"/>
    </row>
    <row r="6206" spans="2:5" ht="14.25" customHeight="1" x14ac:dyDescent="0.25">
      <c r="B6206" s="103"/>
      <c r="D6206" s="80"/>
      <c r="E6206" s="80"/>
    </row>
    <row r="6207" spans="2:5" ht="14.25" customHeight="1" x14ac:dyDescent="0.25">
      <c r="B6207" s="103"/>
      <c r="D6207" s="80"/>
      <c r="E6207" s="80"/>
    </row>
    <row r="6208" spans="2:5" ht="14.25" customHeight="1" x14ac:dyDescent="0.25">
      <c r="B6208" s="103"/>
      <c r="D6208" s="80"/>
      <c r="E6208" s="80"/>
    </row>
    <row r="6209" spans="2:5" ht="14.25" customHeight="1" x14ac:dyDescent="0.25">
      <c r="B6209" s="103"/>
      <c r="D6209" s="80"/>
      <c r="E6209" s="80"/>
    </row>
    <row r="6210" spans="2:5" ht="14.25" customHeight="1" x14ac:dyDescent="0.25">
      <c r="B6210" s="103"/>
      <c r="D6210" s="80"/>
      <c r="E6210" s="80"/>
    </row>
    <row r="6211" spans="2:5" ht="14.25" customHeight="1" x14ac:dyDescent="0.25">
      <c r="B6211" s="103"/>
      <c r="D6211" s="80"/>
      <c r="E6211" s="80"/>
    </row>
    <row r="6212" spans="2:5" ht="14.25" customHeight="1" x14ac:dyDescent="0.25">
      <c r="B6212" s="103"/>
      <c r="D6212" s="80"/>
      <c r="E6212" s="80"/>
    </row>
    <row r="6213" spans="2:5" ht="14.25" customHeight="1" x14ac:dyDescent="0.25">
      <c r="B6213" s="103"/>
      <c r="D6213" s="80"/>
      <c r="E6213" s="80"/>
    </row>
    <row r="6214" spans="2:5" ht="14.25" customHeight="1" x14ac:dyDescent="0.25">
      <c r="B6214" s="103"/>
      <c r="D6214" s="80"/>
      <c r="E6214" s="80"/>
    </row>
    <row r="6215" spans="2:5" ht="14.25" customHeight="1" x14ac:dyDescent="0.25">
      <c r="B6215" s="103"/>
      <c r="D6215" s="80"/>
      <c r="E6215" s="80"/>
    </row>
    <row r="6216" spans="2:5" ht="14.25" customHeight="1" x14ac:dyDescent="0.25">
      <c r="B6216" s="103"/>
      <c r="D6216" s="80"/>
      <c r="E6216" s="80"/>
    </row>
    <row r="6217" spans="2:5" ht="14.25" customHeight="1" x14ac:dyDescent="0.25">
      <c r="B6217" s="103"/>
      <c r="D6217" s="80"/>
      <c r="E6217" s="80"/>
    </row>
    <row r="6218" spans="2:5" ht="14.25" customHeight="1" x14ac:dyDescent="0.25">
      <c r="B6218" s="103"/>
      <c r="D6218" s="80"/>
      <c r="E6218" s="80"/>
    </row>
    <row r="6219" spans="2:5" ht="14.25" customHeight="1" x14ac:dyDescent="0.25">
      <c r="B6219" s="103"/>
      <c r="D6219" s="80"/>
      <c r="E6219" s="80"/>
    </row>
    <row r="6220" spans="2:5" ht="14.25" customHeight="1" x14ac:dyDescent="0.25">
      <c r="B6220" s="103"/>
      <c r="D6220" s="80"/>
      <c r="E6220" s="80"/>
    </row>
    <row r="6221" spans="2:5" ht="14.25" customHeight="1" x14ac:dyDescent="0.25">
      <c r="B6221" s="103"/>
      <c r="D6221" s="80"/>
      <c r="E6221" s="80"/>
    </row>
    <row r="6222" spans="2:5" ht="14.25" customHeight="1" x14ac:dyDescent="0.25">
      <c r="B6222" s="103"/>
      <c r="D6222" s="80"/>
      <c r="E6222" s="80"/>
    </row>
    <row r="6223" spans="2:5" ht="14.25" customHeight="1" x14ac:dyDescent="0.25">
      <c r="B6223" s="103"/>
      <c r="D6223" s="80"/>
      <c r="E6223" s="80"/>
    </row>
    <row r="6224" spans="2:5" ht="14.25" customHeight="1" x14ac:dyDescent="0.25">
      <c r="B6224" s="103"/>
      <c r="D6224" s="80"/>
      <c r="E6224" s="80"/>
    </row>
    <row r="6225" spans="2:5" ht="14.25" customHeight="1" x14ac:dyDescent="0.25">
      <c r="B6225" s="103"/>
      <c r="D6225" s="80"/>
      <c r="E6225" s="80"/>
    </row>
    <row r="6226" spans="2:5" ht="14.25" customHeight="1" x14ac:dyDescent="0.25">
      <c r="B6226" s="103"/>
      <c r="D6226" s="80"/>
      <c r="E6226" s="80"/>
    </row>
    <row r="6227" spans="2:5" ht="14.25" customHeight="1" x14ac:dyDescent="0.25">
      <c r="B6227" s="103"/>
      <c r="D6227" s="80"/>
      <c r="E6227" s="80"/>
    </row>
    <row r="6228" spans="2:5" ht="14.25" customHeight="1" x14ac:dyDescent="0.25">
      <c r="B6228" s="103"/>
      <c r="D6228" s="80"/>
      <c r="E6228" s="80"/>
    </row>
    <row r="6229" spans="2:5" ht="14.25" customHeight="1" x14ac:dyDescent="0.25">
      <c r="B6229" s="103"/>
      <c r="D6229" s="80"/>
      <c r="E6229" s="80"/>
    </row>
    <row r="6230" spans="2:5" ht="14.25" customHeight="1" x14ac:dyDescent="0.25">
      <c r="B6230" s="103"/>
      <c r="D6230" s="80"/>
      <c r="E6230" s="80"/>
    </row>
    <row r="6231" spans="2:5" ht="14.25" customHeight="1" x14ac:dyDescent="0.25">
      <c r="B6231" s="103"/>
      <c r="D6231" s="80"/>
      <c r="E6231" s="80"/>
    </row>
    <row r="6232" spans="2:5" ht="14.25" customHeight="1" x14ac:dyDescent="0.25">
      <c r="B6232" s="103"/>
      <c r="D6232" s="80"/>
      <c r="E6232" s="80"/>
    </row>
    <row r="6233" spans="2:5" ht="14.25" customHeight="1" x14ac:dyDescent="0.25">
      <c r="B6233" s="103"/>
      <c r="D6233" s="80"/>
      <c r="E6233" s="80"/>
    </row>
    <row r="6234" spans="2:5" ht="14.25" customHeight="1" x14ac:dyDescent="0.25">
      <c r="B6234" s="103"/>
      <c r="D6234" s="80"/>
      <c r="E6234" s="80"/>
    </row>
    <row r="6235" spans="2:5" ht="14.25" customHeight="1" x14ac:dyDescent="0.25">
      <c r="B6235" s="103"/>
      <c r="D6235" s="80"/>
      <c r="E6235" s="80"/>
    </row>
    <row r="6236" spans="2:5" ht="14.25" customHeight="1" x14ac:dyDescent="0.25">
      <c r="B6236" s="103"/>
      <c r="D6236" s="80"/>
      <c r="E6236" s="80"/>
    </row>
    <row r="6237" spans="2:5" ht="14.25" customHeight="1" x14ac:dyDescent="0.25">
      <c r="B6237" s="103"/>
      <c r="D6237" s="80"/>
      <c r="E6237" s="80"/>
    </row>
    <row r="6238" spans="2:5" ht="14.25" customHeight="1" x14ac:dyDescent="0.25">
      <c r="B6238" s="103"/>
      <c r="D6238" s="80"/>
      <c r="E6238" s="80"/>
    </row>
    <row r="6239" spans="2:5" ht="14.25" customHeight="1" x14ac:dyDescent="0.25">
      <c r="B6239" s="103"/>
      <c r="D6239" s="80"/>
      <c r="E6239" s="80"/>
    </row>
    <row r="6240" spans="2:5" ht="14.25" customHeight="1" x14ac:dyDescent="0.25">
      <c r="B6240" s="103"/>
      <c r="D6240" s="80"/>
      <c r="E6240" s="80"/>
    </row>
    <row r="6241" spans="2:5" ht="14.25" customHeight="1" x14ac:dyDescent="0.25">
      <c r="B6241" s="103"/>
      <c r="D6241" s="80"/>
      <c r="E6241" s="80"/>
    </row>
    <row r="6242" spans="2:5" ht="14.25" customHeight="1" x14ac:dyDescent="0.25">
      <c r="B6242" s="103"/>
      <c r="D6242" s="80"/>
      <c r="E6242" s="80"/>
    </row>
    <row r="6243" spans="2:5" ht="14.25" customHeight="1" x14ac:dyDescent="0.25">
      <c r="B6243" s="103"/>
      <c r="D6243" s="80"/>
      <c r="E6243" s="80"/>
    </row>
    <row r="6244" spans="2:5" ht="14.25" customHeight="1" x14ac:dyDescent="0.25">
      <c r="B6244" s="103"/>
      <c r="D6244" s="80"/>
      <c r="E6244" s="80"/>
    </row>
    <row r="6245" spans="2:5" ht="14.25" customHeight="1" x14ac:dyDescent="0.25">
      <c r="B6245" s="103"/>
      <c r="D6245" s="80"/>
      <c r="E6245" s="80"/>
    </row>
    <row r="6246" spans="2:5" ht="14.25" customHeight="1" x14ac:dyDescent="0.25">
      <c r="B6246" s="103"/>
      <c r="D6246" s="80"/>
      <c r="E6246" s="80"/>
    </row>
    <row r="6247" spans="2:5" ht="14.25" customHeight="1" x14ac:dyDescent="0.25">
      <c r="B6247" s="103"/>
      <c r="D6247" s="80"/>
      <c r="E6247" s="80"/>
    </row>
    <row r="6248" spans="2:5" ht="14.25" customHeight="1" x14ac:dyDescent="0.25">
      <c r="B6248" s="103"/>
      <c r="D6248" s="80"/>
      <c r="E6248" s="80"/>
    </row>
    <row r="6249" spans="2:5" ht="14.25" customHeight="1" x14ac:dyDescent="0.25">
      <c r="B6249" s="103"/>
      <c r="D6249" s="80"/>
      <c r="E6249" s="80"/>
    </row>
    <row r="6250" spans="2:5" ht="14.25" customHeight="1" x14ac:dyDescent="0.25">
      <c r="B6250" s="103"/>
      <c r="D6250" s="80"/>
      <c r="E6250" s="80"/>
    </row>
    <row r="6251" spans="2:5" ht="14.25" customHeight="1" x14ac:dyDescent="0.25">
      <c r="B6251" s="103"/>
      <c r="D6251" s="80"/>
      <c r="E6251" s="80"/>
    </row>
    <row r="6252" spans="2:5" ht="14.25" customHeight="1" x14ac:dyDescent="0.25">
      <c r="B6252" s="103"/>
      <c r="D6252" s="80"/>
      <c r="E6252" s="80"/>
    </row>
    <row r="6253" spans="2:5" ht="14.25" customHeight="1" x14ac:dyDescent="0.25">
      <c r="B6253" s="103"/>
      <c r="D6253" s="80"/>
      <c r="E6253" s="80"/>
    </row>
    <row r="6254" spans="2:5" ht="14.25" customHeight="1" x14ac:dyDescent="0.25">
      <c r="B6254" s="103"/>
      <c r="D6254" s="80"/>
      <c r="E6254" s="80"/>
    </row>
    <row r="6255" spans="2:5" ht="14.25" customHeight="1" x14ac:dyDescent="0.25">
      <c r="B6255" s="103"/>
      <c r="D6255" s="80"/>
      <c r="E6255" s="80"/>
    </row>
    <row r="6256" spans="2:5" ht="14.25" customHeight="1" x14ac:dyDescent="0.25">
      <c r="B6256" s="103"/>
      <c r="D6256" s="80"/>
      <c r="E6256" s="80"/>
    </row>
    <row r="6257" spans="2:5" ht="14.25" customHeight="1" x14ac:dyDescent="0.25">
      <c r="B6257" s="103"/>
      <c r="D6257" s="80"/>
      <c r="E6257" s="80"/>
    </row>
    <row r="6258" spans="2:5" ht="14.25" customHeight="1" x14ac:dyDescent="0.25">
      <c r="B6258" s="103"/>
      <c r="D6258" s="80"/>
      <c r="E6258" s="80"/>
    </row>
    <row r="6259" spans="2:5" ht="14.25" customHeight="1" x14ac:dyDescent="0.25">
      <c r="B6259" s="103"/>
      <c r="D6259" s="80"/>
      <c r="E6259" s="80"/>
    </row>
    <row r="6260" spans="2:5" ht="14.25" customHeight="1" x14ac:dyDescent="0.25">
      <c r="B6260" s="103"/>
      <c r="D6260" s="80"/>
      <c r="E6260" s="80"/>
    </row>
    <row r="6261" spans="2:5" ht="14.25" customHeight="1" x14ac:dyDescent="0.25">
      <c r="B6261" s="103"/>
      <c r="D6261" s="80"/>
      <c r="E6261" s="80"/>
    </row>
    <row r="6262" spans="2:5" ht="14.25" customHeight="1" x14ac:dyDescent="0.25">
      <c r="B6262" s="103"/>
      <c r="D6262" s="80"/>
      <c r="E6262" s="80"/>
    </row>
    <row r="6263" spans="2:5" ht="14.25" customHeight="1" x14ac:dyDescent="0.25">
      <c r="B6263" s="103"/>
      <c r="D6263" s="80"/>
      <c r="E6263" s="80"/>
    </row>
    <row r="6264" spans="2:5" ht="14.25" customHeight="1" x14ac:dyDescent="0.25">
      <c r="B6264" s="103"/>
      <c r="D6264" s="80"/>
      <c r="E6264" s="80"/>
    </row>
    <row r="6265" spans="2:5" ht="14.25" customHeight="1" x14ac:dyDescent="0.25">
      <c r="B6265" s="103"/>
      <c r="D6265" s="80"/>
      <c r="E6265" s="80"/>
    </row>
    <row r="6266" spans="2:5" ht="14.25" customHeight="1" x14ac:dyDescent="0.25">
      <c r="B6266" s="103"/>
      <c r="D6266" s="80"/>
      <c r="E6266" s="80"/>
    </row>
    <row r="6267" spans="2:5" ht="14.25" customHeight="1" x14ac:dyDescent="0.25">
      <c r="B6267" s="103"/>
      <c r="D6267" s="80"/>
      <c r="E6267" s="80"/>
    </row>
    <row r="6268" spans="2:5" ht="14.25" customHeight="1" x14ac:dyDescent="0.25">
      <c r="B6268" s="103"/>
      <c r="D6268" s="80"/>
      <c r="E6268" s="80"/>
    </row>
    <row r="6269" spans="2:5" ht="14.25" customHeight="1" x14ac:dyDescent="0.25">
      <c r="B6269" s="103"/>
      <c r="D6269" s="80"/>
      <c r="E6269" s="80"/>
    </row>
    <row r="6270" spans="2:5" ht="14.25" customHeight="1" x14ac:dyDescent="0.25">
      <c r="B6270" s="103"/>
      <c r="D6270" s="80"/>
      <c r="E6270" s="80"/>
    </row>
    <row r="6271" spans="2:5" ht="14.25" customHeight="1" x14ac:dyDescent="0.25">
      <c r="B6271" s="103"/>
      <c r="D6271" s="80"/>
      <c r="E6271" s="80"/>
    </row>
    <row r="6272" spans="2:5" ht="14.25" customHeight="1" x14ac:dyDescent="0.25">
      <c r="B6272" s="103"/>
      <c r="D6272" s="80"/>
      <c r="E6272" s="80"/>
    </row>
    <row r="6273" spans="2:5" ht="14.25" customHeight="1" x14ac:dyDescent="0.25">
      <c r="B6273" s="103"/>
      <c r="D6273" s="80"/>
      <c r="E6273" s="80"/>
    </row>
    <row r="6274" spans="2:5" ht="14.25" customHeight="1" x14ac:dyDescent="0.25">
      <c r="B6274" s="103"/>
      <c r="D6274" s="80"/>
      <c r="E6274" s="80"/>
    </row>
    <row r="6275" spans="2:5" ht="14.25" customHeight="1" x14ac:dyDescent="0.25">
      <c r="B6275" s="103"/>
      <c r="D6275" s="80"/>
      <c r="E6275" s="80"/>
    </row>
    <row r="6276" spans="2:5" ht="14.25" customHeight="1" x14ac:dyDescent="0.25">
      <c r="B6276" s="103"/>
      <c r="D6276" s="80"/>
      <c r="E6276" s="80"/>
    </row>
    <row r="6277" spans="2:5" ht="14.25" customHeight="1" x14ac:dyDescent="0.25">
      <c r="B6277" s="103"/>
      <c r="D6277" s="80"/>
      <c r="E6277" s="80"/>
    </row>
    <row r="6278" spans="2:5" ht="14.25" customHeight="1" x14ac:dyDescent="0.25">
      <c r="B6278" s="103"/>
      <c r="D6278" s="80"/>
      <c r="E6278" s="80"/>
    </row>
    <row r="6279" spans="2:5" ht="14.25" customHeight="1" x14ac:dyDescent="0.25">
      <c r="B6279" s="103"/>
      <c r="D6279" s="80"/>
      <c r="E6279" s="80"/>
    </row>
    <row r="6280" spans="2:5" ht="14.25" customHeight="1" x14ac:dyDescent="0.25">
      <c r="B6280" s="103"/>
      <c r="D6280" s="80"/>
      <c r="E6280" s="80"/>
    </row>
    <row r="6281" spans="2:5" ht="14.25" customHeight="1" x14ac:dyDescent="0.25">
      <c r="B6281" s="103"/>
      <c r="D6281" s="80"/>
      <c r="E6281" s="80"/>
    </row>
    <row r="6282" spans="2:5" ht="14.25" customHeight="1" x14ac:dyDescent="0.25">
      <c r="B6282" s="103"/>
      <c r="D6282" s="80"/>
      <c r="E6282" s="80"/>
    </row>
    <row r="6283" spans="2:5" ht="14.25" customHeight="1" x14ac:dyDescent="0.25">
      <c r="B6283" s="103"/>
      <c r="D6283" s="80"/>
      <c r="E6283" s="80"/>
    </row>
    <row r="6284" spans="2:5" ht="14.25" customHeight="1" x14ac:dyDescent="0.25">
      <c r="B6284" s="103"/>
      <c r="D6284" s="80"/>
      <c r="E6284" s="80"/>
    </row>
    <row r="6285" spans="2:5" ht="14.25" customHeight="1" x14ac:dyDescent="0.25">
      <c r="B6285" s="103"/>
      <c r="D6285" s="80"/>
      <c r="E6285" s="80"/>
    </row>
    <row r="6286" spans="2:5" ht="14.25" customHeight="1" x14ac:dyDescent="0.25">
      <c r="B6286" s="103"/>
      <c r="D6286" s="80"/>
      <c r="E6286" s="80"/>
    </row>
    <row r="6287" spans="2:5" ht="14.25" customHeight="1" x14ac:dyDescent="0.25">
      <c r="B6287" s="103"/>
      <c r="D6287" s="80"/>
      <c r="E6287" s="80"/>
    </row>
    <row r="6288" spans="2:5" ht="14.25" customHeight="1" x14ac:dyDescent="0.25">
      <c r="B6288" s="103"/>
      <c r="D6288" s="80"/>
      <c r="E6288" s="80"/>
    </row>
    <row r="6289" spans="2:5" ht="14.25" customHeight="1" x14ac:dyDescent="0.25">
      <c r="B6289" s="103"/>
      <c r="D6289" s="80"/>
      <c r="E6289" s="80"/>
    </row>
    <row r="6290" spans="2:5" ht="14.25" customHeight="1" x14ac:dyDescent="0.25">
      <c r="B6290" s="103"/>
      <c r="D6290" s="80"/>
      <c r="E6290" s="80"/>
    </row>
    <row r="6291" spans="2:5" ht="14.25" customHeight="1" x14ac:dyDescent="0.25">
      <c r="B6291" s="103"/>
      <c r="D6291" s="80"/>
      <c r="E6291" s="80"/>
    </row>
    <row r="6292" spans="2:5" ht="14.25" customHeight="1" x14ac:dyDescent="0.25">
      <c r="B6292" s="103"/>
      <c r="D6292" s="80"/>
      <c r="E6292" s="80"/>
    </row>
    <row r="6293" spans="2:5" ht="14.25" customHeight="1" x14ac:dyDescent="0.25">
      <c r="B6293" s="103"/>
      <c r="D6293" s="80"/>
      <c r="E6293" s="80"/>
    </row>
    <row r="6294" spans="2:5" ht="14.25" customHeight="1" x14ac:dyDescent="0.25">
      <c r="B6294" s="103"/>
      <c r="D6294" s="80"/>
      <c r="E6294" s="80"/>
    </row>
    <row r="6295" spans="2:5" ht="14.25" customHeight="1" x14ac:dyDescent="0.25">
      <c r="B6295" s="103"/>
      <c r="D6295" s="80"/>
      <c r="E6295" s="80"/>
    </row>
    <row r="6296" spans="2:5" ht="14.25" customHeight="1" x14ac:dyDescent="0.25">
      <c r="B6296" s="103"/>
      <c r="D6296" s="80"/>
      <c r="E6296" s="80"/>
    </row>
    <row r="6297" spans="2:5" ht="14.25" customHeight="1" x14ac:dyDescent="0.25">
      <c r="B6297" s="103"/>
      <c r="D6297" s="80"/>
      <c r="E6297" s="80"/>
    </row>
    <row r="6298" spans="2:5" ht="14.25" customHeight="1" x14ac:dyDescent="0.25">
      <c r="B6298" s="103"/>
      <c r="D6298" s="80"/>
      <c r="E6298" s="80"/>
    </row>
    <row r="6299" spans="2:5" ht="14.25" customHeight="1" x14ac:dyDescent="0.25">
      <c r="B6299" s="103"/>
      <c r="D6299" s="80"/>
      <c r="E6299" s="80"/>
    </row>
    <row r="6300" spans="2:5" ht="14.25" customHeight="1" x14ac:dyDescent="0.25">
      <c r="B6300" s="103"/>
      <c r="D6300" s="80"/>
      <c r="E6300" s="80"/>
    </row>
    <row r="6301" spans="2:5" ht="14.25" customHeight="1" x14ac:dyDescent="0.25">
      <c r="B6301" s="103"/>
      <c r="D6301" s="80"/>
      <c r="E6301" s="80"/>
    </row>
    <row r="6302" spans="2:5" ht="14.25" customHeight="1" x14ac:dyDescent="0.25">
      <c r="B6302" s="103"/>
      <c r="D6302" s="80"/>
      <c r="E6302" s="80"/>
    </row>
    <row r="6303" spans="2:5" ht="14.25" customHeight="1" x14ac:dyDescent="0.25">
      <c r="B6303" s="103"/>
      <c r="D6303" s="80"/>
      <c r="E6303" s="80"/>
    </row>
    <row r="6304" spans="2:5" ht="14.25" customHeight="1" x14ac:dyDescent="0.25">
      <c r="B6304" s="103"/>
      <c r="D6304" s="80"/>
      <c r="E6304" s="80"/>
    </row>
    <row r="6305" spans="2:5" ht="14.25" customHeight="1" x14ac:dyDescent="0.25">
      <c r="B6305" s="103"/>
      <c r="D6305" s="80"/>
      <c r="E6305" s="80"/>
    </row>
    <row r="6306" spans="2:5" ht="14.25" customHeight="1" x14ac:dyDescent="0.25">
      <c r="B6306" s="103"/>
      <c r="D6306" s="80"/>
      <c r="E6306" s="80"/>
    </row>
    <row r="6307" spans="2:5" ht="14.25" customHeight="1" x14ac:dyDescent="0.25">
      <c r="B6307" s="103"/>
      <c r="D6307" s="80"/>
      <c r="E6307" s="80"/>
    </row>
    <row r="6308" spans="2:5" ht="14.25" customHeight="1" x14ac:dyDescent="0.25">
      <c r="B6308" s="103"/>
      <c r="D6308" s="80"/>
      <c r="E6308" s="80"/>
    </row>
    <row r="6309" spans="2:5" ht="14.25" customHeight="1" x14ac:dyDescent="0.25">
      <c r="B6309" s="103"/>
      <c r="D6309" s="80"/>
      <c r="E6309" s="80"/>
    </row>
    <row r="6310" spans="2:5" ht="14.25" customHeight="1" x14ac:dyDescent="0.25">
      <c r="B6310" s="103"/>
      <c r="D6310" s="80"/>
      <c r="E6310" s="80"/>
    </row>
    <row r="6311" spans="2:5" ht="14.25" customHeight="1" x14ac:dyDescent="0.25">
      <c r="B6311" s="103"/>
      <c r="D6311" s="80"/>
      <c r="E6311" s="80"/>
    </row>
    <row r="6312" spans="2:5" ht="14.25" customHeight="1" x14ac:dyDescent="0.25">
      <c r="B6312" s="103"/>
      <c r="D6312" s="80"/>
      <c r="E6312" s="80"/>
    </row>
    <row r="6313" spans="2:5" ht="14.25" customHeight="1" x14ac:dyDescent="0.25">
      <c r="B6313" s="103"/>
      <c r="D6313" s="80"/>
      <c r="E6313" s="80"/>
    </row>
    <row r="6314" spans="2:5" ht="14.25" customHeight="1" x14ac:dyDescent="0.25">
      <c r="B6314" s="103"/>
      <c r="D6314" s="80"/>
      <c r="E6314" s="80"/>
    </row>
    <row r="6315" spans="2:5" ht="14.25" customHeight="1" x14ac:dyDescent="0.25">
      <c r="B6315" s="103"/>
      <c r="D6315" s="80"/>
      <c r="E6315" s="80"/>
    </row>
    <row r="6316" spans="2:5" ht="14.25" customHeight="1" x14ac:dyDescent="0.25">
      <c r="B6316" s="103"/>
      <c r="D6316" s="80"/>
      <c r="E6316" s="80"/>
    </row>
    <row r="6317" spans="2:5" ht="14.25" customHeight="1" x14ac:dyDescent="0.25">
      <c r="B6317" s="103"/>
      <c r="D6317" s="80"/>
      <c r="E6317" s="80"/>
    </row>
    <row r="6318" spans="2:5" ht="14.25" customHeight="1" x14ac:dyDescent="0.25">
      <c r="B6318" s="103"/>
      <c r="D6318" s="80"/>
      <c r="E6318" s="80"/>
    </row>
    <row r="6319" spans="2:5" ht="14.25" customHeight="1" x14ac:dyDescent="0.25">
      <c r="B6319" s="103"/>
      <c r="D6319" s="80"/>
      <c r="E6319" s="80"/>
    </row>
    <row r="6320" spans="2:5" ht="14.25" customHeight="1" x14ac:dyDescent="0.25">
      <c r="B6320" s="103"/>
      <c r="D6320" s="80"/>
      <c r="E6320" s="80"/>
    </row>
    <row r="6321" spans="2:5" ht="14.25" customHeight="1" x14ac:dyDescent="0.25">
      <c r="B6321" s="103"/>
      <c r="D6321" s="80"/>
      <c r="E6321" s="80"/>
    </row>
    <row r="6322" spans="2:5" ht="14.25" customHeight="1" x14ac:dyDescent="0.25">
      <c r="B6322" s="103"/>
      <c r="D6322" s="80"/>
      <c r="E6322" s="80"/>
    </row>
    <row r="6323" spans="2:5" ht="14.25" customHeight="1" x14ac:dyDescent="0.25">
      <c r="B6323" s="103"/>
      <c r="D6323" s="80"/>
      <c r="E6323" s="80"/>
    </row>
    <row r="6324" spans="2:5" ht="14.25" customHeight="1" x14ac:dyDescent="0.25">
      <c r="B6324" s="103"/>
      <c r="D6324" s="80"/>
      <c r="E6324" s="80"/>
    </row>
    <row r="6325" spans="2:5" ht="14.25" customHeight="1" x14ac:dyDescent="0.25">
      <c r="B6325" s="103"/>
      <c r="D6325" s="80"/>
      <c r="E6325" s="80"/>
    </row>
    <row r="6326" spans="2:5" ht="14.25" customHeight="1" x14ac:dyDescent="0.25">
      <c r="B6326" s="103"/>
      <c r="D6326" s="80"/>
      <c r="E6326" s="80"/>
    </row>
    <row r="6327" spans="2:5" ht="14.25" customHeight="1" x14ac:dyDescent="0.25">
      <c r="B6327" s="103"/>
      <c r="D6327" s="80"/>
      <c r="E6327" s="80"/>
    </row>
    <row r="6328" spans="2:5" ht="14.25" customHeight="1" x14ac:dyDescent="0.25">
      <c r="B6328" s="103"/>
      <c r="D6328" s="80"/>
      <c r="E6328" s="80"/>
    </row>
    <row r="6329" spans="2:5" ht="14.25" customHeight="1" x14ac:dyDescent="0.25">
      <c r="B6329" s="103"/>
      <c r="D6329" s="80"/>
      <c r="E6329" s="80"/>
    </row>
    <row r="6330" spans="2:5" ht="14.25" customHeight="1" x14ac:dyDescent="0.25">
      <c r="B6330" s="103"/>
      <c r="D6330" s="80"/>
      <c r="E6330" s="80"/>
    </row>
    <row r="6331" spans="2:5" ht="14.25" customHeight="1" x14ac:dyDescent="0.25">
      <c r="B6331" s="103"/>
      <c r="D6331" s="80"/>
      <c r="E6331" s="80"/>
    </row>
    <row r="6332" spans="2:5" ht="14.25" customHeight="1" x14ac:dyDescent="0.25">
      <c r="B6332" s="103"/>
      <c r="D6332" s="80"/>
      <c r="E6332" s="80"/>
    </row>
    <row r="6333" spans="2:5" ht="14.25" customHeight="1" x14ac:dyDescent="0.25">
      <c r="B6333" s="103"/>
      <c r="D6333" s="80"/>
      <c r="E6333" s="80"/>
    </row>
    <row r="6334" spans="2:5" ht="14.25" customHeight="1" x14ac:dyDescent="0.25">
      <c r="B6334" s="103"/>
      <c r="D6334" s="80"/>
      <c r="E6334" s="80"/>
    </row>
    <row r="6335" spans="2:5" ht="14.25" customHeight="1" x14ac:dyDescent="0.25">
      <c r="B6335" s="103"/>
      <c r="D6335" s="80"/>
      <c r="E6335" s="80"/>
    </row>
    <row r="6336" spans="2:5" ht="14.25" customHeight="1" x14ac:dyDescent="0.25">
      <c r="B6336" s="103"/>
      <c r="D6336" s="80"/>
      <c r="E6336" s="80"/>
    </row>
    <row r="6337" spans="2:5" ht="14.25" customHeight="1" x14ac:dyDescent="0.25">
      <c r="B6337" s="103"/>
      <c r="D6337" s="80"/>
      <c r="E6337" s="80"/>
    </row>
    <row r="6338" spans="2:5" ht="14.25" customHeight="1" x14ac:dyDescent="0.25">
      <c r="B6338" s="103"/>
      <c r="D6338" s="80"/>
      <c r="E6338" s="80"/>
    </row>
    <row r="6339" spans="2:5" ht="14.25" customHeight="1" x14ac:dyDescent="0.25">
      <c r="B6339" s="103"/>
      <c r="D6339" s="80"/>
      <c r="E6339" s="80"/>
    </row>
    <row r="6340" spans="2:5" ht="14.25" customHeight="1" x14ac:dyDescent="0.25">
      <c r="B6340" s="103"/>
      <c r="D6340" s="80"/>
      <c r="E6340" s="80"/>
    </row>
    <row r="6341" spans="2:5" ht="14.25" customHeight="1" x14ac:dyDescent="0.25">
      <c r="B6341" s="103"/>
      <c r="D6341" s="80"/>
      <c r="E6341" s="80"/>
    </row>
    <row r="6342" spans="2:5" ht="14.25" customHeight="1" x14ac:dyDescent="0.25">
      <c r="B6342" s="103"/>
      <c r="D6342" s="80"/>
      <c r="E6342" s="80"/>
    </row>
    <row r="6343" spans="2:5" ht="14.25" customHeight="1" x14ac:dyDescent="0.25">
      <c r="B6343" s="103"/>
      <c r="D6343" s="80"/>
      <c r="E6343" s="80"/>
    </row>
    <row r="6344" spans="2:5" ht="14.25" customHeight="1" x14ac:dyDescent="0.25">
      <c r="B6344" s="103"/>
      <c r="D6344" s="80"/>
      <c r="E6344" s="80"/>
    </row>
    <row r="6345" spans="2:5" ht="14.25" customHeight="1" x14ac:dyDescent="0.25">
      <c r="B6345" s="103"/>
      <c r="D6345" s="80"/>
      <c r="E6345" s="80"/>
    </row>
    <row r="6346" spans="2:5" ht="14.25" customHeight="1" x14ac:dyDescent="0.25">
      <c r="B6346" s="103"/>
      <c r="D6346" s="80"/>
      <c r="E6346" s="80"/>
    </row>
    <row r="6347" spans="2:5" ht="14.25" customHeight="1" x14ac:dyDescent="0.25">
      <c r="B6347" s="103"/>
      <c r="D6347" s="80"/>
      <c r="E6347" s="80"/>
    </row>
    <row r="6348" spans="2:5" ht="14.25" customHeight="1" x14ac:dyDescent="0.25">
      <c r="B6348" s="103"/>
      <c r="D6348" s="80"/>
      <c r="E6348" s="80"/>
    </row>
    <row r="6349" spans="2:5" ht="14.25" customHeight="1" x14ac:dyDescent="0.25">
      <c r="B6349" s="103"/>
      <c r="D6349" s="80"/>
      <c r="E6349" s="80"/>
    </row>
    <row r="6350" spans="2:5" ht="14.25" customHeight="1" x14ac:dyDescent="0.25">
      <c r="B6350" s="103"/>
      <c r="D6350" s="80"/>
      <c r="E6350" s="80"/>
    </row>
    <row r="6351" spans="2:5" ht="14.25" customHeight="1" x14ac:dyDescent="0.25">
      <c r="B6351" s="103"/>
      <c r="D6351" s="80"/>
      <c r="E6351" s="80"/>
    </row>
    <row r="6352" spans="2:5" ht="14.25" customHeight="1" x14ac:dyDescent="0.25">
      <c r="B6352" s="103"/>
      <c r="D6352" s="80"/>
      <c r="E6352" s="80"/>
    </row>
    <row r="6353" spans="2:5" ht="14.25" customHeight="1" x14ac:dyDescent="0.25">
      <c r="B6353" s="103"/>
      <c r="D6353" s="80"/>
      <c r="E6353" s="80"/>
    </row>
    <row r="6354" spans="2:5" ht="14.25" customHeight="1" x14ac:dyDescent="0.25">
      <c r="B6354" s="103"/>
      <c r="D6354" s="80"/>
      <c r="E6354" s="80"/>
    </row>
    <row r="6355" spans="2:5" ht="14.25" customHeight="1" x14ac:dyDescent="0.25">
      <c r="B6355" s="103"/>
      <c r="D6355" s="80"/>
      <c r="E6355" s="80"/>
    </row>
    <row r="6356" spans="2:5" ht="14.25" customHeight="1" x14ac:dyDescent="0.25">
      <c r="B6356" s="103"/>
      <c r="D6356" s="80"/>
      <c r="E6356" s="80"/>
    </row>
    <row r="6357" spans="2:5" ht="14.25" customHeight="1" x14ac:dyDescent="0.25">
      <c r="B6357" s="103"/>
      <c r="D6357" s="80"/>
      <c r="E6357" s="80"/>
    </row>
    <row r="6358" spans="2:5" ht="14.25" customHeight="1" x14ac:dyDescent="0.25">
      <c r="B6358" s="103"/>
      <c r="D6358" s="80"/>
      <c r="E6358" s="80"/>
    </row>
    <row r="6359" spans="2:5" ht="14.25" customHeight="1" x14ac:dyDescent="0.25">
      <c r="B6359" s="103"/>
      <c r="D6359" s="80"/>
      <c r="E6359" s="80"/>
    </row>
    <row r="6360" spans="2:5" ht="14.25" customHeight="1" x14ac:dyDescent="0.25">
      <c r="B6360" s="103"/>
      <c r="D6360" s="80"/>
      <c r="E6360" s="80"/>
    </row>
    <row r="6361" spans="2:5" ht="14.25" customHeight="1" x14ac:dyDescent="0.25">
      <c r="B6361" s="103"/>
      <c r="D6361" s="80"/>
      <c r="E6361" s="80"/>
    </row>
    <row r="6362" spans="2:5" ht="14.25" customHeight="1" x14ac:dyDescent="0.25">
      <c r="B6362" s="103"/>
      <c r="D6362" s="80"/>
      <c r="E6362" s="80"/>
    </row>
    <row r="6363" spans="2:5" ht="14.25" customHeight="1" x14ac:dyDescent="0.25">
      <c r="B6363" s="103"/>
      <c r="D6363" s="80"/>
      <c r="E6363" s="80"/>
    </row>
    <row r="6364" spans="2:5" ht="14.25" customHeight="1" x14ac:dyDescent="0.25">
      <c r="B6364" s="103"/>
      <c r="D6364" s="80"/>
      <c r="E6364" s="80"/>
    </row>
    <row r="6365" spans="2:5" ht="14.25" customHeight="1" x14ac:dyDescent="0.25">
      <c r="B6365" s="103"/>
      <c r="D6365" s="80"/>
      <c r="E6365" s="80"/>
    </row>
    <row r="6366" spans="2:5" ht="14.25" customHeight="1" x14ac:dyDescent="0.25">
      <c r="B6366" s="103"/>
      <c r="D6366" s="80"/>
      <c r="E6366" s="80"/>
    </row>
    <row r="6367" spans="2:5" ht="14.25" customHeight="1" x14ac:dyDescent="0.25">
      <c r="B6367" s="103"/>
      <c r="D6367" s="80"/>
      <c r="E6367" s="80"/>
    </row>
    <row r="6368" spans="2:5" ht="14.25" customHeight="1" x14ac:dyDescent="0.25">
      <c r="B6368" s="103"/>
      <c r="D6368" s="80"/>
      <c r="E6368" s="80"/>
    </row>
    <row r="6369" spans="2:5" ht="14.25" customHeight="1" x14ac:dyDescent="0.25">
      <c r="B6369" s="103"/>
      <c r="D6369" s="80"/>
      <c r="E6369" s="80"/>
    </row>
    <row r="6370" spans="2:5" ht="14.25" customHeight="1" x14ac:dyDescent="0.25">
      <c r="B6370" s="103"/>
      <c r="D6370" s="80"/>
      <c r="E6370" s="80"/>
    </row>
    <row r="6371" spans="2:5" ht="14.25" customHeight="1" x14ac:dyDescent="0.25">
      <c r="B6371" s="103"/>
      <c r="D6371" s="80"/>
      <c r="E6371" s="80"/>
    </row>
    <row r="6372" spans="2:5" ht="14.25" customHeight="1" x14ac:dyDescent="0.25">
      <c r="B6372" s="103"/>
      <c r="D6372" s="80"/>
      <c r="E6372" s="80"/>
    </row>
    <row r="6373" spans="2:5" ht="14.25" customHeight="1" x14ac:dyDescent="0.25">
      <c r="B6373" s="103"/>
      <c r="D6373" s="80"/>
      <c r="E6373" s="80"/>
    </row>
    <row r="6374" spans="2:5" ht="14.25" customHeight="1" x14ac:dyDescent="0.25">
      <c r="B6374" s="103"/>
      <c r="D6374" s="80"/>
      <c r="E6374" s="80"/>
    </row>
    <row r="6375" spans="2:5" ht="14.25" customHeight="1" x14ac:dyDescent="0.25">
      <c r="B6375" s="103"/>
      <c r="D6375" s="80"/>
      <c r="E6375" s="80"/>
    </row>
    <row r="6376" spans="2:5" ht="14.25" customHeight="1" x14ac:dyDescent="0.25">
      <c r="B6376" s="103"/>
      <c r="D6376" s="80"/>
      <c r="E6376" s="80"/>
    </row>
    <row r="6377" spans="2:5" ht="14.25" customHeight="1" x14ac:dyDescent="0.25">
      <c r="B6377" s="103"/>
      <c r="D6377" s="80"/>
      <c r="E6377" s="80"/>
    </row>
    <row r="6378" spans="2:5" ht="14.25" customHeight="1" x14ac:dyDescent="0.25">
      <c r="B6378" s="103"/>
      <c r="D6378" s="80"/>
      <c r="E6378" s="80"/>
    </row>
    <row r="6379" spans="2:5" ht="14.25" customHeight="1" x14ac:dyDescent="0.25">
      <c r="B6379" s="103"/>
      <c r="D6379" s="80"/>
      <c r="E6379" s="80"/>
    </row>
    <row r="6380" spans="2:5" ht="14.25" customHeight="1" x14ac:dyDescent="0.25">
      <c r="B6380" s="103"/>
      <c r="D6380" s="80"/>
      <c r="E6380" s="80"/>
    </row>
    <row r="6381" spans="2:5" ht="14.25" customHeight="1" x14ac:dyDescent="0.25">
      <c r="B6381" s="103"/>
      <c r="D6381" s="80"/>
      <c r="E6381" s="80"/>
    </row>
    <row r="6382" spans="2:5" ht="14.25" customHeight="1" x14ac:dyDescent="0.25">
      <c r="B6382" s="103"/>
      <c r="D6382" s="80"/>
      <c r="E6382" s="80"/>
    </row>
    <row r="6383" spans="2:5" ht="14.25" customHeight="1" x14ac:dyDescent="0.25">
      <c r="B6383" s="103"/>
      <c r="D6383" s="80"/>
      <c r="E6383" s="80"/>
    </row>
    <row r="6384" spans="2:5" ht="14.25" customHeight="1" x14ac:dyDescent="0.25">
      <c r="B6384" s="103"/>
      <c r="D6384" s="80"/>
      <c r="E6384" s="80"/>
    </row>
    <row r="6385" spans="2:5" ht="14.25" customHeight="1" x14ac:dyDescent="0.25">
      <c r="B6385" s="103"/>
      <c r="D6385" s="80"/>
      <c r="E6385" s="80"/>
    </row>
    <row r="6386" spans="2:5" ht="14.25" customHeight="1" x14ac:dyDescent="0.25">
      <c r="B6386" s="103"/>
      <c r="D6386" s="80"/>
      <c r="E6386" s="80"/>
    </row>
    <row r="6387" spans="2:5" ht="14.25" customHeight="1" x14ac:dyDescent="0.25">
      <c r="B6387" s="103"/>
      <c r="D6387" s="80"/>
      <c r="E6387" s="80"/>
    </row>
    <row r="6388" spans="2:5" ht="14.25" customHeight="1" x14ac:dyDescent="0.25">
      <c r="B6388" s="103"/>
      <c r="D6388" s="80"/>
      <c r="E6388" s="80"/>
    </row>
    <row r="6389" spans="2:5" ht="14.25" customHeight="1" x14ac:dyDescent="0.25">
      <c r="B6389" s="103"/>
      <c r="D6389" s="80"/>
      <c r="E6389" s="80"/>
    </row>
    <row r="6390" spans="2:5" ht="14.25" customHeight="1" x14ac:dyDescent="0.25">
      <c r="B6390" s="103"/>
      <c r="D6390" s="80"/>
      <c r="E6390" s="80"/>
    </row>
    <row r="6391" spans="2:5" ht="14.25" customHeight="1" x14ac:dyDescent="0.25">
      <c r="B6391" s="103"/>
      <c r="D6391" s="80"/>
      <c r="E6391" s="80"/>
    </row>
    <row r="6392" spans="2:5" ht="14.25" customHeight="1" x14ac:dyDescent="0.25">
      <c r="B6392" s="103"/>
      <c r="D6392" s="80"/>
      <c r="E6392" s="80"/>
    </row>
    <row r="6393" spans="2:5" ht="14.25" customHeight="1" x14ac:dyDescent="0.25">
      <c r="B6393" s="103"/>
      <c r="D6393" s="80"/>
      <c r="E6393" s="80"/>
    </row>
    <row r="6394" spans="2:5" ht="14.25" customHeight="1" x14ac:dyDescent="0.25">
      <c r="B6394" s="103"/>
      <c r="D6394" s="80"/>
      <c r="E6394" s="80"/>
    </row>
    <row r="6395" spans="2:5" ht="14.25" customHeight="1" x14ac:dyDescent="0.25">
      <c r="B6395" s="103"/>
      <c r="D6395" s="80"/>
      <c r="E6395" s="80"/>
    </row>
    <row r="6396" spans="2:5" ht="14.25" customHeight="1" x14ac:dyDescent="0.25">
      <c r="B6396" s="103"/>
      <c r="D6396" s="80"/>
      <c r="E6396" s="80"/>
    </row>
    <row r="6397" spans="2:5" ht="14.25" customHeight="1" x14ac:dyDescent="0.25">
      <c r="B6397" s="103"/>
      <c r="D6397" s="80"/>
      <c r="E6397" s="80"/>
    </row>
    <row r="6398" spans="2:5" ht="14.25" customHeight="1" x14ac:dyDescent="0.25">
      <c r="B6398" s="103"/>
      <c r="D6398" s="80"/>
      <c r="E6398" s="80"/>
    </row>
    <row r="6399" spans="2:5" ht="14.25" customHeight="1" x14ac:dyDescent="0.25">
      <c r="B6399" s="103"/>
      <c r="D6399" s="80"/>
      <c r="E6399" s="80"/>
    </row>
    <row r="6400" spans="2:5" ht="14.25" customHeight="1" x14ac:dyDescent="0.25">
      <c r="B6400" s="103"/>
      <c r="D6400" s="80"/>
      <c r="E6400" s="80"/>
    </row>
    <row r="6401" spans="2:5" ht="14.25" customHeight="1" x14ac:dyDescent="0.25">
      <c r="B6401" s="103"/>
      <c r="D6401" s="80"/>
      <c r="E6401" s="80"/>
    </row>
    <row r="6402" spans="2:5" ht="14.25" customHeight="1" x14ac:dyDescent="0.25">
      <c r="B6402" s="103"/>
      <c r="D6402" s="80"/>
      <c r="E6402" s="80"/>
    </row>
    <row r="6403" spans="2:5" ht="14.25" customHeight="1" x14ac:dyDescent="0.25">
      <c r="B6403" s="103"/>
      <c r="D6403" s="80"/>
      <c r="E6403" s="80"/>
    </row>
    <row r="6404" spans="2:5" ht="14.25" customHeight="1" x14ac:dyDescent="0.25">
      <c r="B6404" s="103"/>
      <c r="D6404" s="80"/>
      <c r="E6404" s="80"/>
    </row>
    <row r="6405" spans="2:5" ht="14.25" customHeight="1" x14ac:dyDescent="0.25">
      <c r="B6405" s="103"/>
      <c r="D6405" s="80"/>
      <c r="E6405" s="80"/>
    </row>
    <row r="6406" spans="2:5" ht="14.25" customHeight="1" x14ac:dyDescent="0.25">
      <c r="B6406" s="103"/>
      <c r="D6406" s="80"/>
      <c r="E6406" s="80"/>
    </row>
    <row r="6407" spans="2:5" ht="14.25" customHeight="1" x14ac:dyDescent="0.25">
      <c r="B6407" s="103"/>
      <c r="D6407" s="80"/>
      <c r="E6407" s="80"/>
    </row>
    <row r="6408" spans="2:5" ht="14.25" customHeight="1" x14ac:dyDescent="0.25">
      <c r="B6408" s="103"/>
      <c r="D6408" s="80"/>
      <c r="E6408" s="80"/>
    </row>
    <row r="6409" spans="2:5" ht="14.25" customHeight="1" x14ac:dyDescent="0.25">
      <c r="B6409" s="103"/>
      <c r="D6409" s="80"/>
      <c r="E6409" s="80"/>
    </row>
    <row r="6410" spans="2:5" ht="14.25" customHeight="1" x14ac:dyDescent="0.25">
      <c r="B6410" s="103"/>
      <c r="D6410" s="80"/>
      <c r="E6410" s="80"/>
    </row>
    <row r="6411" spans="2:5" ht="14.25" customHeight="1" x14ac:dyDescent="0.25">
      <c r="B6411" s="103"/>
      <c r="D6411" s="80"/>
      <c r="E6411" s="80"/>
    </row>
    <row r="6412" spans="2:5" ht="14.25" customHeight="1" x14ac:dyDescent="0.25">
      <c r="B6412" s="103"/>
      <c r="D6412" s="80"/>
      <c r="E6412" s="80"/>
    </row>
    <row r="6413" spans="2:5" ht="14.25" customHeight="1" x14ac:dyDescent="0.25">
      <c r="B6413" s="103"/>
      <c r="D6413" s="80"/>
      <c r="E6413" s="80"/>
    </row>
    <row r="6414" spans="2:5" ht="14.25" customHeight="1" x14ac:dyDescent="0.25">
      <c r="B6414" s="103"/>
      <c r="D6414" s="80"/>
      <c r="E6414" s="80"/>
    </row>
    <row r="6415" spans="2:5" ht="14.25" customHeight="1" x14ac:dyDescent="0.25">
      <c r="B6415" s="103"/>
      <c r="D6415" s="80"/>
      <c r="E6415" s="80"/>
    </row>
    <row r="6416" spans="2:5" ht="14.25" customHeight="1" x14ac:dyDescent="0.25">
      <c r="B6416" s="103"/>
      <c r="D6416" s="80"/>
      <c r="E6416" s="80"/>
    </row>
    <row r="6417" spans="2:5" ht="14.25" customHeight="1" x14ac:dyDescent="0.25">
      <c r="B6417" s="103"/>
      <c r="D6417" s="80"/>
      <c r="E6417" s="80"/>
    </row>
    <row r="6418" spans="2:5" ht="14.25" customHeight="1" x14ac:dyDescent="0.25">
      <c r="B6418" s="103"/>
      <c r="D6418" s="80"/>
      <c r="E6418" s="80"/>
    </row>
    <row r="6419" spans="2:5" ht="14.25" customHeight="1" x14ac:dyDescent="0.25">
      <c r="B6419" s="103"/>
      <c r="D6419" s="80"/>
      <c r="E6419" s="80"/>
    </row>
    <row r="6420" spans="2:5" ht="14.25" customHeight="1" x14ac:dyDescent="0.25">
      <c r="B6420" s="103"/>
      <c r="D6420" s="80"/>
      <c r="E6420" s="80"/>
    </row>
    <row r="6421" spans="2:5" ht="14.25" customHeight="1" x14ac:dyDescent="0.25">
      <c r="B6421" s="103"/>
      <c r="D6421" s="80"/>
      <c r="E6421" s="80"/>
    </row>
    <row r="6422" spans="2:5" ht="14.25" customHeight="1" x14ac:dyDescent="0.25">
      <c r="B6422" s="103"/>
      <c r="D6422" s="80"/>
      <c r="E6422" s="80"/>
    </row>
    <row r="6423" spans="2:5" ht="14.25" customHeight="1" x14ac:dyDescent="0.25">
      <c r="B6423" s="103"/>
      <c r="D6423" s="80"/>
      <c r="E6423" s="80"/>
    </row>
    <row r="6424" spans="2:5" ht="14.25" customHeight="1" x14ac:dyDescent="0.25">
      <c r="B6424" s="103"/>
      <c r="D6424" s="80"/>
      <c r="E6424" s="80"/>
    </row>
    <row r="6425" spans="2:5" ht="14.25" customHeight="1" x14ac:dyDescent="0.25">
      <c r="B6425" s="103"/>
      <c r="D6425" s="80"/>
      <c r="E6425" s="80"/>
    </row>
    <row r="6426" spans="2:5" ht="14.25" customHeight="1" x14ac:dyDescent="0.25">
      <c r="B6426" s="103"/>
      <c r="D6426" s="80"/>
      <c r="E6426" s="80"/>
    </row>
    <row r="6427" spans="2:5" ht="14.25" customHeight="1" x14ac:dyDescent="0.25">
      <c r="B6427" s="103"/>
      <c r="D6427" s="80"/>
      <c r="E6427" s="80"/>
    </row>
    <row r="6428" spans="2:5" ht="14.25" customHeight="1" x14ac:dyDescent="0.25">
      <c r="B6428" s="103"/>
      <c r="D6428" s="80"/>
      <c r="E6428" s="80"/>
    </row>
    <row r="6429" spans="2:5" ht="14.25" customHeight="1" x14ac:dyDescent="0.25">
      <c r="B6429" s="103"/>
      <c r="D6429" s="80"/>
      <c r="E6429" s="80"/>
    </row>
    <row r="6430" spans="2:5" ht="14.25" customHeight="1" x14ac:dyDescent="0.25">
      <c r="B6430" s="103"/>
      <c r="D6430" s="80"/>
      <c r="E6430" s="80"/>
    </row>
    <row r="6431" spans="2:5" ht="14.25" customHeight="1" x14ac:dyDescent="0.25">
      <c r="B6431" s="103"/>
      <c r="D6431" s="80"/>
      <c r="E6431" s="80"/>
    </row>
    <row r="6432" spans="2:5" ht="14.25" customHeight="1" x14ac:dyDescent="0.25">
      <c r="B6432" s="103"/>
      <c r="D6432" s="80"/>
      <c r="E6432" s="80"/>
    </row>
    <row r="6433" spans="2:5" ht="14.25" customHeight="1" x14ac:dyDescent="0.25">
      <c r="B6433" s="103"/>
      <c r="D6433" s="80"/>
      <c r="E6433" s="80"/>
    </row>
    <row r="6434" spans="2:5" ht="14.25" customHeight="1" x14ac:dyDescent="0.25">
      <c r="B6434" s="103"/>
      <c r="D6434" s="80"/>
      <c r="E6434" s="80"/>
    </row>
    <row r="6435" spans="2:5" ht="14.25" customHeight="1" x14ac:dyDescent="0.25">
      <c r="B6435" s="103"/>
      <c r="D6435" s="80"/>
      <c r="E6435" s="80"/>
    </row>
    <row r="6436" spans="2:5" ht="14.25" customHeight="1" x14ac:dyDescent="0.25">
      <c r="B6436" s="103"/>
      <c r="D6436" s="80"/>
      <c r="E6436" s="80"/>
    </row>
    <row r="6437" spans="2:5" ht="14.25" customHeight="1" x14ac:dyDescent="0.25">
      <c r="B6437" s="103"/>
      <c r="D6437" s="80"/>
      <c r="E6437" s="80"/>
    </row>
    <row r="6438" spans="2:5" ht="14.25" customHeight="1" x14ac:dyDescent="0.25">
      <c r="B6438" s="103"/>
      <c r="D6438" s="80"/>
      <c r="E6438" s="80"/>
    </row>
    <row r="6439" spans="2:5" ht="14.25" customHeight="1" x14ac:dyDescent="0.25">
      <c r="B6439" s="103"/>
      <c r="D6439" s="80"/>
      <c r="E6439" s="80"/>
    </row>
    <row r="6440" spans="2:5" ht="14.25" customHeight="1" x14ac:dyDescent="0.25">
      <c r="B6440" s="103"/>
      <c r="D6440" s="80"/>
      <c r="E6440" s="80"/>
    </row>
    <row r="6441" spans="2:5" ht="14.25" customHeight="1" x14ac:dyDescent="0.25">
      <c r="B6441" s="103"/>
      <c r="D6441" s="80"/>
      <c r="E6441" s="80"/>
    </row>
    <row r="6442" spans="2:5" ht="14.25" customHeight="1" x14ac:dyDescent="0.25">
      <c r="B6442" s="103"/>
      <c r="D6442" s="80"/>
      <c r="E6442" s="80"/>
    </row>
    <row r="6443" spans="2:5" ht="14.25" customHeight="1" x14ac:dyDescent="0.25">
      <c r="B6443" s="103"/>
      <c r="D6443" s="80"/>
      <c r="E6443" s="80"/>
    </row>
    <row r="6444" spans="2:5" ht="14.25" customHeight="1" x14ac:dyDescent="0.25">
      <c r="B6444" s="103"/>
      <c r="D6444" s="80"/>
      <c r="E6444" s="80"/>
    </row>
    <row r="6445" spans="2:5" ht="14.25" customHeight="1" x14ac:dyDescent="0.25">
      <c r="B6445" s="103"/>
      <c r="D6445" s="80"/>
      <c r="E6445" s="80"/>
    </row>
    <row r="6446" spans="2:5" ht="14.25" customHeight="1" x14ac:dyDescent="0.25">
      <c r="B6446" s="103"/>
      <c r="D6446" s="80"/>
      <c r="E6446" s="80"/>
    </row>
    <row r="6447" spans="2:5" ht="14.25" customHeight="1" x14ac:dyDescent="0.25">
      <c r="B6447" s="103"/>
      <c r="D6447" s="80"/>
      <c r="E6447" s="80"/>
    </row>
    <row r="6448" spans="2:5" ht="14.25" customHeight="1" x14ac:dyDescent="0.25">
      <c r="B6448" s="103"/>
      <c r="D6448" s="80"/>
      <c r="E6448" s="80"/>
    </row>
    <row r="6449" spans="2:5" ht="14.25" customHeight="1" x14ac:dyDescent="0.25">
      <c r="B6449" s="103"/>
      <c r="D6449" s="80"/>
      <c r="E6449" s="80"/>
    </row>
    <row r="6450" spans="2:5" ht="14.25" customHeight="1" x14ac:dyDescent="0.25">
      <c r="B6450" s="103"/>
      <c r="D6450" s="80"/>
      <c r="E6450" s="80"/>
    </row>
    <row r="6451" spans="2:5" ht="14.25" customHeight="1" x14ac:dyDescent="0.25">
      <c r="B6451" s="103"/>
      <c r="D6451" s="80"/>
      <c r="E6451" s="80"/>
    </row>
    <row r="6452" spans="2:5" ht="14.25" customHeight="1" x14ac:dyDescent="0.25">
      <c r="B6452" s="103"/>
      <c r="D6452" s="80"/>
      <c r="E6452" s="80"/>
    </row>
    <row r="6453" spans="2:5" ht="14.25" customHeight="1" x14ac:dyDescent="0.25">
      <c r="B6453" s="103"/>
      <c r="D6453" s="80"/>
      <c r="E6453" s="80"/>
    </row>
    <row r="6454" spans="2:5" ht="14.25" customHeight="1" x14ac:dyDescent="0.25">
      <c r="B6454" s="103"/>
      <c r="D6454" s="80"/>
      <c r="E6454" s="80"/>
    </row>
    <row r="6455" spans="2:5" ht="14.25" customHeight="1" x14ac:dyDescent="0.25">
      <c r="B6455" s="103"/>
      <c r="D6455" s="80"/>
      <c r="E6455" s="80"/>
    </row>
    <row r="6456" spans="2:5" ht="14.25" customHeight="1" x14ac:dyDescent="0.25">
      <c r="B6456" s="103"/>
      <c r="D6456" s="80"/>
      <c r="E6456" s="80"/>
    </row>
    <row r="6457" spans="2:5" ht="14.25" customHeight="1" x14ac:dyDescent="0.25">
      <c r="B6457" s="103"/>
      <c r="D6457" s="80"/>
      <c r="E6457" s="80"/>
    </row>
    <row r="6458" spans="2:5" ht="14.25" customHeight="1" x14ac:dyDescent="0.25">
      <c r="B6458" s="103"/>
      <c r="D6458" s="80"/>
      <c r="E6458" s="80"/>
    </row>
    <row r="6459" spans="2:5" ht="14.25" customHeight="1" x14ac:dyDescent="0.25">
      <c r="B6459" s="103"/>
      <c r="D6459" s="80"/>
      <c r="E6459" s="80"/>
    </row>
    <row r="6460" spans="2:5" ht="14.25" customHeight="1" x14ac:dyDescent="0.25">
      <c r="B6460" s="103"/>
      <c r="D6460" s="80"/>
      <c r="E6460" s="80"/>
    </row>
    <row r="6461" spans="2:5" ht="14.25" customHeight="1" x14ac:dyDescent="0.25">
      <c r="B6461" s="103"/>
      <c r="D6461" s="80"/>
      <c r="E6461" s="80"/>
    </row>
    <row r="6462" spans="2:5" ht="14.25" customHeight="1" x14ac:dyDescent="0.25">
      <c r="B6462" s="103"/>
      <c r="D6462" s="80"/>
      <c r="E6462" s="80"/>
    </row>
    <row r="6463" spans="2:5" ht="14.25" customHeight="1" x14ac:dyDescent="0.25">
      <c r="B6463" s="103"/>
      <c r="D6463" s="80"/>
      <c r="E6463" s="80"/>
    </row>
    <row r="6464" spans="2:5" ht="14.25" customHeight="1" x14ac:dyDescent="0.25">
      <c r="B6464" s="103"/>
      <c r="D6464" s="80"/>
      <c r="E6464" s="80"/>
    </row>
    <row r="6465" spans="2:5" ht="14.25" customHeight="1" x14ac:dyDescent="0.25">
      <c r="B6465" s="103"/>
      <c r="D6465" s="80"/>
      <c r="E6465" s="80"/>
    </row>
    <row r="6466" spans="2:5" ht="14.25" customHeight="1" x14ac:dyDescent="0.25">
      <c r="B6466" s="103"/>
      <c r="D6466" s="80"/>
      <c r="E6466" s="80"/>
    </row>
    <row r="6467" spans="2:5" ht="14.25" customHeight="1" x14ac:dyDescent="0.25">
      <c r="B6467" s="103"/>
      <c r="D6467" s="80"/>
      <c r="E6467" s="80"/>
    </row>
    <row r="6468" spans="2:5" ht="14.25" customHeight="1" x14ac:dyDescent="0.25">
      <c r="B6468" s="103"/>
      <c r="D6468" s="80"/>
      <c r="E6468" s="80"/>
    </row>
    <row r="6469" spans="2:5" ht="14.25" customHeight="1" x14ac:dyDescent="0.25">
      <c r="B6469" s="103"/>
      <c r="D6469" s="80"/>
      <c r="E6469" s="80"/>
    </row>
    <row r="6470" spans="2:5" ht="14.25" customHeight="1" x14ac:dyDescent="0.25">
      <c r="B6470" s="103"/>
      <c r="D6470" s="80"/>
      <c r="E6470" s="80"/>
    </row>
    <row r="6471" spans="2:5" ht="14.25" customHeight="1" x14ac:dyDescent="0.25">
      <c r="B6471" s="103"/>
      <c r="D6471" s="80"/>
      <c r="E6471" s="80"/>
    </row>
    <row r="6472" spans="2:5" ht="14.25" customHeight="1" x14ac:dyDescent="0.25">
      <c r="B6472" s="103"/>
      <c r="D6472" s="80"/>
      <c r="E6472" s="80"/>
    </row>
    <row r="6473" spans="2:5" ht="14.25" customHeight="1" x14ac:dyDescent="0.25">
      <c r="B6473" s="103"/>
      <c r="D6473" s="80"/>
      <c r="E6473" s="80"/>
    </row>
    <row r="6474" spans="2:5" ht="14.25" customHeight="1" x14ac:dyDescent="0.25">
      <c r="B6474" s="103"/>
      <c r="D6474" s="80"/>
      <c r="E6474" s="80"/>
    </row>
    <row r="6475" spans="2:5" ht="14.25" customHeight="1" x14ac:dyDescent="0.25">
      <c r="B6475" s="103"/>
      <c r="D6475" s="80"/>
      <c r="E6475" s="80"/>
    </row>
    <row r="6476" spans="2:5" ht="14.25" customHeight="1" x14ac:dyDescent="0.25">
      <c r="B6476" s="103"/>
      <c r="D6476" s="80"/>
      <c r="E6476" s="80"/>
    </row>
    <row r="6477" spans="2:5" ht="14.25" customHeight="1" x14ac:dyDescent="0.25">
      <c r="B6477" s="103"/>
      <c r="D6477" s="80"/>
      <c r="E6477" s="80"/>
    </row>
    <row r="6478" spans="2:5" ht="14.25" customHeight="1" x14ac:dyDescent="0.25">
      <c r="B6478" s="103"/>
      <c r="D6478" s="80"/>
      <c r="E6478" s="80"/>
    </row>
    <row r="6479" spans="2:5" ht="14.25" customHeight="1" x14ac:dyDescent="0.25">
      <c r="B6479" s="103"/>
      <c r="D6479" s="80"/>
      <c r="E6479" s="80"/>
    </row>
    <row r="6480" spans="2:5" ht="14.25" customHeight="1" x14ac:dyDescent="0.25">
      <c r="B6480" s="103"/>
      <c r="D6480" s="80"/>
      <c r="E6480" s="80"/>
    </row>
    <row r="6481" spans="2:5" ht="14.25" customHeight="1" x14ac:dyDescent="0.25">
      <c r="B6481" s="103"/>
      <c r="D6481" s="80"/>
      <c r="E6481" s="80"/>
    </row>
    <row r="6482" spans="2:5" ht="14.25" customHeight="1" x14ac:dyDescent="0.25">
      <c r="B6482" s="103"/>
      <c r="D6482" s="80"/>
      <c r="E6482" s="80"/>
    </row>
    <row r="6483" spans="2:5" ht="14.25" customHeight="1" x14ac:dyDescent="0.25">
      <c r="B6483" s="103"/>
      <c r="D6483" s="80"/>
      <c r="E6483" s="80"/>
    </row>
    <row r="6484" spans="2:5" ht="14.25" customHeight="1" x14ac:dyDescent="0.25">
      <c r="B6484" s="103"/>
      <c r="D6484" s="80"/>
      <c r="E6484" s="80"/>
    </row>
    <row r="6485" spans="2:5" ht="14.25" customHeight="1" x14ac:dyDescent="0.25">
      <c r="B6485" s="103"/>
      <c r="D6485" s="80"/>
      <c r="E6485" s="80"/>
    </row>
    <row r="6486" spans="2:5" ht="14.25" customHeight="1" x14ac:dyDescent="0.25">
      <c r="B6486" s="103"/>
      <c r="D6486" s="80"/>
      <c r="E6486" s="80"/>
    </row>
    <row r="6487" spans="2:5" ht="14.25" customHeight="1" x14ac:dyDescent="0.25">
      <c r="B6487" s="103"/>
      <c r="D6487" s="80"/>
      <c r="E6487" s="80"/>
    </row>
    <row r="6488" spans="2:5" ht="14.25" customHeight="1" x14ac:dyDescent="0.25">
      <c r="B6488" s="103"/>
      <c r="D6488" s="80"/>
      <c r="E6488" s="80"/>
    </row>
    <row r="6489" spans="2:5" ht="14.25" customHeight="1" x14ac:dyDescent="0.25">
      <c r="B6489" s="103"/>
      <c r="D6489" s="80"/>
      <c r="E6489" s="80"/>
    </row>
    <row r="6490" spans="2:5" ht="14.25" customHeight="1" x14ac:dyDescent="0.25">
      <c r="B6490" s="103"/>
      <c r="D6490" s="80"/>
      <c r="E6490" s="80"/>
    </row>
    <row r="6491" spans="2:5" ht="14.25" customHeight="1" x14ac:dyDescent="0.25">
      <c r="B6491" s="103"/>
      <c r="D6491" s="80"/>
      <c r="E6491" s="80"/>
    </row>
    <row r="6492" spans="2:5" ht="14.25" customHeight="1" x14ac:dyDescent="0.25">
      <c r="B6492" s="103"/>
      <c r="D6492" s="80"/>
      <c r="E6492" s="80"/>
    </row>
    <row r="6493" spans="2:5" ht="14.25" customHeight="1" x14ac:dyDescent="0.25">
      <c r="B6493" s="103"/>
      <c r="D6493" s="80"/>
      <c r="E6493" s="80"/>
    </row>
    <row r="6494" spans="2:5" ht="14.25" customHeight="1" x14ac:dyDescent="0.25">
      <c r="B6494" s="103"/>
      <c r="D6494" s="80"/>
      <c r="E6494" s="80"/>
    </row>
    <row r="6495" spans="2:5" ht="14.25" customHeight="1" x14ac:dyDescent="0.25">
      <c r="B6495" s="103"/>
      <c r="D6495" s="80"/>
      <c r="E6495" s="80"/>
    </row>
    <row r="6496" spans="2:5" ht="14.25" customHeight="1" x14ac:dyDescent="0.25">
      <c r="B6496" s="103"/>
      <c r="D6496" s="80"/>
      <c r="E6496" s="80"/>
    </row>
    <row r="6497" spans="2:5" ht="14.25" customHeight="1" x14ac:dyDescent="0.25">
      <c r="B6497" s="103"/>
      <c r="D6497" s="80"/>
      <c r="E6497" s="80"/>
    </row>
    <row r="6498" spans="2:5" ht="14.25" customHeight="1" x14ac:dyDescent="0.25">
      <c r="B6498" s="103"/>
      <c r="D6498" s="80"/>
      <c r="E6498" s="80"/>
    </row>
    <row r="6499" spans="2:5" ht="14.25" customHeight="1" x14ac:dyDescent="0.25">
      <c r="B6499" s="103"/>
      <c r="D6499" s="80"/>
      <c r="E6499" s="80"/>
    </row>
    <row r="6500" spans="2:5" ht="14.25" customHeight="1" x14ac:dyDescent="0.25">
      <c r="B6500" s="103"/>
      <c r="D6500" s="80"/>
      <c r="E6500" s="80"/>
    </row>
    <row r="6501" spans="2:5" ht="14.25" customHeight="1" x14ac:dyDescent="0.25">
      <c r="B6501" s="103"/>
      <c r="D6501" s="80"/>
      <c r="E6501" s="80"/>
    </row>
    <row r="6502" spans="2:5" ht="14.25" customHeight="1" x14ac:dyDescent="0.25">
      <c r="B6502" s="103"/>
      <c r="D6502" s="80"/>
      <c r="E6502" s="80"/>
    </row>
    <row r="6503" spans="2:5" ht="14.25" customHeight="1" x14ac:dyDescent="0.25">
      <c r="B6503" s="103"/>
      <c r="D6503" s="80"/>
      <c r="E6503" s="80"/>
    </row>
    <row r="6504" spans="2:5" ht="14.25" customHeight="1" x14ac:dyDescent="0.25">
      <c r="B6504" s="103"/>
      <c r="D6504" s="80"/>
      <c r="E6504" s="80"/>
    </row>
    <row r="6505" spans="2:5" ht="14.25" customHeight="1" x14ac:dyDescent="0.25">
      <c r="B6505" s="103"/>
      <c r="D6505" s="80"/>
      <c r="E6505" s="80"/>
    </row>
    <row r="6506" spans="2:5" ht="14.25" customHeight="1" x14ac:dyDescent="0.25">
      <c r="B6506" s="103"/>
      <c r="D6506" s="80"/>
      <c r="E6506" s="80"/>
    </row>
    <row r="6507" spans="2:5" ht="14.25" customHeight="1" x14ac:dyDescent="0.25">
      <c r="B6507" s="103"/>
      <c r="D6507" s="80"/>
      <c r="E6507" s="80"/>
    </row>
    <row r="6508" spans="2:5" ht="14.25" customHeight="1" x14ac:dyDescent="0.25">
      <c r="B6508" s="103"/>
      <c r="D6508" s="80"/>
      <c r="E6508" s="80"/>
    </row>
    <row r="6509" spans="2:5" ht="14.25" customHeight="1" x14ac:dyDescent="0.25">
      <c r="B6509" s="103"/>
      <c r="D6509" s="80"/>
      <c r="E6509" s="80"/>
    </row>
    <row r="6510" spans="2:5" ht="14.25" customHeight="1" x14ac:dyDescent="0.25">
      <c r="B6510" s="103"/>
      <c r="D6510" s="80"/>
      <c r="E6510" s="80"/>
    </row>
    <row r="6511" spans="2:5" ht="14.25" customHeight="1" x14ac:dyDescent="0.25">
      <c r="B6511" s="103"/>
      <c r="D6511" s="80"/>
      <c r="E6511" s="80"/>
    </row>
    <row r="6512" spans="2:5" ht="14.25" customHeight="1" x14ac:dyDescent="0.25">
      <c r="B6512" s="103"/>
      <c r="D6512" s="80"/>
      <c r="E6512" s="80"/>
    </row>
    <row r="6513" spans="2:5" ht="14.25" customHeight="1" x14ac:dyDescent="0.25">
      <c r="B6513" s="103"/>
      <c r="D6513" s="80"/>
      <c r="E6513" s="80"/>
    </row>
    <row r="6514" spans="2:5" ht="14.25" customHeight="1" x14ac:dyDescent="0.25">
      <c r="B6514" s="103"/>
      <c r="D6514" s="80"/>
      <c r="E6514" s="80"/>
    </row>
    <row r="6515" spans="2:5" ht="14.25" customHeight="1" x14ac:dyDescent="0.25">
      <c r="B6515" s="103"/>
      <c r="D6515" s="80"/>
      <c r="E6515" s="80"/>
    </row>
    <row r="6516" spans="2:5" ht="14.25" customHeight="1" x14ac:dyDescent="0.25">
      <c r="B6516" s="103"/>
      <c r="D6516" s="80"/>
      <c r="E6516" s="80"/>
    </row>
    <row r="6517" spans="2:5" ht="14.25" customHeight="1" x14ac:dyDescent="0.25">
      <c r="B6517" s="103"/>
      <c r="D6517" s="80"/>
      <c r="E6517" s="80"/>
    </row>
    <row r="6518" spans="2:5" ht="14.25" customHeight="1" x14ac:dyDescent="0.25">
      <c r="B6518" s="103"/>
      <c r="D6518" s="80"/>
      <c r="E6518" s="80"/>
    </row>
    <row r="6519" spans="2:5" ht="14.25" customHeight="1" x14ac:dyDescent="0.25">
      <c r="B6519" s="103"/>
      <c r="D6519" s="80"/>
      <c r="E6519" s="80"/>
    </row>
    <row r="6520" spans="2:5" ht="14.25" customHeight="1" x14ac:dyDescent="0.25">
      <c r="B6520" s="103"/>
      <c r="D6520" s="80"/>
      <c r="E6520" s="80"/>
    </row>
    <row r="6521" spans="2:5" ht="14.25" customHeight="1" x14ac:dyDescent="0.25">
      <c r="B6521" s="103"/>
      <c r="D6521" s="80"/>
      <c r="E6521" s="80"/>
    </row>
    <row r="6522" spans="2:5" ht="14.25" customHeight="1" x14ac:dyDescent="0.25">
      <c r="B6522" s="103"/>
      <c r="D6522" s="80"/>
      <c r="E6522" s="80"/>
    </row>
    <row r="6523" spans="2:5" ht="14.25" customHeight="1" x14ac:dyDescent="0.25">
      <c r="B6523" s="103"/>
      <c r="D6523" s="80"/>
      <c r="E6523" s="80"/>
    </row>
    <row r="6524" spans="2:5" ht="14.25" customHeight="1" x14ac:dyDescent="0.25">
      <c r="B6524" s="103"/>
      <c r="D6524" s="80"/>
      <c r="E6524" s="80"/>
    </row>
    <row r="6525" spans="2:5" ht="14.25" customHeight="1" x14ac:dyDescent="0.25">
      <c r="B6525" s="103"/>
      <c r="D6525" s="80"/>
      <c r="E6525" s="80"/>
    </row>
    <row r="6526" spans="2:5" ht="14.25" customHeight="1" x14ac:dyDescent="0.25">
      <c r="B6526" s="103"/>
      <c r="D6526" s="80"/>
      <c r="E6526" s="80"/>
    </row>
    <row r="6527" spans="2:5" ht="14.25" customHeight="1" x14ac:dyDescent="0.25">
      <c r="B6527" s="103"/>
      <c r="D6527" s="80"/>
      <c r="E6527" s="80"/>
    </row>
    <row r="6528" spans="2:5" ht="14.25" customHeight="1" x14ac:dyDescent="0.25">
      <c r="B6528" s="103"/>
      <c r="D6528" s="80"/>
      <c r="E6528" s="80"/>
    </row>
    <row r="6529" spans="2:5" ht="14.25" customHeight="1" x14ac:dyDescent="0.25">
      <c r="B6529" s="103"/>
      <c r="D6529" s="80"/>
      <c r="E6529" s="80"/>
    </row>
    <row r="6530" spans="2:5" ht="14.25" customHeight="1" x14ac:dyDescent="0.25">
      <c r="B6530" s="103"/>
      <c r="D6530" s="80"/>
      <c r="E6530" s="80"/>
    </row>
    <row r="6531" spans="2:5" ht="14.25" customHeight="1" x14ac:dyDescent="0.25">
      <c r="B6531" s="103"/>
      <c r="D6531" s="80"/>
      <c r="E6531" s="80"/>
    </row>
    <row r="6532" spans="2:5" ht="14.25" customHeight="1" x14ac:dyDescent="0.25">
      <c r="B6532" s="103"/>
      <c r="D6532" s="80"/>
      <c r="E6532" s="80"/>
    </row>
    <row r="6533" spans="2:5" ht="14.25" customHeight="1" x14ac:dyDescent="0.25">
      <c r="B6533" s="103"/>
      <c r="D6533" s="80"/>
      <c r="E6533" s="80"/>
    </row>
    <row r="6534" spans="2:5" ht="14.25" customHeight="1" x14ac:dyDescent="0.25">
      <c r="B6534" s="103"/>
      <c r="D6534" s="80"/>
      <c r="E6534" s="80"/>
    </row>
    <row r="6535" spans="2:5" ht="14.25" customHeight="1" x14ac:dyDescent="0.25">
      <c r="B6535" s="103"/>
      <c r="D6535" s="80"/>
      <c r="E6535" s="80"/>
    </row>
    <row r="6536" spans="2:5" ht="14.25" customHeight="1" x14ac:dyDescent="0.25">
      <c r="B6536" s="103"/>
      <c r="D6536" s="80"/>
      <c r="E6536" s="80"/>
    </row>
    <row r="6537" spans="2:5" ht="14.25" customHeight="1" x14ac:dyDescent="0.25">
      <c r="B6537" s="103"/>
      <c r="D6537" s="80"/>
      <c r="E6537" s="80"/>
    </row>
    <row r="6538" spans="2:5" ht="14.25" customHeight="1" x14ac:dyDescent="0.25">
      <c r="B6538" s="103"/>
      <c r="D6538" s="80"/>
      <c r="E6538" s="80"/>
    </row>
    <row r="6539" spans="2:5" ht="14.25" customHeight="1" x14ac:dyDescent="0.25">
      <c r="B6539" s="103"/>
      <c r="D6539" s="80"/>
      <c r="E6539" s="80"/>
    </row>
    <row r="6540" spans="2:5" ht="14.25" customHeight="1" x14ac:dyDescent="0.25">
      <c r="B6540" s="103"/>
      <c r="D6540" s="80"/>
      <c r="E6540" s="80"/>
    </row>
    <row r="6541" spans="2:5" ht="14.25" customHeight="1" x14ac:dyDescent="0.25">
      <c r="B6541" s="103"/>
      <c r="D6541" s="80"/>
      <c r="E6541" s="80"/>
    </row>
    <row r="6542" spans="2:5" ht="14.25" customHeight="1" x14ac:dyDescent="0.25">
      <c r="B6542" s="103"/>
      <c r="D6542" s="80"/>
      <c r="E6542" s="80"/>
    </row>
    <row r="6543" spans="2:5" ht="14.25" customHeight="1" x14ac:dyDescent="0.25">
      <c r="B6543" s="103"/>
      <c r="D6543" s="80"/>
      <c r="E6543" s="80"/>
    </row>
    <row r="6544" spans="2:5" ht="14.25" customHeight="1" x14ac:dyDescent="0.25">
      <c r="B6544" s="103"/>
      <c r="D6544" s="80"/>
      <c r="E6544" s="80"/>
    </row>
    <row r="6545" spans="2:5" ht="14.25" customHeight="1" x14ac:dyDescent="0.25">
      <c r="B6545" s="103"/>
      <c r="D6545" s="80"/>
      <c r="E6545" s="80"/>
    </row>
    <row r="6546" spans="2:5" ht="14.25" customHeight="1" x14ac:dyDescent="0.25">
      <c r="B6546" s="103"/>
      <c r="D6546" s="80"/>
      <c r="E6546" s="80"/>
    </row>
    <row r="6547" spans="2:5" ht="14.25" customHeight="1" x14ac:dyDescent="0.25">
      <c r="B6547" s="103"/>
      <c r="D6547" s="80"/>
      <c r="E6547" s="80"/>
    </row>
    <row r="6548" spans="2:5" ht="14.25" customHeight="1" x14ac:dyDescent="0.25">
      <c r="B6548" s="103"/>
      <c r="D6548" s="80"/>
      <c r="E6548" s="80"/>
    </row>
    <row r="6549" spans="2:5" ht="14.25" customHeight="1" x14ac:dyDescent="0.25">
      <c r="B6549" s="103"/>
      <c r="D6549" s="80"/>
      <c r="E6549" s="80"/>
    </row>
    <row r="6550" spans="2:5" ht="14.25" customHeight="1" x14ac:dyDescent="0.25">
      <c r="B6550" s="103"/>
      <c r="D6550" s="80"/>
      <c r="E6550" s="80"/>
    </row>
    <row r="6551" spans="2:5" ht="14.25" customHeight="1" x14ac:dyDescent="0.25">
      <c r="B6551" s="103"/>
      <c r="D6551" s="80"/>
      <c r="E6551" s="80"/>
    </row>
    <row r="6552" spans="2:5" ht="14.25" customHeight="1" x14ac:dyDescent="0.25">
      <c r="B6552" s="103"/>
      <c r="D6552" s="80"/>
      <c r="E6552" s="80"/>
    </row>
    <row r="6553" spans="2:5" ht="14.25" customHeight="1" x14ac:dyDescent="0.25">
      <c r="B6553" s="103"/>
      <c r="D6553" s="80"/>
      <c r="E6553" s="80"/>
    </row>
    <row r="6554" spans="2:5" ht="14.25" customHeight="1" x14ac:dyDescent="0.25">
      <c r="B6554" s="103"/>
      <c r="D6554" s="80"/>
      <c r="E6554" s="80"/>
    </row>
    <row r="6555" spans="2:5" ht="14.25" customHeight="1" x14ac:dyDescent="0.25">
      <c r="B6555" s="103"/>
      <c r="D6555" s="80"/>
      <c r="E6555" s="80"/>
    </row>
    <row r="6556" spans="2:5" ht="14.25" customHeight="1" x14ac:dyDescent="0.25">
      <c r="B6556" s="103"/>
      <c r="D6556" s="80"/>
      <c r="E6556" s="80"/>
    </row>
    <row r="6557" spans="2:5" ht="14.25" customHeight="1" x14ac:dyDescent="0.25">
      <c r="B6557" s="103"/>
      <c r="D6557" s="80"/>
      <c r="E6557" s="80"/>
    </row>
    <row r="6558" spans="2:5" ht="14.25" customHeight="1" x14ac:dyDescent="0.25">
      <c r="B6558" s="103"/>
      <c r="D6558" s="80"/>
      <c r="E6558" s="80"/>
    </row>
    <row r="6559" spans="2:5" ht="14.25" customHeight="1" x14ac:dyDescent="0.25">
      <c r="B6559" s="103"/>
      <c r="D6559" s="80"/>
      <c r="E6559" s="80"/>
    </row>
    <row r="6560" spans="2:5" ht="14.25" customHeight="1" x14ac:dyDescent="0.25">
      <c r="B6560" s="103"/>
      <c r="D6560" s="80"/>
      <c r="E6560" s="80"/>
    </row>
    <row r="6561" spans="2:5" ht="14.25" customHeight="1" x14ac:dyDescent="0.25">
      <c r="B6561" s="103"/>
      <c r="D6561" s="80"/>
      <c r="E6561" s="80"/>
    </row>
    <row r="6562" spans="2:5" ht="14.25" customHeight="1" x14ac:dyDescent="0.25">
      <c r="B6562" s="103"/>
      <c r="D6562" s="80"/>
      <c r="E6562" s="80"/>
    </row>
    <row r="6563" spans="2:5" ht="14.25" customHeight="1" x14ac:dyDescent="0.25">
      <c r="B6563" s="103"/>
      <c r="D6563" s="80"/>
      <c r="E6563" s="80"/>
    </row>
    <row r="6564" spans="2:5" ht="14.25" customHeight="1" x14ac:dyDescent="0.25">
      <c r="B6564" s="103"/>
      <c r="D6564" s="80"/>
      <c r="E6564" s="80"/>
    </row>
    <row r="6565" spans="2:5" ht="14.25" customHeight="1" x14ac:dyDescent="0.25">
      <c r="B6565" s="103"/>
      <c r="D6565" s="80"/>
      <c r="E6565" s="80"/>
    </row>
    <row r="6566" spans="2:5" ht="14.25" customHeight="1" x14ac:dyDescent="0.25">
      <c r="B6566" s="103"/>
      <c r="D6566" s="80"/>
      <c r="E6566" s="80"/>
    </row>
    <row r="6567" spans="2:5" ht="14.25" customHeight="1" x14ac:dyDescent="0.25">
      <c r="B6567" s="103"/>
      <c r="D6567" s="80"/>
      <c r="E6567" s="80"/>
    </row>
    <row r="6568" spans="2:5" ht="14.25" customHeight="1" x14ac:dyDescent="0.25">
      <c r="B6568" s="103"/>
      <c r="D6568" s="80"/>
      <c r="E6568" s="80"/>
    </row>
    <row r="6569" spans="2:5" ht="14.25" customHeight="1" x14ac:dyDescent="0.25">
      <c r="B6569" s="103"/>
      <c r="D6569" s="80"/>
      <c r="E6569" s="80"/>
    </row>
    <row r="6570" spans="2:5" ht="14.25" customHeight="1" x14ac:dyDescent="0.25">
      <c r="B6570" s="103"/>
      <c r="D6570" s="80"/>
      <c r="E6570" s="80"/>
    </row>
    <row r="6571" spans="2:5" ht="14.25" customHeight="1" x14ac:dyDescent="0.25">
      <c r="B6571" s="103"/>
      <c r="D6571" s="80"/>
      <c r="E6571" s="80"/>
    </row>
    <row r="6572" spans="2:5" ht="14.25" customHeight="1" x14ac:dyDescent="0.25">
      <c r="B6572" s="103"/>
      <c r="D6572" s="80"/>
      <c r="E6572" s="80"/>
    </row>
    <row r="6573" spans="2:5" ht="14.25" customHeight="1" x14ac:dyDescent="0.25">
      <c r="B6573" s="103"/>
      <c r="D6573" s="80"/>
      <c r="E6573" s="80"/>
    </row>
    <row r="6574" spans="2:5" ht="14.25" customHeight="1" x14ac:dyDescent="0.25">
      <c r="B6574" s="103"/>
      <c r="D6574" s="80"/>
      <c r="E6574" s="80"/>
    </row>
    <row r="6575" spans="2:5" ht="14.25" customHeight="1" x14ac:dyDescent="0.25">
      <c r="B6575" s="103"/>
      <c r="D6575" s="80"/>
      <c r="E6575" s="80"/>
    </row>
    <row r="6576" spans="2:5" ht="14.25" customHeight="1" x14ac:dyDescent="0.25">
      <c r="B6576" s="103"/>
      <c r="D6576" s="80"/>
      <c r="E6576" s="80"/>
    </row>
    <row r="6577" spans="2:5" ht="14.25" customHeight="1" x14ac:dyDescent="0.25">
      <c r="B6577" s="103"/>
      <c r="D6577" s="80"/>
      <c r="E6577" s="80"/>
    </row>
    <row r="6578" spans="2:5" ht="14.25" customHeight="1" x14ac:dyDescent="0.25">
      <c r="B6578" s="103"/>
      <c r="D6578" s="80"/>
      <c r="E6578" s="80"/>
    </row>
    <row r="6579" spans="2:5" ht="14.25" customHeight="1" x14ac:dyDescent="0.25">
      <c r="B6579" s="103"/>
      <c r="D6579" s="80"/>
      <c r="E6579" s="80"/>
    </row>
    <row r="6580" spans="2:5" ht="14.25" customHeight="1" x14ac:dyDescent="0.25">
      <c r="B6580" s="103"/>
      <c r="D6580" s="80"/>
      <c r="E6580" s="80"/>
    </row>
    <row r="6581" spans="2:5" ht="14.25" customHeight="1" x14ac:dyDescent="0.25">
      <c r="B6581" s="103"/>
      <c r="D6581" s="80"/>
      <c r="E6581" s="80"/>
    </row>
    <row r="6582" spans="2:5" ht="14.25" customHeight="1" x14ac:dyDescent="0.25">
      <c r="B6582" s="103"/>
      <c r="D6582" s="80"/>
      <c r="E6582" s="80"/>
    </row>
    <row r="6583" spans="2:5" ht="14.25" customHeight="1" x14ac:dyDescent="0.25">
      <c r="B6583" s="103"/>
      <c r="D6583" s="80"/>
      <c r="E6583" s="80"/>
    </row>
    <row r="6584" spans="2:5" ht="14.25" customHeight="1" x14ac:dyDescent="0.25">
      <c r="B6584" s="103"/>
      <c r="D6584" s="80"/>
      <c r="E6584" s="80"/>
    </row>
    <row r="6585" spans="2:5" ht="14.25" customHeight="1" x14ac:dyDescent="0.25">
      <c r="B6585" s="103"/>
      <c r="D6585" s="80"/>
      <c r="E6585" s="80"/>
    </row>
    <row r="6586" spans="2:5" ht="14.25" customHeight="1" x14ac:dyDescent="0.25">
      <c r="B6586" s="103"/>
      <c r="D6586" s="80"/>
      <c r="E6586" s="80"/>
    </row>
    <row r="6587" spans="2:5" ht="14.25" customHeight="1" x14ac:dyDescent="0.25">
      <c r="B6587" s="103"/>
      <c r="D6587" s="80"/>
      <c r="E6587" s="80"/>
    </row>
    <row r="6588" spans="2:5" ht="14.25" customHeight="1" x14ac:dyDescent="0.25">
      <c r="B6588" s="103"/>
      <c r="D6588" s="80"/>
      <c r="E6588" s="80"/>
    </row>
    <row r="6589" spans="2:5" ht="14.25" customHeight="1" x14ac:dyDescent="0.25">
      <c r="B6589" s="103"/>
      <c r="D6589" s="80"/>
      <c r="E6589" s="80"/>
    </row>
    <row r="6590" spans="2:5" ht="14.25" customHeight="1" x14ac:dyDescent="0.25">
      <c r="B6590" s="103"/>
      <c r="D6590" s="80"/>
      <c r="E6590" s="80"/>
    </row>
    <row r="6591" spans="2:5" ht="14.25" customHeight="1" x14ac:dyDescent="0.25">
      <c r="B6591" s="103"/>
      <c r="D6591" s="80"/>
      <c r="E6591" s="80"/>
    </row>
    <row r="6592" spans="2:5" ht="14.25" customHeight="1" x14ac:dyDescent="0.25">
      <c r="B6592" s="103"/>
      <c r="D6592" s="80"/>
      <c r="E6592" s="80"/>
    </row>
    <row r="6593" spans="2:5" ht="14.25" customHeight="1" x14ac:dyDescent="0.25">
      <c r="B6593" s="103"/>
      <c r="D6593" s="80"/>
      <c r="E6593" s="80"/>
    </row>
    <row r="6594" spans="2:5" ht="14.25" customHeight="1" x14ac:dyDescent="0.25">
      <c r="B6594" s="103"/>
      <c r="D6594" s="80"/>
      <c r="E6594" s="80"/>
    </row>
    <row r="6595" spans="2:5" ht="14.25" customHeight="1" x14ac:dyDescent="0.25">
      <c r="B6595" s="103"/>
      <c r="D6595" s="80"/>
      <c r="E6595" s="80"/>
    </row>
    <row r="6596" spans="2:5" ht="14.25" customHeight="1" x14ac:dyDescent="0.25">
      <c r="B6596" s="103"/>
      <c r="D6596" s="80"/>
      <c r="E6596" s="80"/>
    </row>
    <row r="6597" spans="2:5" ht="14.25" customHeight="1" x14ac:dyDescent="0.25">
      <c r="B6597" s="103"/>
      <c r="D6597" s="80"/>
      <c r="E6597" s="80"/>
    </row>
    <row r="6598" spans="2:5" ht="14.25" customHeight="1" x14ac:dyDescent="0.25">
      <c r="B6598" s="103"/>
      <c r="D6598" s="80"/>
      <c r="E6598" s="80"/>
    </row>
    <row r="6599" spans="2:5" ht="14.25" customHeight="1" x14ac:dyDescent="0.25">
      <c r="B6599" s="103"/>
      <c r="D6599" s="80"/>
      <c r="E6599" s="80"/>
    </row>
    <row r="6600" spans="2:5" ht="14.25" customHeight="1" x14ac:dyDescent="0.25">
      <c r="B6600" s="103"/>
      <c r="D6600" s="80"/>
      <c r="E6600" s="80"/>
    </row>
    <row r="6601" spans="2:5" ht="14.25" customHeight="1" x14ac:dyDescent="0.25">
      <c r="B6601" s="103"/>
      <c r="D6601" s="80"/>
      <c r="E6601" s="80"/>
    </row>
    <row r="6602" spans="2:5" ht="14.25" customHeight="1" x14ac:dyDescent="0.25">
      <c r="B6602" s="103"/>
      <c r="D6602" s="80"/>
      <c r="E6602" s="80"/>
    </row>
    <row r="6603" spans="2:5" ht="14.25" customHeight="1" x14ac:dyDescent="0.25">
      <c r="B6603" s="103"/>
      <c r="D6603" s="80"/>
      <c r="E6603" s="80"/>
    </row>
    <row r="6604" spans="2:5" ht="14.25" customHeight="1" x14ac:dyDescent="0.25">
      <c r="B6604" s="103"/>
      <c r="D6604" s="80"/>
      <c r="E6604" s="80"/>
    </row>
    <row r="6605" spans="2:5" ht="14.25" customHeight="1" x14ac:dyDescent="0.25">
      <c r="B6605" s="103"/>
      <c r="D6605" s="80"/>
      <c r="E6605" s="80"/>
    </row>
    <row r="6606" spans="2:5" ht="14.25" customHeight="1" x14ac:dyDescent="0.25">
      <c r="B6606" s="103"/>
      <c r="D6606" s="80"/>
      <c r="E6606" s="80"/>
    </row>
    <row r="6607" spans="2:5" ht="14.25" customHeight="1" x14ac:dyDescent="0.25">
      <c r="B6607" s="103"/>
      <c r="D6607" s="80"/>
      <c r="E6607" s="80"/>
    </row>
    <row r="6608" spans="2:5" ht="14.25" customHeight="1" x14ac:dyDescent="0.25">
      <c r="B6608" s="103"/>
      <c r="D6608" s="80"/>
      <c r="E6608" s="80"/>
    </row>
    <row r="6609" spans="2:5" ht="14.25" customHeight="1" x14ac:dyDescent="0.25">
      <c r="B6609" s="103"/>
      <c r="D6609" s="80"/>
      <c r="E6609" s="80"/>
    </row>
    <row r="6610" spans="2:5" ht="14.25" customHeight="1" x14ac:dyDescent="0.25">
      <c r="B6610" s="103"/>
      <c r="D6610" s="80"/>
      <c r="E6610" s="80"/>
    </row>
    <row r="6611" spans="2:5" ht="14.25" customHeight="1" x14ac:dyDescent="0.25">
      <c r="B6611" s="103"/>
      <c r="D6611" s="80"/>
      <c r="E6611" s="80"/>
    </row>
    <row r="6612" spans="2:5" ht="14.25" customHeight="1" x14ac:dyDescent="0.25">
      <c r="B6612" s="103"/>
      <c r="D6612" s="80"/>
      <c r="E6612" s="80"/>
    </row>
    <row r="6613" spans="2:5" ht="14.25" customHeight="1" x14ac:dyDescent="0.25">
      <c r="B6613" s="103"/>
      <c r="D6613" s="80"/>
      <c r="E6613" s="80"/>
    </row>
    <row r="6614" spans="2:5" ht="14.25" customHeight="1" x14ac:dyDescent="0.25">
      <c r="B6614" s="103"/>
      <c r="D6614" s="80"/>
      <c r="E6614" s="80"/>
    </row>
    <row r="6615" spans="2:5" ht="14.25" customHeight="1" x14ac:dyDescent="0.25">
      <c r="B6615" s="103"/>
      <c r="D6615" s="80"/>
      <c r="E6615" s="80"/>
    </row>
    <row r="6616" spans="2:5" ht="14.25" customHeight="1" x14ac:dyDescent="0.25">
      <c r="B6616" s="103"/>
      <c r="D6616" s="80"/>
      <c r="E6616" s="80"/>
    </row>
    <row r="6617" spans="2:5" ht="14.25" customHeight="1" x14ac:dyDescent="0.25">
      <c r="B6617" s="103"/>
      <c r="D6617" s="80"/>
      <c r="E6617" s="80"/>
    </row>
    <row r="6618" spans="2:5" ht="14.25" customHeight="1" x14ac:dyDescent="0.25">
      <c r="B6618" s="103"/>
      <c r="D6618" s="80"/>
      <c r="E6618" s="80"/>
    </row>
    <row r="6619" spans="2:5" ht="14.25" customHeight="1" x14ac:dyDescent="0.25">
      <c r="B6619" s="103"/>
      <c r="D6619" s="80"/>
      <c r="E6619" s="80"/>
    </row>
    <row r="6620" spans="2:5" ht="14.25" customHeight="1" x14ac:dyDescent="0.25">
      <c r="B6620" s="103"/>
      <c r="D6620" s="80"/>
      <c r="E6620" s="80"/>
    </row>
    <row r="6621" spans="2:5" ht="14.25" customHeight="1" x14ac:dyDescent="0.25">
      <c r="B6621" s="103"/>
      <c r="D6621" s="80"/>
      <c r="E6621" s="80"/>
    </row>
    <row r="6622" spans="2:5" ht="14.25" customHeight="1" x14ac:dyDescent="0.25">
      <c r="B6622" s="103"/>
      <c r="D6622" s="80"/>
      <c r="E6622" s="80"/>
    </row>
    <row r="6623" spans="2:5" ht="14.25" customHeight="1" x14ac:dyDescent="0.25">
      <c r="B6623" s="103"/>
      <c r="D6623" s="80"/>
      <c r="E6623" s="80"/>
    </row>
    <row r="6624" spans="2:5" ht="14.25" customHeight="1" x14ac:dyDescent="0.25">
      <c r="B6624" s="103"/>
      <c r="D6624" s="80"/>
      <c r="E6624" s="80"/>
    </row>
    <row r="6625" spans="2:5" ht="14.25" customHeight="1" x14ac:dyDescent="0.25">
      <c r="B6625" s="103"/>
      <c r="D6625" s="80"/>
      <c r="E6625" s="80"/>
    </row>
    <row r="6626" spans="2:5" ht="14.25" customHeight="1" x14ac:dyDescent="0.25">
      <c r="B6626" s="103"/>
      <c r="D6626" s="80"/>
      <c r="E6626" s="80"/>
    </row>
    <row r="6627" spans="2:5" ht="14.25" customHeight="1" x14ac:dyDescent="0.25">
      <c r="B6627" s="103"/>
      <c r="D6627" s="80"/>
      <c r="E6627" s="80"/>
    </row>
    <row r="6628" spans="2:5" ht="14.25" customHeight="1" x14ac:dyDescent="0.25">
      <c r="B6628" s="103"/>
      <c r="D6628" s="80"/>
      <c r="E6628" s="80"/>
    </row>
    <row r="6629" spans="2:5" ht="14.25" customHeight="1" x14ac:dyDescent="0.25">
      <c r="B6629" s="103"/>
      <c r="D6629" s="80"/>
      <c r="E6629" s="80"/>
    </row>
    <row r="6630" spans="2:5" ht="14.25" customHeight="1" x14ac:dyDescent="0.25">
      <c r="B6630" s="103"/>
      <c r="D6630" s="80"/>
      <c r="E6630" s="80"/>
    </row>
    <row r="6631" spans="2:5" ht="14.25" customHeight="1" x14ac:dyDescent="0.25">
      <c r="B6631" s="103"/>
      <c r="D6631" s="80"/>
      <c r="E6631" s="80"/>
    </row>
    <row r="6632" spans="2:5" ht="14.25" customHeight="1" x14ac:dyDescent="0.25">
      <c r="B6632" s="103"/>
      <c r="D6632" s="80"/>
      <c r="E6632" s="80"/>
    </row>
    <row r="6633" spans="2:5" ht="14.25" customHeight="1" x14ac:dyDescent="0.25">
      <c r="B6633" s="103"/>
      <c r="D6633" s="80"/>
      <c r="E6633" s="80"/>
    </row>
    <row r="6634" spans="2:5" ht="14.25" customHeight="1" x14ac:dyDescent="0.25">
      <c r="B6634" s="103"/>
      <c r="D6634" s="80"/>
      <c r="E6634" s="80"/>
    </row>
    <row r="6635" spans="2:5" ht="14.25" customHeight="1" x14ac:dyDescent="0.25">
      <c r="B6635" s="103"/>
      <c r="D6635" s="80"/>
      <c r="E6635" s="80"/>
    </row>
    <row r="6636" spans="2:5" ht="14.25" customHeight="1" x14ac:dyDescent="0.25">
      <c r="B6636" s="103"/>
      <c r="D6636" s="80"/>
      <c r="E6636" s="80"/>
    </row>
    <row r="6637" spans="2:5" ht="14.25" customHeight="1" x14ac:dyDescent="0.25">
      <c r="B6637" s="103"/>
      <c r="D6637" s="80"/>
      <c r="E6637" s="80"/>
    </row>
    <row r="6638" spans="2:5" ht="14.25" customHeight="1" x14ac:dyDescent="0.25">
      <c r="B6638" s="103"/>
      <c r="D6638" s="80"/>
      <c r="E6638" s="80"/>
    </row>
    <row r="6639" spans="2:5" ht="14.25" customHeight="1" x14ac:dyDescent="0.25">
      <c r="B6639" s="103"/>
      <c r="D6639" s="80"/>
      <c r="E6639" s="80"/>
    </row>
    <row r="6640" spans="2:5" ht="14.25" customHeight="1" x14ac:dyDescent="0.25">
      <c r="B6640" s="103"/>
      <c r="D6640" s="80"/>
      <c r="E6640" s="80"/>
    </row>
    <row r="6641" spans="2:5" ht="14.25" customHeight="1" x14ac:dyDescent="0.25">
      <c r="B6641" s="103"/>
      <c r="D6641" s="80"/>
      <c r="E6641" s="80"/>
    </row>
    <row r="6642" spans="2:5" ht="14.25" customHeight="1" x14ac:dyDescent="0.25">
      <c r="B6642" s="103"/>
      <c r="D6642" s="80"/>
      <c r="E6642" s="80"/>
    </row>
    <row r="6643" spans="2:5" ht="14.25" customHeight="1" x14ac:dyDescent="0.25">
      <c r="B6643" s="103"/>
      <c r="D6643" s="80"/>
      <c r="E6643" s="80"/>
    </row>
    <row r="6644" spans="2:5" ht="14.25" customHeight="1" x14ac:dyDescent="0.25">
      <c r="B6644" s="103"/>
      <c r="D6644" s="80"/>
      <c r="E6644" s="80"/>
    </row>
    <row r="6645" spans="2:5" ht="14.25" customHeight="1" x14ac:dyDescent="0.25">
      <c r="B6645" s="103"/>
      <c r="D6645" s="80"/>
      <c r="E6645" s="80"/>
    </row>
    <row r="6646" spans="2:5" ht="14.25" customHeight="1" x14ac:dyDescent="0.25">
      <c r="B6646" s="103"/>
      <c r="D6646" s="80"/>
      <c r="E6646" s="80"/>
    </row>
    <row r="6647" spans="2:5" ht="14.25" customHeight="1" x14ac:dyDescent="0.25">
      <c r="B6647" s="103"/>
      <c r="D6647" s="80"/>
      <c r="E6647" s="80"/>
    </row>
    <row r="6648" spans="2:5" ht="14.25" customHeight="1" x14ac:dyDescent="0.25">
      <c r="B6648" s="103"/>
      <c r="D6648" s="80"/>
      <c r="E6648" s="80"/>
    </row>
    <row r="6649" spans="2:5" ht="14.25" customHeight="1" x14ac:dyDescent="0.25">
      <c r="B6649" s="103"/>
      <c r="D6649" s="80"/>
      <c r="E6649" s="80"/>
    </row>
    <row r="6650" spans="2:5" ht="14.25" customHeight="1" x14ac:dyDescent="0.25">
      <c r="B6650" s="103"/>
      <c r="D6650" s="80"/>
      <c r="E6650" s="80"/>
    </row>
    <row r="6651" spans="2:5" ht="14.25" customHeight="1" x14ac:dyDescent="0.25">
      <c r="B6651" s="103"/>
      <c r="D6651" s="80"/>
      <c r="E6651" s="80"/>
    </row>
    <row r="6652" spans="2:5" ht="14.25" customHeight="1" x14ac:dyDescent="0.25">
      <c r="B6652" s="103"/>
      <c r="D6652" s="80"/>
      <c r="E6652" s="80"/>
    </row>
    <row r="6653" spans="2:5" ht="14.25" customHeight="1" x14ac:dyDescent="0.25">
      <c r="B6653" s="103"/>
      <c r="D6653" s="80"/>
      <c r="E6653" s="80"/>
    </row>
    <row r="6654" spans="2:5" ht="14.25" customHeight="1" x14ac:dyDescent="0.25">
      <c r="B6654" s="103"/>
      <c r="D6654" s="80"/>
      <c r="E6654" s="80"/>
    </row>
    <row r="6655" spans="2:5" ht="14.25" customHeight="1" x14ac:dyDescent="0.25">
      <c r="B6655" s="103"/>
      <c r="D6655" s="80"/>
      <c r="E6655" s="80"/>
    </row>
    <row r="6656" spans="2:5" ht="14.25" customHeight="1" x14ac:dyDescent="0.25">
      <c r="B6656" s="103"/>
      <c r="D6656" s="80"/>
      <c r="E6656" s="80"/>
    </row>
    <row r="6657" spans="2:5" ht="14.25" customHeight="1" x14ac:dyDescent="0.25">
      <c r="B6657" s="103"/>
      <c r="D6657" s="80"/>
      <c r="E6657" s="80"/>
    </row>
    <row r="6658" spans="2:5" ht="14.25" customHeight="1" x14ac:dyDescent="0.25">
      <c r="B6658" s="103"/>
      <c r="D6658" s="80"/>
      <c r="E6658" s="80"/>
    </row>
    <row r="6659" spans="2:5" ht="14.25" customHeight="1" x14ac:dyDescent="0.25">
      <c r="B6659" s="103"/>
      <c r="D6659" s="80"/>
      <c r="E6659" s="80"/>
    </row>
    <row r="6660" spans="2:5" ht="14.25" customHeight="1" x14ac:dyDescent="0.25">
      <c r="B6660" s="103"/>
      <c r="D6660" s="80"/>
      <c r="E6660" s="80"/>
    </row>
    <row r="6661" spans="2:5" ht="14.25" customHeight="1" x14ac:dyDescent="0.25">
      <c r="B6661" s="103"/>
      <c r="D6661" s="80"/>
      <c r="E6661" s="80"/>
    </row>
    <row r="6662" spans="2:5" ht="14.25" customHeight="1" x14ac:dyDescent="0.25">
      <c r="B6662" s="103"/>
      <c r="D6662" s="80"/>
      <c r="E6662" s="80"/>
    </row>
    <row r="6663" spans="2:5" ht="14.25" customHeight="1" x14ac:dyDescent="0.25">
      <c r="B6663" s="103"/>
      <c r="D6663" s="80"/>
      <c r="E6663" s="80"/>
    </row>
    <row r="6664" spans="2:5" ht="14.25" customHeight="1" x14ac:dyDescent="0.25">
      <c r="B6664" s="103"/>
      <c r="D6664" s="80"/>
      <c r="E6664" s="80"/>
    </row>
    <row r="6665" spans="2:5" ht="14.25" customHeight="1" x14ac:dyDescent="0.25">
      <c r="B6665" s="103"/>
      <c r="D6665" s="80"/>
      <c r="E6665" s="80"/>
    </row>
    <row r="6666" spans="2:5" ht="14.25" customHeight="1" x14ac:dyDescent="0.25">
      <c r="B6666" s="103"/>
      <c r="D6666" s="80"/>
      <c r="E6666" s="80"/>
    </row>
    <row r="6667" spans="2:5" ht="14.25" customHeight="1" x14ac:dyDescent="0.25">
      <c r="B6667" s="103"/>
      <c r="D6667" s="80"/>
      <c r="E6667" s="80"/>
    </row>
    <row r="6668" spans="2:5" ht="14.25" customHeight="1" x14ac:dyDescent="0.25">
      <c r="B6668" s="103"/>
      <c r="D6668" s="80"/>
      <c r="E6668" s="80"/>
    </row>
    <row r="6669" spans="2:5" ht="14.25" customHeight="1" x14ac:dyDescent="0.25">
      <c r="B6669" s="103"/>
      <c r="D6669" s="80"/>
      <c r="E6669" s="80"/>
    </row>
    <row r="6670" spans="2:5" ht="14.25" customHeight="1" x14ac:dyDescent="0.25">
      <c r="B6670" s="103"/>
      <c r="D6670" s="80"/>
      <c r="E6670" s="80"/>
    </row>
    <row r="6671" spans="2:5" ht="14.25" customHeight="1" x14ac:dyDescent="0.25">
      <c r="B6671" s="103"/>
      <c r="D6671" s="80"/>
      <c r="E6671" s="80"/>
    </row>
    <row r="6672" spans="2:5" ht="14.25" customHeight="1" x14ac:dyDescent="0.25">
      <c r="B6672" s="103"/>
      <c r="D6672" s="80"/>
      <c r="E6672" s="80"/>
    </row>
    <row r="6673" spans="2:5" ht="14.25" customHeight="1" x14ac:dyDescent="0.25">
      <c r="B6673" s="103"/>
      <c r="D6673" s="80"/>
      <c r="E6673" s="80"/>
    </row>
    <row r="6674" spans="2:5" ht="14.25" customHeight="1" x14ac:dyDescent="0.25">
      <c r="B6674" s="103"/>
      <c r="D6674" s="80"/>
      <c r="E6674" s="80"/>
    </row>
    <row r="6675" spans="2:5" ht="14.25" customHeight="1" x14ac:dyDescent="0.25">
      <c r="B6675" s="103"/>
      <c r="D6675" s="80"/>
      <c r="E6675" s="80"/>
    </row>
    <row r="6676" spans="2:5" ht="14.25" customHeight="1" x14ac:dyDescent="0.25">
      <c r="B6676" s="103"/>
      <c r="D6676" s="80"/>
      <c r="E6676" s="80"/>
    </row>
    <row r="6677" spans="2:5" ht="14.25" customHeight="1" x14ac:dyDescent="0.25">
      <c r="B6677" s="103"/>
      <c r="D6677" s="80"/>
      <c r="E6677" s="80"/>
    </row>
    <row r="6678" spans="2:5" ht="14.25" customHeight="1" x14ac:dyDescent="0.25">
      <c r="B6678" s="103"/>
      <c r="D6678" s="80"/>
      <c r="E6678" s="80"/>
    </row>
    <row r="6679" spans="2:5" ht="14.25" customHeight="1" x14ac:dyDescent="0.25">
      <c r="B6679" s="103"/>
      <c r="D6679" s="80"/>
      <c r="E6679" s="80"/>
    </row>
    <row r="6680" spans="2:5" ht="14.25" customHeight="1" x14ac:dyDescent="0.25">
      <c r="B6680" s="103"/>
      <c r="D6680" s="80"/>
      <c r="E6680" s="80"/>
    </row>
    <row r="6681" spans="2:5" ht="14.25" customHeight="1" x14ac:dyDescent="0.25">
      <c r="B6681" s="103"/>
      <c r="D6681" s="80"/>
      <c r="E6681" s="80"/>
    </row>
    <row r="6682" spans="2:5" ht="14.25" customHeight="1" x14ac:dyDescent="0.25">
      <c r="B6682" s="103"/>
      <c r="D6682" s="80"/>
      <c r="E6682" s="80"/>
    </row>
    <row r="6683" spans="2:5" ht="14.25" customHeight="1" x14ac:dyDescent="0.25">
      <c r="B6683" s="103"/>
      <c r="D6683" s="80"/>
      <c r="E6683" s="80"/>
    </row>
    <row r="6684" spans="2:5" ht="14.25" customHeight="1" x14ac:dyDescent="0.25">
      <c r="B6684" s="103"/>
      <c r="D6684" s="80"/>
      <c r="E6684" s="80"/>
    </row>
    <row r="6685" spans="2:5" ht="14.25" customHeight="1" x14ac:dyDescent="0.25">
      <c r="B6685" s="103"/>
      <c r="D6685" s="80"/>
      <c r="E6685" s="80"/>
    </row>
    <row r="6686" spans="2:5" ht="14.25" customHeight="1" x14ac:dyDescent="0.25">
      <c r="B6686" s="103"/>
      <c r="D6686" s="80"/>
      <c r="E6686" s="80"/>
    </row>
    <row r="6687" spans="2:5" ht="14.25" customHeight="1" x14ac:dyDescent="0.25">
      <c r="B6687" s="103"/>
      <c r="D6687" s="80"/>
      <c r="E6687" s="80"/>
    </row>
    <row r="6688" spans="2:5" ht="14.25" customHeight="1" x14ac:dyDescent="0.25">
      <c r="B6688" s="103"/>
      <c r="D6688" s="80"/>
      <c r="E6688" s="80"/>
    </row>
    <row r="6689" spans="2:5" ht="14.25" customHeight="1" x14ac:dyDescent="0.25">
      <c r="B6689" s="103"/>
      <c r="D6689" s="80"/>
      <c r="E6689" s="80"/>
    </row>
    <row r="6690" spans="2:5" ht="14.25" customHeight="1" x14ac:dyDescent="0.25">
      <c r="B6690" s="103"/>
      <c r="D6690" s="80"/>
      <c r="E6690" s="80"/>
    </row>
    <row r="6691" spans="2:5" ht="14.25" customHeight="1" x14ac:dyDescent="0.25">
      <c r="B6691" s="103"/>
      <c r="D6691" s="80"/>
      <c r="E6691" s="80"/>
    </row>
    <row r="6692" spans="2:5" ht="14.25" customHeight="1" x14ac:dyDescent="0.25">
      <c r="B6692" s="103"/>
      <c r="D6692" s="80"/>
      <c r="E6692" s="80"/>
    </row>
    <row r="6693" spans="2:5" ht="14.25" customHeight="1" x14ac:dyDescent="0.25">
      <c r="B6693" s="103"/>
      <c r="D6693" s="80"/>
      <c r="E6693" s="80"/>
    </row>
    <row r="6694" spans="2:5" ht="14.25" customHeight="1" x14ac:dyDescent="0.25">
      <c r="B6694" s="103"/>
      <c r="D6694" s="80"/>
      <c r="E6694" s="80"/>
    </row>
    <row r="6695" spans="2:5" ht="14.25" customHeight="1" x14ac:dyDescent="0.25">
      <c r="B6695" s="103"/>
      <c r="D6695" s="80"/>
      <c r="E6695" s="80"/>
    </row>
    <row r="6696" spans="2:5" ht="14.25" customHeight="1" x14ac:dyDescent="0.25">
      <c r="B6696" s="103"/>
      <c r="D6696" s="80"/>
      <c r="E6696" s="80"/>
    </row>
    <row r="6697" spans="2:5" ht="14.25" customHeight="1" x14ac:dyDescent="0.25">
      <c r="B6697" s="103"/>
      <c r="D6697" s="80"/>
      <c r="E6697" s="80"/>
    </row>
    <row r="6698" spans="2:5" ht="14.25" customHeight="1" x14ac:dyDescent="0.25">
      <c r="B6698" s="103"/>
      <c r="D6698" s="80"/>
      <c r="E6698" s="80"/>
    </row>
    <row r="6699" spans="2:5" ht="14.25" customHeight="1" x14ac:dyDescent="0.25">
      <c r="B6699" s="103"/>
      <c r="D6699" s="80"/>
      <c r="E6699" s="80"/>
    </row>
    <row r="6700" spans="2:5" ht="14.25" customHeight="1" x14ac:dyDescent="0.25">
      <c r="B6700" s="103"/>
      <c r="D6700" s="80"/>
      <c r="E6700" s="80"/>
    </row>
    <row r="6701" spans="2:5" ht="14.25" customHeight="1" x14ac:dyDescent="0.25">
      <c r="B6701" s="103"/>
      <c r="D6701" s="80"/>
      <c r="E6701" s="80"/>
    </row>
    <row r="6702" spans="2:5" ht="14.25" customHeight="1" x14ac:dyDescent="0.25">
      <c r="B6702" s="103"/>
      <c r="D6702" s="80"/>
      <c r="E6702" s="80"/>
    </row>
    <row r="6703" spans="2:5" ht="14.25" customHeight="1" x14ac:dyDescent="0.25">
      <c r="B6703" s="103"/>
      <c r="D6703" s="80"/>
      <c r="E6703" s="80"/>
    </row>
    <row r="6704" spans="2:5" ht="14.25" customHeight="1" x14ac:dyDescent="0.25">
      <c r="B6704" s="103"/>
      <c r="D6704" s="80"/>
      <c r="E6704" s="80"/>
    </row>
    <row r="6705" spans="2:5" ht="14.25" customHeight="1" x14ac:dyDescent="0.25">
      <c r="B6705" s="103"/>
      <c r="D6705" s="80"/>
      <c r="E6705" s="80"/>
    </row>
    <row r="6706" spans="2:5" ht="14.25" customHeight="1" x14ac:dyDescent="0.25">
      <c r="B6706" s="103"/>
      <c r="D6706" s="80"/>
      <c r="E6706" s="80"/>
    </row>
    <row r="6707" spans="2:5" ht="14.25" customHeight="1" x14ac:dyDescent="0.25">
      <c r="B6707" s="103"/>
      <c r="D6707" s="80"/>
      <c r="E6707" s="80"/>
    </row>
    <row r="6708" spans="2:5" ht="14.25" customHeight="1" x14ac:dyDescent="0.25">
      <c r="B6708" s="103"/>
      <c r="D6708" s="80"/>
      <c r="E6708" s="80"/>
    </row>
    <row r="6709" spans="2:5" ht="14.25" customHeight="1" x14ac:dyDescent="0.25">
      <c r="B6709" s="103"/>
      <c r="D6709" s="80"/>
      <c r="E6709" s="80"/>
    </row>
    <row r="6710" spans="2:5" ht="14.25" customHeight="1" x14ac:dyDescent="0.25">
      <c r="B6710" s="103"/>
      <c r="D6710" s="80"/>
      <c r="E6710" s="80"/>
    </row>
    <row r="6711" spans="2:5" ht="14.25" customHeight="1" x14ac:dyDescent="0.25">
      <c r="B6711" s="103"/>
      <c r="D6711" s="80"/>
      <c r="E6711" s="80"/>
    </row>
    <row r="6712" spans="2:5" ht="14.25" customHeight="1" x14ac:dyDescent="0.25">
      <c r="B6712" s="103"/>
      <c r="D6712" s="80"/>
      <c r="E6712" s="80"/>
    </row>
    <row r="6713" spans="2:5" ht="14.25" customHeight="1" x14ac:dyDescent="0.25">
      <c r="B6713" s="103"/>
      <c r="D6713" s="80"/>
      <c r="E6713" s="80"/>
    </row>
    <row r="6714" spans="2:5" ht="14.25" customHeight="1" x14ac:dyDescent="0.25">
      <c r="B6714" s="103"/>
      <c r="D6714" s="80"/>
      <c r="E6714" s="80"/>
    </row>
    <row r="6715" spans="2:5" ht="14.25" customHeight="1" x14ac:dyDescent="0.25">
      <c r="B6715" s="103"/>
      <c r="D6715" s="80"/>
      <c r="E6715" s="80"/>
    </row>
    <row r="6716" spans="2:5" ht="14.25" customHeight="1" x14ac:dyDescent="0.25">
      <c r="B6716" s="103"/>
      <c r="D6716" s="80"/>
      <c r="E6716" s="80"/>
    </row>
    <row r="6717" spans="2:5" ht="14.25" customHeight="1" x14ac:dyDescent="0.25">
      <c r="B6717" s="103"/>
      <c r="D6717" s="80"/>
      <c r="E6717" s="80"/>
    </row>
    <row r="6718" spans="2:5" ht="14.25" customHeight="1" x14ac:dyDescent="0.25">
      <c r="B6718" s="103"/>
      <c r="D6718" s="80"/>
      <c r="E6718" s="80"/>
    </row>
    <row r="6719" spans="2:5" ht="14.25" customHeight="1" x14ac:dyDescent="0.25">
      <c r="B6719" s="103"/>
      <c r="D6719" s="80"/>
      <c r="E6719" s="80"/>
    </row>
    <row r="6720" spans="2:5" ht="14.25" customHeight="1" x14ac:dyDescent="0.25">
      <c r="B6720" s="103"/>
      <c r="D6720" s="80"/>
      <c r="E6720" s="80"/>
    </row>
    <row r="6721" spans="2:5" ht="14.25" customHeight="1" x14ac:dyDescent="0.25">
      <c r="B6721" s="103"/>
      <c r="D6721" s="80"/>
      <c r="E6721" s="80"/>
    </row>
    <row r="6722" spans="2:5" ht="14.25" customHeight="1" x14ac:dyDescent="0.25">
      <c r="B6722" s="103"/>
      <c r="D6722" s="80"/>
      <c r="E6722" s="80"/>
    </row>
    <row r="6723" spans="2:5" ht="14.25" customHeight="1" x14ac:dyDescent="0.25">
      <c r="B6723" s="103"/>
      <c r="D6723" s="80"/>
      <c r="E6723" s="80"/>
    </row>
    <row r="6724" spans="2:5" ht="14.25" customHeight="1" x14ac:dyDescent="0.25">
      <c r="B6724" s="103"/>
      <c r="D6724" s="80"/>
      <c r="E6724" s="80"/>
    </row>
    <row r="6725" spans="2:5" ht="14.25" customHeight="1" x14ac:dyDescent="0.25">
      <c r="B6725" s="103"/>
      <c r="D6725" s="80"/>
      <c r="E6725" s="80"/>
    </row>
    <row r="6726" spans="2:5" ht="14.25" customHeight="1" x14ac:dyDescent="0.25">
      <c r="B6726" s="103"/>
      <c r="D6726" s="80"/>
      <c r="E6726" s="80"/>
    </row>
    <row r="6727" spans="2:5" ht="14.25" customHeight="1" x14ac:dyDescent="0.25">
      <c r="B6727" s="103"/>
      <c r="D6727" s="80"/>
      <c r="E6727" s="80"/>
    </row>
    <row r="6728" spans="2:5" ht="14.25" customHeight="1" x14ac:dyDescent="0.25">
      <c r="B6728" s="103"/>
      <c r="D6728" s="80"/>
      <c r="E6728" s="80"/>
    </row>
    <row r="6729" spans="2:5" ht="14.25" customHeight="1" x14ac:dyDescent="0.25">
      <c r="B6729" s="103"/>
      <c r="D6729" s="80"/>
      <c r="E6729" s="80"/>
    </row>
    <row r="6730" spans="2:5" ht="14.25" customHeight="1" x14ac:dyDescent="0.25">
      <c r="B6730" s="103"/>
      <c r="D6730" s="80"/>
      <c r="E6730" s="80"/>
    </row>
    <row r="6731" spans="2:5" ht="14.25" customHeight="1" x14ac:dyDescent="0.25">
      <c r="B6731" s="103"/>
      <c r="D6731" s="80"/>
      <c r="E6731" s="80"/>
    </row>
    <row r="6732" spans="2:5" ht="14.25" customHeight="1" x14ac:dyDescent="0.25">
      <c r="B6732" s="103"/>
      <c r="D6732" s="80"/>
      <c r="E6732" s="80"/>
    </row>
    <row r="6733" spans="2:5" ht="14.25" customHeight="1" x14ac:dyDescent="0.25">
      <c r="B6733" s="103"/>
      <c r="D6733" s="80"/>
      <c r="E6733" s="80"/>
    </row>
    <row r="6734" spans="2:5" ht="14.25" customHeight="1" x14ac:dyDescent="0.25">
      <c r="B6734" s="103"/>
      <c r="D6734" s="80"/>
      <c r="E6734" s="80"/>
    </row>
    <row r="6735" spans="2:5" ht="14.25" customHeight="1" x14ac:dyDescent="0.25">
      <c r="B6735" s="103"/>
      <c r="D6735" s="80"/>
      <c r="E6735" s="80"/>
    </row>
    <row r="6736" spans="2:5" ht="14.25" customHeight="1" x14ac:dyDescent="0.25">
      <c r="B6736" s="103"/>
      <c r="D6736" s="80"/>
      <c r="E6736" s="80"/>
    </row>
    <row r="6737" spans="2:5" ht="14.25" customHeight="1" x14ac:dyDescent="0.25">
      <c r="B6737" s="103"/>
      <c r="D6737" s="80"/>
      <c r="E6737" s="80"/>
    </row>
    <row r="6738" spans="2:5" ht="14.25" customHeight="1" x14ac:dyDescent="0.25">
      <c r="B6738" s="103"/>
      <c r="D6738" s="80"/>
      <c r="E6738" s="80"/>
    </row>
    <row r="6739" spans="2:5" ht="14.25" customHeight="1" x14ac:dyDescent="0.25">
      <c r="B6739" s="103"/>
      <c r="D6739" s="80"/>
      <c r="E6739" s="80"/>
    </row>
    <row r="6740" spans="2:5" ht="14.25" customHeight="1" x14ac:dyDescent="0.25">
      <c r="B6740" s="103"/>
      <c r="D6740" s="80"/>
      <c r="E6740" s="80"/>
    </row>
    <row r="6741" spans="2:5" ht="14.25" customHeight="1" x14ac:dyDescent="0.25">
      <c r="B6741" s="103"/>
      <c r="D6741" s="80"/>
      <c r="E6741" s="80"/>
    </row>
    <row r="6742" spans="2:5" ht="14.25" customHeight="1" x14ac:dyDescent="0.25">
      <c r="B6742" s="103"/>
      <c r="D6742" s="80"/>
      <c r="E6742" s="80"/>
    </row>
    <row r="6743" spans="2:5" ht="14.25" customHeight="1" x14ac:dyDescent="0.25">
      <c r="B6743" s="103"/>
      <c r="D6743" s="80"/>
      <c r="E6743" s="80"/>
    </row>
    <row r="6744" spans="2:5" ht="14.25" customHeight="1" x14ac:dyDescent="0.25">
      <c r="B6744" s="103"/>
      <c r="D6744" s="80"/>
      <c r="E6744" s="80"/>
    </row>
    <row r="6745" spans="2:5" ht="14.25" customHeight="1" x14ac:dyDescent="0.25">
      <c r="B6745" s="103"/>
      <c r="D6745" s="80"/>
      <c r="E6745" s="80"/>
    </row>
    <row r="6746" spans="2:5" ht="14.25" customHeight="1" x14ac:dyDescent="0.25">
      <c r="B6746" s="103"/>
      <c r="D6746" s="80"/>
      <c r="E6746" s="80"/>
    </row>
    <row r="6747" spans="2:5" ht="14.25" customHeight="1" x14ac:dyDescent="0.25">
      <c r="B6747" s="103"/>
      <c r="D6747" s="80"/>
      <c r="E6747" s="80"/>
    </row>
    <row r="6748" spans="2:5" ht="14.25" customHeight="1" x14ac:dyDescent="0.25">
      <c r="B6748" s="103"/>
      <c r="D6748" s="80"/>
      <c r="E6748" s="80"/>
    </row>
    <row r="6749" spans="2:5" ht="14.25" customHeight="1" x14ac:dyDescent="0.25">
      <c r="B6749" s="103"/>
      <c r="D6749" s="80"/>
      <c r="E6749" s="80"/>
    </row>
    <row r="6750" spans="2:5" ht="14.25" customHeight="1" x14ac:dyDescent="0.25">
      <c r="B6750" s="103"/>
      <c r="D6750" s="80"/>
      <c r="E6750" s="80"/>
    </row>
    <row r="6751" spans="2:5" ht="14.25" customHeight="1" x14ac:dyDescent="0.25">
      <c r="B6751" s="103"/>
      <c r="D6751" s="80"/>
      <c r="E6751" s="80"/>
    </row>
    <row r="6752" spans="2:5" ht="14.25" customHeight="1" x14ac:dyDescent="0.25">
      <c r="B6752" s="103"/>
      <c r="D6752" s="80"/>
      <c r="E6752" s="80"/>
    </row>
    <row r="6753" spans="2:5" ht="14.25" customHeight="1" x14ac:dyDescent="0.25">
      <c r="B6753" s="103"/>
      <c r="D6753" s="80"/>
      <c r="E6753" s="80"/>
    </row>
    <row r="6754" spans="2:5" ht="14.25" customHeight="1" x14ac:dyDescent="0.25">
      <c r="B6754" s="103"/>
      <c r="D6754" s="80"/>
      <c r="E6754" s="80"/>
    </row>
    <row r="6755" spans="2:5" ht="14.25" customHeight="1" x14ac:dyDescent="0.25">
      <c r="B6755" s="103"/>
      <c r="D6755" s="80"/>
      <c r="E6755" s="80"/>
    </row>
    <row r="6756" spans="2:5" ht="14.25" customHeight="1" x14ac:dyDescent="0.25">
      <c r="B6756" s="103"/>
      <c r="D6756" s="80"/>
      <c r="E6756" s="80"/>
    </row>
    <row r="6757" spans="2:5" ht="14.25" customHeight="1" x14ac:dyDescent="0.25">
      <c r="B6757" s="103"/>
      <c r="D6757" s="80"/>
      <c r="E6757" s="80"/>
    </row>
    <row r="6758" spans="2:5" ht="14.25" customHeight="1" x14ac:dyDescent="0.25">
      <c r="B6758" s="103"/>
      <c r="D6758" s="80"/>
      <c r="E6758" s="80"/>
    </row>
    <row r="6759" spans="2:5" ht="14.25" customHeight="1" x14ac:dyDescent="0.25">
      <c r="B6759" s="103"/>
      <c r="D6759" s="80"/>
      <c r="E6759" s="80"/>
    </row>
    <row r="6760" spans="2:5" ht="14.25" customHeight="1" x14ac:dyDescent="0.25">
      <c r="B6760" s="103"/>
      <c r="D6760" s="80"/>
      <c r="E6760" s="80"/>
    </row>
    <row r="6761" spans="2:5" ht="14.25" customHeight="1" x14ac:dyDescent="0.25">
      <c r="B6761" s="103"/>
      <c r="D6761" s="80"/>
      <c r="E6761" s="80"/>
    </row>
    <row r="6762" spans="2:5" ht="14.25" customHeight="1" x14ac:dyDescent="0.25">
      <c r="B6762" s="103"/>
      <c r="D6762" s="80"/>
      <c r="E6762" s="80"/>
    </row>
    <row r="6763" spans="2:5" ht="14.25" customHeight="1" x14ac:dyDescent="0.25">
      <c r="B6763" s="103"/>
      <c r="D6763" s="80"/>
      <c r="E6763" s="80"/>
    </row>
    <row r="6764" spans="2:5" ht="14.25" customHeight="1" x14ac:dyDescent="0.25">
      <c r="B6764" s="103"/>
      <c r="D6764" s="80"/>
      <c r="E6764" s="80"/>
    </row>
    <row r="6765" spans="2:5" ht="14.25" customHeight="1" x14ac:dyDescent="0.25">
      <c r="B6765" s="103"/>
      <c r="D6765" s="80"/>
      <c r="E6765" s="80"/>
    </row>
    <row r="6766" spans="2:5" ht="14.25" customHeight="1" x14ac:dyDescent="0.25">
      <c r="B6766" s="103"/>
      <c r="D6766" s="80"/>
      <c r="E6766" s="80"/>
    </row>
    <row r="6767" spans="2:5" ht="14.25" customHeight="1" x14ac:dyDescent="0.25">
      <c r="B6767" s="103"/>
      <c r="D6767" s="80"/>
      <c r="E6767" s="80"/>
    </row>
    <row r="6768" spans="2:5" ht="14.25" customHeight="1" x14ac:dyDescent="0.25">
      <c r="B6768" s="103"/>
      <c r="D6768" s="80"/>
      <c r="E6768" s="80"/>
    </row>
    <row r="6769" spans="2:5" ht="14.25" customHeight="1" x14ac:dyDescent="0.25">
      <c r="B6769" s="103"/>
      <c r="D6769" s="80"/>
      <c r="E6769" s="80"/>
    </row>
    <row r="6770" spans="2:5" ht="14.25" customHeight="1" x14ac:dyDescent="0.25">
      <c r="B6770" s="103"/>
      <c r="D6770" s="80"/>
      <c r="E6770" s="80"/>
    </row>
    <row r="6771" spans="2:5" ht="14.25" customHeight="1" x14ac:dyDescent="0.25">
      <c r="B6771" s="103"/>
      <c r="D6771" s="80"/>
      <c r="E6771" s="80"/>
    </row>
    <row r="6772" spans="2:5" ht="14.25" customHeight="1" x14ac:dyDescent="0.25">
      <c r="B6772" s="103"/>
      <c r="D6772" s="80"/>
      <c r="E6772" s="80"/>
    </row>
    <row r="6773" spans="2:5" ht="14.25" customHeight="1" x14ac:dyDescent="0.25">
      <c r="B6773" s="103"/>
      <c r="D6773" s="80"/>
      <c r="E6773" s="80"/>
    </row>
    <row r="6774" spans="2:5" ht="14.25" customHeight="1" x14ac:dyDescent="0.25">
      <c r="B6774" s="103"/>
      <c r="D6774" s="80"/>
      <c r="E6774" s="80"/>
    </row>
    <row r="6775" spans="2:5" ht="14.25" customHeight="1" x14ac:dyDescent="0.25">
      <c r="B6775" s="103"/>
      <c r="D6775" s="80"/>
      <c r="E6775" s="80"/>
    </row>
    <row r="6776" spans="2:5" ht="14.25" customHeight="1" x14ac:dyDescent="0.25">
      <c r="B6776" s="103"/>
      <c r="D6776" s="80"/>
      <c r="E6776" s="80"/>
    </row>
    <row r="6777" spans="2:5" ht="14.25" customHeight="1" x14ac:dyDescent="0.25">
      <c r="B6777" s="103"/>
      <c r="D6777" s="80"/>
      <c r="E6777" s="80"/>
    </row>
    <row r="6778" spans="2:5" ht="14.25" customHeight="1" x14ac:dyDescent="0.25">
      <c r="B6778" s="103"/>
      <c r="D6778" s="80"/>
      <c r="E6778" s="80"/>
    </row>
    <row r="6779" spans="2:5" ht="14.25" customHeight="1" x14ac:dyDescent="0.25">
      <c r="B6779" s="103"/>
      <c r="D6779" s="80"/>
      <c r="E6779" s="80"/>
    </row>
    <row r="6780" spans="2:5" ht="14.25" customHeight="1" x14ac:dyDescent="0.25">
      <c r="B6780" s="103"/>
      <c r="D6780" s="80"/>
      <c r="E6780" s="80"/>
    </row>
    <row r="6781" spans="2:5" ht="14.25" customHeight="1" x14ac:dyDescent="0.25">
      <c r="B6781" s="103"/>
      <c r="D6781" s="80"/>
      <c r="E6781" s="80"/>
    </row>
    <row r="6782" spans="2:5" ht="14.25" customHeight="1" x14ac:dyDescent="0.25">
      <c r="B6782" s="103"/>
      <c r="D6782" s="80"/>
      <c r="E6782" s="80"/>
    </row>
    <row r="6783" spans="2:5" ht="14.25" customHeight="1" x14ac:dyDescent="0.25">
      <c r="B6783" s="103"/>
      <c r="D6783" s="80"/>
      <c r="E6783" s="80"/>
    </row>
    <row r="6784" spans="2:5" ht="14.25" customHeight="1" x14ac:dyDescent="0.25">
      <c r="B6784" s="103"/>
      <c r="D6784" s="80"/>
      <c r="E6784" s="80"/>
    </row>
    <row r="6785" spans="2:5" ht="14.25" customHeight="1" x14ac:dyDescent="0.25">
      <c r="B6785" s="103"/>
      <c r="D6785" s="80"/>
      <c r="E6785" s="80"/>
    </row>
    <row r="6786" spans="2:5" ht="14.25" customHeight="1" x14ac:dyDescent="0.25">
      <c r="B6786" s="103"/>
      <c r="D6786" s="80"/>
      <c r="E6786" s="80"/>
    </row>
    <row r="6787" spans="2:5" ht="14.25" customHeight="1" x14ac:dyDescent="0.25">
      <c r="B6787" s="103"/>
      <c r="D6787" s="80"/>
      <c r="E6787" s="80"/>
    </row>
    <row r="6788" spans="2:5" ht="14.25" customHeight="1" x14ac:dyDescent="0.25">
      <c r="B6788" s="103"/>
      <c r="D6788" s="80"/>
      <c r="E6788" s="80"/>
    </row>
    <row r="6789" spans="2:5" ht="14.25" customHeight="1" x14ac:dyDescent="0.25">
      <c r="B6789" s="103"/>
      <c r="D6789" s="80"/>
      <c r="E6789" s="80"/>
    </row>
    <row r="6790" spans="2:5" ht="14.25" customHeight="1" x14ac:dyDescent="0.25">
      <c r="B6790" s="103"/>
      <c r="D6790" s="80"/>
      <c r="E6790" s="80"/>
    </row>
    <row r="6791" spans="2:5" ht="14.25" customHeight="1" x14ac:dyDescent="0.25">
      <c r="B6791" s="103"/>
      <c r="D6791" s="80"/>
      <c r="E6791" s="80"/>
    </row>
    <row r="6792" spans="2:5" ht="14.25" customHeight="1" x14ac:dyDescent="0.25">
      <c r="B6792" s="103"/>
      <c r="D6792" s="80"/>
      <c r="E6792" s="80"/>
    </row>
    <row r="6793" spans="2:5" ht="14.25" customHeight="1" x14ac:dyDescent="0.25">
      <c r="B6793" s="103"/>
      <c r="D6793" s="80"/>
      <c r="E6793" s="80"/>
    </row>
    <row r="6794" spans="2:5" ht="14.25" customHeight="1" x14ac:dyDescent="0.25">
      <c r="B6794" s="103"/>
      <c r="D6794" s="80"/>
      <c r="E6794" s="80"/>
    </row>
    <row r="6795" spans="2:5" ht="14.25" customHeight="1" x14ac:dyDescent="0.25">
      <c r="B6795" s="103"/>
      <c r="D6795" s="80"/>
      <c r="E6795" s="80"/>
    </row>
    <row r="6796" spans="2:5" ht="14.25" customHeight="1" x14ac:dyDescent="0.25">
      <c r="B6796" s="103"/>
      <c r="D6796" s="80"/>
      <c r="E6796" s="80"/>
    </row>
    <row r="6797" spans="2:5" ht="14.25" customHeight="1" x14ac:dyDescent="0.25">
      <c r="B6797" s="103"/>
      <c r="D6797" s="80"/>
      <c r="E6797" s="80"/>
    </row>
    <row r="6798" spans="2:5" ht="14.25" customHeight="1" x14ac:dyDescent="0.25">
      <c r="B6798" s="103"/>
      <c r="D6798" s="80"/>
      <c r="E6798" s="80"/>
    </row>
    <row r="6799" spans="2:5" ht="14.25" customHeight="1" x14ac:dyDescent="0.25">
      <c r="B6799" s="103"/>
      <c r="D6799" s="80"/>
      <c r="E6799" s="80"/>
    </row>
    <row r="6800" spans="2:5" ht="14.25" customHeight="1" x14ac:dyDescent="0.25">
      <c r="B6800" s="103"/>
      <c r="D6800" s="80"/>
      <c r="E6800" s="80"/>
    </row>
    <row r="6801" spans="2:5" ht="14.25" customHeight="1" x14ac:dyDescent="0.25">
      <c r="B6801" s="103"/>
      <c r="D6801" s="80"/>
      <c r="E6801" s="80"/>
    </row>
    <row r="6802" spans="2:5" ht="14.25" customHeight="1" x14ac:dyDescent="0.25">
      <c r="B6802" s="103"/>
      <c r="D6802" s="80"/>
      <c r="E6802" s="80"/>
    </row>
    <row r="6803" spans="2:5" ht="14.25" customHeight="1" x14ac:dyDescent="0.25">
      <c r="B6803" s="103"/>
      <c r="D6803" s="80"/>
      <c r="E6803" s="80"/>
    </row>
    <row r="6804" spans="2:5" ht="14.25" customHeight="1" x14ac:dyDescent="0.25">
      <c r="B6804" s="103"/>
      <c r="D6804" s="80"/>
      <c r="E6804" s="80"/>
    </row>
    <row r="6805" spans="2:5" ht="14.25" customHeight="1" x14ac:dyDescent="0.25">
      <c r="B6805" s="103"/>
      <c r="D6805" s="80"/>
      <c r="E6805" s="80"/>
    </row>
    <row r="6806" spans="2:5" ht="14.25" customHeight="1" x14ac:dyDescent="0.25">
      <c r="B6806" s="103"/>
      <c r="D6806" s="80"/>
      <c r="E6806" s="80"/>
    </row>
    <row r="6807" spans="2:5" ht="14.25" customHeight="1" x14ac:dyDescent="0.25">
      <c r="B6807" s="103"/>
      <c r="D6807" s="80"/>
      <c r="E6807" s="80"/>
    </row>
    <row r="6808" spans="2:5" ht="14.25" customHeight="1" x14ac:dyDescent="0.25">
      <c r="B6808" s="103"/>
      <c r="D6808" s="80"/>
      <c r="E6808" s="80"/>
    </row>
    <row r="6809" spans="2:5" ht="14.25" customHeight="1" x14ac:dyDescent="0.25">
      <c r="B6809" s="103"/>
      <c r="D6809" s="80"/>
      <c r="E6809" s="80"/>
    </row>
    <row r="6810" spans="2:5" ht="14.25" customHeight="1" x14ac:dyDescent="0.25">
      <c r="B6810" s="103"/>
      <c r="D6810" s="80"/>
      <c r="E6810" s="80"/>
    </row>
    <row r="6811" spans="2:5" ht="14.25" customHeight="1" x14ac:dyDescent="0.25">
      <c r="B6811" s="103"/>
      <c r="D6811" s="80"/>
      <c r="E6811" s="80"/>
    </row>
    <row r="6812" spans="2:5" ht="14.25" customHeight="1" x14ac:dyDescent="0.25">
      <c r="B6812" s="103"/>
      <c r="D6812" s="80"/>
      <c r="E6812" s="80"/>
    </row>
    <row r="6813" spans="2:5" ht="14.25" customHeight="1" x14ac:dyDescent="0.25">
      <c r="B6813" s="103"/>
      <c r="D6813" s="80"/>
      <c r="E6813" s="80"/>
    </row>
    <row r="6814" spans="2:5" ht="14.25" customHeight="1" x14ac:dyDescent="0.25">
      <c r="B6814" s="103"/>
      <c r="D6814" s="80"/>
      <c r="E6814" s="80"/>
    </row>
    <row r="6815" spans="2:5" ht="14.25" customHeight="1" x14ac:dyDescent="0.25">
      <c r="B6815" s="103"/>
      <c r="D6815" s="80"/>
      <c r="E6815" s="80"/>
    </row>
    <row r="6816" spans="2:5" ht="14.25" customHeight="1" x14ac:dyDescent="0.25">
      <c r="B6816" s="103"/>
      <c r="D6816" s="80"/>
      <c r="E6816" s="80"/>
    </row>
    <row r="6817" spans="2:5" ht="14.25" customHeight="1" x14ac:dyDescent="0.25">
      <c r="B6817" s="103"/>
      <c r="D6817" s="80"/>
      <c r="E6817" s="80"/>
    </row>
    <row r="6818" spans="2:5" ht="14.25" customHeight="1" x14ac:dyDescent="0.25">
      <c r="B6818" s="103"/>
      <c r="D6818" s="80"/>
      <c r="E6818" s="80"/>
    </row>
    <row r="6819" spans="2:5" ht="14.25" customHeight="1" x14ac:dyDescent="0.25">
      <c r="B6819" s="103"/>
      <c r="D6819" s="80"/>
      <c r="E6819" s="80"/>
    </row>
    <row r="6820" spans="2:5" ht="14.25" customHeight="1" x14ac:dyDescent="0.25">
      <c r="B6820" s="103"/>
      <c r="D6820" s="80"/>
      <c r="E6820" s="80"/>
    </row>
    <row r="6821" spans="2:5" ht="14.25" customHeight="1" x14ac:dyDescent="0.25">
      <c r="B6821" s="103"/>
      <c r="D6821" s="80"/>
      <c r="E6821" s="80"/>
    </row>
    <row r="6822" spans="2:5" ht="14.25" customHeight="1" x14ac:dyDescent="0.25">
      <c r="B6822" s="103"/>
      <c r="D6822" s="80"/>
      <c r="E6822" s="80"/>
    </row>
    <row r="6823" spans="2:5" ht="14.25" customHeight="1" x14ac:dyDescent="0.25">
      <c r="B6823" s="103"/>
      <c r="D6823" s="80"/>
      <c r="E6823" s="80"/>
    </row>
    <row r="6824" spans="2:5" ht="14.25" customHeight="1" x14ac:dyDescent="0.25">
      <c r="B6824" s="103"/>
      <c r="D6824" s="80"/>
      <c r="E6824" s="80"/>
    </row>
    <row r="6825" spans="2:5" ht="14.25" customHeight="1" x14ac:dyDescent="0.25">
      <c r="B6825" s="103"/>
      <c r="D6825" s="80"/>
      <c r="E6825" s="80"/>
    </row>
    <row r="6826" spans="2:5" ht="14.25" customHeight="1" x14ac:dyDescent="0.25">
      <c r="B6826" s="103"/>
      <c r="D6826" s="80"/>
      <c r="E6826" s="80"/>
    </row>
    <row r="6827" spans="2:5" ht="14.25" customHeight="1" x14ac:dyDescent="0.25">
      <c r="B6827" s="103"/>
      <c r="D6827" s="80"/>
      <c r="E6827" s="80"/>
    </row>
    <row r="6828" spans="2:5" ht="14.25" customHeight="1" x14ac:dyDescent="0.25">
      <c r="B6828" s="103"/>
      <c r="D6828" s="80"/>
      <c r="E6828" s="80"/>
    </row>
    <row r="6829" spans="2:5" ht="14.25" customHeight="1" x14ac:dyDescent="0.25">
      <c r="B6829" s="103"/>
      <c r="D6829" s="80"/>
      <c r="E6829" s="80"/>
    </row>
    <row r="6830" spans="2:5" ht="14.25" customHeight="1" x14ac:dyDescent="0.25">
      <c r="B6830" s="103"/>
      <c r="D6830" s="80"/>
      <c r="E6830" s="80"/>
    </row>
    <row r="6831" spans="2:5" ht="14.25" customHeight="1" x14ac:dyDescent="0.25">
      <c r="B6831" s="103"/>
      <c r="D6831" s="80"/>
      <c r="E6831" s="80"/>
    </row>
    <row r="6832" spans="2:5" ht="14.25" customHeight="1" x14ac:dyDescent="0.25">
      <c r="B6832" s="103"/>
      <c r="D6832" s="80"/>
      <c r="E6832" s="80"/>
    </row>
    <row r="6833" spans="2:5" ht="14.25" customHeight="1" x14ac:dyDescent="0.25">
      <c r="B6833" s="103"/>
      <c r="D6833" s="80"/>
      <c r="E6833" s="80"/>
    </row>
    <row r="6834" spans="2:5" ht="14.25" customHeight="1" x14ac:dyDescent="0.25">
      <c r="B6834" s="103"/>
      <c r="D6834" s="80"/>
      <c r="E6834" s="80"/>
    </row>
    <row r="6835" spans="2:5" ht="14.25" customHeight="1" x14ac:dyDescent="0.25">
      <c r="B6835" s="103"/>
      <c r="D6835" s="80"/>
      <c r="E6835" s="80"/>
    </row>
    <row r="6836" spans="2:5" ht="14.25" customHeight="1" x14ac:dyDescent="0.25">
      <c r="B6836" s="103"/>
      <c r="D6836" s="80"/>
      <c r="E6836" s="80"/>
    </row>
    <row r="6837" spans="2:5" ht="14.25" customHeight="1" x14ac:dyDescent="0.25">
      <c r="B6837" s="103"/>
      <c r="D6837" s="80"/>
      <c r="E6837" s="80"/>
    </row>
    <row r="6838" spans="2:5" ht="14.25" customHeight="1" x14ac:dyDescent="0.25">
      <c r="B6838" s="103"/>
      <c r="D6838" s="80"/>
      <c r="E6838" s="80"/>
    </row>
    <row r="6839" spans="2:5" ht="14.25" customHeight="1" x14ac:dyDescent="0.25">
      <c r="B6839" s="103"/>
      <c r="D6839" s="80"/>
      <c r="E6839" s="80"/>
    </row>
    <row r="6840" spans="2:5" ht="14.25" customHeight="1" x14ac:dyDescent="0.25">
      <c r="B6840" s="103"/>
      <c r="D6840" s="80"/>
      <c r="E6840" s="80"/>
    </row>
    <row r="6841" spans="2:5" ht="14.25" customHeight="1" x14ac:dyDescent="0.25">
      <c r="B6841" s="103"/>
      <c r="D6841" s="80"/>
      <c r="E6841" s="80"/>
    </row>
    <row r="6842" spans="2:5" ht="14.25" customHeight="1" x14ac:dyDescent="0.25">
      <c r="B6842" s="103"/>
      <c r="D6842" s="80"/>
      <c r="E6842" s="80"/>
    </row>
    <row r="6843" spans="2:5" ht="14.25" customHeight="1" x14ac:dyDescent="0.25">
      <c r="B6843" s="103"/>
      <c r="D6843" s="80"/>
      <c r="E6843" s="80"/>
    </row>
    <row r="6844" spans="2:5" ht="14.25" customHeight="1" x14ac:dyDescent="0.25">
      <c r="B6844" s="103"/>
      <c r="D6844" s="80"/>
      <c r="E6844" s="80"/>
    </row>
    <row r="6845" spans="2:5" ht="14.25" customHeight="1" x14ac:dyDescent="0.25">
      <c r="B6845" s="103"/>
      <c r="D6845" s="80"/>
      <c r="E6845" s="80"/>
    </row>
    <row r="6846" spans="2:5" ht="14.25" customHeight="1" x14ac:dyDescent="0.25">
      <c r="B6846" s="103"/>
      <c r="D6846" s="80"/>
      <c r="E6846" s="80"/>
    </row>
    <row r="6847" spans="2:5" ht="14.25" customHeight="1" x14ac:dyDescent="0.25">
      <c r="B6847" s="103"/>
      <c r="D6847" s="80"/>
      <c r="E6847" s="80"/>
    </row>
    <row r="6848" spans="2:5" ht="14.25" customHeight="1" x14ac:dyDescent="0.25">
      <c r="B6848" s="103"/>
      <c r="D6848" s="80"/>
      <c r="E6848" s="80"/>
    </row>
    <row r="6849" spans="2:5" ht="14.25" customHeight="1" x14ac:dyDescent="0.25">
      <c r="B6849" s="103"/>
      <c r="D6849" s="80"/>
      <c r="E6849" s="80"/>
    </row>
    <row r="6850" spans="2:5" ht="14.25" customHeight="1" x14ac:dyDescent="0.25">
      <c r="B6850" s="103"/>
      <c r="D6850" s="80"/>
      <c r="E6850" s="80"/>
    </row>
    <row r="6851" spans="2:5" ht="14.25" customHeight="1" x14ac:dyDescent="0.25">
      <c r="B6851" s="103"/>
      <c r="D6851" s="80"/>
      <c r="E6851" s="80"/>
    </row>
    <row r="6852" spans="2:5" ht="14.25" customHeight="1" x14ac:dyDescent="0.25">
      <c r="B6852" s="103"/>
      <c r="D6852" s="80"/>
      <c r="E6852" s="80"/>
    </row>
    <row r="6853" spans="2:5" ht="14.25" customHeight="1" x14ac:dyDescent="0.25">
      <c r="B6853" s="103"/>
      <c r="D6853" s="80"/>
      <c r="E6853" s="80"/>
    </row>
    <row r="6854" spans="2:5" ht="14.25" customHeight="1" x14ac:dyDescent="0.25">
      <c r="B6854" s="103"/>
      <c r="D6854" s="80"/>
      <c r="E6854" s="80"/>
    </row>
    <row r="6855" spans="2:5" ht="14.25" customHeight="1" x14ac:dyDescent="0.25">
      <c r="B6855" s="103"/>
      <c r="D6855" s="80"/>
      <c r="E6855" s="80"/>
    </row>
    <row r="6856" spans="2:5" ht="14.25" customHeight="1" x14ac:dyDescent="0.25">
      <c r="B6856" s="103"/>
      <c r="D6856" s="80"/>
      <c r="E6856" s="80"/>
    </row>
    <row r="6857" spans="2:5" ht="14.25" customHeight="1" x14ac:dyDescent="0.25">
      <c r="B6857" s="103"/>
      <c r="D6857" s="80"/>
      <c r="E6857" s="80"/>
    </row>
    <row r="6858" spans="2:5" ht="14.25" customHeight="1" x14ac:dyDescent="0.25">
      <c r="B6858" s="103"/>
      <c r="D6858" s="80"/>
      <c r="E6858" s="80"/>
    </row>
    <row r="6859" spans="2:5" ht="14.25" customHeight="1" x14ac:dyDescent="0.25">
      <c r="B6859" s="103"/>
      <c r="D6859" s="80"/>
      <c r="E6859" s="80"/>
    </row>
    <row r="6860" spans="2:5" ht="14.25" customHeight="1" x14ac:dyDescent="0.25">
      <c r="B6860" s="103"/>
      <c r="D6860" s="80"/>
      <c r="E6860" s="80"/>
    </row>
    <row r="6861" spans="2:5" ht="14.25" customHeight="1" x14ac:dyDescent="0.25">
      <c r="B6861" s="103"/>
      <c r="D6861" s="80"/>
      <c r="E6861" s="80"/>
    </row>
    <row r="6862" spans="2:5" ht="14.25" customHeight="1" x14ac:dyDescent="0.25">
      <c r="B6862" s="103"/>
      <c r="D6862" s="80"/>
      <c r="E6862" s="80"/>
    </row>
    <row r="6863" spans="2:5" ht="14.25" customHeight="1" x14ac:dyDescent="0.25">
      <c r="B6863" s="103"/>
      <c r="D6863" s="80"/>
      <c r="E6863" s="80"/>
    </row>
    <row r="6864" spans="2:5" ht="14.25" customHeight="1" x14ac:dyDescent="0.25">
      <c r="B6864" s="103"/>
      <c r="D6864" s="80"/>
      <c r="E6864" s="80"/>
    </row>
    <row r="6865" spans="2:5" ht="14.25" customHeight="1" x14ac:dyDescent="0.25">
      <c r="B6865" s="103"/>
      <c r="D6865" s="80"/>
      <c r="E6865" s="80"/>
    </row>
    <row r="6866" spans="2:5" ht="14.25" customHeight="1" x14ac:dyDescent="0.25">
      <c r="B6866" s="103"/>
      <c r="D6866" s="80"/>
      <c r="E6866" s="80"/>
    </row>
    <row r="6867" spans="2:5" ht="14.25" customHeight="1" x14ac:dyDescent="0.25">
      <c r="B6867" s="103"/>
      <c r="D6867" s="80"/>
      <c r="E6867" s="80"/>
    </row>
    <row r="6868" spans="2:5" ht="14.25" customHeight="1" x14ac:dyDescent="0.25">
      <c r="B6868" s="103"/>
      <c r="D6868" s="80"/>
      <c r="E6868" s="80"/>
    </row>
    <row r="6869" spans="2:5" ht="14.25" customHeight="1" x14ac:dyDescent="0.25">
      <c r="B6869" s="103"/>
      <c r="D6869" s="80"/>
      <c r="E6869" s="80"/>
    </row>
    <row r="6870" spans="2:5" ht="14.25" customHeight="1" x14ac:dyDescent="0.25">
      <c r="B6870" s="103"/>
      <c r="D6870" s="80"/>
      <c r="E6870" s="80"/>
    </row>
    <row r="6871" spans="2:5" ht="14.25" customHeight="1" x14ac:dyDescent="0.25">
      <c r="B6871" s="103"/>
      <c r="D6871" s="80"/>
      <c r="E6871" s="80"/>
    </row>
    <row r="6872" spans="2:5" ht="14.25" customHeight="1" x14ac:dyDescent="0.25">
      <c r="B6872" s="103"/>
      <c r="D6872" s="80"/>
      <c r="E6872" s="80"/>
    </row>
    <row r="6873" spans="2:5" ht="14.25" customHeight="1" x14ac:dyDescent="0.25">
      <c r="B6873" s="103"/>
      <c r="D6873" s="80"/>
      <c r="E6873" s="80"/>
    </row>
    <row r="6874" spans="2:5" ht="14.25" customHeight="1" x14ac:dyDescent="0.25">
      <c r="B6874" s="103"/>
      <c r="D6874" s="80"/>
      <c r="E6874" s="80"/>
    </row>
    <row r="6875" spans="2:5" ht="14.25" customHeight="1" x14ac:dyDescent="0.25">
      <c r="B6875" s="103"/>
      <c r="D6875" s="80"/>
      <c r="E6875" s="80"/>
    </row>
    <row r="6876" spans="2:5" ht="14.25" customHeight="1" x14ac:dyDescent="0.25">
      <c r="B6876" s="103"/>
      <c r="D6876" s="80"/>
      <c r="E6876" s="80"/>
    </row>
    <row r="6877" spans="2:5" ht="14.25" customHeight="1" x14ac:dyDescent="0.25">
      <c r="B6877" s="103"/>
      <c r="D6877" s="80"/>
      <c r="E6877" s="80"/>
    </row>
    <row r="6878" spans="2:5" ht="14.25" customHeight="1" x14ac:dyDescent="0.25">
      <c r="B6878" s="103"/>
      <c r="D6878" s="80"/>
      <c r="E6878" s="80"/>
    </row>
    <row r="6879" spans="2:5" ht="14.25" customHeight="1" x14ac:dyDescent="0.25">
      <c r="B6879" s="103"/>
      <c r="D6879" s="80"/>
      <c r="E6879" s="80"/>
    </row>
    <row r="6880" spans="2:5" ht="14.25" customHeight="1" x14ac:dyDescent="0.25">
      <c r="B6880" s="103"/>
      <c r="D6880" s="80"/>
      <c r="E6880" s="80"/>
    </row>
    <row r="6881" spans="2:5" ht="14.25" customHeight="1" x14ac:dyDescent="0.25">
      <c r="B6881" s="103"/>
      <c r="D6881" s="80"/>
      <c r="E6881" s="80"/>
    </row>
    <row r="6882" spans="2:5" ht="14.25" customHeight="1" x14ac:dyDescent="0.25">
      <c r="B6882" s="103"/>
      <c r="D6882" s="80"/>
      <c r="E6882" s="80"/>
    </row>
    <row r="6883" spans="2:5" ht="14.25" customHeight="1" x14ac:dyDescent="0.25">
      <c r="B6883" s="103"/>
      <c r="D6883" s="80"/>
      <c r="E6883" s="80"/>
    </row>
    <row r="6884" spans="2:5" ht="14.25" customHeight="1" x14ac:dyDescent="0.25">
      <c r="B6884" s="103"/>
      <c r="D6884" s="80"/>
      <c r="E6884" s="80"/>
    </row>
    <row r="6885" spans="2:5" ht="14.25" customHeight="1" x14ac:dyDescent="0.25">
      <c r="B6885" s="103"/>
      <c r="D6885" s="80"/>
      <c r="E6885" s="80"/>
    </row>
    <row r="6886" spans="2:5" ht="14.25" customHeight="1" x14ac:dyDescent="0.25">
      <c r="B6886" s="103"/>
      <c r="D6886" s="80"/>
      <c r="E6886" s="80"/>
    </row>
    <row r="6887" spans="2:5" ht="14.25" customHeight="1" x14ac:dyDescent="0.25">
      <c r="B6887" s="103"/>
      <c r="D6887" s="80"/>
      <c r="E6887" s="80"/>
    </row>
    <row r="6888" spans="2:5" ht="14.25" customHeight="1" x14ac:dyDescent="0.25">
      <c r="B6888" s="103"/>
      <c r="D6888" s="80"/>
      <c r="E6888" s="80"/>
    </row>
    <row r="6889" spans="2:5" ht="14.25" customHeight="1" x14ac:dyDescent="0.25">
      <c r="B6889" s="103"/>
      <c r="D6889" s="80"/>
      <c r="E6889" s="80"/>
    </row>
    <row r="6890" spans="2:5" ht="14.25" customHeight="1" x14ac:dyDescent="0.25">
      <c r="B6890" s="103"/>
      <c r="D6890" s="80"/>
      <c r="E6890" s="80"/>
    </row>
    <row r="6891" spans="2:5" ht="14.25" customHeight="1" x14ac:dyDescent="0.25">
      <c r="B6891" s="103"/>
      <c r="D6891" s="80"/>
      <c r="E6891" s="80"/>
    </row>
    <row r="6892" spans="2:5" ht="14.25" customHeight="1" x14ac:dyDescent="0.25">
      <c r="B6892" s="103"/>
      <c r="D6892" s="80"/>
      <c r="E6892" s="80"/>
    </row>
    <row r="6893" spans="2:5" ht="14.25" customHeight="1" x14ac:dyDescent="0.25">
      <c r="B6893" s="103"/>
      <c r="D6893" s="80"/>
      <c r="E6893" s="80"/>
    </row>
    <row r="6894" spans="2:5" ht="14.25" customHeight="1" x14ac:dyDescent="0.25">
      <c r="B6894" s="103"/>
      <c r="D6894" s="80"/>
      <c r="E6894" s="80"/>
    </row>
    <row r="6895" spans="2:5" ht="14.25" customHeight="1" x14ac:dyDescent="0.25">
      <c r="B6895" s="103"/>
      <c r="D6895" s="80"/>
      <c r="E6895" s="80"/>
    </row>
    <row r="6896" spans="2:5" ht="14.25" customHeight="1" x14ac:dyDescent="0.25">
      <c r="B6896" s="103"/>
      <c r="D6896" s="80"/>
      <c r="E6896" s="80"/>
    </row>
    <row r="6897" spans="2:5" ht="14.25" customHeight="1" x14ac:dyDescent="0.25">
      <c r="B6897" s="103"/>
      <c r="D6897" s="80"/>
      <c r="E6897" s="80"/>
    </row>
    <row r="6898" spans="2:5" ht="14.25" customHeight="1" x14ac:dyDescent="0.25">
      <c r="B6898" s="103"/>
      <c r="D6898" s="80"/>
      <c r="E6898" s="80"/>
    </row>
    <row r="6899" spans="2:5" ht="14.25" customHeight="1" x14ac:dyDescent="0.25">
      <c r="B6899" s="103"/>
      <c r="D6899" s="80"/>
      <c r="E6899" s="80"/>
    </row>
    <row r="6900" spans="2:5" ht="14.25" customHeight="1" x14ac:dyDescent="0.25">
      <c r="B6900" s="103"/>
      <c r="D6900" s="80"/>
      <c r="E6900" s="80"/>
    </row>
    <row r="6901" spans="2:5" ht="14.25" customHeight="1" x14ac:dyDescent="0.25">
      <c r="B6901" s="103"/>
      <c r="D6901" s="80"/>
      <c r="E6901" s="80"/>
    </row>
    <row r="6902" spans="2:5" ht="14.25" customHeight="1" x14ac:dyDescent="0.25">
      <c r="B6902" s="103"/>
      <c r="D6902" s="80"/>
      <c r="E6902" s="80"/>
    </row>
    <row r="6903" spans="2:5" ht="14.25" customHeight="1" x14ac:dyDescent="0.25">
      <c r="B6903" s="103"/>
      <c r="D6903" s="80"/>
      <c r="E6903" s="80"/>
    </row>
    <row r="6904" spans="2:5" ht="14.25" customHeight="1" x14ac:dyDescent="0.25">
      <c r="B6904" s="103"/>
      <c r="D6904" s="80"/>
      <c r="E6904" s="80"/>
    </row>
    <row r="6905" spans="2:5" ht="14.25" customHeight="1" x14ac:dyDescent="0.25">
      <c r="B6905" s="103"/>
      <c r="D6905" s="80"/>
      <c r="E6905" s="80"/>
    </row>
    <row r="6906" spans="2:5" ht="14.25" customHeight="1" x14ac:dyDescent="0.25">
      <c r="B6906" s="103"/>
      <c r="D6906" s="80"/>
      <c r="E6906" s="80"/>
    </row>
    <row r="6907" spans="2:5" ht="14.25" customHeight="1" x14ac:dyDescent="0.25">
      <c r="B6907" s="103"/>
      <c r="D6907" s="80"/>
      <c r="E6907" s="80"/>
    </row>
    <row r="6908" spans="2:5" ht="14.25" customHeight="1" x14ac:dyDescent="0.25">
      <c r="B6908" s="103"/>
      <c r="D6908" s="80"/>
      <c r="E6908" s="80"/>
    </row>
    <row r="6909" spans="2:5" ht="14.25" customHeight="1" x14ac:dyDescent="0.25">
      <c r="B6909" s="103"/>
      <c r="D6909" s="80"/>
      <c r="E6909" s="80"/>
    </row>
    <row r="6910" spans="2:5" ht="14.25" customHeight="1" x14ac:dyDescent="0.25">
      <c r="B6910" s="103"/>
      <c r="D6910" s="80"/>
      <c r="E6910" s="80"/>
    </row>
    <row r="6911" spans="2:5" ht="14.25" customHeight="1" x14ac:dyDescent="0.25">
      <c r="B6911" s="103"/>
      <c r="D6911" s="80"/>
      <c r="E6911" s="80"/>
    </row>
    <row r="6912" spans="2:5" ht="14.25" customHeight="1" x14ac:dyDescent="0.25">
      <c r="B6912" s="103"/>
      <c r="D6912" s="80"/>
      <c r="E6912" s="80"/>
    </row>
    <row r="6913" spans="2:5" ht="14.25" customHeight="1" x14ac:dyDescent="0.25">
      <c r="B6913" s="103"/>
      <c r="D6913" s="80"/>
      <c r="E6913" s="80"/>
    </row>
    <row r="6914" spans="2:5" ht="14.25" customHeight="1" x14ac:dyDescent="0.25">
      <c r="B6914" s="103"/>
      <c r="D6914" s="80"/>
      <c r="E6914" s="80"/>
    </row>
    <row r="6915" spans="2:5" ht="14.25" customHeight="1" x14ac:dyDescent="0.25">
      <c r="B6915" s="103"/>
      <c r="D6915" s="80"/>
      <c r="E6915" s="80"/>
    </row>
    <row r="6916" spans="2:5" ht="14.25" customHeight="1" x14ac:dyDescent="0.25">
      <c r="B6916" s="103"/>
      <c r="D6916" s="80"/>
      <c r="E6916" s="80"/>
    </row>
    <row r="6917" spans="2:5" ht="14.25" customHeight="1" x14ac:dyDescent="0.25">
      <c r="B6917" s="103"/>
      <c r="D6917" s="80"/>
      <c r="E6917" s="80"/>
    </row>
    <row r="6918" spans="2:5" ht="14.25" customHeight="1" x14ac:dyDescent="0.25">
      <c r="B6918" s="103"/>
      <c r="D6918" s="80"/>
      <c r="E6918" s="80"/>
    </row>
    <row r="6919" spans="2:5" ht="14.25" customHeight="1" x14ac:dyDescent="0.25">
      <c r="B6919" s="103"/>
      <c r="D6919" s="80"/>
      <c r="E6919" s="80"/>
    </row>
    <row r="6920" spans="2:5" ht="14.25" customHeight="1" x14ac:dyDescent="0.25">
      <c r="B6920" s="103"/>
      <c r="D6920" s="80"/>
      <c r="E6920" s="80"/>
    </row>
    <row r="6921" spans="2:5" ht="14.25" customHeight="1" x14ac:dyDescent="0.25">
      <c r="B6921" s="103"/>
      <c r="D6921" s="80"/>
      <c r="E6921" s="80"/>
    </row>
    <row r="6922" spans="2:5" ht="14.25" customHeight="1" x14ac:dyDescent="0.25">
      <c r="B6922" s="103"/>
      <c r="D6922" s="80"/>
      <c r="E6922" s="80"/>
    </row>
    <row r="6923" spans="2:5" ht="14.25" customHeight="1" x14ac:dyDescent="0.25">
      <c r="B6923" s="103"/>
      <c r="D6923" s="80"/>
      <c r="E6923" s="80"/>
    </row>
    <row r="6924" spans="2:5" ht="14.25" customHeight="1" x14ac:dyDescent="0.25">
      <c r="B6924" s="103"/>
      <c r="D6924" s="80"/>
      <c r="E6924" s="80"/>
    </row>
    <row r="6925" spans="2:5" ht="14.25" customHeight="1" x14ac:dyDescent="0.25">
      <c r="B6925" s="103"/>
      <c r="D6925" s="80"/>
      <c r="E6925" s="80"/>
    </row>
    <row r="6926" spans="2:5" ht="14.25" customHeight="1" x14ac:dyDescent="0.25">
      <c r="B6926" s="103"/>
      <c r="D6926" s="80"/>
      <c r="E6926" s="80"/>
    </row>
    <row r="6927" spans="2:5" ht="14.25" customHeight="1" x14ac:dyDescent="0.25">
      <c r="B6927" s="103"/>
      <c r="D6927" s="80"/>
      <c r="E6927" s="80"/>
    </row>
    <row r="6928" spans="2:5" ht="14.25" customHeight="1" x14ac:dyDescent="0.25">
      <c r="B6928" s="103"/>
      <c r="D6928" s="80"/>
      <c r="E6928" s="80"/>
    </row>
    <row r="6929" spans="2:5" ht="14.25" customHeight="1" x14ac:dyDescent="0.25">
      <c r="B6929" s="103"/>
      <c r="D6929" s="80"/>
      <c r="E6929" s="80"/>
    </row>
    <row r="6930" spans="2:5" ht="14.25" customHeight="1" x14ac:dyDescent="0.25">
      <c r="B6930" s="103"/>
      <c r="D6930" s="80"/>
      <c r="E6930" s="80"/>
    </row>
    <row r="6931" spans="2:5" ht="14.25" customHeight="1" x14ac:dyDescent="0.25">
      <c r="B6931" s="103"/>
      <c r="D6931" s="80"/>
      <c r="E6931" s="80"/>
    </row>
    <row r="6932" spans="2:5" ht="14.25" customHeight="1" x14ac:dyDescent="0.25">
      <c r="B6932" s="103"/>
      <c r="D6932" s="80"/>
      <c r="E6932" s="80"/>
    </row>
    <row r="6933" spans="2:5" ht="14.25" customHeight="1" x14ac:dyDescent="0.25">
      <c r="B6933" s="103"/>
      <c r="D6933" s="80"/>
      <c r="E6933" s="80"/>
    </row>
    <row r="6934" spans="2:5" ht="14.25" customHeight="1" x14ac:dyDescent="0.25">
      <c r="B6934" s="103"/>
      <c r="D6934" s="80"/>
      <c r="E6934" s="80"/>
    </row>
    <row r="6935" spans="2:5" ht="14.25" customHeight="1" x14ac:dyDescent="0.25">
      <c r="B6935" s="103"/>
      <c r="D6935" s="80"/>
      <c r="E6935" s="80"/>
    </row>
    <row r="6936" spans="2:5" ht="14.25" customHeight="1" x14ac:dyDescent="0.25">
      <c r="B6936" s="103"/>
      <c r="D6936" s="80"/>
      <c r="E6936" s="80"/>
    </row>
    <row r="6937" spans="2:5" ht="14.25" customHeight="1" x14ac:dyDescent="0.25">
      <c r="B6937" s="103"/>
      <c r="D6937" s="80"/>
      <c r="E6937" s="80"/>
    </row>
    <row r="6938" spans="2:5" ht="14.25" customHeight="1" x14ac:dyDescent="0.25">
      <c r="B6938" s="103"/>
      <c r="D6938" s="80"/>
      <c r="E6938" s="80"/>
    </row>
    <row r="6939" spans="2:5" ht="14.25" customHeight="1" x14ac:dyDescent="0.25">
      <c r="B6939" s="103"/>
      <c r="D6939" s="80"/>
      <c r="E6939" s="80"/>
    </row>
    <row r="6940" spans="2:5" ht="14.25" customHeight="1" x14ac:dyDescent="0.25">
      <c r="B6940" s="103"/>
      <c r="D6940" s="80"/>
      <c r="E6940" s="80"/>
    </row>
    <row r="6941" spans="2:5" ht="14.25" customHeight="1" x14ac:dyDescent="0.25">
      <c r="B6941" s="103"/>
      <c r="D6941" s="80"/>
      <c r="E6941" s="80"/>
    </row>
    <row r="6942" spans="2:5" ht="14.25" customHeight="1" x14ac:dyDescent="0.25">
      <c r="B6942" s="103"/>
      <c r="D6942" s="80"/>
      <c r="E6942" s="80"/>
    </row>
    <row r="6943" spans="2:5" ht="14.25" customHeight="1" x14ac:dyDescent="0.25">
      <c r="B6943" s="103"/>
      <c r="D6943" s="80"/>
      <c r="E6943" s="80"/>
    </row>
    <row r="6944" spans="2:5" ht="14.25" customHeight="1" x14ac:dyDescent="0.25">
      <c r="B6944" s="103"/>
      <c r="D6944" s="80"/>
      <c r="E6944" s="80"/>
    </row>
    <row r="6945" spans="2:5" ht="14.25" customHeight="1" x14ac:dyDescent="0.25">
      <c r="B6945" s="103"/>
      <c r="D6945" s="80"/>
      <c r="E6945" s="80"/>
    </row>
    <row r="6946" spans="2:5" ht="14.25" customHeight="1" x14ac:dyDescent="0.25">
      <c r="B6946" s="103"/>
      <c r="D6946" s="80"/>
      <c r="E6946" s="80"/>
    </row>
    <row r="6947" spans="2:5" ht="14.25" customHeight="1" x14ac:dyDescent="0.25">
      <c r="B6947" s="103"/>
      <c r="D6947" s="80"/>
      <c r="E6947" s="80"/>
    </row>
    <row r="6948" spans="2:5" ht="14.25" customHeight="1" x14ac:dyDescent="0.25">
      <c r="B6948" s="103"/>
      <c r="D6948" s="80"/>
      <c r="E6948" s="80"/>
    </row>
    <row r="6949" spans="2:5" ht="14.25" customHeight="1" x14ac:dyDescent="0.25">
      <c r="B6949" s="103"/>
      <c r="D6949" s="80"/>
      <c r="E6949" s="80"/>
    </row>
    <row r="6950" spans="2:5" ht="14.25" customHeight="1" x14ac:dyDescent="0.25">
      <c r="B6950" s="103"/>
      <c r="D6950" s="80"/>
      <c r="E6950" s="80"/>
    </row>
    <row r="6951" spans="2:5" ht="14.25" customHeight="1" x14ac:dyDescent="0.25">
      <c r="B6951" s="103"/>
      <c r="D6951" s="80"/>
      <c r="E6951" s="80"/>
    </row>
    <row r="6952" spans="2:5" ht="14.25" customHeight="1" x14ac:dyDescent="0.25">
      <c r="B6952" s="103"/>
      <c r="D6952" s="80"/>
      <c r="E6952" s="80"/>
    </row>
    <row r="6953" spans="2:5" ht="14.25" customHeight="1" x14ac:dyDescent="0.25">
      <c r="B6953" s="103"/>
      <c r="D6953" s="80"/>
      <c r="E6953" s="80"/>
    </row>
    <row r="6954" spans="2:5" ht="14.25" customHeight="1" x14ac:dyDescent="0.25">
      <c r="B6954" s="103"/>
      <c r="D6954" s="80"/>
      <c r="E6954" s="80"/>
    </row>
    <row r="6955" spans="2:5" ht="14.25" customHeight="1" x14ac:dyDescent="0.25">
      <c r="B6955" s="103"/>
      <c r="D6955" s="80"/>
      <c r="E6955" s="80"/>
    </row>
    <row r="6956" spans="2:5" ht="14.25" customHeight="1" x14ac:dyDescent="0.25">
      <c r="B6956" s="103"/>
      <c r="D6956" s="80"/>
      <c r="E6956" s="80"/>
    </row>
    <row r="6957" spans="2:5" ht="14.25" customHeight="1" x14ac:dyDescent="0.25">
      <c r="B6957" s="103"/>
      <c r="D6957" s="80"/>
      <c r="E6957" s="80"/>
    </row>
    <row r="6958" spans="2:5" ht="14.25" customHeight="1" x14ac:dyDescent="0.25">
      <c r="B6958" s="103"/>
      <c r="D6958" s="80"/>
      <c r="E6958" s="80"/>
    </row>
    <row r="6959" spans="2:5" ht="14.25" customHeight="1" x14ac:dyDescent="0.25">
      <c r="B6959" s="103"/>
      <c r="D6959" s="80"/>
      <c r="E6959" s="80"/>
    </row>
    <row r="6960" spans="2:5" ht="14.25" customHeight="1" x14ac:dyDescent="0.25">
      <c r="B6960" s="103"/>
      <c r="D6960" s="80"/>
      <c r="E6960" s="80"/>
    </row>
    <row r="6961" spans="2:5" ht="14.25" customHeight="1" x14ac:dyDescent="0.25">
      <c r="B6961" s="103"/>
      <c r="D6961" s="80"/>
      <c r="E6961" s="80"/>
    </row>
    <row r="6962" spans="2:5" ht="14.25" customHeight="1" x14ac:dyDescent="0.25">
      <c r="B6962" s="103"/>
      <c r="D6962" s="80"/>
      <c r="E6962" s="80"/>
    </row>
    <row r="6963" spans="2:5" ht="14.25" customHeight="1" x14ac:dyDescent="0.25">
      <c r="B6963" s="103"/>
      <c r="D6963" s="80"/>
      <c r="E6963" s="80"/>
    </row>
    <row r="6964" spans="2:5" ht="14.25" customHeight="1" x14ac:dyDescent="0.25">
      <c r="B6964" s="103"/>
      <c r="D6964" s="80"/>
      <c r="E6964" s="80"/>
    </row>
    <row r="6965" spans="2:5" ht="14.25" customHeight="1" x14ac:dyDescent="0.25">
      <c r="B6965" s="103"/>
      <c r="D6965" s="80"/>
      <c r="E6965" s="80"/>
    </row>
    <row r="6966" spans="2:5" ht="14.25" customHeight="1" x14ac:dyDescent="0.25">
      <c r="B6966" s="103"/>
      <c r="D6966" s="80"/>
      <c r="E6966" s="80"/>
    </row>
    <row r="6967" spans="2:5" ht="14.25" customHeight="1" x14ac:dyDescent="0.25">
      <c r="B6967" s="103"/>
      <c r="D6967" s="80"/>
      <c r="E6967" s="80"/>
    </row>
    <row r="6968" spans="2:5" ht="14.25" customHeight="1" x14ac:dyDescent="0.25">
      <c r="B6968" s="103"/>
      <c r="D6968" s="80"/>
      <c r="E6968" s="80"/>
    </row>
    <row r="6969" spans="2:5" ht="14.25" customHeight="1" x14ac:dyDescent="0.25">
      <c r="B6969" s="103"/>
      <c r="D6969" s="80"/>
      <c r="E6969" s="80"/>
    </row>
    <row r="6970" spans="2:5" ht="14.25" customHeight="1" x14ac:dyDescent="0.25">
      <c r="B6970" s="103"/>
      <c r="D6970" s="80"/>
      <c r="E6970" s="80"/>
    </row>
    <row r="6971" spans="2:5" ht="14.25" customHeight="1" x14ac:dyDescent="0.25">
      <c r="B6971" s="103"/>
      <c r="D6971" s="80"/>
      <c r="E6971" s="80"/>
    </row>
    <row r="6972" spans="2:5" ht="14.25" customHeight="1" x14ac:dyDescent="0.25">
      <c r="B6972" s="103"/>
      <c r="D6972" s="80"/>
      <c r="E6972" s="80"/>
    </row>
    <row r="6973" spans="2:5" ht="14.25" customHeight="1" x14ac:dyDescent="0.25">
      <c r="B6973" s="103"/>
      <c r="D6973" s="80"/>
      <c r="E6973" s="80"/>
    </row>
    <row r="6974" spans="2:5" ht="14.25" customHeight="1" x14ac:dyDescent="0.25">
      <c r="B6974" s="103"/>
      <c r="D6974" s="80"/>
      <c r="E6974" s="80"/>
    </row>
    <row r="6975" spans="2:5" ht="14.25" customHeight="1" x14ac:dyDescent="0.25">
      <c r="B6975" s="103"/>
      <c r="D6975" s="80"/>
      <c r="E6975" s="80"/>
    </row>
    <row r="6976" spans="2:5" ht="14.25" customHeight="1" x14ac:dyDescent="0.25">
      <c r="B6976" s="103"/>
      <c r="D6976" s="80"/>
      <c r="E6976" s="80"/>
    </row>
    <row r="6977" spans="2:5" ht="14.25" customHeight="1" x14ac:dyDescent="0.25">
      <c r="B6977" s="103"/>
      <c r="D6977" s="80"/>
      <c r="E6977" s="80"/>
    </row>
    <row r="6978" spans="2:5" ht="14.25" customHeight="1" x14ac:dyDescent="0.25">
      <c r="B6978" s="103"/>
      <c r="D6978" s="80"/>
      <c r="E6978" s="80"/>
    </row>
    <row r="6979" spans="2:5" ht="14.25" customHeight="1" x14ac:dyDescent="0.25">
      <c r="B6979" s="103"/>
      <c r="D6979" s="80"/>
      <c r="E6979" s="80"/>
    </row>
    <row r="6980" spans="2:5" ht="14.25" customHeight="1" x14ac:dyDescent="0.25">
      <c r="B6980" s="103"/>
      <c r="D6980" s="80"/>
      <c r="E6980" s="80"/>
    </row>
    <row r="6981" spans="2:5" ht="14.25" customHeight="1" x14ac:dyDescent="0.25">
      <c r="B6981" s="103"/>
      <c r="D6981" s="80"/>
      <c r="E6981" s="80"/>
    </row>
    <row r="6982" spans="2:5" ht="14.25" customHeight="1" x14ac:dyDescent="0.25">
      <c r="B6982" s="103"/>
      <c r="D6982" s="80"/>
      <c r="E6982" s="80"/>
    </row>
    <row r="6983" spans="2:5" ht="14.25" customHeight="1" x14ac:dyDescent="0.25">
      <c r="B6983" s="103"/>
      <c r="D6983" s="80"/>
      <c r="E6983" s="80"/>
    </row>
    <row r="6984" spans="2:5" ht="14.25" customHeight="1" x14ac:dyDescent="0.25">
      <c r="B6984" s="103"/>
      <c r="D6984" s="80"/>
      <c r="E6984" s="80"/>
    </row>
    <row r="6985" spans="2:5" ht="14.25" customHeight="1" x14ac:dyDescent="0.25">
      <c r="B6985" s="103"/>
      <c r="D6985" s="80"/>
      <c r="E6985" s="80"/>
    </row>
    <row r="6986" spans="2:5" ht="14.25" customHeight="1" x14ac:dyDescent="0.25">
      <c r="B6986" s="103"/>
      <c r="D6986" s="80"/>
      <c r="E6986" s="80"/>
    </row>
    <row r="6987" spans="2:5" ht="14.25" customHeight="1" x14ac:dyDescent="0.25">
      <c r="B6987" s="103"/>
      <c r="D6987" s="80"/>
      <c r="E6987" s="80"/>
    </row>
    <row r="6988" spans="2:5" ht="14.25" customHeight="1" x14ac:dyDescent="0.25">
      <c r="B6988" s="103"/>
      <c r="D6988" s="80"/>
      <c r="E6988" s="80"/>
    </row>
    <row r="6989" spans="2:5" ht="14.25" customHeight="1" x14ac:dyDescent="0.25">
      <c r="B6989" s="103"/>
      <c r="D6989" s="80"/>
      <c r="E6989" s="80"/>
    </row>
    <row r="6990" spans="2:5" ht="14.25" customHeight="1" x14ac:dyDescent="0.25">
      <c r="B6990" s="103"/>
      <c r="D6990" s="80"/>
      <c r="E6990" s="80"/>
    </row>
    <row r="6991" spans="2:5" ht="14.25" customHeight="1" x14ac:dyDescent="0.25">
      <c r="B6991" s="103"/>
      <c r="D6991" s="80"/>
      <c r="E6991" s="80"/>
    </row>
    <row r="6992" spans="2:5" ht="14.25" customHeight="1" x14ac:dyDescent="0.25">
      <c r="B6992" s="103"/>
      <c r="D6992" s="80"/>
      <c r="E6992" s="80"/>
    </row>
    <row r="6993" spans="2:5" ht="14.25" customHeight="1" x14ac:dyDescent="0.25">
      <c r="B6993" s="103"/>
      <c r="D6993" s="80"/>
      <c r="E6993" s="80"/>
    </row>
    <row r="6994" spans="2:5" ht="14.25" customHeight="1" x14ac:dyDescent="0.25">
      <c r="B6994" s="103"/>
      <c r="D6994" s="80"/>
      <c r="E6994" s="80"/>
    </row>
    <row r="6995" spans="2:5" ht="14.25" customHeight="1" x14ac:dyDescent="0.25">
      <c r="B6995" s="103"/>
      <c r="D6995" s="80"/>
      <c r="E6995" s="80"/>
    </row>
    <row r="6996" spans="2:5" ht="14.25" customHeight="1" x14ac:dyDescent="0.25">
      <c r="B6996" s="103"/>
      <c r="D6996" s="80"/>
      <c r="E6996" s="80"/>
    </row>
    <row r="6997" spans="2:5" ht="14.25" customHeight="1" x14ac:dyDescent="0.25">
      <c r="B6997" s="103"/>
      <c r="D6997" s="80"/>
      <c r="E6997" s="80"/>
    </row>
    <row r="6998" spans="2:5" ht="14.25" customHeight="1" x14ac:dyDescent="0.25">
      <c r="B6998" s="103"/>
      <c r="D6998" s="80"/>
      <c r="E6998" s="80"/>
    </row>
    <row r="6999" spans="2:5" ht="14.25" customHeight="1" x14ac:dyDescent="0.25">
      <c r="B6999" s="103"/>
      <c r="D6999" s="80"/>
      <c r="E6999" s="80"/>
    </row>
    <row r="7000" spans="2:5" ht="14.25" customHeight="1" x14ac:dyDescent="0.25">
      <c r="B7000" s="103"/>
      <c r="D7000" s="80"/>
      <c r="E7000" s="80"/>
    </row>
    <row r="7001" spans="2:5" ht="14.25" customHeight="1" x14ac:dyDescent="0.25">
      <c r="B7001" s="103"/>
      <c r="D7001" s="80"/>
      <c r="E7001" s="80"/>
    </row>
    <row r="7002" spans="2:5" ht="14.25" customHeight="1" x14ac:dyDescent="0.25">
      <c r="B7002" s="103"/>
      <c r="D7002" s="80"/>
      <c r="E7002" s="80"/>
    </row>
    <row r="7003" spans="2:5" ht="14.25" customHeight="1" x14ac:dyDescent="0.25">
      <c r="B7003" s="103"/>
      <c r="D7003" s="80"/>
      <c r="E7003" s="80"/>
    </row>
    <row r="7004" spans="2:5" ht="14.25" customHeight="1" x14ac:dyDescent="0.25">
      <c r="B7004" s="103"/>
      <c r="D7004" s="80"/>
      <c r="E7004" s="80"/>
    </row>
    <row r="7005" spans="2:5" ht="14.25" customHeight="1" x14ac:dyDescent="0.25">
      <c r="B7005" s="103"/>
      <c r="D7005" s="80"/>
      <c r="E7005" s="80"/>
    </row>
    <row r="7006" spans="2:5" ht="14.25" customHeight="1" x14ac:dyDescent="0.25">
      <c r="B7006" s="103"/>
      <c r="D7006" s="80"/>
      <c r="E7006" s="80"/>
    </row>
    <row r="7007" spans="2:5" ht="14.25" customHeight="1" x14ac:dyDescent="0.25">
      <c r="B7007" s="103"/>
      <c r="D7007" s="80"/>
      <c r="E7007" s="80"/>
    </row>
    <row r="7008" spans="2:5" ht="14.25" customHeight="1" x14ac:dyDescent="0.25">
      <c r="B7008" s="103"/>
      <c r="D7008" s="80"/>
      <c r="E7008" s="80"/>
    </row>
    <row r="7009" spans="2:5" ht="14.25" customHeight="1" x14ac:dyDescent="0.25">
      <c r="B7009" s="103"/>
      <c r="D7009" s="80"/>
      <c r="E7009" s="80"/>
    </row>
    <row r="7010" spans="2:5" ht="14.25" customHeight="1" x14ac:dyDescent="0.25">
      <c r="B7010" s="103"/>
      <c r="D7010" s="80"/>
      <c r="E7010" s="80"/>
    </row>
    <row r="7011" spans="2:5" ht="14.25" customHeight="1" x14ac:dyDescent="0.25">
      <c r="B7011" s="103"/>
      <c r="D7011" s="80"/>
      <c r="E7011" s="80"/>
    </row>
    <row r="7012" spans="2:5" ht="14.25" customHeight="1" x14ac:dyDescent="0.25">
      <c r="B7012" s="103"/>
      <c r="D7012" s="80"/>
      <c r="E7012" s="80"/>
    </row>
    <row r="7013" spans="2:5" ht="14.25" customHeight="1" x14ac:dyDescent="0.25">
      <c r="B7013" s="103"/>
      <c r="D7013" s="80"/>
      <c r="E7013" s="80"/>
    </row>
    <row r="7014" spans="2:5" ht="14.25" customHeight="1" x14ac:dyDescent="0.25">
      <c r="B7014" s="103"/>
      <c r="D7014" s="80"/>
      <c r="E7014" s="80"/>
    </row>
    <row r="7015" spans="2:5" ht="14.25" customHeight="1" x14ac:dyDescent="0.25">
      <c r="B7015" s="103"/>
      <c r="D7015" s="80"/>
      <c r="E7015" s="80"/>
    </row>
    <row r="7016" spans="2:5" ht="14.25" customHeight="1" x14ac:dyDescent="0.25">
      <c r="B7016" s="103"/>
      <c r="D7016" s="80"/>
      <c r="E7016" s="80"/>
    </row>
    <row r="7017" spans="2:5" ht="14.25" customHeight="1" x14ac:dyDescent="0.25">
      <c r="B7017" s="103"/>
      <c r="D7017" s="80"/>
      <c r="E7017" s="80"/>
    </row>
    <row r="7018" spans="2:5" ht="14.25" customHeight="1" x14ac:dyDescent="0.25">
      <c r="B7018" s="103"/>
      <c r="D7018" s="80"/>
      <c r="E7018" s="80"/>
    </row>
    <row r="7019" spans="2:5" ht="14.25" customHeight="1" x14ac:dyDescent="0.25">
      <c r="B7019" s="103"/>
      <c r="D7019" s="80"/>
      <c r="E7019" s="80"/>
    </row>
    <row r="7020" spans="2:5" ht="14.25" customHeight="1" x14ac:dyDescent="0.25">
      <c r="B7020" s="103"/>
      <c r="D7020" s="80"/>
      <c r="E7020" s="80"/>
    </row>
    <row r="7021" spans="2:5" ht="14.25" customHeight="1" x14ac:dyDescent="0.25">
      <c r="B7021" s="103"/>
      <c r="D7021" s="80"/>
      <c r="E7021" s="80"/>
    </row>
    <row r="7022" spans="2:5" ht="14.25" customHeight="1" x14ac:dyDescent="0.25">
      <c r="B7022" s="103"/>
      <c r="D7022" s="80"/>
      <c r="E7022" s="80"/>
    </row>
    <row r="7023" spans="2:5" ht="14.25" customHeight="1" x14ac:dyDescent="0.25">
      <c r="B7023" s="103"/>
      <c r="D7023" s="80"/>
      <c r="E7023" s="80"/>
    </row>
    <row r="7024" spans="2:5" ht="14.25" customHeight="1" x14ac:dyDescent="0.25">
      <c r="B7024" s="103"/>
      <c r="D7024" s="80"/>
      <c r="E7024" s="80"/>
    </row>
    <row r="7025" spans="2:5" ht="14.25" customHeight="1" x14ac:dyDescent="0.25">
      <c r="B7025" s="103"/>
      <c r="D7025" s="80"/>
      <c r="E7025" s="80"/>
    </row>
    <row r="7026" spans="2:5" ht="14.25" customHeight="1" x14ac:dyDescent="0.25">
      <c r="B7026" s="103"/>
      <c r="D7026" s="80"/>
      <c r="E7026" s="80"/>
    </row>
    <row r="7027" spans="2:5" ht="14.25" customHeight="1" x14ac:dyDescent="0.25">
      <c r="B7027" s="103"/>
      <c r="D7027" s="80"/>
      <c r="E7027" s="80"/>
    </row>
    <row r="7028" spans="2:5" ht="14.25" customHeight="1" x14ac:dyDescent="0.25">
      <c r="B7028" s="103"/>
      <c r="D7028" s="80"/>
      <c r="E7028" s="80"/>
    </row>
    <row r="7029" spans="2:5" ht="14.25" customHeight="1" x14ac:dyDescent="0.25">
      <c r="B7029" s="103"/>
      <c r="D7029" s="80"/>
      <c r="E7029" s="80"/>
    </row>
    <row r="7030" spans="2:5" ht="14.25" customHeight="1" x14ac:dyDescent="0.25">
      <c r="B7030" s="103"/>
      <c r="D7030" s="80"/>
      <c r="E7030" s="80"/>
    </row>
    <row r="7031" spans="2:5" ht="14.25" customHeight="1" x14ac:dyDescent="0.25">
      <c r="B7031" s="103"/>
      <c r="D7031" s="80"/>
      <c r="E7031" s="80"/>
    </row>
    <row r="7032" spans="2:5" ht="14.25" customHeight="1" x14ac:dyDescent="0.25">
      <c r="B7032" s="103"/>
      <c r="D7032" s="80"/>
      <c r="E7032" s="80"/>
    </row>
    <row r="7033" spans="2:5" ht="14.25" customHeight="1" x14ac:dyDescent="0.25">
      <c r="B7033" s="103"/>
      <c r="D7033" s="80"/>
      <c r="E7033" s="80"/>
    </row>
    <row r="7034" spans="2:5" ht="14.25" customHeight="1" x14ac:dyDescent="0.25">
      <c r="B7034" s="103"/>
      <c r="D7034" s="80"/>
      <c r="E7034" s="80"/>
    </row>
    <row r="7035" spans="2:5" ht="14.25" customHeight="1" x14ac:dyDescent="0.25">
      <c r="B7035" s="103"/>
      <c r="D7035" s="80"/>
      <c r="E7035" s="80"/>
    </row>
    <row r="7036" spans="2:5" ht="14.25" customHeight="1" x14ac:dyDescent="0.25">
      <c r="B7036" s="103"/>
      <c r="D7036" s="80"/>
      <c r="E7036" s="80"/>
    </row>
    <row r="7037" spans="2:5" ht="14.25" customHeight="1" x14ac:dyDescent="0.25">
      <c r="B7037" s="103"/>
      <c r="D7037" s="80"/>
      <c r="E7037" s="80"/>
    </row>
    <row r="7038" spans="2:5" ht="14.25" customHeight="1" x14ac:dyDescent="0.25">
      <c r="B7038" s="103"/>
      <c r="D7038" s="80"/>
      <c r="E7038" s="80"/>
    </row>
    <row r="7039" spans="2:5" ht="14.25" customHeight="1" x14ac:dyDescent="0.25">
      <c r="B7039" s="103"/>
      <c r="D7039" s="80"/>
      <c r="E7039" s="80"/>
    </row>
    <row r="7040" spans="2:5" ht="14.25" customHeight="1" x14ac:dyDescent="0.25">
      <c r="B7040" s="103"/>
      <c r="D7040" s="80"/>
      <c r="E7040" s="80"/>
    </row>
    <row r="7041" spans="2:5" ht="14.25" customHeight="1" x14ac:dyDescent="0.25">
      <c r="B7041" s="103"/>
      <c r="D7041" s="80"/>
      <c r="E7041" s="80"/>
    </row>
    <row r="7042" spans="2:5" ht="14.25" customHeight="1" x14ac:dyDescent="0.25">
      <c r="B7042" s="103"/>
      <c r="D7042" s="80"/>
      <c r="E7042" s="80"/>
    </row>
    <row r="7043" spans="2:5" ht="14.25" customHeight="1" x14ac:dyDescent="0.25">
      <c r="B7043" s="103"/>
      <c r="D7043" s="80"/>
      <c r="E7043" s="80"/>
    </row>
    <row r="7044" spans="2:5" ht="14.25" customHeight="1" x14ac:dyDescent="0.25">
      <c r="B7044" s="103"/>
      <c r="D7044" s="80"/>
      <c r="E7044" s="80"/>
    </row>
    <row r="7045" spans="2:5" ht="14.25" customHeight="1" x14ac:dyDescent="0.25">
      <c r="B7045" s="103"/>
      <c r="D7045" s="80"/>
      <c r="E7045" s="80"/>
    </row>
    <row r="7046" spans="2:5" ht="14.25" customHeight="1" x14ac:dyDescent="0.25">
      <c r="B7046" s="103"/>
      <c r="D7046" s="80"/>
      <c r="E7046" s="80"/>
    </row>
    <row r="7047" spans="2:5" ht="14.25" customHeight="1" x14ac:dyDescent="0.25">
      <c r="B7047" s="103"/>
      <c r="D7047" s="80"/>
      <c r="E7047" s="80"/>
    </row>
    <row r="7048" spans="2:5" ht="14.25" customHeight="1" x14ac:dyDescent="0.25">
      <c r="B7048" s="103"/>
      <c r="D7048" s="80"/>
      <c r="E7048" s="80"/>
    </row>
    <row r="7049" spans="2:5" ht="14.25" customHeight="1" x14ac:dyDescent="0.25">
      <c r="B7049" s="103"/>
      <c r="D7049" s="80"/>
      <c r="E7049" s="80"/>
    </row>
    <row r="7050" spans="2:5" ht="14.25" customHeight="1" x14ac:dyDescent="0.25">
      <c r="B7050" s="103"/>
      <c r="D7050" s="80"/>
      <c r="E7050" s="80"/>
    </row>
    <row r="7051" spans="2:5" ht="14.25" customHeight="1" x14ac:dyDescent="0.25">
      <c r="B7051" s="103"/>
      <c r="D7051" s="80"/>
      <c r="E7051" s="80"/>
    </row>
    <row r="7052" spans="2:5" ht="14.25" customHeight="1" x14ac:dyDescent="0.25">
      <c r="B7052" s="103"/>
      <c r="D7052" s="80"/>
      <c r="E7052" s="80"/>
    </row>
    <row r="7053" spans="2:5" ht="14.25" customHeight="1" x14ac:dyDescent="0.25">
      <c r="B7053" s="103"/>
      <c r="D7053" s="80"/>
      <c r="E7053" s="80"/>
    </row>
    <row r="7054" spans="2:5" ht="14.25" customHeight="1" x14ac:dyDescent="0.25">
      <c r="B7054" s="103"/>
      <c r="D7054" s="80"/>
      <c r="E7054" s="80"/>
    </row>
    <row r="7055" spans="2:5" ht="14.25" customHeight="1" x14ac:dyDescent="0.25">
      <c r="B7055" s="103"/>
      <c r="D7055" s="80"/>
      <c r="E7055" s="80"/>
    </row>
    <row r="7056" spans="2:5" ht="14.25" customHeight="1" x14ac:dyDescent="0.25">
      <c r="B7056" s="103"/>
      <c r="D7056" s="80"/>
      <c r="E7056" s="80"/>
    </row>
    <row r="7057" spans="2:5" ht="14.25" customHeight="1" x14ac:dyDescent="0.25">
      <c r="B7057" s="103"/>
      <c r="D7057" s="80"/>
      <c r="E7057" s="80"/>
    </row>
    <row r="7058" spans="2:5" ht="14.25" customHeight="1" x14ac:dyDescent="0.25">
      <c r="B7058" s="103"/>
      <c r="D7058" s="80"/>
      <c r="E7058" s="80"/>
    </row>
    <row r="7059" spans="2:5" ht="14.25" customHeight="1" x14ac:dyDescent="0.25">
      <c r="B7059" s="103"/>
      <c r="D7059" s="80"/>
      <c r="E7059" s="80"/>
    </row>
    <row r="7060" spans="2:5" ht="14.25" customHeight="1" x14ac:dyDescent="0.25">
      <c r="B7060" s="103"/>
      <c r="D7060" s="80"/>
      <c r="E7060" s="80"/>
    </row>
    <row r="7061" spans="2:5" ht="14.25" customHeight="1" x14ac:dyDescent="0.25">
      <c r="B7061" s="103"/>
      <c r="D7061" s="80"/>
      <c r="E7061" s="80"/>
    </row>
    <row r="7062" spans="2:5" ht="14.25" customHeight="1" x14ac:dyDescent="0.25">
      <c r="B7062" s="103"/>
      <c r="D7062" s="80"/>
      <c r="E7062" s="80"/>
    </row>
    <row r="7063" spans="2:5" ht="14.25" customHeight="1" x14ac:dyDescent="0.25">
      <c r="B7063" s="103"/>
      <c r="D7063" s="80"/>
      <c r="E7063" s="80"/>
    </row>
    <row r="7064" spans="2:5" ht="14.25" customHeight="1" x14ac:dyDescent="0.25">
      <c r="B7064" s="103"/>
      <c r="D7064" s="80"/>
      <c r="E7064" s="80"/>
    </row>
    <row r="7065" spans="2:5" ht="14.25" customHeight="1" x14ac:dyDescent="0.25">
      <c r="B7065" s="103"/>
      <c r="D7065" s="80"/>
      <c r="E7065" s="80"/>
    </row>
    <row r="7066" spans="2:5" ht="14.25" customHeight="1" x14ac:dyDescent="0.25">
      <c r="B7066" s="103"/>
      <c r="D7066" s="80"/>
      <c r="E7066" s="80"/>
    </row>
    <row r="7067" spans="2:5" ht="14.25" customHeight="1" x14ac:dyDescent="0.25">
      <c r="B7067" s="103"/>
      <c r="D7067" s="80"/>
      <c r="E7067" s="80"/>
    </row>
    <row r="7068" spans="2:5" ht="14.25" customHeight="1" x14ac:dyDescent="0.25">
      <c r="B7068" s="103"/>
      <c r="D7068" s="80"/>
      <c r="E7068" s="80"/>
    </row>
    <row r="7069" spans="2:5" ht="14.25" customHeight="1" x14ac:dyDescent="0.25">
      <c r="B7069" s="103"/>
      <c r="D7069" s="80"/>
      <c r="E7069" s="80"/>
    </row>
    <row r="7070" spans="2:5" ht="14.25" customHeight="1" x14ac:dyDescent="0.25">
      <c r="B7070" s="103"/>
      <c r="D7070" s="80"/>
      <c r="E7070" s="80"/>
    </row>
    <row r="7071" spans="2:5" ht="14.25" customHeight="1" x14ac:dyDescent="0.25">
      <c r="B7071" s="103"/>
      <c r="D7071" s="80"/>
      <c r="E7071" s="80"/>
    </row>
    <row r="7072" spans="2:5" ht="14.25" customHeight="1" x14ac:dyDescent="0.25">
      <c r="B7072" s="103"/>
      <c r="D7072" s="80"/>
      <c r="E7072" s="80"/>
    </row>
    <row r="7073" spans="2:5" ht="14.25" customHeight="1" x14ac:dyDescent="0.25">
      <c r="B7073" s="103"/>
      <c r="D7073" s="80"/>
      <c r="E7073" s="80"/>
    </row>
    <row r="7074" spans="2:5" ht="14.25" customHeight="1" x14ac:dyDescent="0.25">
      <c r="B7074" s="103"/>
      <c r="D7074" s="80"/>
      <c r="E7074" s="80"/>
    </row>
    <row r="7075" spans="2:5" ht="14.25" customHeight="1" x14ac:dyDescent="0.25">
      <c r="B7075" s="103"/>
      <c r="D7075" s="80"/>
      <c r="E7075" s="80"/>
    </row>
    <row r="7076" spans="2:5" ht="14.25" customHeight="1" x14ac:dyDescent="0.25">
      <c r="B7076" s="103"/>
      <c r="D7076" s="80"/>
      <c r="E7076" s="80"/>
    </row>
    <row r="7077" spans="2:5" ht="14.25" customHeight="1" x14ac:dyDescent="0.25">
      <c r="B7077" s="103"/>
      <c r="D7077" s="80"/>
      <c r="E7077" s="80"/>
    </row>
    <row r="7078" spans="2:5" ht="14.25" customHeight="1" x14ac:dyDescent="0.25">
      <c r="B7078" s="103"/>
      <c r="D7078" s="80"/>
      <c r="E7078" s="80"/>
    </row>
    <row r="7079" spans="2:5" ht="14.25" customHeight="1" x14ac:dyDescent="0.25">
      <c r="B7079" s="103"/>
      <c r="D7079" s="80"/>
      <c r="E7079" s="80"/>
    </row>
    <row r="7080" spans="2:5" ht="14.25" customHeight="1" x14ac:dyDescent="0.25">
      <c r="B7080" s="103"/>
      <c r="D7080" s="80"/>
      <c r="E7080" s="80"/>
    </row>
    <row r="7081" spans="2:5" ht="14.25" customHeight="1" x14ac:dyDescent="0.25">
      <c r="B7081" s="103"/>
      <c r="D7081" s="80"/>
      <c r="E7081" s="80"/>
    </row>
    <row r="7082" spans="2:5" ht="14.25" customHeight="1" x14ac:dyDescent="0.25">
      <c r="B7082" s="103"/>
      <c r="D7082" s="80"/>
      <c r="E7082" s="80"/>
    </row>
    <row r="7083" spans="2:5" ht="14.25" customHeight="1" x14ac:dyDescent="0.25">
      <c r="B7083" s="103"/>
      <c r="D7083" s="80"/>
      <c r="E7083" s="80"/>
    </row>
    <row r="7084" spans="2:5" ht="14.25" customHeight="1" x14ac:dyDescent="0.25">
      <c r="B7084" s="103"/>
      <c r="D7084" s="80"/>
      <c r="E7084" s="80"/>
    </row>
    <row r="7085" spans="2:5" ht="14.25" customHeight="1" x14ac:dyDescent="0.25">
      <c r="B7085" s="103"/>
      <c r="D7085" s="80"/>
      <c r="E7085" s="80"/>
    </row>
    <row r="7086" spans="2:5" ht="14.25" customHeight="1" x14ac:dyDescent="0.25">
      <c r="B7086" s="103"/>
      <c r="D7086" s="80"/>
      <c r="E7086" s="80"/>
    </row>
    <row r="7087" spans="2:5" ht="14.25" customHeight="1" x14ac:dyDescent="0.25">
      <c r="B7087" s="103"/>
      <c r="D7087" s="80"/>
      <c r="E7087" s="80"/>
    </row>
    <row r="7088" spans="2:5" ht="14.25" customHeight="1" x14ac:dyDescent="0.25">
      <c r="B7088" s="103"/>
      <c r="D7088" s="80"/>
      <c r="E7088" s="80"/>
    </row>
    <row r="7089" spans="2:5" ht="14.25" customHeight="1" x14ac:dyDescent="0.25">
      <c r="B7089" s="103"/>
      <c r="D7089" s="80"/>
      <c r="E7089" s="80"/>
    </row>
    <row r="7090" spans="2:5" ht="14.25" customHeight="1" x14ac:dyDescent="0.25">
      <c r="B7090" s="103"/>
      <c r="D7090" s="80"/>
      <c r="E7090" s="80"/>
    </row>
    <row r="7091" spans="2:5" ht="14.25" customHeight="1" x14ac:dyDescent="0.25">
      <c r="B7091" s="103"/>
      <c r="D7091" s="80"/>
      <c r="E7091" s="80"/>
    </row>
    <row r="7092" spans="2:5" ht="14.25" customHeight="1" x14ac:dyDescent="0.25">
      <c r="B7092" s="103"/>
      <c r="D7092" s="80"/>
      <c r="E7092" s="80"/>
    </row>
    <row r="7093" spans="2:5" ht="14.25" customHeight="1" x14ac:dyDescent="0.25">
      <c r="B7093" s="103"/>
      <c r="D7093" s="80"/>
      <c r="E7093" s="80"/>
    </row>
    <row r="7094" spans="2:5" ht="14.25" customHeight="1" x14ac:dyDescent="0.25">
      <c r="B7094" s="103"/>
      <c r="D7094" s="80"/>
      <c r="E7094" s="80"/>
    </row>
    <row r="7095" spans="2:5" ht="14.25" customHeight="1" x14ac:dyDescent="0.25">
      <c r="B7095" s="103"/>
      <c r="D7095" s="80"/>
      <c r="E7095" s="80"/>
    </row>
    <row r="7096" spans="2:5" ht="14.25" customHeight="1" x14ac:dyDescent="0.25">
      <c r="B7096" s="103"/>
      <c r="D7096" s="80"/>
      <c r="E7096" s="80"/>
    </row>
    <row r="7097" spans="2:5" ht="14.25" customHeight="1" x14ac:dyDescent="0.25">
      <c r="B7097" s="103"/>
      <c r="D7097" s="80"/>
      <c r="E7097" s="80"/>
    </row>
    <row r="7098" spans="2:5" ht="14.25" customHeight="1" x14ac:dyDescent="0.25">
      <c r="B7098" s="103"/>
      <c r="D7098" s="80"/>
      <c r="E7098" s="80"/>
    </row>
    <row r="7099" spans="2:5" ht="14.25" customHeight="1" x14ac:dyDescent="0.25">
      <c r="B7099" s="103"/>
      <c r="D7099" s="80"/>
      <c r="E7099" s="80"/>
    </row>
    <row r="7100" spans="2:5" ht="14.25" customHeight="1" x14ac:dyDescent="0.25">
      <c r="B7100" s="103"/>
      <c r="D7100" s="80"/>
      <c r="E7100" s="80"/>
    </row>
    <row r="7101" spans="2:5" ht="14.25" customHeight="1" x14ac:dyDescent="0.25">
      <c r="B7101" s="103"/>
      <c r="D7101" s="80"/>
      <c r="E7101" s="80"/>
    </row>
    <row r="7102" spans="2:5" ht="14.25" customHeight="1" x14ac:dyDescent="0.25">
      <c r="B7102" s="103"/>
      <c r="D7102" s="80"/>
      <c r="E7102" s="80"/>
    </row>
    <row r="7103" spans="2:5" ht="14.25" customHeight="1" x14ac:dyDescent="0.25">
      <c r="B7103" s="103"/>
      <c r="D7103" s="80"/>
      <c r="E7103" s="80"/>
    </row>
    <row r="7104" spans="2:5" ht="14.25" customHeight="1" x14ac:dyDescent="0.25">
      <c r="B7104" s="103"/>
      <c r="D7104" s="80"/>
      <c r="E7104" s="80"/>
    </row>
    <row r="7105" spans="2:5" ht="14.25" customHeight="1" x14ac:dyDescent="0.25">
      <c r="B7105" s="103"/>
      <c r="D7105" s="80"/>
      <c r="E7105" s="80"/>
    </row>
    <row r="7106" spans="2:5" ht="14.25" customHeight="1" x14ac:dyDescent="0.25">
      <c r="B7106" s="103"/>
      <c r="D7106" s="80"/>
      <c r="E7106" s="80"/>
    </row>
    <row r="7107" spans="2:5" ht="14.25" customHeight="1" x14ac:dyDescent="0.25">
      <c r="B7107" s="103"/>
      <c r="D7107" s="80"/>
      <c r="E7107" s="80"/>
    </row>
    <row r="7108" spans="2:5" ht="14.25" customHeight="1" x14ac:dyDescent="0.25">
      <c r="B7108" s="103"/>
      <c r="D7108" s="80"/>
      <c r="E7108" s="80"/>
    </row>
    <row r="7109" spans="2:5" ht="14.25" customHeight="1" x14ac:dyDescent="0.25">
      <c r="B7109" s="103"/>
      <c r="D7109" s="80"/>
      <c r="E7109" s="80"/>
    </row>
    <row r="7110" spans="2:5" ht="14.25" customHeight="1" x14ac:dyDescent="0.25">
      <c r="B7110" s="103"/>
      <c r="D7110" s="80"/>
      <c r="E7110" s="80"/>
    </row>
    <row r="7111" spans="2:5" ht="14.25" customHeight="1" x14ac:dyDescent="0.25">
      <c r="B7111" s="103"/>
      <c r="D7111" s="80"/>
      <c r="E7111" s="80"/>
    </row>
    <row r="7112" spans="2:5" ht="14.25" customHeight="1" x14ac:dyDescent="0.25">
      <c r="B7112" s="103"/>
      <c r="D7112" s="80"/>
      <c r="E7112" s="80"/>
    </row>
    <row r="7113" spans="2:5" ht="14.25" customHeight="1" x14ac:dyDescent="0.25">
      <c r="B7113" s="103"/>
      <c r="D7113" s="80"/>
      <c r="E7113" s="80"/>
    </row>
    <row r="7114" spans="2:5" ht="14.25" customHeight="1" x14ac:dyDescent="0.25">
      <c r="B7114" s="103"/>
      <c r="D7114" s="80"/>
      <c r="E7114" s="80"/>
    </row>
    <row r="7115" spans="2:5" ht="14.25" customHeight="1" x14ac:dyDescent="0.25">
      <c r="B7115" s="103"/>
      <c r="D7115" s="80"/>
      <c r="E7115" s="80"/>
    </row>
    <row r="7116" spans="2:5" ht="14.25" customHeight="1" x14ac:dyDescent="0.25">
      <c r="B7116" s="103"/>
      <c r="D7116" s="80"/>
      <c r="E7116" s="80"/>
    </row>
    <row r="7117" spans="2:5" ht="14.25" customHeight="1" x14ac:dyDescent="0.25">
      <c r="B7117" s="103"/>
      <c r="D7117" s="80"/>
      <c r="E7117" s="80"/>
    </row>
    <row r="7118" spans="2:5" ht="14.25" customHeight="1" x14ac:dyDescent="0.25">
      <c r="B7118" s="103"/>
      <c r="D7118" s="80"/>
      <c r="E7118" s="80"/>
    </row>
    <row r="7119" spans="2:5" ht="14.25" customHeight="1" x14ac:dyDescent="0.25">
      <c r="B7119" s="103"/>
      <c r="D7119" s="80"/>
      <c r="E7119" s="80"/>
    </row>
    <row r="7120" spans="2:5" ht="14.25" customHeight="1" x14ac:dyDescent="0.25">
      <c r="B7120" s="103"/>
      <c r="D7120" s="80"/>
      <c r="E7120" s="80"/>
    </row>
    <row r="7121" spans="2:5" ht="14.25" customHeight="1" x14ac:dyDescent="0.25">
      <c r="B7121" s="103"/>
      <c r="D7121" s="80"/>
      <c r="E7121" s="80"/>
    </row>
    <row r="7122" spans="2:5" ht="14.25" customHeight="1" x14ac:dyDescent="0.25">
      <c r="B7122" s="103"/>
      <c r="D7122" s="80"/>
      <c r="E7122" s="80"/>
    </row>
    <row r="7123" spans="2:5" ht="14.25" customHeight="1" x14ac:dyDescent="0.25">
      <c r="B7123" s="103"/>
      <c r="D7123" s="80"/>
      <c r="E7123" s="80"/>
    </row>
    <row r="7124" spans="2:5" ht="14.25" customHeight="1" x14ac:dyDescent="0.25">
      <c r="B7124" s="103"/>
      <c r="D7124" s="80"/>
      <c r="E7124" s="80"/>
    </row>
    <row r="7125" spans="2:5" ht="14.25" customHeight="1" x14ac:dyDescent="0.25">
      <c r="B7125" s="103"/>
      <c r="D7125" s="80"/>
      <c r="E7125" s="80"/>
    </row>
    <row r="7126" spans="2:5" ht="14.25" customHeight="1" x14ac:dyDescent="0.25">
      <c r="B7126" s="103"/>
      <c r="D7126" s="80"/>
      <c r="E7126" s="80"/>
    </row>
    <row r="7127" spans="2:5" ht="14.25" customHeight="1" x14ac:dyDescent="0.25">
      <c r="B7127" s="103"/>
      <c r="D7127" s="80"/>
      <c r="E7127" s="80"/>
    </row>
    <row r="7128" spans="2:5" ht="14.25" customHeight="1" x14ac:dyDescent="0.25">
      <c r="B7128" s="103"/>
      <c r="D7128" s="80"/>
      <c r="E7128" s="80"/>
    </row>
    <row r="7129" spans="2:5" ht="14.25" customHeight="1" x14ac:dyDescent="0.25">
      <c r="B7129" s="103"/>
      <c r="D7129" s="80"/>
      <c r="E7129" s="80"/>
    </row>
    <row r="7130" spans="2:5" ht="14.25" customHeight="1" x14ac:dyDescent="0.25">
      <c r="B7130" s="103"/>
      <c r="D7130" s="80"/>
      <c r="E7130" s="80"/>
    </row>
    <row r="7131" spans="2:5" ht="14.25" customHeight="1" x14ac:dyDescent="0.25">
      <c r="B7131" s="103"/>
      <c r="D7131" s="80"/>
      <c r="E7131" s="80"/>
    </row>
    <row r="7132" spans="2:5" ht="14.25" customHeight="1" x14ac:dyDescent="0.25">
      <c r="B7132" s="103"/>
      <c r="D7132" s="80"/>
      <c r="E7132" s="80"/>
    </row>
    <row r="7133" spans="2:5" ht="14.25" customHeight="1" x14ac:dyDescent="0.25">
      <c r="B7133" s="103"/>
      <c r="D7133" s="80"/>
      <c r="E7133" s="80"/>
    </row>
    <row r="7134" spans="2:5" ht="14.25" customHeight="1" x14ac:dyDescent="0.25">
      <c r="B7134" s="103"/>
      <c r="D7134" s="80"/>
      <c r="E7134" s="80"/>
    </row>
    <row r="7135" spans="2:5" ht="14.25" customHeight="1" x14ac:dyDescent="0.25">
      <c r="B7135" s="103"/>
      <c r="D7135" s="80"/>
      <c r="E7135" s="80"/>
    </row>
    <row r="7136" spans="2:5" ht="14.25" customHeight="1" x14ac:dyDescent="0.25">
      <c r="B7136" s="103"/>
      <c r="D7136" s="80"/>
      <c r="E7136" s="80"/>
    </row>
    <row r="7137" spans="2:5" ht="14.25" customHeight="1" x14ac:dyDescent="0.25">
      <c r="B7137" s="103"/>
      <c r="D7137" s="80"/>
      <c r="E7137" s="80"/>
    </row>
    <row r="7138" spans="2:5" ht="14.25" customHeight="1" x14ac:dyDescent="0.25">
      <c r="B7138" s="103"/>
      <c r="D7138" s="80"/>
      <c r="E7138" s="80"/>
    </row>
    <row r="7139" spans="2:5" ht="14.25" customHeight="1" x14ac:dyDescent="0.25">
      <c r="B7139" s="103"/>
      <c r="D7139" s="80"/>
      <c r="E7139" s="80"/>
    </row>
    <row r="7140" spans="2:5" ht="14.25" customHeight="1" x14ac:dyDescent="0.25">
      <c r="B7140" s="103"/>
      <c r="D7140" s="80"/>
      <c r="E7140" s="80"/>
    </row>
    <row r="7141" spans="2:5" ht="14.25" customHeight="1" x14ac:dyDescent="0.25">
      <c r="B7141" s="103"/>
      <c r="D7141" s="80"/>
      <c r="E7141" s="80"/>
    </row>
    <row r="7142" spans="2:5" ht="14.25" customHeight="1" x14ac:dyDescent="0.25">
      <c r="B7142" s="103"/>
      <c r="D7142" s="80"/>
      <c r="E7142" s="80"/>
    </row>
    <row r="7143" spans="2:5" ht="14.25" customHeight="1" x14ac:dyDescent="0.25">
      <c r="B7143" s="103"/>
      <c r="D7143" s="80"/>
      <c r="E7143" s="80"/>
    </row>
    <row r="7144" spans="2:5" ht="14.25" customHeight="1" x14ac:dyDescent="0.25">
      <c r="B7144" s="103"/>
      <c r="D7144" s="80"/>
      <c r="E7144" s="80"/>
    </row>
    <row r="7145" spans="2:5" ht="14.25" customHeight="1" x14ac:dyDescent="0.25">
      <c r="B7145" s="103"/>
      <c r="D7145" s="80"/>
      <c r="E7145" s="80"/>
    </row>
    <row r="7146" spans="2:5" ht="14.25" customHeight="1" x14ac:dyDescent="0.25">
      <c r="B7146" s="103"/>
      <c r="D7146" s="80"/>
      <c r="E7146" s="80"/>
    </row>
    <row r="7147" spans="2:5" ht="14.25" customHeight="1" x14ac:dyDescent="0.25">
      <c r="B7147" s="103"/>
      <c r="D7147" s="80"/>
      <c r="E7147" s="80"/>
    </row>
    <row r="7148" spans="2:5" ht="14.25" customHeight="1" x14ac:dyDescent="0.25">
      <c r="B7148" s="103"/>
      <c r="D7148" s="80"/>
      <c r="E7148" s="80"/>
    </row>
    <row r="7149" spans="2:5" ht="14.25" customHeight="1" x14ac:dyDescent="0.25">
      <c r="B7149" s="103"/>
      <c r="D7149" s="80"/>
      <c r="E7149" s="80"/>
    </row>
    <row r="7150" spans="2:5" ht="14.25" customHeight="1" x14ac:dyDescent="0.25">
      <c r="B7150" s="103"/>
      <c r="D7150" s="80"/>
      <c r="E7150" s="80"/>
    </row>
    <row r="7151" spans="2:5" ht="14.25" customHeight="1" x14ac:dyDescent="0.25">
      <c r="B7151" s="103"/>
      <c r="D7151" s="80"/>
      <c r="E7151" s="80"/>
    </row>
    <row r="7152" spans="2:5" ht="14.25" customHeight="1" x14ac:dyDescent="0.25">
      <c r="B7152" s="103"/>
      <c r="D7152" s="80"/>
      <c r="E7152" s="80"/>
    </row>
    <row r="7153" spans="2:5" ht="14.25" customHeight="1" x14ac:dyDescent="0.25">
      <c r="B7153" s="103"/>
      <c r="D7153" s="80"/>
      <c r="E7153" s="80"/>
    </row>
    <row r="7154" spans="2:5" ht="14.25" customHeight="1" x14ac:dyDescent="0.25">
      <c r="B7154" s="103"/>
      <c r="D7154" s="80"/>
      <c r="E7154" s="80"/>
    </row>
    <row r="7155" spans="2:5" ht="14.25" customHeight="1" x14ac:dyDescent="0.25">
      <c r="B7155" s="103"/>
      <c r="D7155" s="80"/>
      <c r="E7155" s="80"/>
    </row>
    <row r="7156" spans="2:5" ht="14.25" customHeight="1" x14ac:dyDescent="0.25">
      <c r="B7156" s="103"/>
      <c r="D7156" s="80"/>
      <c r="E7156" s="80"/>
    </row>
    <row r="7157" spans="2:5" ht="14.25" customHeight="1" x14ac:dyDescent="0.25">
      <c r="B7157" s="103"/>
      <c r="D7157" s="80"/>
      <c r="E7157" s="80"/>
    </row>
    <row r="7158" spans="2:5" ht="14.25" customHeight="1" x14ac:dyDescent="0.25">
      <c r="B7158" s="103"/>
      <c r="D7158" s="80"/>
      <c r="E7158" s="80"/>
    </row>
    <row r="7159" spans="2:5" ht="14.25" customHeight="1" x14ac:dyDescent="0.25">
      <c r="B7159" s="103"/>
      <c r="D7159" s="80"/>
      <c r="E7159" s="80"/>
    </row>
    <row r="7160" spans="2:5" ht="14.25" customHeight="1" x14ac:dyDescent="0.25">
      <c r="B7160" s="103"/>
      <c r="D7160" s="80"/>
      <c r="E7160" s="80"/>
    </row>
    <row r="7161" spans="2:5" ht="14.25" customHeight="1" x14ac:dyDescent="0.25">
      <c r="B7161" s="103"/>
      <c r="D7161" s="80"/>
      <c r="E7161" s="80"/>
    </row>
    <row r="7162" spans="2:5" ht="14.25" customHeight="1" x14ac:dyDescent="0.25">
      <c r="B7162" s="103"/>
      <c r="D7162" s="80"/>
      <c r="E7162" s="80"/>
    </row>
    <row r="7163" spans="2:5" ht="14.25" customHeight="1" x14ac:dyDescent="0.25">
      <c r="B7163" s="103"/>
      <c r="D7163" s="80"/>
      <c r="E7163" s="80"/>
    </row>
    <row r="7164" spans="2:5" ht="14.25" customHeight="1" x14ac:dyDescent="0.25">
      <c r="B7164" s="103"/>
      <c r="D7164" s="80"/>
      <c r="E7164" s="80"/>
    </row>
    <row r="7165" spans="2:5" ht="14.25" customHeight="1" x14ac:dyDescent="0.25">
      <c r="B7165" s="103"/>
      <c r="D7165" s="80"/>
      <c r="E7165" s="80"/>
    </row>
    <row r="7166" spans="2:5" ht="14.25" customHeight="1" x14ac:dyDescent="0.25">
      <c r="B7166" s="103"/>
      <c r="D7166" s="80"/>
      <c r="E7166" s="80"/>
    </row>
    <row r="7167" spans="2:5" ht="14.25" customHeight="1" x14ac:dyDescent="0.25">
      <c r="B7167" s="103"/>
      <c r="D7167" s="80"/>
      <c r="E7167" s="80"/>
    </row>
    <row r="7168" spans="2:5" ht="14.25" customHeight="1" x14ac:dyDescent="0.25">
      <c r="B7168" s="103"/>
      <c r="D7168" s="80"/>
      <c r="E7168" s="80"/>
    </row>
    <row r="7169" spans="2:5" ht="14.25" customHeight="1" x14ac:dyDescent="0.25">
      <c r="B7169" s="103"/>
      <c r="D7169" s="80"/>
      <c r="E7169" s="80"/>
    </row>
    <row r="7170" spans="2:5" ht="14.25" customHeight="1" x14ac:dyDescent="0.25">
      <c r="B7170" s="103"/>
      <c r="D7170" s="80"/>
      <c r="E7170" s="80"/>
    </row>
    <row r="7171" spans="2:5" ht="14.25" customHeight="1" x14ac:dyDescent="0.25">
      <c r="B7171" s="103"/>
      <c r="D7171" s="80"/>
      <c r="E7171" s="80"/>
    </row>
    <row r="7172" spans="2:5" ht="14.25" customHeight="1" x14ac:dyDescent="0.25">
      <c r="B7172" s="103"/>
      <c r="D7172" s="80"/>
      <c r="E7172" s="80"/>
    </row>
    <row r="7173" spans="2:5" ht="14.25" customHeight="1" x14ac:dyDescent="0.25">
      <c r="B7173" s="103"/>
      <c r="D7173" s="80"/>
      <c r="E7173" s="80"/>
    </row>
    <row r="7174" spans="2:5" ht="14.25" customHeight="1" x14ac:dyDescent="0.25">
      <c r="B7174" s="103"/>
      <c r="D7174" s="80"/>
      <c r="E7174" s="80"/>
    </row>
    <row r="7175" spans="2:5" ht="14.25" customHeight="1" x14ac:dyDescent="0.25">
      <c r="B7175" s="103"/>
      <c r="D7175" s="80"/>
      <c r="E7175" s="80"/>
    </row>
    <row r="7176" spans="2:5" ht="14.25" customHeight="1" x14ac:dyDescent="0.25">
      <c r="B7176" s="103"/>
      <c r="D7176" s="80"/>
      <c r="E7176" s="80"/>
    </row>
    <row r="7177" spans="2:5" ht="14.25" customHeight="1" x14ac:dyDescent="0.25">
      <c r="B7177" s="103"/>
      <c r="D7177" s="80"/>
      <c r="E7177" s="80"/>
    </row>
    <row r="7178" spans="2:5" ht="14.25" customHeight="1" x14ac:dyDescent="0.25">
      <c r="B7178" s="103"/>
      <c r="D7178" s="80"/>
      <c r="E7178" s="80"/>
    </row>
    <row r="7179" spans="2:5" ht="14.25" customHeight="1" x14ac:dyDescent="0.25">
      <c r="B7179" s="103"/>
      <c r="D7179" s="80"/>
      <c r="E7179" s="80"/>
    </row>
    <row r="7180" spans="2:5" ht="14.25" customHeight="1" x14ac:dyDescent="0.25">
      <c r="B7180" s="103"/>
      <c r="D7180" s="80"/>
      <c r="E7180" s="80"/>
    </row>
    <row r="7181" spans="2:5" ht="14.25" customHeight="1" x14ac:dyDescent="0.25">
      <c r="B7181" s="103"/>
      <c r="D7181" s="80"/>
      <c r="E7181" s="80"/>
    </row>
    <row r="7182" spans="2:5" ht="14.25" customHeight="1" x14ac:dyDescent="0.25">
      <c r="B7182" s="103"/>
      <c r="D7182" s="80"/>
      <c r="E7182" s="80"/>
    </row>
    <row r="7183" spans="2:5" ht="14.25" customHeight="1" x14ac:dyDescent="0.25">
      <c r="B7183" s="103"/>
      <c r="D7183" s="80"/>
      <c r="E7183" s="80"/>
    </row>
    <row r="7184" spans="2:5" ht="14.25" customHeight="1" x14ac:dyDescent="0.25">
      <c r="B7184" s="103"/>
      <c r="D7184" s="80"/>
      <c r="E7184" s="80"/>
    </row>
    <row r="7185" spans="2:5" ht="14.25" customHeight="1" x14ac:dyDescent="0.25">
      <c r="B7185" s="103"/>
      <c r="D7185" s="80"/>
      <c r="E7185" s="80"/>
    </row>
    <row r="7186" spans="2:5" ht="14.25" customHeight="1" x14ac:dyDescent="0.25">
      <c r="B7186" s="103"/>
      <c r="D7186" s="80"/>
      <c r="E7186" s="80"/>
    </row>
    <row r="7187" spans="2:5" ht="14.25" customHeight="1" x14ac:dyDescent="0.25">
      <c r="B7187" s="103"/>
      <c r="D7187" s="80"/>
      <c r="E7187" s="80"/>
    </row>
    <row r="7188" spans="2:5" ht="14.25" customHeight="1" x14ac:dyDescent="0.25">
      <c r="B7188" s="103"/>
      <c r="D7188" s="80"/>
      <c r="E7188" s="80"/>
    </row>
    <row r="7189" spans="2:5" ht="14.25" customHeight="1" x14ac:dyDescent="0.25">
      <c r="B7189" s="103"/>
      <c r="D7189" s="80"/>
      <c r="E7189" s="80"/>
    </row>
    <row r="7190" spans="2:5" ht="14.25" customHeight="1" x14ac:dyDescent="0.25">
      <c r="B7190" s="103"/>
      <c r="D7190" s="80"/>
      <c r="E7190" s="80"/>
    </row>
    <row r="7191" spans="2:5" ht="14.25" customHeight="1" x14ac:dyDescent="0.25">
      <c r="B7191" s="103"/>
      <c r="D7191" s="80"/>
      <c r="E7191" s="80"/>
    </row>
    <row r="7192" spans="2:5" ht="14.25" customHeight="1" x14ac:dyDescent="0.25">
      <c r="B7192" s="103"/>
      <c r="D7192" s="80"/>
      <c r="E7192" s="80"/>
    </row>
    <row r="7193" spans="2:5" ht="14.25" customHeight="1" x14ac:dyDescent="0.25">
      <c r="B7193" s="103"/>
      <c r="D7193" s="80"/>
      <c r="E7193" s="80"/>
    </row>
    <row r="7194" spans="2:5" ht="14.25" customHeight="1" x14ac:dyDescent="0.25">
      <c r="B7194" s="103"/>
      <c r="D7194" s="80"/>
      <c r="E7194" s="80"/>
    </row>
    <row r="7195" spans="2:5" ht="14.25" customHeight="1" x14ac:dyDescent="0.25">
      <c r="B7195" s="103"/>
      <c r="D7195" s="80"/>
      <c r="E7195" s="80"/>
    </row>
    <row r="7196" spans="2:5" ht="14.25" customHeight="1" x14ac:dyDescent="0.25">
      <c r="B7196" s="103"/>
      <c r="D7196" s="80"/>
      <c r="E7196" s="80"/>
    </row>
    <row r="7197" spans="2:5" ht="14.25" customHeight="1" x14ac:dyDescent="0.25">
      <c r="B7197" s="103"/>
      <c r="D7197" s="80"/>
      <c r="E7197" s="80"/>
    </row>
    <row r="7198" spans="2:5" ht="14.25" customHeight="1" x14ac:dyDescent="0.25">
      <c r="B7198" s="103"/>
      <c r="D7198" s="80"/>
      <c r="E7198" s="80"/>
    </row>
    <row r="7199" spans="2:5" ht="14.25" customHeight="1" x14ac:dyDescent="0.25">
      <c r="B7199" s="103"/>
      <c r="D7199" s="80"/>
      <c r="E7199" s="80"/>
    </row>
    <row r="7200" spans="2:5" ht="14.25" customHeight="1" x14ac:dyDescent="0.25">
      <c r="B7200" s="103"/>
      <c r="D7200" s="80"/>
      <c r="E7200" s="80"/>
    </row>
    <row r="7201" spans="2:5" ht="14.25" customHeight="1" x14ac:dyDescent="0.25">
      <c r="B7201" s="103"/>
      <c r="D7201" s="80"/>
      <c r="E7201" s="80"/>
    </row>
    <row r="7202" spans="2:5" ht="14.25" customHeight="1" x14ac:dyDescent="0.25">
      <c r="B7202" s="103"/>
      <c r="D7202" s="80"/>
      <c r="E7202" s="80"/>
    </row>
    <row r="7203" spans="2:5" ht="14.25" customHeight="1" x14ac:dyDescent="0.25">
      <c r="B7203" s="103"/>
      <c r="D7203" s="80"/>
      <c r="E7203" s="80"/>
    </row>
    <row r="7204" spans="2:5" ht="14.25" customHeight="1" x14ac:dyDescent="0.25">
      <c r="B7204" s="103"/>
      <c r="D7204" s="80"/>
      <c r="E7204" s="80"/>
    </row>
    <row r="7205" spans="2:5" ht="14.25" customHeight="1" x14ac:dyDescent="0.25">
      <c r="B7205" s="103"/>
      <c r="D7205" s="80"/>
      <c r="E7205" s="80"/>
    </row>
    <row r="7206" spans="2:5" ht="14.25" customHeight="1" x14ac:dyDescent="0.25">
      <c r="B7206" s="103"/>
      <c r="D7206" s="80"/>
      <c r="E7206" s="80"/>
    </row>
    <row r="7207" spans="2:5" ht="14.25" customHeight="1" x14ac:dyDescent="0.25">
      <c r="B7207" s="103"/>
      <c r="D7207" s="80"/>
      <c r="E7207" s="80"/>
    </row>
    <row r="7208" spans="2:5" ht="14.25" customHeight="1" x14ac:dyDescent="0.25">
      <c r="B7208" s="103"/>
      <c r="D7208" s="80"/>
      <c r="E7208" s="80"/>
    </row>
    <row r="7209" spans="2:5" ht="14.25" customHeight="1" x14ac:dyDescent="0.25">
      <c r="B7209" s="103"/>
      <c r="D7209" s="80"/>
      <c r="E7209" s="80"/>
    </row>
    <row r="7210" spans="2:5" ht="14.25" customHeight="1" x14ac:dyDescent="0.25">
      <c r="B7210" s="103"/>
      <c r="D7210" s="80"/>
      <c r="E7210" s="80"/>
    </row>
    <row r="7211" spans="2:5" ht="14.25" customHeight="1" x14ac:dyDescent="0.25">
      <c r="B7211" s="103"/>
      <c r="D7211" s="80"/>
      <c r="E7211" s="80"/>
    </row>
    <row r="7212" spans="2:5" ht="14.25" customHeight="1" x14ac:dyDescent="0.25">
      <c r="B7212" s="103"/>
      <c r="D7212" s="80"/>
      <c r="E7212" s="80"/>
    </row>
    <row r="7213" spans="2:5" ht="14.25" customHeight="1" x14ac:dyDescent="0.25">
      <c r="B7213" s="103"/>
      <c r="D7213" s="80"/>
      <c r="E7213" s="80"/>
    </row>
    <row r="7214" spans="2:5" ht="14.25" customHeight="1" x14ac:dyDescent="0.25">
      <c r="B7214" s="103"/>
      <c r="D7214" s="80"/>
      <c r="E7214" s="80"/>
    </row>
    <row r="7215" spans="2:5" ht="14.25" customHeight="1" x14ac:dyDescent="0.25">
      <c r="B7215" s="103"/>
      <c r="D7215" s="80"/>
      <c r="E7215" s="80"/>
    </row>
    <row r="7216" spans="2:5" ht="14.25" customHeight="1" x14ac:dyDescent="0.25">
      <c r="B7216" s="103"/>
      <c r="D7216" s="80"/>
      <c r="E7216" s="80"/>
    </row>
    <row r="7217" spans="2:5" ht="14.25" customHeight="1" x14ac:dyDescent="0.25">
      <c r="B7217" s="103"/>
      <c r="D7217" s="80"/>
      <c r="E7217" s="80"/>
    </row>
    <row r="7218" spans="2:5" ht="14.25" customHeight="1" x14ac:dyDescent="0.25">
      <c r="B7218" s="103"/>
      <c r="D7218" s="80"/>
      <c r="E7218" s="80"/>
    </row>
    <row r="7219" spans="2:5" ht="14.25" customHeight="1" x14ac:dyDescent="0.25">
      <c r="B7219" s="103"/>
      <c r="D7219" s="80"/>
      <c r="E7219" s="80"/>
    </row>
    <row r="7220" spans="2:5" ht="14.25" customHeight="1" x14ac:dyDescent="0.25">
      <c r="B7220" s="103"/>
      <c r="D7220" s="80"/>
      <c r="E7220" s="80"/>
    </row>
    <row r="7221" spans="2:5" ht="14.25" customHeight="1" x14ac:dyDescent="0.25">
      <c r="B7221" s="103"/>
      <c r="D7221" s="80"/>
      <c r="E7221" s="80"/>
    </row>
    <row r="7222" spans="2:5" ht="14.25" customHeight="1" x14ac:dyDescent="0.25">
      <c r="B7222" s="103"/>
      <c r="D7222" s="80"/>
      <c r="E7222" s="80"/>
    </row>
    <row r="7223" spans="2:5" ht="14.25" customHeight="1" x14ac:dyDescent="0.25">
      <c r="B7223" s="103"/>
      <c r="D7223" s="80"/>
      <c r="E7223" s="80"/>
    </row>
    <row r="7224" spans="2:5" ht="14.25" customHeight="1" x14ac:dyDescent="0.25">
      <c r="B7224" s="103"/>
      <c r="D7224" s="80"/>
      <c r="E7224" s="80"/>
    </row>
    <row r="7225" spans="2:5" ht="14.25" customHeight="1" x14ac:dyDescent="0.25">
      <c r="B7225" s="103"/>
      <c r="D7225" s="80"/>
      <c r="E7225" s="80"/>
    </row>
    <row r="7226" spans="2:5" ht="14.25" customHeight="1" x14ac:dyDescent="0.25">
      <c r="B7226" s="103"/>
      <c r="D7226" s="80"/>
      <c r="E7226" s="80"/>
    </row>
    <row r="7227" spans="2:5" ht="14.25" customHeight="1" x14ac:dyDescent="0.25">
      <c r="B7227" s="103"/>
      <c r="D7227" s="80"/>
      <c r="E7227" s="80"/>
    </row>
    <row r="7228" spans="2:5" ht="14.25" customHeight="1" x14ac:dyDescent="0.25">
      <c r="B7228" s="103"/>
      <c r="D7228" s="80"/>
      <c r="E7228" s="80"/>
    </row>
    <row r="7229" spans="2:5" ht="14.25" customHeight="1" x14ac:dyDescent="0.25">
      <c r="B7229" s="103"/>
      <c r="D7229" s="80"/>
      <c r="E7229" s="80"/>
    </row>
    <row r="7230" spans="2:5" ht="14.25" customHeight="1" x14ac:dyDescent="0.25">
      <c r="B7230" s="103"/>
      <c r="D7230" s="80"/>
      <c r="E7230" s="80"/>
    </row>
    <row r="7231" spans="2:5" ht="14.25" customHeight="1" x14ac:dyDescent="0.25">
      <c r="B7231" s="103"/>
      <c r="D7231" s="80"/>
      <c r="E7231" s="80"/>
    </row>
    <row r="7232" spans="2:5" ht="14.25" customHeight="1" x14ac:dyDescent="0.25">
      <c r="B7232" s="103"/>
      <c r="D7232" s="80"/>
      <c r="E7232" s="80"/>
    </row>
    <row r="7233" spans="2:5" ht="14.25" customHeight="1" x14ac:dyDescent="0.25">
      <c r="B7233" s="103"/>
      <c r="D7233" s="80"/>
      <c r="E7233" s="80"/>
    </row>
    <row r="7234" spans="2:5" ht="14.25" customHeight="1" x14ac:dyDescent="0.25">
      <c r="B7234" s="103"/>
      <c r="D7234" s="80"/>
      <c r="E7234" s="80"/>
    </row>
    <row r="7235" spans="2:5" ht="14.25" customHeight="1" x14ac:dyDescent="0.25">
      <c r="B7235" s="103"/>
      <c r="D7235" s="80"/>
      <c r="E7235" s="80"/>
    </row>
    <row r="7236" spans="2:5" ht="14.25" customHeight="1" x14ac:dyDescent="0.25">
      <c r="B7236" s="103"/>
      <c r="D7236" s="80"/>
      <c r="E7236" s="80"/>
    </row>
    <row r="7237" spans="2:5" ht="14.25" customHeight="1" x14ac:dyDescent="0.25">
      <c r="B7237" s="103"/>
      <c r="D7237" s="80"/>
      <c r="E7237" s="80"/>
    </row>
    <row r="7238" spans="2:5" ht="14.25" customHeight="1" x14ac:dyDescent="0.25">
      <c r="B7238" s="103"/>
      <c r="D7238" s="80"/>
      <c r="E7238" s="80"/>
    </row>
    <row r="7239" spans="2:5" ht="14.25" customHeight="1" x14ac:dyDescent="0.25">
      <c r="B7239" s="103"/>
      <c r="D7239" s="80"/>
      <c r="E7239" s="80"/>
    </row>
    <row r="7240" spans="2:5" ht="14.25" customHeight="1" x14ac:dyDescent="0.25">
      <c r="B7240" s="103"/>
      <c r="D7240" s="80"/>
      <c r="E7240" s="80"/>
    </row>
    <row r="7241" spans="2:5" ht="14.25" customHeight="1" x14ac:dyDescent="0.25">
      <c r="B7241" s="103"/>
      <c r="D7241" s="80"/>
      <c r="E7241" s="80"/>
    </row>
    <row r="7242" spans="2:5" ht="14.25" customHeight="1" x14ac:dyDescent="0.25">
      <c r="B7242" s="103"/>
      <c r="D7242" s="80"/>
      <c r="E7242" s="80"/>
    </row>
    <row r="7243" spans="2:5" ht="14.25" customHeight="1" x14ac:dyDescent="0.25">
      <c r="B7243" s="103"/>
      <c r="D7243" s="80"/>
      <c r="E7243" s="80"/>
    </row>
    <row r="7244" spans="2:5" ht="14.25" customHeight="1" x14ac:dyDescent="0.25">
      <c r="B7244" s="103"/>
      <c r="D7244" s="80"/>
      <c r="E7244" s="80"/>
    </row>
    <row r="7245" spans="2:5" ht="14.25" customHeight="1" x14ac:dyDescent="0.25">
      <c r="B7245" s="103"/>
      <c r="D7245" s="80"/>
      <c r="E7245" s="80"/>
    </row>
    <row r="7246" spans="2:5" ht="14.25" customHeight="1" x14ac:dyDescent="0.25">
      <c r="B7246" s="103"/>
      <c r="D7246" s="80"/>
      <c r="E7246" s="80"/>
    </row>
    <row r="7247" spans="2:5" ht="14.25" customHeight="1" x14ac:dyDescent="0.25">
      <c r="B7247" s="103"/>
      <c r="D7247" s="80"/>
      <c r="E7247" s="80"/>
    </row>
    <row r="7248" spans="2:5" ht="14.25" customHeight="1" x14ac:dyDescent="0.25">
      <c r="B7248" s="103"/>
      <c r="D7248" s="80"/>
      <c r="E7248" s="80"/>
    </row>
    <row r="7249" spans="2:5" ht="14.25" customHeight="1" x14ac:dyDescent="0.25">
      <c r="B7249" s="103"/>
      <c r="D7249" s="80"/>
      <c r="E7249" s="80"/>
    </row>
    <row r="7250" spans="2:5" ht="14.25" customHeight="1" x14ac:dyDescent="0.25">
      <c r="B7250" s="103"/>
      <c r="D7250" s="80"/>
      <c r="E7250" s="80"/>
    </row>
    <row r="7251" spans="2:5" ht="14.25" customHeight="1" x14ac:dyDescent="0.25">
      <c r="B7251" s="103"/>
      <c r="D7251" s="80"/>
      <c r="E7251" s="80"/>
    </row>
    <row r="7252" spans="2:5" ht="14.25" customHeight="1" x14ac:dyDescent="0.25">
      <c r="B7252" s="103"/>
      <c r="D7252" s="80"/>
      <c r="E7252" s="80"/>
    </row>
    <row r="7253" spans="2:5" ht="14.25" customHeight="1" x14ac:dyDescent="0.25">
      <c r="B7253" s="103"/>
      <c r="D7253" s="80"/>
      <c r="E7253" s="80"/>
    </row>
    <row r="7254" spans="2:5" ht="14.25" customHeight="1" x14ac:dyDescent="0.25">
      <c r="B7254" s="103"/>
      <c r="D7254" s="80"/>
      <c r="E7254" s="80"/>
    </row>
    <row r="7255" spans="2:5" ht="14.25" customHeight="1" x14ac:dyDescent="0.25">
      <c r="B7255" s="103"/>
      <c r="D7255" s="80"/>
      <c r="E7255" s="80"/>
    </row>
    <row r="7256" spans="2:5" ht="14.25" customHeight="1" x14ac:dyDescent="0.25">
      <c r="B7256" s="103"/>
      <c r="D7256" s="80"/>
      <c r="E7256" s="80"/>
    </row>
    <row r="7257" spans="2:5" ht="14.25" customHeight="1" x14ac:dyDescent="0.25">
      <c r="B7257" s="103"/>
      <c r="D7257" s="80"/>
      <c r="E7257" s="80"/>
    </row>
    <row r="7258" spans="2:5" ht="14.25" customHeight="1" x14ac:dyDescent="0.25">
      <c r="B7258" s="103"/>
      <c r="D7258" s="80"/>
      <c r="E7258" s="80"/>
    </row>
    <row r="7259" spans="2:5" ht="14.25" customHeight="1" x14ac:dyDescent="0.25">
      <c r="B7259" s="103"/>
      <c r="D7259" s="80"/>
      <c r="E7259" s="80"/>
    </row>
    <row r="7260" spans="2:5" ht="14.25" customHeight="1" x14ac:dyDescent="0.25">
      <c r="B7260" s="103"/>
      <c r="D7260" s="80"/>
      <c r="E7260" s="80"/>
    </row>
    <row r="7261" spans="2:5" ht="14.25" customHeight="1" x14ac:dyDescent="0.25">
      <c r="B7261" s="103"/>
      <c r="D7261" s="80"/>
      <c r="E7261" s="80"/>
    </row>
    <row r="7262" spans="2:5" ht="14.25" customHeight="1" x14ac:dyDescent="0.25">
      <c r="B7262" s="103"/>
      <c r="D7262" s="80"/>
      <c r="E7262" s="80"/>
    </row>
    <row r="7263" spans="2:5" ht="14.25" customHeight="1" x14ac:dyDescent="0.25">
      <c r="B7263" s="103"/>
      <c r="D7263" s="80"/>
      <c r="E7263" s="80"/>
    </row>
    <row r="7264" spans="2:5" ht="14.25" customHeight="1" x14ac:dyDescent="0.25">
      <c r="B7264" s="103"/>
      <c r="D7264" s="80"/>
      <c r="E7264" s="80"/>
    </row>
    <row r="7265" spans="2:5" ht="14.25" customHeight="1" x14ac:dyDescent="0.25">
      <c r="B7265" s="103"/>
      <c r="D7265" s="80"/>
      <c r="E7265" s="80"/>
    </row>
    <row r="7266" spans="2:5" ht="14.25" customHeight="1" x14ac:dyDescent="0.25">
      <c r="B7266" s="103"/>
      <c r="D7266" s="80"/>
      <c r="E7266" s="80"/>
    </row>
    <row r="7267" spans="2:5" ht="14.25" customHeight="1" x14ac:dyDescent="0.25">
      <c r="B7267" s="103"/>
      <c r="D7267" s="80"/>
      <c r="E7267" s="80"/>
    </row>
    <row r="7268" spans="2:5" ht="14.25" customHeight="1" x14ac:dyDescent="0.25">
      <c r="B7268" s="103"/>
      <c r="D7268" s="80"/>
      <c r="E7268" s="80"/>
    </row>
    <row r="7269" spans="2:5" ht="14.25" customHeight="1" x14ac:dyDescent="0.25">
      <c r="B7269" s="103"/>
      <c r="D7269" s="80"/>
      <c r="E7269" s="80"/>
    </row>
    <row r="7270" spans="2:5" ht="14.25" customHeight="1" x14ac:dyDescent="0.25">
      <c r="B7270" s="103"/>
      <c r="D7270" s="80"/>
      <c r="E7270" s="80"/>
    </row>
    <row r="7271" spans="2:5" ht="14.25" customHeight="1" x14ac:dyDescent="0.25">
      <c r="B7271" s="103"/>
      <c r="D7271" s="80"/>
      <c r="E7271" s="80"/>
    </row>
    <row r="7272" spans="2:5" ht="14.25" customHeight="1" x14ac:dyDescent="0.25">
      <c r="B7272" s="103"/>
      <c r="D7272" s="80"/>
      <c r="E7272" s="80"/>
    </row>
    <row r="7273" spans="2:5" ht="14.25" customHeight="1" x14ac:dyDescent="0.25">
      <c r="B7273" s="103"/>
      <c r="D7273" s="80"/>
      <c r="E7273" s="80"/>
    </row>
    <row r="7274" spans="2:5" ht="14.25" customHeight="1" x14ac:dyDescent="0.25">
      <c r="B7274" s="103"/>
      <c r="D7274" s="80"/>
      <c r="E7274" s="80"/>
    </row>
    <row r="7275" spans="2:5" ht="14.25" customHeight="1" x14ac:dyDescent="0.25">
      <c r="B7275" s="103"/>
      <c r="D7275" s="80"/>
      <c r="E7275" s="80"/>
    </row>
    <row r="7276" spans="2:5" ht="14.25" customHeight="1" x14ac:dyDescent="0.25">
      <c r="B7276" s="103"/>
      <c r="D7276" s="80"/>
      <c r="E7276" s="80"/>
    </row>
    <row r="7277" spans="2:5" ht="14.25" customHeight="1" x14ac:dyDescent="0.25">
      <c r="B7277" s="103"/>
      <c r="D7277" s="80"/>
      <c r="E7277" s="80"/>
    </row>
    <row r="7278" spans="2:5" ht="14.25" customHeight="1" x14ac:dyDescent="0.25">
      <c r="B7278" s="103"/>
      <c r="D7278" s="80"/>
      <c r="E7278" s="80"/>
    </row>
    <row r="7279" spans="2:5" ht="14.25" customHeight="1" x14ac:dyDescent="0.25">
      <c r="B7279" s="103"/>
      <c r="D7279" s="80"/>
      <c r="E7279" s="80"/>
    </row>
    <row r="7280" spans="2:5" ht="14.25" customHeight="1" x14ac:dyDescent="0.25">
      <c r="B7280" s="103"/>
      <c r="D7280" s="80"/>
      <c r="E7280" s="80"/>
    </row>
    <row r="7281" spans="2:5" ht="14.25" customHeight="1" x14ac:dyDescent="0.25">
      <c r="B7281" s="103"/>
      <c r="D7281" s="80"/>
      <c r="E7281" s="80"/>
    </row>
    <row r="7282" spans="2:5" ht="14.25" customHeight="1" x14ac:dyDescent="0.25">
      <c r="B7282" s="103"/>
      <c r="D7282" s="80"/>
      <c r="E7282" s="80"/>
    </row>
    <row r="7283" spans="2:5" ht="14.25" customHeight="1" x14ac:dyDescent="0.25">
      <c r="B7283" s="103"/>
      <c r="D7283" s="80"/>
      <c r="E7283" s="80"/>
    </row>
    <row r="7284" spans="2:5" ht="14.25" customHeight="1" x14ac:dyDescent="0.25">
      <c r="B7284" s="103"/>
      <c r="D7284" s="80"/>
      <c r="E7284" s="80"/>
    </row>
    <row r="7285" spans="2:5" ht="14.25" customHeight="1" x14ac:dyDescent="0.25">
      <c r="B7285" s="103"/>
      <c r="D7285" s="80"/>
      <c r="E7285" s="80"/>
    </row>
    <row r="7286" spans="2:5" ht="14.25" customHeight="1" x14ac:dyDescent="0.25">
      <c r="B7286" s="103"/>
      <c r="D7286" s="80"/>
      <c r="E7286" s="80"/>
    </row>
    <row r="7287" spans="2:5" ht="14.25" customHeight="1" x14ac:dyDescent="0.25">
      <c r="B7287" s="103"/>
      <c r="D7287" s="80"/>
      <c r="E7287" s="80"/>
    </row>
    <row r="7288" spans="2:5" ht="14.25" customHeight="1" x14ac:dyDescent="0.25">
      <c r="B7288" s="103"/>
      <c r="D7288" s="80"/>
      <c r="E7288" s="80"/>
    </row>
    <row r="7289" spans="2:5" ht="14.25" customHeight="1" x14ac:dyDescent="0.25">
      <c r="B7289" s="103"/>
      <c r="D7289" s="80"/>
      <c r="E7289" s="80"/>
    </row>
    <row r="7290" spans="2:5" ht="14.25" customHeight="1" x14ac:dyDescent="0.25">
      <c r="B7290" s="103"/>
      <c r="D7290" s="80"/>
      <c r="E7290" s="80"/>
    </row>
    <row r="7291" spans="2:5" ht="14.25" customHeight="1" x14ac:dyDescent="0.25">
      <c r="B7291" s="103"/>
      <c r="D7291" s="80"/>
      <c r="E7291" s="80"/>
    </row>
    <row r="7292" spans="2:5" ht="14.25" customHeight="1" x14ac:dyDescent="0.25">
      <c r="B7292" s="103"/>
      <c r="D7292" s="80"/>
      <c r="E7292" s="80"/>
    </row>
    <row r="7293" spans="2:5" ht="14.25" customHeight="1" x14ac:dyDescent="0.25">
      <c r="B7293" s="103"/>
      <c r="D7293" s="80"/>
      <c r="E7293" s="80"/>
    </row>
    <row r="7294" spans="2:5" ht="14.25" customHeight="1" x14ac:dyDescent="0.25">
      <c r="B7294" s="103"/>
      <c r="D7294" s="80"/>
      <c r="E7294" s="80"/>
    </row>
    <row r="7295" spans="2:5" ht="14.25" customHeight="1" x14ac:dyDescent="0.25">
      <c r="B7295" s="103"/>
      <c r="D7295" s="80"/>
      <c r="E7295" s="80"/>
    </row>
    <row r="7296" spans="2:5" ht="14.25" customHeight="1" x14ac:dyDescent="0.25">
      <c r="B7296" s="103"/>
      <c r="D7296" s="80"/>
      <c r="E7296" s="80"/>
    </row>
    <row r="7297" spans="2:5" ht="14.25" customHeight="1" x14ac:dyDescent="0.25">
      <c r="B7297" s="103"/>
      <c r="D7297" s="80"/>
      <c r="E7297" s="80"/>
    </row>
    <row r="7298" spans="2:5" ht="14.25" customHeight="1" x14ac:dyDescent="0.25">
      <c r="B7298" s="103"/>
      <c r="D7298" s="80"/>
      <c r="E7298" s="80"/>
    </row>
    <row r="7299" spans="2:5" ht="14.25" customHeight="1" x14ac:dyDescent="0.25">
      <c r="B7299" s="103"/>
      <c r="D7299" s="80"/>
      <c r="E7299" s="80"/>
    </row>
    <row r="7300" spans="2:5" ht="14.25" customHeight="1" x14ac:dyDescent="0.25">
      <c r="B7300" s="103"/>
      <c r="D7300" s="80"/>
      <c r="E7300" s="80"/>
    </row>
    <row r="7301" spans="2:5" ht="14.25" customHeight="1" x14ac:dyDescent="0.25">
      <c r="B7301" s="103"/>
      <c r="D7301" s="80"/>
      <c r="E7301" s="80"/>
    </row>
    <row r="7302" spans="2:5" ht="14.25" customHeight="1" x14ac:dyDescent="0.25">
      <c r="B7302" s="103"/>
      <c r="D7302" s="80"/>
      <c r="E7302" s="80"/>
    </row>
    <row r="7303" spans="2:5" ht="14.25" customHeight="1" x14ac:dyDescent="0.25">
      <c r="B7303" s="103"/>
      <c r="D7303" s="80"/>
      <c r="E7303" s="80"/>
    </row>
    <row r="7304" spans="2:5" ht="14.25" customHeight="1" x14ac:dyDescent="0.25">
      <c r="B7304" s="103"/>
      <c r="D7304" s="80"/>
      <c r="E7304" s="80"/>
    </row>
    <row r="7305" spans="2:5" ht="14.25" customHeight="1" x14ac:dyDescent="0.25">
      <c r="B7305" s="103"/>
      <c r="D7305" s="80"/>
      <c r="E7305" s="80"/>
    </row>
    <row r="7306" spans="2:5" ht="14.25" customHeight="1" x14ac:dyDescent="0.25">
      <c r="B7306" s="103"/>
      <c r="D7306" s="80"/>
      <c r="E7306" s="80"/>
    </row>
    <row r="7307" spans="2:5" ht="14.25" customHeight="1" x14ac:dyDescent="0.25">
      <c r="B7307" s="103"/>
      <c r="D7307" s="80"/>
      <c r="E7307" s="80"/>
    </row>
    <row r="7308" spans="2:5" ht="14.25" customHeight="1" x14ac:dyDescent="0.25">
      <c r="B7308" s="103"/>
      <c r="D7308" s="80"/>
      <c r="E7308" s="80"/>
    </row>
    <row r="7309" spans="2:5" ht="14.25" customHeight="1" x14ac:dyDescent="0.25">
      <c r="B7309" s="103"/>
      <c r="D7309" s="80"/>
      <c r="E7309" s="80"/>
    </row>
    <row r="7310" spans="2:5" ht="14.25" customHeight="1" x14ac:dyDescent="0.25">
      <c r="B7310" s="103"/>
      <c r="D7310" s="80"/>
      <c r="E7310" s="80"/>
    </row>
    <row r="7311" spans="2:5" ht="14.25" customHeight="1" x14ac:dyDescent="0.25">
      <c r="B7311" s="103"/>
      <c r="D7311" s="80"/>
      <c r="E7311" s="80"/>
    </row>
    <row r="7312" spans="2:5" ht="14.25" customHeight="1" x14ac:dyDescent="0.25">
      <c r="B7312" s="103"/>
      <c r="D7312" s="80"/>
      <c r="E7312" s="80"/>
    </row>
    <row r="7313" spans="2:5" ht="14.25" customHeight="1" x14ac:dyDescent="0.25">
      <c r="B7313" s="103"/>
      <c r="D7313" s="80"/>
      <c r="E7313" s="80"/>
    </row>
    <row r="7314" spans="2:5" ht="14.25" customHeight="1" x14ac:dyDescent="0.25">
      <c r="B7314" s="103"/>
      <c r="D7314" s="80"/>
      <c r="E7314" s="80"/>
    </row>
    <row r="7315" spans="2:5" ht="14.25" customHeight="1" x14ac:dyDescent="0.25">
      <c r="B7315" s="103"/>
      <c r="D7315" s="80"/>
      <c r="E7315" s="80"/>
    </row>
    <row r="7316" spans="2:5" ht="14.25" customHeight="1" x14ac:dyDescent="0.25">
      <c r="B7316" s="103"/>
      <c r="D7316" s="80"/>
      <c r="E7316" s="80"/>
    </row>
    <row r="7317" spans="2:5" ht="14.25" customHeight="1" x14ac:dyDescent="0.25">
      <c r="B7317" s="103"/>
      <c r="D7317" s="80"/>
      <c r="E7317" s="80"/>
    </row>
    <row r="7318" spans="2:5" ht="14.25" customHeight="1" x14ac:dyDescent="0.25">
      <c r="B7318" s="103"/>
      <c r="D7318" s="80"/>
      <c r="E7318" s="80"/>
    </row>
    <row r="7319" spans="2:5" ht="14.25" customHeight="1" x14ac:dyDescent="0.25">
      <c r="B7319" s="103"/>
      <c r="D7319" s="80"/>
      <c r="E7319" s="80"/>
    </row>
    <row r="7320" spans="2:5" ht="14.25" customHeight="1" x14ac:dyDescent="0.25">
      <c r="B7320" s="103"/>
      <c r="D7320" s="80"/>
      <c r="E7320" s="80"/>
    </row>
    <row r="7321" spans="2:5" ht="14.25" customHeight="1" x14ac:dyDescent="0.25">
      <c r="B7321" s="103"/>
      <c r="D7321" s="80"/>
      <c r="E7321" s="80"/>
    </row>
    <row r="7322" spans="2:5" ht="14.25" customHeight="1" x14ac:dyDescent="0.25">
      <c r="B7322" s="103"/>
      <c r="D7322" s="80"/>
      <c r="E7322" s="80"/>
    </row>
    <row r="7323" spans="2:5" ht="14.25" customHeight="1" x14ac:dyDescent="0.25">
      <c r="B7323" s="103"/>
      <c r="D7323" s="80"/>
      <c r="E7323" s="80"/>
    </row>
    <row r="7324" spans="2:5" ht="14.25" customHeight="1" x14ac:dyDescent="0.25">
      <c r="B7324" s="103"/>
      <c r="D7324" s="80"/>
      <c r="E7324" s="80"/>
    </row>
    <row r="7325" spans="2:5" ht="14.25" customHeight="1" x14ac:dyDescent="0.25">
      <c r="B7325" s="103"/>
      <c r="D7325" s="80"/>
      <c r="E7325" s="80"/>
    </row>
    <row r="7326" spans="2:5" ht="14.25" customHeight="1" x14ac:dyDescent="0.25">
      <c r="B7326" s="103"/>
      <c r="D7326" s="80"/>
      <c r="E7326" s="80"/>
    </row>
    <row r="7327" spans="2:5" ht="14.25" customHeight="1" x14ac:dyDescent="0.25">
      <c r="B7327" s="103"/>
      <c r="D7327" s="80"/>
      <c r="E7327" s="80"/>
    </row>
    <row r="7328" spans="2:5" ht="14.25" customHeight="1" x14ac:dyDescent="0.25">
      <c r="B7328" s="103"/>
      <c r="D7328" s="80"/>
      <c r="E7328" s="80"/>
    </row>
    <row r="7329" spans="2:5" ht="14.25" customHeight="1" x14ac:dyDescent="0.25">
      <c r="B7329" s="103"/>
      <c r="D7329" s="80"/>
      <c r="E7329" s="80"/>
    </row>
    <row r="7330" spans="2:5" ht="14.25" customHeight="1" x14ac:dyDescent="0.25">
      <c r="B7330" s="103"/>
      <c r="D7330" s="80"/>
      <c r="E7330" s="80"/>
    </row>
    <row r="7331" spans="2:5" ht="14.25" customHeight="1" x14ac:dyDescent="0.25">
      <c r="B7331" s="103"/>
      <c r="D7331" s="80"/>
      <c r="E7331" s="80"/>
    </row>
    <row r="7332" spans="2:5" ht="14.25" customHeight="1" x14ac:dyDescent="0.25">
      <c r="B7332" s="103"/>
      <c r="D7332" s="80"/>
      <c r="E7332" s="80"/>
    </row>
    <row r="7333" spans="2:5" ht="14.25" customHeight="1" x14ac:dyDescent="0.25">
      <c r="B7333" s="103"/>
      <c r="D7333" s="80"/>
      <c r="E7333" s="80"/>
    </row>
    <row r="7334" spans="2:5" ht="14.25" customHeight="1" x14ac:dyDescent="0.25">
      <c r="B7334" s="103"/>
      <c r="D7334" s="80"/>
      <c r="E7334" s="80"/>
    </row>
    <row r="7335" spans="2:5" ht="14.25" customHeight="1" x14ac:dyDescent="0.25">
      <c r="B7335" s="103"/>
      <c r="D7335" s="80"/>
      <c r="E7335" s="80"/>
    </row>
    <row r="7336" spans="2:5" ht="14.25" customHeight="1" x14ac:dyDescent="0.25">
      <c r="B7336" s="103"/>
      <c r="D7336" s="80"/>
      <c r="E7336" s="80"/>
    </row>
    <row r="7337" spans="2:5" ht="14.25" customHeight="1" x14ac:dyDescent="0.25">
      <c r="B7337" s="103"/>
      <c r="D7337" s="80"/>
      <c r="E7337" s="80"/>
    </row>
    <row r="7338" spans="2:5" ht="14.25" customHeight="1" x14ac:dyDescent="0.25">
      <c r="B7338" s="103"/>
      <c r="D7338" s="80"/>
      <c r="E7338" s="80"/>
    </row>
    <row r="7339" spans="2:5" ht="14.25" customHeight="1" x14ac:dyDescent="0.25">
      <c r="B7339" s="103"/>
      <c r="D7339" s="80"/>
      <c r="E7339" s="80"/>
    </row>
    <row r="7340" spans="2:5" ht="14.25" customHeight="1" x14ac:dyDescent="0.25">
      <c r="B7340" s="103"/>
      <c r="D7340" s="80"/>
      <c r="E7340" s="80"/>
    </row>
    <row r="7341" spans="2:5" ht="14.25" customHeight="1" x14ac:dyDescent="0.25">
      <c r="B7341" s="103"/>
      <c r="D7341" s="80"/>
      <c r="E7341" s="80"/>
    </row>
    <row r="7342" spans="2:5" ht="14.25" customHeight="1" x14ac:dyDescent="0.25">
      <c r="B7342" s="103"/>
      <c r="D7342" s="80"/>
      <c r="E7342" s="80"/>
    </row>
    <row r="7343" spans="2:5" ht="14.25" customHeight="1" x14ac:dyDescent="0.25">
      <c r="B7343" s="103"/>
      <c r="D7343" s="80"/>
      <c r="E7343" s="80"/>
    </row>
    <row r="7344" spans="2:5" ht="14.25" customHeight="1" x14ac:dyDescent="0.25">
      <c r="B7344" s="103"/>
      <c r="D7344" s="80"/>
      <c r="E7344" s="80"/>
    </row>
    <row r="7345" spans="2:5" ht="14.25" customHeight="1" x14ac:dyDescent="0.25">
      <c r="B7345" s="103"/>
      <c r="D7345" s="80"/>
      <c r="E7345" s="80"/>
    </row>
    <row r="7346" spans="2:5" ht="14.25" customHeight="1" x14ac:dyDescent="0.25">
      <c r="B7346" s="103"/>
      <c r="D7346" s="80"/>
      <c r="E7346" s="80"/>
    </row>
    <row r="7347" spans="2:5" ht="14.25" customHeight="1" x14ac:dyDescent="0.25">
      <c r="B7347" s="103"/>
      <c r="D7347" s="80"/>
      <c r="E7347" s="80"/>
    </row>
    <row r="7348" spans="2:5" ht="14.25" customHeight="1" x14ac:dyDescent="0.25">
      <c r="B7348" s="103"/>
      <c r="D7348" s="80"/>
      <c r="E7348" s="80"/>
    </row>
    <row r="7349" spans="2:5" ht="14.25" customHeight="1" x14ac:dyDescent="0.25">
      <c r="B7349" s="103"/>
      <c r="D7349" s="80"/>
      <c r="E7349" s="80"/>
    </row>
    <row r="7350" spans="2:5" ht="14.25" customHeight="1" x14ac:dyDescent="0.25">
      <c r="B7350" s="103"/>
      <c r="D7350" s="80"/>
      <c r="E7350" s="80"/>
    </row>
    <row r="7351" spans="2:5" ht="14.25" customHeight="1" x14ac:dyDescent="0.25">
      <c r="B7351" s="103"/>
      <c r="D7351" s="80"/>
      <c r="E7351" s="80"/>
    </row>
    <row r="7352" spans="2:5" ht="14.25" customHeight="1" x14ac:dyDescent="0.25">
      <c r="B7352" s="103"/>
      <c r="D7352" s="80"/>
      <c r="E7352" s="80"/>
    </row>
    <row r="7353" spans="2:5" ht="14.25" customHeight="1" x14ac:dyDescent="0.25">
      <c r="B7353" s="103"/>
      <c r="D7353" s="80"/>
      <c r="E7353" s="80"/>
    </row>
    <row r="7354" spans="2:5" ht="14.25" customHeight="1" x14ac:dyDescent="0.25">
      <c r="B7354" s="103"/>
      <c r="D7354" s="80"/>
      <c r="E7354" s="80"/>
    </row>
    <row r="7355" spans="2:5" ht="14.25" customHeight="1" x14ac:dyDescent="0.25">
      <c r="B7355" s="103"/>
      <c r="D7355" s="80"/>
      <c r="E7355" s="80"/>
    </row>
    <row r="7356" spans="2:5" ht="14.25" customHeight="1" x14ac:dyDescent="0.25">
      <c r="B7356" s="103"/>
      <c r="D7356" s="80"/>
      <c r="E7356" s="80"/>
    </row>
    <row r="7357" spans="2:5" ht="14.25" customHeight="1" x14ac:dyDescent="0.25">
      <c r="B7357" s="103"/>
      <c r="D7357" s="80"/>
      <c r="E7357" s="80"/>
    </row>
    <row r="7358" spans="2:5" ht="14.25" customHeight="1" x14ac:dyDescent="0.25">
      <c r="B7358" s="103"/>
      <c r="D7358" s="80"/>
      <c r="E7358" s="80"/>
    </row>
    <row r="7359" spans="2:5" ht="14.25" customHeight="1" x14ac:dyDescent="0.25">
      <c r="B7359" s="103"/>
      <c r="D7359" s="80"/>
      <c r="E7359" s="80"/>
    </row>
    <row r="7360" spans="2:5" ht="14.25" customHeight="1" x14ac:dyDescent="0.25">
      <c r="B7360" s="103"/>
      <c r="D7360" s="80"/>
      <c r="E7360" s="80"/>
    </row>
    <row r="7361" spans="2:5" ht="14.25" customHeight="1" x14ac:dyDescent="0.25">
      <c r="B7361" s="103"/>
      <c r="D7361" s="80"/>
      <c r="E7361" s="80"/>
    </row>
    <row r="7362" spans="2:5" ht="14.25" customHeight="1" x14ac:dyDescent="0.25">
      <c r="B7362" s="103"/>
      <c r="D7362" s="80"/>
      <c r="E7362" s="80"/>
    </row>
    <row r="7363" spans="2:5" ht="14.25" customHeight="1" x14ac:dyDescent="0.25">
      <c r="B7363" s="103"/>
      <c r="D7363" s="80"/>
      <c r="E7363" s="80"/>
    </row>
    <row r="7364" spans="2:5" ht="14.25" customHeight="1" x14ac:dyDescent="0.25">
      <c r="B7364" s="103"/>
      <c r="D7364" s="80"/>
      <c r="E7364" s="80"/>
    </row>
    <row r="7365" spans="2:5" ht="14.25" customHeight="1" x14ac:dyDescent="0.25">
      <c r="B7365" s="103"/>
      <c r="D7365" s="80"/>
      <c r="E7365" s="80"/>
    </row>
    <row r="7366" spans="2:5" ht="14.25" customHeight="1" x14ac:dyDescent="0.25">
      <c r="B7366" s="103"/>
      <c r="D7366" s="80"/>
      <c r="E7366" s="80"/>
    </row>
    <row r="7367" spans="2:5" ht="14.25" customHeight="1" x14ac:dyDescent="0.25">
      <c r="B7367" s="103"/>
      <c r="D7367" s="80"/>
      <c r="E7367" s="80"/>
    </row>
    <row r="7368" spans="2:5" ht="14.25" customHeight="1" x14ac:dyDescent="0.25">
      <c r="B7368" s="103"/>
      <c r="D7368" s="80"/>
      <c r="E7368" s="80"/>
    </row>
    <row r="7369" spans="2:5" ht="14.25" customHeight="1" x14ac:dyDescent="0.25">
      <c r="B7369" s="103"/>
      <c r="D7369" s="80"/>
      <c r="E7369" s="80"/>
    </row>
    <row r="7370" spans="2:5" ht="14.25" customHeight="1" x14ac:dyDescent="0.25">
      <c r="B7370" s="103"/>
      <c r="D7370" s="80"/>
      <c r="E7370" s="80"/>
    </row>
    <row r="7371" spans="2:5" ht="14.25" customHeight="1" x14ac:dyDescent="0.25">
      <c r="B7371" s="103"/>
      <c r="D7371" s="80"/>
      <c r="E7371" s="80"/>
    </row>
    <row r="7372" spans="2:5" ht="14.25" customHeight="1" x14ac:dyDescent="0.25">
      <c r="B7372" s="103"/>
      <c r="D7372" s="80"/>
      <c r="E7372" s="80"/>
    </row>
    <row r="7373" spans="2:5" ht="14.25" customHeight="1" x14ac:dyDescent="0.25">
      <c r="B7373" s="103"/>
      <c r="D7373" s="80"/>
      <c r="E7373" s="80"/>
    </row>
    <row r="7374" spans="2:5" ht="14.25" customHeight="1" x14ac:dyDescent="0.25">
      <c r="B7374" s="103"/>
      <c r="D7374" s="80"/>
      <c r="E7374" s="80"/>
    </row>
    <row r="7375" spans="2:5" ht="14.25" customHeight="1" x14ac:dyDescent="0.25">
      <c r="B7375" s="103"/>
      <c r="D7375" s="80"/>
      <c r="E7375" s="80"/>
    </row>
    <row r="7376" spans="2:5" ht="14.25" customHeight="1" x14ac:dyDescent="0.25">
      <c r="B7376" s="103"/>
      <c r="D7376" s="80"/>
      <c r="E7376" s="80"/>
    </row>
    <row r="7377" spans="2:5" ht="14.25" customHeight="1" x14ac:dyDescent="0.25">
      <c r="B7377" s="103"/>
      <c r="D7377" s="80"/>
      <c r="E7377" s="80"/>
    </row>
    <row r="7378" spans="2:5" ht="14.25" customHeight="1" x14ac:dyDescent="0.25">
      <c r="B7378" s="103"/>
      <c r="D7378" s="80"/>
      <c r="E7378" s="80"/>
    </row>
    <row r="7379" spans="2:5" ht="14.25" customHeight="1" x14ac:dyDescent="0.25">
      <c r="B7379" s="103"/>
      <c r="D7379" s="80"/>
      <c r="E7379" s="80"/>
    </row>
    <row r="7380" spans="2:5" ht="14.25" customHeight="1" x14ac:dyDescent="0.25">
      <c r="B7380" s="103"/>
      <c r="D7380" s="80"/>
      <c r="E7380" s="80"/>
    </row>
    <row r="7381" spans="2:5" ht="14.25" customHeight="1" x14ac:dyDescent="0.25">
      <c r="B7381" s="103"/>
      <c r="D7381" s="80"/>
      <c r="E7381" s="80"/>
    </row>
    <row r="7382" spans="2:5" ht="14.25" customHeight="1" x14ac:dyDescent="0.25">
      <c r="B7382" s="103"/>
      <c r="D7382" s="80"/>
      <c r="E7382" s="80"/>
    </row>
    <row r="7383" spans="2:5" ht="14.25" customHeight="1" x14ac:dyDescent="0.25">
      <c r="B7383" s="103"/>
      <c r="D7383" s="80"/>
      <c r="E7383" s="80"/>
    </row>
    <row r="7384" spans="2:5" ht="14.25" customHeight="1" x14ac:dyDescent="0.25">
      <c r="B7384" s="103"/>
      <c r="D7384" s="80"/>
      <c r="E7384" s="80"/>
    </row>
    <row r="7385" spans="2:5" ht="14.25" customHeight="1" x14ac:dyDescent="0.25">
      <c r="B7385" s="103"/>
      <c r="D7385" s="80"/>
      <c r="E7385" s="80"/>
    </row>
    <row r="7386" spans="2:5" ht="14.25" customHeight="1" x14ac:dyDescent="0.25">
      <c r="B7386" s="103"/>
      <c r="D7386" s="80"/>
      <c r="E7386" s="80"/>
    </row>
    <row r="7387" spans="2:5" ht="14.25" customHeight="1" x14ac:dyDescent="0.25">
      <c r="B7387" s="103"/>
      <c r="D7387" s="80"/>
      <c r="E7387" s="80"/>
    </row>
    <row r="7388" spans="2:5" ht="14.25" customHeight="1" x14ac:dyDescent="0.25">
      <c r="B7388" s="103"/>
      <c r="D7388" s="80"/>
      <c r="E7388" s="80"/>
    </row>
    <row r="7389" spans="2:5" ht="14.25" customHeight="1" x14ac:dyDescent="0.25">
      <c r="B7389" s="103"/>
      <c r="D7389" s="80"/>
      <c r="E7389" s="80"/>
    </row>
    <row r="7390" spans="2:5" ht="14.25" customHeight="1" x14ac:dyDescent="0.25">
      <c r="B7390" s="103"/>
      <c r="D7390" s="80"/>
      <c r="E7390" s="80"/>
    </row>
    <row r="7391" spans="2:5" ht="14.25" customHeight="1" x14ac:dyDescent="0.25">
      <c r="B7391" s="103"/>
      <c r="D7391" s="80"/>
      <c r="E7391" s="80"/>
    </row>
    <row r="7392" spans="2:5" ht="14.25" customHeight="1" x14ac:dyDescent="0.25">
      <c r="B7392" s="103"/>
      <c r="D7392" s="80"/>
      <c r="E7392" s="80"/>
    </row>
    <row r="7393" spans="2:5" ht="14.25" customHeight="1" x14ac:dyDescent="0.25">
      <c r="B7393" s="103"/>
      <c r="D7393" s="80"/>
      <c r="E7393" s="80"/>
    </row>
    <row r="7394" spans="2:5" ht="14.25" customHeight="1" x14ac:dyDescent="0.25">
      <c r="B7394" s="103"/>
      <c r="D7394" s="80"/>
      <c r="E7394" s="80"/>
    </row>
    <row r="7395" spans="2:5" ht="14.25" customHeight="1" x14ac:dyDescent="0.25">
      <c r="B7395" s="103"/>
      <c r="D7395" s="80"/>
      <c r="E7395" s="80"/>
    </row>
    <row r="7396" spans="2:5" ht="14.25" customHeight="1" x14ac:dyDescent="0.25">
      <c r="B7396" s="103"/>
      <c r="D7396" s="80"/>
      <c r="E7396" s="80"/>
    </row>
    <row r="7397" spans="2:5" ht="14.25" customHeight="1" x14ac:dyDescent="0.25">
      <c r="B7397" s="103"/>
      <c r="D7397" s="80"/>
      <c r="E7397" s="80"/>
    </row>
    <row r="7398" spans="2:5" ht="14.25" customHeight="1" x14ac:dyDescent="0.25">
      <c r="B7398" s="103"/>
      <c r="D7398" s="80"/>
      <c r="E7398" s="80"/>
    </row>
    <row r="7399" spans="2:5" ht="14.25" customHeight="1" x14ac:dyDescent="0.25">
      <c r="B7399" s="103"/>
      <c r="D7399" s="80"/>
      <c r="E7399" s="80"/>
    </row>
    <row r="7400" spans="2:5" ht="14.25" customHeight="1" x14ac:dyDescent="0.25">
      <c r="B7400" s="103"/>
      <c r="D7400" s="80"/>
      <c r="E7400" s="80"/>
    </row>
    <row r="7401" spans="2:5" ht="14.25" customHeight="1" x14ac:dyDescent="0.25">
      <c r="B7401" s="103"/>
      <c r="D7401" s="80"/>
      <c r="E7401" s="80"/>
    </row>
    <row r="7402" spans="2:5" ht="14.25" customHeight="1" x14ac:dyDescent="0.25">
      <c r="B7402" s="103"/>
      <c r="D7402" s="80"/>
      <c r="E7402" s="80"/>
    </row>
    <row r="7403" spans="2:5" ht="14.25" customHeight="1" x14ac:dyDescent="0.25">
      <c r="B7403" s="103"/>
      <c r="D7403" s="80"/>
      <c r="E7403" s="80"/>
    </row>
    <row r="7404" spans="2:5" ht="14.25" customHeight="1" x14ac:dyDescent="0.25">
      <c r="B7404" s="103"/>
      <c r="D7404" s="80"/>
      <c r="E7404" s="80"/>
    </row>
    <row r="7405" spans="2:5" ht="14.25" customHeight="1" x14ac:dyDescent="0.25">
      <c r="B7405" s="103"/>
      <c r="D7405" s="80"/>
      <c r="E7405" s="80"/>
    </row>
    <row r="7406" spans="2:5" ht="14.25" customHeight="1" x14ac:dyDescent="0.25">
      <c r="B7406" s="103"/>
      <c r="D7406" s="80"/>
      <c r="E7406" s="80"/>
    </row>
    <row r="7407" spans="2:5" ht="14.25" customHeight="1" x14ac:dyDescent="0.25">
      <c r="B7407" s="103"/>
      <c r="D7407" s="80"/>
      <c r="E7407" s="80"/>
    </row>
    <row r="7408" spans="2:5" ht="14.25" customHeight="1" x14ac:dyDescent="0.25">
      <c r="B7408" s="103"/>
      <c r="D7408" s="80"/>
      <c r="E7408" s="80"/>
    </row>
    <row r="7409" spans="2:5" ht="14.25" customHeight="1" x14ac:dyDescent="0.25">
      <c r="B7409" s="103"/>
      <c r="D7409" s="80"/>
      <c r="E7409" s="80"/>
    </row>
    <row r="7410" spans="2:5" ht="14.25" customHeight="1" x14ac:dyDescent="0.25">
      <c r="B7410" s="103"/>
      <c r="D7410" s="80"/>
      <c r="E7410" s="80"/>
    </row>
    <row r="7411" spans="2:5" ht="14.25" customHeight="1" x14ac:dyDescent="0.25">
      <c r="B7411" s="103"/>
      <c r="D7411" s="80"/>
      <c r="E7411" s="80"/>
    </row>
    <row r="7412" spans="2:5" ht="14.25" customHeight="1" x14ac:dyDescent="0.25">
      <c r="B7412" s="103"/>
      <c r="D7412" s="80"/>
      <c r="E7412" s="80"/>
    </row>
    <row r="7413" spans="2:5" ht="14.25" customHeight="1" x14ac:dyDescent="0.25">
      <c r="B7413" s="103"/>
      <c r="D7413" s="80"/>
      <c r="E7413" s="80"/>
    </row>
    <row r="7414" spans="2:5" ht="14.25" customHeight="1" x14ac:dyDescent="0.25">
      <c r="B7414" s="103"/>
      <c r="D7414" s="80"/>
      <c r="E7414" s="80"/>
    </row>
    <row r="7415" spans="2:5" ht="14.25" customHeight="1" x14ac:dyDescent="0.25">
      <c r="B7415" s="103"/>
      <c r="D7415" s="80"/>
      <c r="E7415" s="80"/>
    </row>
    <row r="7416" spans="2:5" ht="14.25" customHeight="1" x14ac:dyDescent="0.25">
      <c r="B7416" s="103"/>
      <c r="D7416" s="80"/>
      <c r="E7416" s="80"/>
    </row>
    <row r="7417" spans="2:5" ht="14.25" customHeight="1" x14ac:dyDescent="0.25">
      <c r="B7417" s="103"/>
      <c r="D7417" s="80"/>
      <c r="E7417" s="80"/>
    </row>
    <row r="7418" spans="2:5" ht="14.25" customHeight="1" x14ac:dyDescent="0.25">
      <c r="B7418" s="103"/>
      <c r="D7418" s="80"/>
      <c r="E7418" s="80"/>
    </row>
    <row r="7419" spans="2:5" ht="14.25" customHeight="1" x14ac:dyDescent="0.25">
      <c r="B7419" s="103"/>
      <c r="D7419" s="80"/>
      <c r="E7419" s="80"/>
    </row>
    <row r="7420" spans="2:5" ht="14.25" customHeight="1" x14ac:dyDescent="0.25">
      <c r="B7420" s="103"/>
      <c r="D7420" s="80"/>
      <c r="E7420" s="80"/>
    </row>
    <row r="7421" spans="2:5" ht="14.25" customHeight="1" x14ac:dyDescent="0.25">
      <c r="B7421" s="103"/>
      <c r="D7421" s="80"/>
      <c r="E7421" s="80"/>
    </row>
    <row r="7422" spans="2:5" ht="14.25" customHeight="1" x14ac:dyDescent="0.25">
      <c r="B7422" s="103"/>
      <c r="D7422" s="80"/>
      <c r="E7422" s="80"/>
    </row>
    <row r="7423" spans="2:5" ht="14.25" customHeight="1" x14ac:dyDescent="0.25">
      <c r="B7423" s="103"/>
      <c r="D7423" s="80"/>
      <c r="E7423" s="80"/>
    </row>
    <row r="7424" spans="2:5" ht="14.25" customHeight="1" x14ac:dyDescent="0.25">
      <c r="B7424" s="103"/>
      <c r="D7424" s="80"/>
      <c r="E7424" s="80"/>
    </row>
    <row r="7425" spans="2:5" ht="14.25" customHeight="1" x14ac:dyDescent="0.25">
      <c r="B7425" s="103"/>
      <c r="D7425" s="80"/>
      <c r="E7425" s="80"/>
    </row>
    <row r="7426" spans="2:5" ht="14.25" customHeight="1" x14ac:dyDescent="0.25">
      <c r="B7426" s="103"/>
      <c r="D7426" s="80"/>
      <c r="E7426" s="80"/>
    </row>
    <row r="7427" spans="2:5" ht="14.25" customHeight="1" x14ac:dyDescent="0.25">
      <c r="B7427" s="103"/>
      <c r="D7427" s="80"/>
      <c r="E7427" s="80"/>
    </row>
    <row r="7428" spans="2:5" ht="14.25" customHeight="1" x14ac:dyDescent="0.25">
      <c r="B7428" s="103"/>
      <c r="D7428" s="80"/>
      <c r="E7428" s="80"/>
    </row>
    <row r="7429" spans="2:5" ht="14.25" customHeight="1" x14ac:dyDescent="0.25">
      <c r="B7429" s="103"/>
      <c r="D7429" s="80"/>
      <c r="E7429" s="80"/>
    </row>
    <row r="7430" spans="2:5" ht="14.25" customHeight="1" x14ac:dyDescent="0.25">
      <c r="B7430" s="103"/>
      <c r="D7430" s="80"/>
      <c r="E7430" s="80"/>
    </row>
    <row r="7431" spans="2:5" ht="14.25" customHeight="1" x14ac:dyDescent="0.25">
      <c r="B7431" s="103"/>
      <c r="D7431" s="80"/>
      <c r="E7431" s="80"/>
    </row>
    <row r="7432" spans="2:5" ht="14.25" customHeight="1" x14ac:dyDescent="0.25">
      <c r="B7432" s="103"/>
      <c r="D7432" s="80"/>
      <c r="E7432" s="80"/>
    </row>
    <row r="7433" spans="2:5" ht="14.25" customHeight="1" x14ac:dyDescent="0.25">
      <c r="B7433" s="103"/>
      <c r="D7433" s="80"/>
      <c r="E7433" s="80"/>
    </row>
    <row r="7434" spans="2:5" ht="14.25" customHeight="1" x14ac:dyDescent="0.25">
      <c r="B7434" s="103"/>
      <c r="D7434" s="80"/>
      <c r="E7434" s="80"/>
    </row>
    <row r="7435" spans="2:5" ht="14.25" customHeight="1" x14ac:dyDescent="0.25">
      <c r="B7435" s="103"/>
      <c r="D7435" s="80"/>
      <c r="E7435" s="80"/>
    </row>
    <row r="7436" spans="2:5" ht="14.25" customHeight="1" x14ac:dyDescent="0.25">
      <c r="B7436" s="103"/>
      <c r="D7436" s="80"/>
      <c r="E7436" s="80"/>
    </row>
    <row r="7437" spans="2:5" ht="14.25" customHeight="1" x14ac:dyDescent="0.25">
      <c r="B7437" s="103"/>
      <c r="D7437" s="80"/>
      <c r="E7437" s="80"/>
    </row>
    <row r="7438" spans="2:5" ht="14.25" customHeight="1" x14ac:dyDescent="0.25">
      <c r="B7438" s="103"/>
      <c r="D7438" s="80"/>
      <c r="E7438" s="80"/>
    </row>
    <row r="7439" spans="2:5" ht="14.25" customHeight="1" x14ac:dyDescent="0.25">
      <c r="B7439" s="103"/>
      <c r="D7439" s="80"/>
      <c r="E7439" s="80"/>
    </row>
    <row r="7440" spans="2:5" ht="14.25" customHeight="1" x14ac:dyDescent="0.25">
      <c r="B7440" s="103"/>
      <c r="D7440" s="80"/>
      <c r="E7440" s="80"/>
    </row>
    <row r="7441" spans="2:5" ht="14.25" customHeight="1" x14ac:dyDescent="0.25">
      <c r="B7441" s="103"/>
      <c r="D7441" s="80"/>
      <c r="E7441" s="80"/>
    </row>
    <row r="7442" spans="2:5" ht="14.25" customHeight="1" x14ac:dyDescent="0.25">
      <c r="B7442" s="103"/>
      <c r="D7442" s="80"/>
      <c r="E7442" s="80"/>
    </row>
    <row r="7443" spans="2:5" ht="14.25" customHeight="1" x14ac:dyDescent="0.25">
      <c r="B7443" s="103"/>
      <c r="D7443" s="80"/>
      <c r="E7443" s="80"/>
    </row>
    <row r="7444" spans="2:5" ht="14.25" customHeight="1" x14ac:dyDescent="0.25">
      <c r="B7444" s="103"/>
      <c r="D7444" s="80"/>
      <c r="E7444" s="80"/>
    </row>
    <row r="7445" spans="2:5" ht="14.25" customHeight="1" x14ac:dyDescent="0.25">
      <c r="B7445" s="103"/>
      <c r="D7445" s="80"/>
      <c r="E7445" s="80"/>
    </row>
    <row r="7446" spans="2:5" ht="14.25" customHeight="1" x14ac:dyDescent="0.25">
      <c r="B7446" s="103"/>
      <c r="D7446" s="80"/>
      <c r="E7446" s="80"/>
    </row>
    <row r="7447" spans="2:5" ht="14.25" customHeight="1" x14ac:dyDescent="0.25">
      <c r="B7447" s="103"/>
      <c r="D7447" s="80"/>
      <c r="E7447" s="80"/>
    </row>
    <row r="7448" spans="2:5" ht="14.25" customHeight="1" x14ac:dyDescent="0.25">
      <c r="B7448" s="103"/>
      <c r="D7448" s="80"/>
      <c r="E7448" s="80"/>
    </row>
    <row r="7449" spans="2:5" ht="14.25" customHeight="1" x14ac:dyDescent="0.25">
      <c r="B7449" s="103"/>
      <c r="D7449" s="80"/>
      <c r="E7449" s="80"/>
    </row>
    <row r="7450" spans="2:5" ht="14.25" customHeight="1" x14ac:dyDescent="0.25">
      <c r="B7450" s="103"/>
      <c r="D7450" s="80"/>
      <c r="E7450" s="80"/>
    </row>
    <row r="7451" spans="2:5" ht="14.25" customHeight="1" x14ac:dyDescent="0.25">
      <c r="B7451" s="103"/>
      <c r="D7451" s="80"/>
      <c r="E7451" s="80"/>
    </row>
    <row r="7452" spans="2:5" ht="14.25" customHeight="1" x14ac:dyDescent="0.25">
      <c r="B7452" s="103"/>
      <c r="D7452" s="80"/>
      <c r="E7452" s="80"/>
    </row>
    <row r="7453" spans="2:5" ht="14.25" customHeight="1" x14ac:dyDescent="0.25">
      <c r="B7453" s="103"/>
      <c r="D7453" s="80"/>
      <c r="E7453" s="80"/>
    </row>
    <row r="7454" spans="2:5" ht="14.25" customHeight="1" x14ac:dyDescent="0.25">
      <c r="B7454" s="103"/>
      <c r="D7454" s="80"/>
      <c r="E7454" s="80"/>
    </row>
    <row r="7455" spans="2:5" ht="14.25" customHeight="1" x14ac:dyDescent="0.25">
      <c r="B7455" s="103"/>
      <c r="D7455" s="80"/>
      <c r="E7455" s="80"/>
    </row>
    <row r="7456" spans="2:5" ht="14.25" customHeight="1" x14ac:dyDescent="0.25">
      <c r="B7456" s="103"/>
      <c r="D7456" s="80"/>
      <c r="E7456" s="80"/>
    </row>
    <row r="7457" spans="2:5" ht="14.25" customHeight="1" x14ac:dyDescent="0.25">
      <c r="B7457" s="103"/>
      <c r="D7457" s="80"/>
      <c r="E7457" s="80"/>
    </row>
    <row r="7458" spans="2:5" ht="14.25" customHeight="1" x14ac:dyDescent="0.25">
      <c r="B7458" s="103"/>
      <c r="D7458" s="80"/>
      <c r="E7458" s="80"/>
    </row>
    <row r="7459" spans="2:5" ht="14.25" customHeight="1" x14ac:dyDescent="0.25">
      <c r="B7459" s="103"/>
      <c r="D7459" s="80"/>
      <c r="E7459" s="80"/>
    </row>
    <row r="7460" spans="2:5" ht="14.25" customHeight="1" x14ac:dyDescent="0.25">
      <c r="B7460" s="103"/>
      <c r="D7460" s="80"/>
      <c r="E7460" s="80"/>
    </row>
    <row r="7461" spans="2:5" ht="14.25" customHeight="1" x14ac:dyDescent="0.25">
      <c r="B7461" s="103"/>
      <c r="D7461" s="80"/>
      <c r="E7461" s="80"/>
    </row>
    <row r="7462" spans="2:5" ht="14.25" customHeight="1" x14ac:dyDescent="0.25">
      <c r="B7462" s="103"/>
      <c r="D7462" s="80"/>
      <c r="E7462" s="80"/>
    </row>
    <row r="7463" spans="2:5" ht="14.25" customHeight="1" x14ac:dyDescent="0.25">
      <c r="B7463" s="103"/>
      <c r="D7463" s="80"/>
      <c r="E7463" s="80"/>
    </row>
    <row r="7464" spans="2:5" ht="14.25" customHeight="1" x14ac:dyDescent="0.25">
      <c r="B7464" s="103"/>
      <c r="D7464" s="80"/>
      <c r="E7464" s="80"/>
    </row>
    <row r="7465" spans="2:5" ht="14.25" customHeight="1" x14ac:dyDescent="0.25">
      <c r="B7465" s="103"/>
      <c r="D7465" s="80"/>
      <c r="E7465" s="80"/>
    </row>
    <row r="7466" spans="2:5" ht="14.25" customHeight="1" x14ac:dyDescent="0.25">
      <c r="B7466" s="103"/>
      <c r="D7466" s="80"/>
      <c r="E7466" s="80"/>
    </row>
    <row r="7467" spans="2:5" ht="14.25" customHeight="1" x14ac:dyDescent="0.25">
      <c r="B7467" s="103"/>
      <c r="D7467" s="80"/>
      <c r="E7467" s="80"/>
    </row>
    <row r="7468" spans="2:5" ht="14.25" customHeight="1" x14ac:dyDescent="0.25">
      <c r="B7468" s="103"/>
      <c r="D7468" s="80"/>
      <c r="E7468" s="80"/>
    </row>
    <row r="7469" spans="2:5" ht="14.25" customHeight="1" x14ac:dyDescent="0.25">
      <c r="B7469" s="103"/>
      <c r="D7469" s="80"/>
      <c r="E7469" s="80"/>
    </row>
    <row r="7470" spans="2:5" ht="14.25" customHeight="1" x14ac:dyDescent="0.25">
      <c r="B7470" s="103"/>
      <c r="D7470" s="80"/>
      <c r="E7470" s="80"/>
    </row>
    <row r="7471" spans="2:5" ht="14.25" customHeight="1" x14ac:dyDescent="0.25">
      <c r="B7471" s="103"/>
      <c r="D7471" s="80"/>
      <c r="E7471" s="80"/>
    </row>
    <row r="7472" spans="2:5" ht="14.25" customHeight="1" x14ac:dyDescent="0.25">
      <c r="B7472" s="103"/>
      <c r="D7472" s="80"/>
      <c r="E7472" s="80"/>
    </row>
    <row r="7473" spans="2:5" ht="14.25" customHeight="1" x14ac:dyDescent="0.25">
      <c r="B7473" s="103"/>
      <c r="D7473" s="80"/>
      <c r="E7473" s="80"/>
    </row>
    <row r="7474" spans="2:5" ht="14.25" customHeight="1" x14ac:dyDescent="0.25">
      <c r="B7474" s="103"/>
      <c r="D7474" s="80"/>
      <c r="E7474" s="80"/>
    </row>
    <row r="7475" spans="2:5" ht="14.25" customHeight="1" x14ac:dyDescent="0.25">
      <c r="B7475" s="103"/>
      <c r="D7475" s="80"/>
      <c r="E7475" s="80"/>
    </row>
    <row r="7476" spans="2:5" ht="14.25" customHeight="1" x14ac:dyDescent="0.25">
      <c r="B7476" s="103"/>
      <c r="D7476" s="80"/>
      <c r="E7476" s="80"/>
    </row>
    <row r="7477" spans="2:5" ht="14.25" customHeight="1" x14ac:dyDescent="0.25">
      <c r="B7477" s="103"/>
      <c r="D7477" s="80"/>
      <c r="E7477" s="80"/>
    </row>
    <row r="7478" spans="2:5" ht="14.25" customHeight="1" x14ac:dyDescent="0.25">
      <c r="B7478" s="103"/>
      <c r="D7478" s="80"/>
      <c r="E7478" s="80"/>
    </row>
    <row r="7479" spans="2:5" ht="14.25" customHeight="1" x14ac:dyDescent="0.25">
      <c r="B7479" s="103"/>
      <c r="D7479" s="80"/>
      <c r="E7479" s="80"/>
    </row>
    <row r="7480" spans="2:5" ht="14.25" customHeight="1" x14ac:dyDescent="0.25">
      <c r="B7480" s="103"/>
      <c r="D7480" s="80"/>
      <c r="E7480" s="80"/>
    </row>
    <row r="7481" spans="2:5" ht="14.25" customHeight="1" x14ac:dyDescent="0.25">
      <c r="B7481" s="103"/>
      <c r="D7481" s="80"/>
      <c r="E7481" s="80"/>
    </row>
    <row r="7482" spans="2:5" ht="14.25" customHeight="1" x14ac:dyDescent="0.25">
      <c r="B7482" s="103"/>
      <c r="D7482" s="80"/>
      <c r="E7482" s="80"/>
    </row>
    <row r="7483" spans="2:5" ht="14.25" customHeight="1" x14ac:dyDescent="0.25">
      <c r="B7483" s="103"/>
      <c r="D7483" s="80"/>
      <c r="E7483" s="80"/>
    </row>
    <row r="7484" spans="2:5" ht="14.25" customHeight="1" x14ac:dyDescent="0.25">
      <c r="B7484" s="103"/>
      <c r="D7484" s="80"/>
      <c r="E7484" s="80"/>
    </row>
    <row r="7485" spans="2:5" ht="14.25" customHeight="1" x14ac:dyDescent="0.25">
      <c r="B7485" s="103"/>
      <c r="D7485" s="80"/>
      <c r="E7485" s="80"/>
    </row>
    <row r="7486" spans="2:5" ht="14.25" customHeight="1" x14ac:dyDescent="0.25">
      <c r="B7486" s="103"/>
      <c r="D7486" s="80"/>
      <c r="E7486" s="80"/>
    </row>
    <row r="7487" spans="2:5" ht="14.25" customHeight="1" x14ac:dyDescent="0.25">
      <c r="B7487" s="103"/>
      <c r="D7487" s="80"/>
      <c r="E7487" s="80"/>
    </row>
    <row r="7488" spans="2:5" ht="14.25" customHeight="1" x14ac:dyDescent="0.25">
      <c r="B7488" s="103"/>
      <c r="D7488" s="80"/>
      <c r="E7488" s="80"/>
    </row>
    <row r="7489" spans="2:5" ht="14.25" customHeight="1" x14ac:dyDescent="0.25">
      <c r="B7489" s="103"/>
      <c r="D7489" s="80"/>
      <c r="E7489" s="80"/>
    </row>
    <row r="7490" spans="2:5" ht="14.25" customHeight="1" x14ac:dyDescent="0.25">
      <c r="B7490" s="103"/>
      <c r="D7490" s="80"/>
      <c r="E7490" s="80"/>
    </row>
    <row r="7491" spans="2:5" ht="14.25" customHeight="1" x14ac:dyDescent="0.25">
      <c r="B7491" s="103"/>
      <c r="D7491" s="80"/>
      <c r="E7491" s="80"/>
    </row>
    <row r="7492" spans="2:5" ht="14.25" customHeight="1" x14ac:dyDescent="0.25">
      <c r="B7492" s="103"/>
      <c r="D7492" s="80"/>
      <c r="E7492" s="80"/>
    </row>
    <row r="7493" spans="2:5" ht="14.25" customHeight="1" x14ac:dyDescent="0.25">
      <c r="B7493" s="103"/>
      <c r="D7493" s="80"/>
      <c r="E7493" s="80"/>
    </row>
    <row r="7494" spans="2:5" ht="14.25" customHeight="1" x14ac:dyDescent="0.25">
      <c r="B7494" s="103"/>
      <c r="D7494" s="80"/>
      <c r="E7494" s="80"/>
    </row>
    <row r="7495" spans="2:5" ht="14.25" customHeight="1" x14ac:dyDescent="0.25">
      <c r="B7495" s="103"/>
      <c r="D7495" s="80"/>
      <c r="E7495" s="80"/>
    </row>
    <row r="7496" spans="2:5" ht="14.25" customHeight="1" x14ac:dyDescent="0.25">
      <c r="B7496" s="103"/>
      <c r="D7496" s="80"/>
      <c r="E7496" s="80"/>
    </row>
    <row r="7497" spans="2:5" ht="14.25" customHeight="1" x14ac:dyDescent="0.25">
      <c r="B7497" s="103"/>
      <c r="D7497" s="80"/>
      <c r="E7497" s="80"/>
    </row>
    <row r="7498" spans="2:5" ht="14.25" customHeight="1" x14ac:dyDescent="0.25">
      <c r="B7498" s="103"/>
      <c r="D7498" s="80"/>
      <c r="E7498" s="80"/>
    </row>
    <row r="7499" spans="2:5" ht="14.25" customHeight="1" x14ac:dyDescent="0.25">
      <c r="B7499" s="103"/>
      <c r="D7499" s="80"/>
      <c r="E7499" s="80"/>
    </row>
    <row r="7500" spans="2:5" ht="14.25" customHeight="1" x14ac:dyDescent="0.25">
      <c r="B7500" s="103"/>
      <c r="D7500" s="80"/>
      <c r="E7500" s="80"/>
    </row>
    <row r="7501" spans="2:5" ht="14.25" customHeight="1" x14ac:dyDescent="0.25">
      <c r="B7501" s="103"/>
      <c r="D7501" s="80"/>
      <c r="E7501" s="80"/>
    </row>
    <row r="7502" spans="2:5" ht="14.25" customHeight="1" x14ac:dyDescent="0.25">
      <c r="B7502" s="103"/>
      <c r="D7502" s="80"/>
      <c r="E7502" s="80"/>
    </row>
    <row r="7503" spans="2:5" ht="14.25" customHeight="1" x14ac:dyDescent="0.25">
      <c r="B7503" s="103"/>
      <c r="D7503" s="80"/>
      <c r="E7503" s="80"/>
    </row>
    <row r="7504" spans="2:5" ht="14.25" customHeight="1" x14ac:dyDescent="0.25">
      <c r="B7504" s="103"/>
      <c r="D7504" s="80"/>
      <c r="E7504" s="80"/>
    </row>
    <row r="7505" spans="2:5" ht="14.25" customHeight="1" x14ac:dyDescent="0.25">
      <c r="B7505" s="103"/>
      <c r="D7505" s="80"/>
      <c r="E7505" s="80"/>
    </row>
    <row r="7506" spans="2:5" ht="14.25" customHeight="1" x14ac:dyDescent="0.25">
      <c r="B7506" s="103"/>
      <c r="D7506" s="80"/>
      <c r="E7506" s="80"/>
    </row>
    <row r="7507" spans="2:5" ht="14.25" customHeight="1" x14ac:dyDescent="0.25">
      <c r="B7507" s="103"/>
      <c r="D7507" s="80"/>
      <c r="E7507" s="80"/>
    </row>
    <row r="7508" spans="2:5" ht="14.25" customHeight="1" x14ac:dyDescent="0.25">
      <c r="B7508" s="103"/>
      <c r="D7508" s="80"/>
      <c r="E7508" s="80"/>
    </row>
    <row r="7509" spans="2:5" ht="14.25" customHeight="1" x14ac:dyDescent="0.25">
      <c r="B7509" s="103"/>
      <c r="D7509" s="80"/>
      <c r="E7509" s="80"/>
    </row>
    <row r="7510" spans="2:5" ht="14.25" customHeight="1" x14ac:dyDescent="0.25">
      <c r="B7510" s="103"/>
      <c r="D7510" s="80"/>
      <c r="E7510" s="80"/>
    </row>
    <row r="7511" spans="2:5" ht="14.25" customHeight="1" x14ac:dyDescent="0.25">
      <c r="B7511" s="103"/>
      <c r="D7511" s="80"/>
      <c r="E7511" s="80"/>
    </row>
    <row r="7512" spans="2:5" ht="14.25" customHeight="1" x14ac:dyDescent="0.25">
      <c r="B7512" s="103"/>
      <c r="D7512" s="80"/>
      <c r="E7512" s="80"/>
    </row>
    <row r="7513" spans="2:5" ht="14.25" customHeight="1" x14ac:dyDescent="0.25">
      <c r="B7513" s="103"/>
      <c r="D7513" s="80"/>
      <c r="E7513" s="80"/>
    </row>
    <row r="7514" spans="2:5" ht="14.25" customHeight="1" x14ac:dyDescent="0.25">
      <c r="B7514" s="103"/>
      <c r="D7514" s="80"/>
      <c r="E7514" s="80"/>
    </row>
    <row r="7515" spans="2:5" ht="14.25" customHeight="1" x14ac:dyDescent="0.25">
      <c r="B7515" s="103"/>
      <c r="D7515" s="80"/>
      <c r="E7515" s="80"/>
    </row>
    <row r="7516" spans="2:5" ht="14.25" customHeight="1" x14ac:dyDescent="0.25">
      <c r="B7516" s="103"/>
      <c r="D7516" s="80"/>
      <c r="E7516" s="80"/>
    </row>
    <row r="7517" spans="2:5" ht="14.25" customHeight="1" x14ac:dyDescent="0.25">
      <c r="B7517" s="103"/>
      <c r="D7517" s="80"/>
      <c r="E7517" s="80"/>
    </row>
    <row r="7518" spans="2:5" ht="14.25" customHeight="1" x14ac:dyDescent="0.25">
      <c r="B7518" s="103"/>
      <c r="D7518" s="80"/>
      <c r="E7518" s="80"/>
    </row>
    <row r="7519" spans="2:5" ht="14.25" customHeight="1" x14ac:dyDescent="0.25">
      <c r="B7519" s="103"/>
      <c r="D7519" s="80"/>
      <c r="E7519" s="80"/>
    </row>
    <row r="7520" spans="2:5" ht="14.25" customHeight="1" x14ac:dyDescent="0.25">
      <c r="B7520" s="103"/>
      <c r="D7520" s="80"/>
      <c r="E7520" s="80"/>
    </row>
    <row r="7521" spans="2:5" ht="14.25" customHeight="1" x14ac:dyDescent="0.25">
      <c r="B7521" s="103"/>
      <c r="D7521" s="80"/>
      <c r="E7521" s="80"/>
    </row>
    <row r="7522" spans="2:5" ht="14.25" customHeight="1" x14ac:dyDescent="0.25">
      <c r="B7522" s="103"/>
      <c r="D7522" s="80"/>
      <c r="E7522" s="80"/>
    </row>
    <row r="7523" spans="2:5" ht="14.25" customHeight="1" x14ac:dyDescent="0.25">
      <c r="B7523" s="103"/>
      <c r="D7523" s="80"/>
      <c r="E7523" s="80"/>
    </row>
    <row r="7524" spans="2:5" ht="14.25" customHeight="1" x14ac:dyDescent="0.25">
      <c r="B7524" s="103"/>
      <c r="D7524" s="80"/>
      <c r="E7524" s="80"/>
    </row>
    <row r="7525" spans="2:5" ht="14.25" customHeight="1" x14ac:dyDescent="0.25">
      <c r="B7525" s="103"/>
      <c r="D7525" s="80"/>
      <c r="E7525" s="80"/>
    </row>
    <row r="7526" spans="2:5" ht="14.25" customHeight="1" x14ac:dyDescent="0.25">
      <c r="B7526" s="103"/>
      <c r="D7526" s="80"/>
      <c r="E7526" s="80"/>
    </row>
    <row r="7527" spans="2:5" ht="14.25" customHeight="1" x14ac:dyDescent="0.25">
      <c r="B7527" s="103"/>
      <c r="D7527" s="80"/>
      <c r="E7527" s="80"/>
    </row>
    <row r="7528" spans="2:5" ht="14.25" customHeight="1" x14ac:dyDescent="0.25">
      <c r="B7528" s="103"/>
      <c r="D7528" s="80"/>
      <c r="E7528" s="80"/>
    </row>
    <row r="7529" spans="2:5" ht="14.25" customHeight="1" x14ac:dyDescent="0.25">
      <c r="B7529" s="103"/>
      <c r="D7529" s="80"/>
      <c r="E7529" s="80"/>
    </row>
    <row r="7530" spans="2:5" ht="14.25" customHeight="1" x14ac:dyDescent="0.25">
      <c r="B7530" s="103"/>
      <c r="D7530" s="80"/>
      <c r="E7530" s="80"/>
    </row>
    <row r="7531" spans="2:5" ht="14.25" customHeight="1" x14ac:dyDescent="0.25">
      <c r="B7531" s="103"/>
      <c r="D7531" s="80"/>
      <c r="E7531" s="80"/>
    </row>
    <row r="7532" spans="2:5" ht="14.25" customHeight="1" x14ac:dyDescent="0.25">
      <c r="B7532" s="103"/>
      <c r="D7532" s="80"/>
      <c r="E7532" s="80"/>
    </row>
    <row r="7533" spans="2:5" ht="14.25" customHeight="1" x14ac:dyDescent="0.25">
      <c r="B7533" s="103"/>
      <c r="D7533" s="80"/>
      <c r="E7533" s="80"/>
    </row>
    <row r="7534" spans="2:5" ht="14.25" customHeight="1" x14ac:dyDescent="0.25">
      <c r="B7534" s="103"/>
      <c r="D7534" s="80"/>
      <c r="E7534" s="80"/>
    </row>
    <row r="7535" spans="2:5" ht="14.25" customHeight="1" x14ac:dyDescent="0.25">
      <c r="B7535" s="103"/>
      <c r="D7535" s="80"/>
      <c r="E7535" s="80"/>
    </row>
    <row r="7536" spans="2:5" ht="14.25" customHeight="1" x14ac:dyDescent="0.25">
      <c r="B7536" s="103"/>
      <c r="D7536" s="80"/>
      <c r="E7536" s="80"/>
    </row>
    <row r="7537" spans="2:5" ht="14.25" customHeight="1" x14ac:dyDescent="0.25">
      <c r="B7537" s="103"/>
      <c r="D7537" s="80"/>
      <c r="E7537" s="80"/>
    </row>
    <row r="7538" spans="2:5" ht="14.25" customHeight="1" x14ac:dyDescent="0.25">
      <c r="B7538" s="103"/>
      <c r="D7538" s="80"/>
      <c r="E7538" s="80"/>
    </row>
    <row r="7539" spans="2:5" ht="14.25" customHeight="1" x14ac:dyDescent="0.25">
      <c r="B7539" s="103"/>
      <c r="D7539" s="80"/>
      <c r="E7539" s="80"/>
    </row>
    <row r="7540" spans="2:5" ht="14.25" customHeight="1" x14ac:dyDescent="0.25">
      <c r="B7540" s="103"/>
      <c r="D7540" s="80"/>
      <c r="E7540" s="80"/>
    </row>
    <row r="7541" spans="2:5" ht="14.25" customHeight="1" x14ac:dyDescent="0.25">
      <c r="B7541" s="103"/>
      <c r="D7541" s="80"/>
      <c r="E7541" s="80"/>
    </row>
    <row r="7542" spans="2:5" ht="14.25" customHeight="1" x14ac:dyDescent="0.25">
      <c r="B7542" s="103"/>
      <c r="D7542" s="80"/>
      <c r="E7542" s="80"/>
    </row>
    <row r="7543" spans="2:5" ht="14.25" customHeight="1" x14ac:dyDescent="0.25">
      <c r="B7543" s="103"/>
      <c r="D7543" s="80"/>
      <c r="E7543" s="80"/>
    </row>
    <row r="7544" spans="2:5" ht="14.25" customHeight="1" x14ac:dyDescent="0.25">
      <c r="B7544" s="103"/>
      <c r="D7544" s="80"/>
      <c r="E7544" s="80"/>
    </row>
    <row r="7545" spans="2:5" ht="14.25" customHeight="1" x14ac:dyDescent="0.25">
      <c r="B7545" s="103"/>
      <c r="D7545" s="80"/>
      <c r="E7545" s="80"/>
    </row>
    <row r="7546" spans="2:5" ht="14.25" customHeight="1" x14ac:dyDescent="0.25">
      <c r="B7546" s="103"/>
      <c r="D7546" s="80"/>
      <c r="E7546" s="80"/>
    </row>
    <row r="7547" spans="2:5" ht="14.25" customHeight="1" x14ac:dyDescent="0.25">
      <c r="B7547" s="103"/>
      <c r="D7547" s="80"/>
      <c r="E7547" s="80"/>
    </row>
    <row r="7548" spans="2:5" ht="14.25" customHeight="1" x14ac:dyDescent="0.25">
      <c r="B7548" s="103"/>
      <c r="D7548" s="80"/>
      <c r="E7548" s="80"/>
    </row>
    <row r="7549" spans="2:5" ht="14.25" customHeight="1" x14ac:dyDescent="0.25">
      <c r="B7549" s="103"/>
      <c r="D7549" s="80"/>
      <c r="E7549" s="80"/>
    </row>
    <row r="7550" spans="2:5" ht="14.25" customHeight="1" x14ac:dyDescent="0.25">
      <c r="B7550" s="103"/>
      <c r="D7550" s="80"/>
      <c r="E7550" s="80"/>
    </row>
    <row r="7551" spans="2:5" ht="14.25" customHeight="1" x14ac:dyDescent="0.25">
      <c r="B7551" s="103"/>
      <c r="D7551" s="80"/>
      <c r="E7551" s="80"/>
    </row>
    <row r="7552" spans="2:5" ht="14.25" customHeight="1" x14ac:dyDescent="0.25">
      <c r="B7552" s="103"/>
      <c r="D7552" s="80"/>
      <c r="E7552" s="80"/>
    </row>
    <row r="7553" spans="2:5" ht="14.25" customHeight="1" x14ac:dyDescent="0.25">
      <c r="B7553" s="103"/>
      <c r="D7553" s="80"/>
      <c r="E7553" s="80"/>
    </row>
    <row r="7554" spans="2:5" ht="14.25" customHeight="1" x14ac:dyDescent="0.25">
      <c r="B7554" s="103"/>
      <c r="D7554" s="80"/>
      <c r="E7554" s="80"/>
    </row>
    <row r="7555" spans="2:5" ht="14.25" customHeight="1" x14ac:dyDescent="0.25">
      <c r="B7555" s="103"/>
      <c r="D7555" s="80"/>
      <c r="E7555" s="80"/>
    </row>
    <row r="7556" spans="2:5" ht="14.25" customHeight="1" x14ac:dyDescent="0.25">
      <c r="B7556" s="103"/>
      <c r="D7556" s="80"/>
      <c r="E7556" s="80"/>
    </row>
    <row r="7557" spans="2:5" ht="14.25" customHeight="1" x14ac:dyDescent="0.25">
      <c r="B7557" s="103"/>
      <c r="D7557" s="80"/>
      <c r="E7557" s="80"/>
    </row>
    <row r="7558" spans="2:5" ht="14.25" customHeight="1" x14ac:dyDescent="0.25">
      <c r="B7558" s="103"/>
      <c r="D7558" s="80"/>
      <c r="E7558" s="80"/>
    </row>
    <row r="7559" spans="2:5" ht="14.25" customHeight="1" x14ac:dyDescent="0.25">
      <c r="B7559" s="103"/>
      <c r="D7559" s="80"/>
      <c r="E7559" s="80"/>
    </row>
    <row r="7560" spans="2:5" ht="14.25" customHeight="1" x14ac:dyDescent="0.25">
      <c r="B7560" s="103"/>
      <c r="D7560" s="80"/>
      <c r="E7560" s="80"/>
    </row>
    <row r="7561" spans="2:5" ht="14.25" customHeight="1" x14ac:dyDescent="0.25">
      <c r="B7561" s="103"/>
      <c r="D7561" s="80"/>
      <c r="E7561" s="80"/>
    </row>
    <row r="7562" spans="2:5" ht="14.25" customHeight="1" x14ac:dyDescent="0.25">
      <c r="B7562" s="103"/>
      <c r="D7562" s="80"/>
      <c r="E7562" s="80"/>
    </row>
    <row r="7563" spans="2:5" ht="14.25" customHeight="1" x14ac:dyDescent="0.25">
      <c r="B7563" s="103"/>
      <c r="D7563" s="80"/>
      <c r="E7563" s="80"/>
    </row>
    <row r="7564" spans="2:5" ht="14.25" customHeight="1" x14ac:dyDescent="0.25">
      <c r="B7564" s="103"/>
      <c r="D7564" s="80"/>
      <c r="E7564" s="80"/>
    </row>
    <row r="7565" spans="2:5" ht="14.25" customHeight="1" x14ac:dyDescent="0.25">
      <c r="B7565" s="103"/>
      <c r="D7565" s="80"/>
      <c r="E7565" s="80"/>
    </row>
    <row r="7566" spans="2:5" ht="14.25" customHeight="1" x14ac:dyDescent="0.25">
      <c r="B7566" s="103"/>
      <c r="D7566" s="80"/>
      <c r="E7566" s="80"/>
    </row>
    <row r="7567" spans="2:5" ht="14.25" customHeight="1" x14ac:dyDescent="0.25">
      <c r="B7567" s="103"/>
      <c r="D7567" s="80"/>
      <c r="E7567" s="80"/>
    </row>
    <row r="7568" spans="2:5" ht="14.25" customHeight="1" x14ac:dyDescent="0.25">
      <c r="B7568" s="103"/>
      <c r="D7568" s="80"/>
      <c r="E7568" s="80"/>
    </row>
    <row r="7569" spans="2:5" ht="14.25" customHeight="1" x14ac:dyDescent="0.25">
      <c r="B7569" s="103"/>
      <c r="D7569" s="80"/>
      <c r="E7569" s="80"/>
    </row>
    <row r="7570" spans="2:5" ht="14.25" customHeight="1" x14ac:dyDescent="0.25">
      <c r="B7570" s="103"/>
      <c r="D7570" s="80"/>
      <c r="E7570" s="80"/>
    </row>
    <row r="7571" spans="2:5" ht="14.25" customHeight="1" x14ac:dyDescent="0.25">
      <c r="B7571" s="103"/>
      <c r="D7571" s="80"/>
      <c r="E7571" s="80"/>
    </row>
    <row r="7572" spans="2:5" ht="14.25" customHeight="1" x14ac:dyDescent="0.25">
      <c r="B7572" s="103"/>
      <c r="D7572" s="80"/>
      <c r="E7572" s="80"/>
    </row>
    <row r="7573" spans="2:5" ht="14.25" customHeight="1" x14ac:dyDescent="0.25">
      <c r="B7573" s="103"/>
      <c r="D7573" s="80"/>
      <c r="E7573" s="80"/>
    </row>
    <row r="7574" spans="2:5" ht="14.25" customHeight="1" x14ac:dyDescent="0.25">
      <c r="B7574" s="103"/>
      <c r="D7574" s="80"/>
      <c r="E7574" s="80"/>
    </row>
    <row r="7575" spans="2:5" ht="14.25" customHeight="1" x14ac:dyDescent="0.25">
      <c r="B7575" s="103"/>
      <c r="D7575" s="80"/>
      <c r="E7575" s="80"/>
    </row>
    <row r="7576" spans="2:5" ht="14.25" customHeight="1" x14ac:dyDescent="0.25">
      <c r="B7576" s="103"/>
      <c r="D7576" s="80"/>
      <c r="E7576" s="80"/>
    </row>
    <row r="7577" spans="2:5" ht="14.25" customHeight="1" x14ac:dyDescent="0.25">
      <c r="B7577" s="103"/>
      <c r="D7577" s="80"/>
      <c r="E7577" s="80"/>
    </row>
    <row r="7578" spans="2:5" ht="14.25" customHeight="1" x14ac:dyDescent="0.25">
      <c r="B7578" s="103"/>
      <c r="D7578" s="80"/>
      <c r="E7578" s="80"/>
    </row>
    <row r="7579" spans="2:5" ht="14.25" customHeight="1" x14ac:dyDescent="0.25">
      <c r="B7579" s="103"/>
      <c r="D7579" s="80"/>
      <c r="E7579" s="80"/>
    </row>
    <row r="7580" spans="2:5" ht="14.25" customHeight="1" x14ac:dyDescent="0.25">
      <c r="B7580" s="103"/>
      <c r="D7580" s="80"/>
      <c r="E7580" s="80"/>
    </row>
    <row r="7581" spans="2:5" ht="14.25" customHeight="1" x14ac:dyDescent="0.25">
      <c r="B7581" s="103"/>
      <c r="D7581" s="80"/>
      <c r="E7581" s="80"/>
    </row>
    <row r="7582" spans="2:5" ht="14.25" customHeight="1" x14ac:dyDescent="0.25">
      <c r="B7582" s="103"/>
      <c r="D7582" s="80"/>
      <c r="E7582" s="80"/>
    </row>
    <row r="7583" spans="2:5" ht="14.25" customHeight="1" x14ac:dyDescent="0.25">
      <c r="B7583" s="103"/>
      <c r="D7583" s="80"/>
      <c r="E7583" s="80"/>
    </row>
    <row r="7584" spans="2:5" ht="14.25" customHeight="1" x14ac:dyDescent="0.25">
      <c r="B7584" s="103"/>
      <c r="D7584" s="80"/>
      <c r="E7584" s="80"/>
    </row>
    <row r="7585" spans="2:5" ht="14.25" customHeight="1" x14ac:dyDescent="0.25">
      <c r="B7585" s="103"/>
      <c r="D7585" s="80"/>
      <c r="E7585" s="80"/>
    </row>
    <row r="7586" spans="2:5" ht="14.25" customHeight="1" x14ac:dyDescent="0.25">
      <c r="B7586" s="103"/>
      <c r="D7586" s="80"/>
      <c r="E7586" s="80"/>
    </row>
    <row r="7587" spans="2:5" ht="14.25" customHeight="1" x14ac:dyDescent="0.25">
      <c r="B7587" s="103"/>
      <c r="D7587" s="80"/>
      <c r="E7587" s="80"/>
    </row>
    <row r="7588" spans="2:5" ht="14.25" customHeight="1" x14ac:dyDescent="0.25">
      <c r="B7588" s="103"/>
      <c r="D7588" s="80"/>
      <c r="E7588" s="80"/>
    </row>
    <row r="7589" spans="2:5" ht="14.25" customHeight="1" x14ac:dyDescent="0.25">
      <c r="B7589" s="103"/>
      <c r="D7589" s="80"/>
      <c r="E7589" s="80"/>
    </row>
    <row r="7590" spans="2:5" ht="14.25" customHeight="1" x14ac:dyDescent="0.25">
      <c r="B7590" s="103"/>
      <c r="D7590" s="80"/>
      <c r="E7590" s="80"/>
    </row>
    <row r="7591" spans="2:5" ht="14.25" customHeight="1" x14ac:dyDescent="0.25">
      <c r="B7591" s="103"/>
      <c r="D7591" s="80"/>
      <c r="E7591" s="80"/>
    </row>
    <row r="7592" spans="2:5" ht="14.25" customHeight="1" x14ac:dyDescent="0.25">
      <c r="B7592" s="103"/>
      <c r="D7592" s="80"/>
      <c r="E7592" s="80"/>
    </row>
    <row r="7593" spans="2:5" ht="14.25" customHeight="1" x14ac:dyDescent="0.25">
      <c r="B7593" s="103"/>
      <c r="D7593" s="80"/>
      <c r="E7593" s="80"/>
    </row>
    <row r="7594" spans="2:5" ht="14.25" customHeight="1" x14ac:dyDescent="0.25">
      <c r="B7594" s="103"/>
      <c r="D7594" s="80"/>
      <c r="E7594" s="80"/>
    </row>
    <row r="7595" spans="2:5" ht="14.25" customHeight="1" x14ac:dyDescent="0.25">
      <c r="B7595" s="103"/>
      <c r="D7595" s="80"/>
      <c r="E7595" s="80"/>
    </row>
    <row r="7596" spans="2:5" ht="14.25" customHeight="1" x14ac:dyDescent="0.25">
      <c r="B7596" s="103"/>
      <c r="D7596" s="80"/>
      <c r="E7596" s="80"/>
    </row>
    <row r="7597" spans="2:5" ht="14.25" customHeight="1" x14ac:dyDescent="0.25">
      <c r="B7597" s="103"/>
      <c r="D7597" s="80"/>
      <c r="E7597" s="80"/>
    </row>
    <row r="7598" spans="2:5" ht="14.25" customHeight="1" x14ac:dyDescent="0.25">
      <c r="B7598" s="103"/>
      <c r="D7598" s="80"/>
      <c r="E7598" s="80"/>
    </row>
    <row r="7599" spans="2:5" ht="14.25" customHeight="1" x14ac:dyDescent="0.25">
      <c r="B7599" s="103"/>
      <c r="D7599" s="80"/>
      <c r="E7599" s="80"/>
    </row>
    <row r="7600" spans="2:5" ht="14.25" customHeight="1" x14ac:dyDescent="0.25">
      <c r="B7600" s="103"/>
      <c r="D7600" s="80"/>
      <c r="E7600" s="80"/>
    </row>
    <row r="7601" spans="2:5" ht="14.25" customHeight="1" x14ac:dyDescent="0.25">
      <c r="B7601" s="103"/>
      <c r="D7601" s="80"/>
      <c r="E7601" s="80"/>
    </row>
    <row r="7602" spans="2:5" ht="14.25" customHeight="1" x14ac:dyDescent="0.25">
      <c r="B7602" s="103"/>
      <c r="D7602" s="80"/>
      <c r="E7602" s="80"/>
    </row>
    <row r="7603" spans="2:5" ht="14.25" customHeight="1" x14ac:dyDescent="0.25">
      <c r="B7603" s="103"/>
      <c r="D7603" s="80"/>
      <c r="E7603" s="80"/>
    </row>
    <row r="7604" spans="2:5" ht="14.25" customHeight="1" x14ac:dyDescent="0.25">
      <c r="B7604" s="103"/>
      <c r="D7604" s="80"/>
      <c r="E7604" s="80"/>
    </row>
    <row r="7605" spans="2:5" ht="14.25" customHeight="1" x14ac:dyDescent="0.25">
      <c r="B7605" s="103"/>
      <c r="D7605" s="80"/>
      <c r="E7605" s="80"/>
    </row>
    <row r="7606" spans="2:5" ht="14.25" customHeight="1" x14ac:dyDescent="0.25">
      <c r="B7606" s="103"/>
      <c r="D7606" s="80"/>
      <c r="E7606" s="80"/>
    </row>
    <row r="7607" spans="2:5" ht="14.25" customHeight="1" x14ac:dyDescent="0.25">
      <c r="B7607" s="103"/>
      <c r="D7607" s="80"/>
      <c r="E7607" s="80"/>
    </row>
    <row r="7608" spans="2:5" ht="14.25" customHeight="1" x14ac:dyDescent="0.25">
      <c r="B7608" s="103"/>
      <c r="D7608" s="80"/>
      <c r="E7608" s="80"/>
    </row>
    <row r="7609" spans="2:5" ht="14.25" customHeight="1" x14ac:dyDescent="0.25">
      <c r="B7609" s="103"/>
      <c r="D7609" s="80"/>
      <c r="E7609" s="80"/>
    </row>
    <row r="7610" spans="2:5" ht="14.25" customHeight="1" x14ac:dyDescent="0.25">
      <c r="B7610" s="103"/>
      <c r="D7610" s="80"/>
      <c r="E7610" s="80"/>
    </row>
    <row r="7611" spans="2:5" ht="14.25" customHeight="1" x14ac:dyDescent="0.25">
      <c r="B7611" s="103"/>
      <c r="D7611" s="80"/>
      <c r="E7611" s="80"/>
    </row>
    <row r="7612" spans="2:5" ht="14.25" customHeight="1" x14ac:dyDescent="0.25">
      <c r="B7612" s="103"/>
      <c r="D7612" s="80"/>
      <c r="E7612" s="80"/>
    </row>
    <row r="7613" spans="2:5" ht="14.25" customHeight="1" x14ac:dyDescent="0.25">
      <c r="B7613" s="103"/>
      <c r="D7613" s="80"/>
      <c r="E7613" s="80"/>
    </row>
    <row r="7614" spans="2:5" ht="14.25" customHeight="1" x14ac:dyDescent="0.25">
      <c r="B7614" s="103"/>
      <c r="D7614" s="80"/>
      <c r="E7614" s="80"/>
    </row>
    <row r="7615" spans="2:5" ht="14.25" customHeight="1" x14ac:dyDescent="0.25">
      <c r="B7615" s="103"/>
      <c r="D7615" s="80"/>
      <c r="E7615" s="80"/>
    </row>
    <row r="7616" spans="2:5" ht="14.25" customHeight="1" x14ac:dyDescent="0.25">
      <c r="B7616" s="103"/>
      <c r="D7616" s="80"/>
      <c r="E7616" s="80"/>
    </row>
    <row r="7617" spans="2:5" ht="14.25" customHeight="1" x14ac:dyDescent="0.25">
      <c r="B7617" s="103"/>
      <c r="D7617" s="80"/>
      <c r="E7617" s="80"/>
    </row>
    <row r="7618" spans="2:5" ht="14.25" customHeight="1" x14ac:dyDescent="0.25">
      <c r="B7618" s="103"/>
      <c r="D7618" s="80"/>
      <c r="E7618" s="80"/>
    </row>
    <row r="7619" spans="2:5" ht="14.25" customHeight="1" x14ac:dyDescent="0.25">
      <c r="B7619" s="103"/>
      <c r="D7619" s="80"/>
      <c r="E7619" s="80"/>
    </row>
    <row r="7620" spans="2:5" ht="14.25" customHeight="1" x14ac:dyDescent="0.25">
      <c r="B7620" s="103"/>
      <c r="D7620" s="80"/>
      <c r="E7620" s="80"/>
    </row>
    <row r="7621" spans="2:5" ht="14.25" customHeight="1" x14ac:dyDescent="0.25">
      <c r="B7621" s="103"/>
      <c r="D7621" s="80"/>
      <c r="E7621" s="80"/>
    </row>
    <row r="7622" spans="2:5" ht="14.25" customHeight="1" x14ac:dyDescent="0.25">
      <c r="B7622" s="103"/>
      <c r="D7622" s="80"/>
      <c r="E7622" s="80"/>
    </row>
    <row r="7623" spans="2:5" ht="14.25" customHeight="1" x14ac:dyDescent="0.25">
      <c r="B7623" s="103"/>
      <c r="D7623" s="80"/>
      <c r="E7623" s="80"/>
    </row>
    <row r="7624" spans="2:5" ht="14.25" customHeight="1" x14ac:dyDescent="0.25">
      <c r="B7624" s="103"/>
      <c r="D7624" s="80"/>
      <c r="E7624" s="80"/>
    </row>
    <row r="7625" spans="2:5" ht="14.25" customHeight="1" x14ac:dyDescent="0.25">
      <c r="B7625" s="103"/>
      <c r="D7625" s="80"/>
      <c r="E7625" s="80"/>
    </row>
    <row r="7626" spans="2:5" ht="14.25" customHeight="1" x14ac:dyDescent="0.25">
      <c r="B7626" s="103"/>
      <c r="D7626" s="80"/>
      <c r="E7626" s="80"/>
    </row>
    <row r="7627" spans="2:5" ht="14.25" customHeight="1" x14ac:dyDescent="0.25">
      <c r="B7627" s="103"/>
      <c r="D7627" s="80"/>
      <c r="E7627" s="80"/>
    </row>
    <row r="7628" spans="2:5" ht="14.25" customHeight="1" x14ac:dyDescent="0.25">
      <c r="B7628" s="103"/>
      <c r="D7628" s="80"/>
      <c r="E7628" s="80"/>
    </row>
    <row r="7629" spans="2:5" ht="14.25" customHeight="1" x14ac:dyDescent="0.25">
      <c r="B7629" s="103"/>
      <c r="D7629" s="80"/>
      <c r="E7629" s="80"/>
    </row>
    <row r="7630" spans="2:5" ht="14.25" customHeight="1" x14ac:dyDescent="0.25">
      <c r="B7630" s="103"/>
      <c r="D7630" s="80"/>
      <c r="E7630" s="80"/>
    </row>
    <row r="7631" spans="2:5" ht="14.25" customHeight="1" x14ac:dyDescent="0.25">
      <c r="B7631" s="103"/>
      <c r="D7631" s="80"/>
      <c r="E7631" s="80"/>
    </row>
    <row r="7632" spans="2:5" ht="14.25" customHeight="1" x14ac:dyDescent="0.25">
      <c r="B7632" s="103"/>
      <c r="D7632" s="80"/>
      <c r="E7632" s="80"/>
    </row>
    <row r="7633" spans="2:5" ht="14.25" customHeight="1" x14ac:dyDescent="0.25">
      <c r="B7633" s="103"/>
      <c r="D7633" s="80"/>
      <c r="E7633" s="80"/>
    </row>
    <row r="7634" spans="2:5" ht="14.25" customHeight="1" x14ac:dyDescent="0.25">
      <c r="B7634" s="103"/>
      <c r="D7634" s="80"/>
      <c r="E7634" s="80"/>
    </row>
    <row r="7635" spans="2:5" ht="14.25" customHeight="1" x14ac:dyDescent="0.25">
      <c r="B7635" s="103"/>
      <c r="D7635" s="80"/>
      <c r="E7635" s="80"/>
    </row>
    <row r="7636" spans="2:5" ht="14.25" customHeight="1" x14ac:dyDescent="0.25">
      <c r="B7636" s="103"/>
      <c r="D7636" s="80"/>
      <c r="E7636" s="80"/>
    </row>
    <row r="7637" spans="2:5" ht="14.25" customHeight="1" x14ac:dyDescent="0.25">
      <c r="B7637" s="103"/>
      <c r="D7637" s="80"/>
      <c r="E7637" s="80"/>
    </row>
    <row r="7638" spans="2:5" ht="14.25" customHeight="1" x14ac:dyDescent="0.25">
      <c r="B7638" s="103"/>
      <c r="D7638" s="80"/>
      <c r="E7638" s="80"/>
    </row>
    <row r="7639" spans="2:5" ht="14.25" customHeight="1" x14ac:dyDescent="0.25">
      <c r="B7639" s="103"/>
      <c r="D7639" s="80"/>
      <c r="E7639" s="80"/>
    </row>
    <row r="7640" spans="2:5" ht="14.25" customHeight="1" x14ac:dyDescent="0.25">
      <c r="B7640" s="103"/>
      <c r="D7640" s="80"/>
      <c r="E7640" s="80"/>
    </row>
    <row r="7641" spans="2:5" ht="14.25" customHeight="1" x14ac:dyDescent="0.25">
      <c r="B7641" s="103"/>
      <c r="D7641" s="80"/>
      <c r="E7641" s="80"/>
    </row>
    <row r="7642" spans="2:5" ht="14.25" customHeight="1" x14ac:dyDescent="0.25">
      <c r="B7642" s="103"/>
      <c r="D7642" s="80"/>
      <c r="E7642" s="80"/>
    </row>
    <row r="7643" spans="2:5" ht="14.25" customHeight="1" x14ac:dyDescent="0.25">
      <c r="B7643" s="103"/>
      <c r="D7643" s="80"/>
      <c r="E7643" s="80"/>
    </row>
    <row r="7644" spans="2:5" ht="14.25" customHeight="1" x14ac:dyDescent="0.25">
      <c r="B7644" s="103"/>
      <c r="D7644" s="80"/>
      <c r="E7644" s="80"/>
    </row>
    <row r="7645" spans="2:5" ht="14.25" customHeight="1" x14ac:dyDescent="0.25">
      <c r="B7645" s="103"/>
      <c r="D7645" s="80"/>
      <c r="E7645" s="80"/>
    </row>
    <row r="7646" spans="2:5" ht="14.25" customHeight="1" x14ac:dyDescent="0.25">
      <c r="B7646" s="103"/>
      <c r="D7646" s="80"/>
      <c r="E7646" s="80"/>
    </row>
    <row r="7647" spans="2:5" ht="14.25" customHeight="1" x14ac:dyDescent="0.25">
      <c r="B7647" s="103"/>
      <c r="D7647" s="80"/>
      <c r="E7647" s="80"/>
    </row>
    <row r="7648" spans="2:5" ht="14.25" customHeight="1" x14ac:dyDescent="0.25">
      <c r="B7648" s="103"/>
      <c r="D7648" s="80"/>
      <c r="E7648" s="80"/>
    </row>
    <row r="7649" spans="2:5" ht="14.25" customHeight="1" x14ac:dyDescent="0.25">
      <c r="B7649" s="103"/>
      <c r="D7649" s="80"/>
      <c r="E7649" s="80"/>
    </row>
    <row r="7650" spans="2:5" ht="14.25" customHeight="1" x14ac:dyDescent="0.25">
      <c r="B7650" s="103"/>
      <c r="D7650" s="80"/>
      <c r="E7650" s="80"/>
    </row>
    <row r="7651" spans="2:5" ht="14.25" customHeight="1" x14ac:dyDescent="0.25">
      <c r="B7651" s="103"/>
      <c r="D7651" s="80"/>
      <c r="E7651" s="80"/>
    </row>
    <row r="7652" spans="2:5" ht="14.25" customHeight="1" x14ac:dyDescent="0.25">
      <c r="B7652" s="103"/>
      <c r="D7652" s="80"/>
      <c r="E7652" s="80"/>
    </row>
    <row r="7653" spans="2:5" ht="14.25" customHeight="1" x14ac:dyDescent="0.25">
      <c r="B7653" s="103"/>
      <c r="D7653" s="80"/>
      <c r="E7653" s="80"/>
    </row>
    <row r="7654" spans="2:5" ht="14.25" customHeight="1" x14ac:dyDescent="0.25">
      <c r="B7654" s="103"/>
      <c r="D7654" s="80"/>
      <c r="E7654" s="80"/>
    </row>
    <row r="7655" spans="2:5" ht="14.25" customHeight="1" x14ac:dyDescent="0.25">
      <c r="B7655" s="103"/>
      <c r="D7655" s="80"/>
      <c r="E7655" s="80"/>
    </row>
    <row r="7656" spans="2:5" ht="14.25" customHeight="1" x14ac:dyDescent="0.25">
      <c r="B7656" s="103"/>
      <c r="D7656" s="80"/>
      <c r="E7656" s="80"/>
    </row>
    <row r="7657" spans="2:5" ht="14.25" customHeight="1" x14ac:dyDescent="0.25">
      <c r="B7657" s="103"/>
      <c r="D7657" s="80"/>
      <c r="E7657" s="80"/>
    </row>
    <row r="7658" spans="2:5" ht="14.25" customHeight="1" x14ac:dyDescent="0.25">
      <c r="B7658" s="103"/>
      <c r="D7658" s="80"/>
      <c r="E7658" s="80"/>
    </row>
    <row r="7659" spans="2:5" ht="14.25" customHeight="1" x14ac:dyDescent="0.25">
      <c r="B7659" s="103"/>
      <c r="D7659" s="80"/>
      <c r="E7659" s="80"/>
    </row>
    <row r="7660" spans="2:5" ht="14.25" customHeight="1" x14ac:dyDescent="0.25">
      <c r="B7660" s="103"/>
      <c r="D7660" s="80"/>
      <c r="E7660" s="80"/>
    </row>
    <row r="7661" spans="2:5" ht="14.25" customHeight="1" x14ac:dyDescent="0.25">
      <c r="B7661" s="103"/>
      <c r="D7661" s="80"/>
      <c r="E7661" s="80"/>
    </row>
    <row r="7662" spans="2:5" ht="14.25" customHeight="1" x14ac:dyDescent="0.25">
      <c r="B7662" s="103"/>
      <c r="D7662" s="80"/>
      <c r="E7662" s="80"/>
    </row>
    <row r="7663" spans="2:5" ht="14.25" customHeight="1" x14ac:dyDescent="0.25">
      <c r="B7663" s="103"/>
      <c r="D7663" s="80"/>
      <c r="E7663" s="80"/>
    </row>
    <row r="7664" spans="2:5" ht="14.25" customHeight="1" x14ac:dyDescent="0.25">
      <c r="B7664" s="103"/>
      <c r="D7664" s="80"/>
      <c r="E7664" s="80"/>
    </row>
    <row r="7665" spans="2:5" ht="14.25" customHeight="1" x14ac:dyDescent="0.25">
      <c r="B7665" s="103"/>
      <c r="D7665" s="80"/>
      <c r="E7665" s="80"/>
    </row>
    <row r="7666" spans="2:5" ht="14.25" customHeight="1" x14ac:dyDescent="0.25">
      <c r="B7666" s="103"/>
      <c r="D7666" s="80"/>
      <c r="E7666" s="80"/>
    </row>
    <row r="7667" spans="2:5" ht="14.25" customHeight="1" x14ac:dyDescent="0.25">
      <c r="B7667" s="103"/>
      <c r="D7667" s="80"/>
      <c r="E7667" s="80"/>
    </row>
    <row r="7668" spans="2:5" ht="14.25" customHeight="1" x14ac:dyDescent="0.25">
      <c r="B7668" s="103"/>
      <c r="D7668" s="80"/>
      <c r="E7668" s="80"/>
    </row>
    <row r="7669" spans="2:5" ht="14.25" customHeight="1" x14ac:dyDescent="0.25">
      <c r="B7669" s="103"/>
      <c r="D7669" s="80"/>
      <c r="E7669" s="80"/>
    </row>
    <row r="7670" spans="2:5" ht="14.25" customHeight="1" x14ac:dyDescent="0.25">
      <c r="B7670" s="103"/>
      <c r="D7670" s="80"/>
      <c r="E7670" s="80"/>
    </row>
    <row r="7671" spans="2:5" ht="14.25" customHeight="1" x14ac:dyDescent="0.25">
      <c r="B7671" s="103"/>
      <c r="D7671" s="80"/>
      <c r="E7671" s="80"/>
    </row>
    <row r="7672" spans="2:5" ht="14.25" customHeight="1" x14ac:dyDescent="0.25">
      <c r="B7672" s="103"/>
      <c r="D7672" s="80"/>
      <c r="E7672" s="80"/>
    </row>
    <row r="7673" spans="2:5" ht="14.25" customHeight="1" x14ac:dyDescent="0.25">
      <c r="B7673" s="103"/>
      <c r="D7673" s="80"/>
      <c r="E7673" s="80"/>
    </row>
    <row r="7674" spans="2:5" ht="14.25" customHeight="1" x14ac:dyDescent="0.25">
      <c r="B7674" s="103"/>
      <c r="D7674" s="80"/>
      <c r="E7674" s="80"/>
    </row>
    <row r="7675" spans="2:5" ht="14.25" customHeight="1" x14ac:dyDescent="0.25">
      <c r="B7675" s="103"/>
      <c r="D7675" s="80"/>
      <c r="E7675" s="80"/>
    </row>
    <row r="7676" spans="2:5" ht="14.25" customHeight="1" x14ac:dyDescent="0.25">
      <c r="B7676" s="103"/>
      <c r="D7676" s="80"/>
      <c r="E7676" s="80"/>
    </row>
    <row r="7677" spans="2:5" ht="14.25" customHeight="1" x14ac:dyDescent="0.25">
      <c r="B7677" s="103"/>
      <c r="D7677" s="80"/>
      <c r="E7677" s="80"/>
    </row>
    <row r="7678" spans="2:5" ht="14.25" customHeight="1" x14ac:dyDescent="0.25">
      <c r="B7678" s="103"/>
      <c r="D7678" s="80"/>
      <c r="E7678" s="80"/>
    </row>
    <row r="7679" spans="2:5" ht="14.25" customHeight="1" x14ac:dyDescent="0.25">
      <c r="B7679" s="103"/>
      <c r="D7679" s="80"/>
      <c r="E7679" s="80"/>
    </row>
    <row r="7680" spans="2:5" ht="14.25" customHeight="1" x14ac:dyDescent="0.25">
      <c r="B7680" s="103"/>
      <c r="D7680" s="80"/>
      <c r="E7680" s="80"/>
    </row>
    <row r="7681" spans="2:5" ht="14.25" customHeight="1" x14ac:dyDescent="0.25">
      <c r="B7681" s="103"/>
      <c r="D7681" s="80"/>
      <c r="E7681" s="80"/>
    </row>
    <row r="7682" spans="2:5" ht="14.25" customHeight="1" x14ac:dyDescent="0.25">
      <c r="B7682" s="103"/>
      <c r="D7682" s="80"/>
      <c r="E7682" s="80"/>
    </row>
    <row r="7683" spans="2:5" ht="14.25" customHeight="1" x14ac:dyDescent="0.25">
      <c r="B7683" s="103"/>
      <c r="D7683" s="80"/>
      <c r="E7683" s="80"/>
    </row>
    <row r="7684" spans="2:5" ht="14.25" customHeight="1" x14ac:dyDescent="0.25">
      <c r="B7684" s="103"/>
      <c r="D7684" s="80"/>
      <c r="E7684" s="80"/>
    </row>
    <row r="7685" spans="2:5" ht="14.25" customHeight="1" x14ac:dyDescent="0.25">
      <c r="B7685" s="103"/>
      <c r="D7685" s="80"/>
      <c r="E7685" s="80"/>
    </row>
    <row r="7686" spans="2:5" ht="14.25" customHeight="1" x14ac:dyDescent="0.25">
      <c r="B7686" s="103"/>
      <c r="D7686" s="80"/>
      <c r="E7686" s="80"/>
    </row>
    <row r="7687" spans="2:5" ht="14.25" customHeight="1" x14ac:dyDescent="0.25">
      <c r="B7687" s="103"/>
      <c r="D7687" s="80"/>
      <c r="E7687" s="80"/>
    </row>
    <row r="7688" spans="2:5" ht="14.25" customHeight="1" x14ac:dyDescent="0.25">
      <c r="B7688" s="103"/>
      <c r="D7688" s="80"/>
      <c r="E7688" s="80"/>
    </row>
    <row r="7689" spans="2:5" ht="14.25" customHeight="1" x14ac:dyDescent="0.25">
      <c r="B7689" s="103"/>
      <c r="D7689" s="80"/>
      <c r="E7689" s="80"/>
    </row>
    <row r="7690" spans="2:5" ht="14.25" customHeight="1" x14ac:dyDescent="0.25">
      <c r="B7690" s="103"/>
      <c r="D7690" s="80"/>
      <c r="E7690" s="80"/>
    </row>
    <row r="7691" spans="2:5" ht="14.25" customHeight="1" x14ac:dyDescent="0.25">
      <c r="B7691" s="103"/>
      <c r="D7691" s="80"/>
      <c r="E7691" s="80"/>
    </row>
    <row r="7692" spans="2:5" ht="14.25" customHeight="1" x14ac:dyDescent="0.25">
      <c r="B7692" s="103"/>
      <c r="D7692" s="80"/>
      <c r="E7692" s="80"/>
    </row>
    <row r="7693" spans="2:5" ht="14.25" customHeight="1" x14ac:dyDescent="0.25">
      <c r="B7693" s="103"/>
      <c r="D7693" s="80"/>
      <c r="E7693" s="80"/>
    </row>
    <row r="7694" spans="2:5" ht="14.25" customHeight="1" x14ac:dyDescent="0.25">
      <c r="B7694" s="103"/>
      <c r="D7694" s="80"/>
      <c r="E7694" s="80"/>
    </row>
    <row r="7695" spans="2:5" ht="14.25" customHeight="1" x14ac:dyDescent="0.25">
      <c r="B7695" s="103"/>
      <c r="D7695" s="80"/>
      <c r="E7695" s="80"/>
    </row>
    <row r="7696" spans="2:5" ht="14.25" customHeight="1" x14ac:dyDescent="0.25">
      <c r="B7696" s="103"/>
      <c r="D7696" s="80"/>
      <c r="E7696" s="80"/>
    </row>
    <row r="7697" spans="2:5" ht="14.25" customHeight="1" x14ac:dyDescent="0.25">
      <c r="B7697" s="103"/>
      <c r="D7697" s="80"/>
      <c r="E7697" s="80"/>
    </row>
    <row r="7698" spans="2:5" ht="14.25" customHeight="1" x14ac:dyDescent="0.25">
      <c r="B7698" s="103"/>
      <c r="D7698" s="80"/>
      <c r="E7698" s="80"/>
    </row>
    <row r="7699" spans="2:5" ht="14.25" customHeight="1" x14ac:dyDescent="0.25">
      <c r="B7699" s="103"/>
      <c r="D7699" s="80"/>
      <c r="E7699" s="80"/>
    </row>
    <row r="7700" spans="2:5" ht="14.25" customHeight="1" x14ac:dyDescent="0.25">
      <c r="B7700" s="103"/>
      <c r="D7700" s="80"/>
      <c r="E7700" s="80"/>
    </row>
    <row r="7701" spans="2:5" ht="14.25" customHeight="1" x14ac:dyDescent="0.25">
      <c r="B7701" s="103"/>
      <c r="D7701" s="80"/>
      <c r="E7701" s="80"/>
    </row>
    <row r="7702" spans="2:5" ht="14.25" customHeight="1" x14ac:dyDescent="0.25">
      <c r="B7702" s="103"/>
      <c r="D7702" s="80"/>
      <c r="E7702" s="80"/>
    </row>
    <row r="7703" spans="2:5" ht="14.25" customHeight="1" x14ac:dyDescent="0.25">
      <c r="B7703" s="103"/>
      <c r="D7703" s="80"/>
      <c r="E7703" s="80"/>
    </row>
    <row r="7704" spans="2:5" ht="14.25" customHeight="1" x14ac:dyDescent="0.25">
      <c r="B7704" s="103"/>
      <c r="D7704" s="80"/>
      <c r="E7704" s="80"/>
    </row>
    <row r="7705" spans="2:5" ht="14.25" customHeight="1" x14ac:dyDescent="0.25">
      <c r="B7705" s="103"/>
      <c r="D7705" s="80"/>
      <c r="E7705" s="80"/>
    </row>
    <row r="7706" spans="2:5" ht="14.25" customHeight="1" x14ac:dyDescent="0.25">
      <c r="B7706" s="103"/>
      <c r="D7706" s="80"/>
      <c r="E7706" s="80"/>
    </row>
    <row r="7707" spans="2:5" ht="14.25" customHeight="1" x14ac:dyDescent="0.25">
      <c r="B7707" s="103"/>
      <c r="D7707" s="80"/>
      <c r="E7707" s="80"/>
    </row>
    <row r="7708" spans="2:5" ht="14.25" customHeight="1" x14ac:dyDescent="0.25">
      <c r="B7708" s="103"/>
      <c r="D7708" s="80"/>
      <c r="E7708" s="80"/>
    </row>
    <row r="7709" spans="2:5" ht="14.25" customHeight="1" x14ac:dyDescent="0.25">
      <c r="B7709" s="103"/>
      <c r="D7709" s="80"/>
      <c r="E7709" s="80"/>
    </row>
    <row r="7710" spans="2:5" ht="14.25" customHeight="1" x14ac:dyDescent="0.25">
      <c r="B7710" s="103"/>
      <c r="D7710" s="80"/>
      <c r="E7710" s="80"/>
    </row>
    <row r="7711" spans="2:5" ht="14.25" customHeight="1" x14ac:dyDescent="0.25">
      <c r="B7711" s="103"/>
      <c r="D7711" s="80"/>
      <c r="E7711" s="80"/>
    </row>
    <row r="7712" spans="2:5" ht="14.25" customHeight="1" x14ac:dyDescent="0.25">
      <c r="B7712" s="103"/>
      <c r="D7712" s="80"/>
      <c r="E7712" s="80"/>
    </row>
    <row r="7713" spans="2:5" ht="14.25" customHeight="1" x14ac:dyDescent="0.25">
      <c r="B7713" s="103"/>
      <c r="D7713" s="80"/>
      <c r="E7713" s="80"/>
    </row>
    <row r="7714" spans="2:5" ht="14.25" customHeight="1" x14ac:dyDescent="0.25">
      <c r="B7714" s="103"/>
      <c r="D7714" s="80"/>
      <c r="E7714" s="80"/>
    </row>
    <row r="7715" spans="2:5" ht="14.25" customHeight="1" x14ac:dyDescent="0.25">
      <c r="B7715" s="103"/>
      <c r="D7715" s="80"/>
      <c r="E7715" s="80"/>
    </row>
    <row r="7716" spans="2:5" ht="14.25" customHeight="1" x14ac:dyDescent="0.25">
      <c r="B7716" s="103"/>
      <c r="D7716" s="80"/>
      <c r="E7716" s="80"/>
    </row>
    <row r="7717" spans="2:5" ht="14.25" customHeight="1" x14ac:dyDescent="0.25">
      <c r="B7717" s="103"/>
      <c r="D7717" s="80"/>
      <c r="E7717" s="80"/>
    </row>
    <row r="7718" spans="2:5" ht="14.25" customHeight="1" x14ac:dyDescent="0.25">
      <c r="B7718" s="103"/>
      <c r="D7718" s="80"/>
      <c r="E7718" s="80"/>
    </row>
    <row r="7719" spans="2:5" ht="14.25" customHeight="1" x14ac:dyDescent="0.25">
      <c r="B7719" s="103"/>
      <c r="D7719" s="80"/>
      <c r="E7719" s="80"/>
    </row>
    <row r="7720" spans="2:5" ht="14.25" customHeight="1" x14ac:dyDescent="0.25">
      <c r="B7720" s="103"/>
      <c r="D7720" s="80"/>
      <c r="E7720" s="80"/>
    </row>
    <row r="7721" spans="2:5" ht="14.25" customHeight="1" x14ac:dyDescent="0.25">
      <c r="B7721" s="103"/>
      <c r="D7721" s="80"/>
      <c r="E7721" s="80"/>
    </row>
    <row r="7722" spans="2:5" ht="14.25" customHeight="1" x14ac:dyDescent="0.25">
      <c r="B7722" s="103"/>
      <c r="D7722" s="80"/>
      <c r="E7722" s="80"/>
    </row>
    <row r="7723" spans="2:5" ht="14.25" customHeight="1" x14ac:dyDescent="0.25">
      <c r="B7723" s="103"/>
      <c r="D7723" s="80"/>
      <c r="E7723" s="80"/>
    </row>
    <row r="7724" spans="2:5" ht="14.25" customHeight="1" x14ac:dyDescent="0.25">
      <c r="B7724" s="103"/>
      <c r="D7724" s="80"/>
      <c r="E7724" s="80"/>
    </row>
    <row r="7725" spans="2:5" ht="14.25" customHeight="1" x14ac:dyDescent="0.25">
      <c r="B7725" s="103"/>
      <c r="D7725" s="80"/>
      <c r="E7725" s="80"/>
    </row>
    <row r="7726" spans="2:5" ht="14.25" customHeight="1" x14ac:dyDescent="0.25">
      <c r="B7726" s="103"/>
      <c r="D7726" s="80"/>
      <c r="E7726" s="80"/>
    </row>
    <row r="7727" spans="2:5" ht="14.25" customHeight="1" x14ac:dyDescent="0.25">
      <c r="B7727" s="103"/>
      <c r="D7727" s="80"/>
      <c r="E7727" s="80"/>
    </row>
    <row r="7728" spans="2:5" ht="14.25" customHeight="1" x14ac:dyDescent="0.25">
      <c r="B7728" s="103"/>
      <c r="D7728" s="80"/>
      <c r="E7728" s="80"/>
    </row>
    <row r="7729" spans="2:5" ht="14.25" customHeight="1" x14ac:dyDescent="0.25">
      <c r="B7729" s="103"/>
      <c r="D7729" s="80"/>
      <c r="E7729" s="80"/>
    </row>
    <row r="7730" spans="2:5" ht="14.25" customHeight="1" x14ac:dyDescent="0.25">
      <c r="B7730" s="103"/>
      <c r="D7730" s="80"/>
      <c r="E7730" s="80"/>
    </row>
    <row r="7731" spans="2:5" ht="14.25" customHeight="1" x14ac:dyDescent="0.25">
      <c r="B7731" s="103"/>
      <c r="D7731" s="80"/>
      <c r="E7731" s="80"/>
    </row>
    <row r="7732" spans="2:5" ht="14.25" customHeight="1" x14ac:dyDescent="0.25">
      <c r="B7732" s="103"/>
      <c r="D7732" s="80"/>
      <c r="E7732" s="80"/>
    </row>
    <row r="7733" spans="2:5" ht="14.25" customHeight="1" x14ac:dyDescent="0.25">
      <c r="B7733" s="103"/>
      <c r="D7733" s="80"/>
      <c r="E7733" s="80"/>
    </row>
    <row r="7734" spans="2:5" ht="14.25" customHeight="1" x14ac:dyDescent="0.25">
      <c r="B7734" s="103"/>
      <c r="D7734" s="80"/>
      <c r="E7734" s="80"/>
    </row>
    <row r="7735" spans="2:5" ht="14.25" customHeight="1" x14ac:dyDescent="0.25">
      <c r="B7735" s="103"/>
      <c r="D7735" s="80"/>
      <c r="E7735" s="80"/>
    </row>
    <row r="7736" spans="2:5" ht="14.25" customHeight="1" x14ac:dyDescent="0.25">
      <c r="B7736" s="103"/>
      <c r="D7736" s="80"/>
      <c r="E7736" s="80"/>
    </row>
    <row r="7737" spans="2:5" ht="14.25" customHeight="1" x14ac:dyDescent="0.25">
      <c r="B7737" s="103"/>
      <c r="D7737" s="80"/>
      <c r="E7737" s="80"/>
    </row>
    <row r="7738" spans="2:5" ht="14.25" customHeight="1" x14ac:dyDescent="0.25">
      <c r="B7738" s="103"/>
      <c r="D7738" s="80"/>
      <c r="E7738" s="80"/>
    </row>
    <row r="7739" spans="2:5" ht="14.25" customHeight="1" x14ac:dyDescent="0.25">
      <c r="B7739" s="103"/>
      <c r="D7739" s="80"/>
      <c r="E7739" s="80"/>
    </row>
    <row r="7740" spans="2:5" ht="14.25" customHeight="1" x14ac:dyDescent="0.25">
      <c r="B7740" s="103"/>
      <c r="D7740" s="80"/>
      <c r="E7740" s="80"/>
    </row>
    <row r="7741" spans="2:5" ht="14.25" customHeight="1" x14ac:dyDescent="0.25">
      <c r="B7741" s="103"/>
      <c r="D7741" s="80"/>
      <c r="E7741" s="80"/>
    </row>
    <row r="7742" spans="2:5" ht="14.25" customHeight="1" x14ac:dyDescent="0.25">
      <c r="B7742" s="103"/>
      <c r="D7742" s="80"/>
      <c r="E7742" s="80"/>
    </row>
    <row r="7743" spans="2:5" ht="14.25" customHeight="1" x14ac:dyDescent="0.25">
      <c r="B7743" s="103"/>
      <c r="D7743" s="80"/>
      <c r="E7743" s="80"/>
    </row>
    <row r="7744" spans="2:5" ht="14.25" customHeight="1" x14ac:dyDescent="0.25">
      <c r="B7744" s="103"/>
      <c r="D7744" s="80"/>
      <c r="E7744" s="80"/>
    </row>
    <row r="7745" spans="2:5" ht="14.25" customHeight="1" x14ac:dyDescent="0.25">
      <c r="B7745" s="103"/>
      <c r="D7745" s="80"/>
      <c r="E7745" s="80"/>
    </row>
    <row r="7746" spans="2:5" ht="14.25" customHeight="1" x14ac:dyDescent="0.25">
      <c r="B7746" s="103"/>
      <c r="D7746" s="80"/>
      <c r="E7746" s="80"/>
    </row>
    <row r="7747" spans="2:5" ht="14.25" customHeight="1" x14ac:dyDescent="0.25">
      <c r="B7747" s="103"/>
      <c r="D7747" s="80"/>
      <c r="E7747" s="80"/>
    </row>
    <row r="7748" spans="2:5" ht="14.25" customHeight="1" x14ac:dyDescent="0.25">
      <c r="B7748" s="103"/>
      <c r="D7748" s="80"/>
      <c r="E7748" s="80"/>
    </row>
    <row r="7749" spans="2:5" ht="14.25" customHeight="1" x14ac:dyDescent="0.25">
      <c r="B7749" s="103"/>
      <c r="D7749" s="80"/>
      <c r="E7749" s="80"/>
    </row>
    <row r="7750" spans="2:5" ht="14.25" customHeight="1" x14ac:dyDescent="0.25">
      <c r="B7750" s="103"/>
      <c r="D7750" s="80"/>
      <c r="E7750" s="80"/>
    </row>
    <row r="7751" spans="2:5" ht="14.25" customHeight="1" x14ac:dyDescent="0.25">
      <c r="B7751" s="103"/>
      <c r="D7751" s="80"/>
      <c r="E7751" s="80"/>
    </row>
    <row r="7752" spans="2:5" ht="14.25" customHeight="1" x14ac:dyDescent="0.25">
      <c r="B7752" s="103"/>
      <c r="D7752" s="80"/>
      <c r="E7752" s="80"/>
    </row>
    <row r="7753" spans="2:5" ht="14.25" customHeight="1" x14ac:dyDescent="0.25">
      <c r="B7753" s="103"/>
      <c r="D7753" s="80"/>
      <c r="E7753" s="80"/>
    </row>
    <row r="7754" spans="2:5" ht="14.25" customHeight="1" x14ac:dyDescent="0.25">
      <c r="B7754" s="103"/>
      <c r="D7754" s="80"/>
      <c r="E7754" s="80"/>
    </row>
    <row r="7755" spans="2:5" ht="14.25" customHeight="1" x14ac:dyDescent="0.25">
      <c r="B7755" s="103"/>
      <c r="D7755" s="80"/>
      <c r="E7755" s="80"/>
    </row>
    <row r="7756" spans="2:5" ht="14.25" customHeight="1" x14ac:dyDescent="0.25">
      <c r="B7756" s="103"/>
      <c r="D7756" s="80"/>
      <c r="E7756" s="80"/>
    </row>
    <row r="7757" spans="2:5" ht="14.25" customHeight="1" x14ac:dyDescent="0.25">
      <c r="B7757" s="103"/>
      <c r="D7757" s="80"/>
      <c r="E7757" s="80"/>
    </row>
    <row r="7758" spans="2:5" ht="14.25" customHeight="1" x14ac:dyDescent="0.25">
      <c r="B7758" s="103"/>
      <c r="D7758" s="80"/>
      <c r="E7758" s="80"/>
    </row>
    <row r="7759" spans="2:5" ht="14.25" customHeight="1" x14ac:dyDescent="0.25">
      <c r="B7759" s="103"/>
      <c r="D7759" s="80"/>
      <c r="E7759" s="80"/>
    </row>
    <row r="7760" spans="2:5" ht="14.25" customHeight="1" x14ac:dyDescent="0.25">
      <c r="B7760" s="103"/>
      <c r="D7760" s="80"/>
      <c r="E7760" s="80"/>
    </row>
    <row r="7761" spans="2:5" ht="14.25" customHeight="1" x14ac:dyDescent="0.25">
      <c r="B7761" s="103"/>
      <c r="D7761" s="80"/>
      <c r="E7761" s="80"/>
    </row>
    <row r="7762" spans="2:5" ht="14.25" customHeight="1" x14ac:dyDescent="0.25">
      <c r="B7762" s="103"/>
      <c r="D7762" s="80"/>
      <c r="E7762" s="80"/>
    </row>
    <row r="7763" spans="2:5" ht="14.25" customHeight="1" x14ac:dyDescent="0.25">
      <c r="B7763" s="103"/>
      <c r="D7763" s="80"/>
      <c r="E7763" s="80"/>
    </row>
    <row r="7764" spans="2:5" ht="14.25" customHeight="1" x14ac:dyDescent="0.25">
      <c r="B7764" s="103"/>
      <c r="D7764" s="80"/>
      <c r="E7764" s="80"/>
    </row>
    <row r="7765" spans="2:5" ht="14.25" customHeight="1" x14ac:dyDescent="0.25">
      <c r="B7765" s="103"/>
      <c r="D7765" s="80"/>
      <c r="E7765" s="80"/>
    </row>
    <row r="7766" spans="2:5" ht="14.25" customHeight="1" x14ac:dyDescent="0.25">
      <c r="B7766" s="103"/>
      <c r="D7766" s="80"/>
      <c r="E7766" s="80"/>
    </row>
    <row r="7767" spans="2:5" ht="14.25" customHeight="1" x14ac:dyDescent="0.25">
      <c r="B7767" s="103"/>
      <c r="D7767" s="80"/>
      <c r="E7767" s="80"/>
    </row>
    <row r="7768" spans="2:5" ht="14.25" customHeight="1" x14ac:dyDescent="0.25">
      <c r="B7768" s="103"/>
      <c r="D7768" s="80"/>
      <c r="E7768" s="80"/>
    </row>
    <row r="7769" spans="2:5" ht="14.25" customHeight="1" x14ac:dyDescent="0.25">
      <c r="B7769" s="103"/>
      <c r="D7769" s="80"/>
      <c r="E7769" s="80"/>
    </row>
    <row r="7770" spans="2:5" ht="14.25" customHeight="1" x14ac:dyDescent="0.25">
      <c r="B7770" s="103"/>
      <c r="D7770" s="80"/>
      <c r="E7770" s="80"/>
    </row>
    <row r="7771" spans="2:5" ht="14.25" customHeight="1" x14ac:dyDescent="0.25">
      <c r="B7771" s="103"/>
      <c r="D7771" s="80"/>
      <c r="E7771" s="80"/>
    </row>
    <row r="7772" spans="2:5" ht="14.25" customHeight="1" x14ac:dyDescent="0.25">
      <c r="B7772" s="103"/>
      <c r="D7772" s="80"/>
      <c r="E7772" s="80"/>
    </row>
    <row r="7773" spans="2:5" ht="14.25" customHeight="1" x14ac:dyDescent="0.25">
      <c r="B7773" s="103"/>
      <c r="D7773" s="80"/>
      <c r="E7773" s="80"/>
    </row>
    <row r="7774" spans="2:5" ht="14.25" customHeight="1" x14ac:dyDescent="0.25">
      <c r="B7774" s="103"/>
      <c r="D7774" s="80"/>
      <c r="E7774" s="80"/>
    </row>
    <row r="7775" spans="2:5" ht="14.25" customHeight="1" x14ac:dyDescent="0.25">
      <c r="B7775" s="103"/>
      <c r="D7775" s="80"/>
      <c r="E7775" s="80"/>
    </row>
    <row r="7776" spans="2:5" ht="14.25" customHeight="1" x14ac:dyDescent="0.25">
      <c r="B7776" s="103"/>
      <c r="D7776" s="80"/>
      <c r="E7776" s="80"/>
    </row>
    <row r="7777" spans="2:5" ht="14.25" customHeight="1" x14ac:dyDescent="0.25">
      <c r="B7777" s="103"/>
      <c r="D7777" s="80"/>
      <c r="E7777" s="80"/>
    </row>
    <row r="7778" spans="2:5" ht="14.25" customHeight="1" x14ac:dyDescent="0.25">
      <c r="B7778" s="103"/>
      <c r="D7778" s="80"/>
      <c r="E7778" s="80"/>
    </row>
    <row r="7779" spans="2:5" ht="14.25" customHeight="1" x14ac:dyDescent="0.25">
      <c r="B7779" s="103"/>
      <c r="D7779" s="80"/>
      <c r="E7779" s="80"/>
    </row>
    <row r="7780" spans="2:5" ht="14.25" customHeight="1" x14ac:dyDescent="0.25">
      <c r="B7780" s="103"/>
      <c r="D7780" s="80"/>
      <c r="E7780" s="80"/>
    </row>
    <row r="7781" spans="2:5" ht="14.25" customHeight="1" x14ac:dyDescent="0.25">
      <c r="B7781" s="103"/>
      <c r="D7781" s="80"/>
      <c r="E7781" s="80"/>
    </row>
    <row r="7782" spans="2:5" ht="14.25" customHeight="1" x14ac:dyDescent="0.25">
      <c r="B7782" s="103"/>
      <c r="D7782" s="80"/>
      <c r="E7782" s="80"/>
    </row>
    <row r="7783" spans="2:5" ht="14.25" customHeight="1" x14ac:dyDescent="0.25">
      <c r="B7783" s="103"/>
      <c r="D7783" s="80"/>
      <c r="E7783" s="80"/>
    </row>
    <row r="7784" spans="2:5" ht="14.25" customHeight="1" x14ac:dyDescent="0.25">
      <c r="B7784" s="103"/>
      <c r="D7784" s="80"/>
      <c r="E7784" s="80"/>
    </row>
    <row r="7785" spans="2:5" ht="14.25" customHeight="1" x14ac:dyDescent="0.25">
      <c r="B7785" s="103"/>
      <c r="D7785" s="80"/>
      <c r="E7785" s="80"/>
    </row>
    <row r="7786" spans="2:5" ht="14.25" customHeight="1" x14ac:dyDescent="0.25">
      <c r="B7786" s="103"/>
      <c r="D7786" s="80"/>
      <c r="E7786" s="80"/>
    </row>
    <row r="7787" spans="2:5" ht="14.25" customHeight="1" x14ac:dyDescent="0.25">
      <c r="B7787" s="103"/>
      <c r="D7787" s="80"/>
      <c r="E7787" s="80"/>
    </row>
    <row r="7788" spans="2:5" ht="14.25" customHeight="1" x14ac:dyDescent="0.25">
      <c r="B7788" s="103"/>
      <c r="D7788" s="80"/>
      <c r="E7788" s="80"/>
    </row>
    <row r="7789" spans="2:5" ht="14.25" customHeight="1" x14ac:dyDescent="0.25">
      <c r="B7789" s="103"/>
      <c r="D7789" s="80"/>
      <c r="E7789" s="80"/>
    </row>
    <row r="7790" spans="2:5" ht="14.25" customHeight="1" x14ac:dyDescent="0.25">
      <c r="B7790" s="103"/>
      <c r="D7790" s="80"/>
      <c r="E7790" s="80"/>
    </row>
    <row r="7791" spans="2:5" ht="14.25" customHeight="1" x14ac:dyDescent="0.25">
      <c r="B7791" s="103"/>
      <c r="D7791" s="80"/>
      <c r="E7791" s="80"/>
    </row>
    <row r="7792" spans="2:5" ht="14.25" customHeight="1" x14ac:dyDescent="0.25">
      <c r="B7792" s="103"/>
      <c r="D7792" s="80"/>
      <c r="E7792" s="80"/>
    </row>
    <row r="7793" spans="2:5" ht="14.25" customHeight="1" x14ac:dyDescent="0.25">
      <c r="B7793" s="103"/>
      <c r="D7793" s="80"/>
      <c r="E7793" s="80"/>
    </row>
    <row r="7794" spans="2:5" ht="14.25" customHeight="1" x14ac:dyDescent="0.25">
      <c r="B7794" s="103"/>
      <c r="D7794" s="80"/>
      <c r="E7794" s="80"/>
    </row>
    <row r="7795" spans="2:5" ht="14.25" customHeight="1" x14ac:dyDescent="0.25">
      <c r="B7795" s="103"/>
      <c r="D7795" s="80"/>
      <c r="E7795" s="80"/>
    </row>
    <row r="7796" spans="2:5" ht="14.25" customHeight="1" x14ac:dyDescent="0.25">
      <c r="B7796" s="103"/>
      <c r="D7796" s="80"/>
      <c r="E7796" s="80"/>
    </row>
    <row r="7797" spans="2:5" ht="14.25" customHeight="1" x14ac:dyDescent="0.25">
      <c r="B7797" s="103"/>
      <c r="D7797" s="80"/>
      <c r="E7797" s="80"/>
    </row>
    <row r="7798" spans="2:5" ht="14.25" customHeight="1" x14ac:dyDescent="0.25">
      <c r="B7798" s="103"/>
      <c r="D7798" s="80"/>
      <c r="E7798" s="80"/>
    </row>
    <row r="7799" spans="2:5" ht="14.25" customHeight="1" x14ac:dyDescent="0.25">
      <c r="B7799" s="103"/>
      <c r="D7799" s="80"/>
      <c r="E7799" s="80"/>
    </row>
    <row r="7800" spans="2:5" ht="14.25" customHeight="1" x14ac:dyDescent="0.25">
      <c r="B7800" s="103"/>
      <c r="D7800" s="80"/>
      <c r="E7800" s="80"/>
    </row>
    <row r="7801" spans="2:5" ht="14.25" customHeight="1" x14ac:dyDescent="0.25">
      <c r="B7801" s="103"/>
      <c r="D7801" s="80"/>
      <c r="E7801" s="80"/>
    </row>
    <row r="7802" spans="2:5" ht="14.25" customHeight="1" x14ac:dyDescent="0.25">
      <c r="B7802" s="103"/>
      <c r="D7802" s="80"/>
      <c r="E7802" s="80"/>
    </row>
    <row r="7803" spans="2:5" ht="14.25" customHeight="1" x14ac:dyDescent="0.25">
      <c r="B7803" s="103"/>
      <c r="D7803" s="80"/>
      <c r="E7803" s="80"/>
    </row>
    <row r="7804" spans="2:5" ht="14.25" customHeight="1" x14ac:dyDescent="0.25">
      <c r="B7804" s="103"/>
      <c r="D7804" s="80"/>
      <c r="E7804" s="80"/>
    </row>
    <row r="7805" spans="2:5" ht="14.25" customHeight="1" x14ac:dyDescent="0.25">
      <c r="B7805" s="103"/>
      <c r="D7805" s="80"/>
      <c r="E7805" s="80"/>
    </row>
    <row r="7806" spans="2:5" ht="14.25" customHeight="1" x14ac:dyDescent="0.25">
      <c r="B7806" s="103"/>
      <c r="D7806" s="80"/>
      <c r="E7806" s="80"/>
    </row>
    <row r="7807" spans="2:5" ht="14.25" customHeight="1" x14ac:dyDescent="0.25">
      <c r="B7807" s="103"/>
      <c r="D7807" s="80"/>
      <c r="E7807" s="80"/>
    </row>
    <row r="7808" spans="2:5" ht="14.25" customHeight="1" x14ac:dyDescent="0.25">
      <c r="B7808" s="103"/>
      <c r="D7808" s="80"/>
      <c r="E7808" s="80"/>
    </row>
    <row r="7809" spans="2:5" ht="14.25" customHeight="1" x14ac:dyDescent="0.25">
      <c r="B7809" s="103"/>
      <c r="D7809" s="80"/>
      <c r="E7809" s="80"/>
    </row>
    <row r="7810" spans="2:5" ht="14.25" customHeight="1" x14ac:dyDescent="0.25">
      <c r="B7810" s="103"/>
      <c r="D7810" s="80"/>
      <c r="E7810" s="80"/>
    </row>
    <row r="7811" spans="2:5" ht="14.25" customHeight="1" x14ac:dyDescent="0.25">
      <c r="B7811" s="103"/>
      <c r="D7811" s="80"/>
      <c r="E7811" s="80"/>
    </row>
    <row r="7812" spans="2:5" ht="14.25" customHeight="1" x14ac:dyDescent="0.25">
      <c r="B7812" s="103"/>
      <c r="D7812" s="80"/>
      <c r="E7812" s="80"/>
    </row>
    <row r="7813" spans="2:5" ht="14.25" customHeight="1" x14ac:dyDescent="0.25">
      <c r="B7813" s="103"/>
      <c r="D7813" s="80"/>
      <c r="E7813" s="80"/>
    </row>
    <row r="7814" spans="2:5" ht="14.25" customHeight="1" x14ac:dyDescent="0.25">
      <c r="B7814" s="103"/>
      <c r="D7814" s="80"/>
      <c r="E7814" s="80"/>
    </row>
    <row r="7815" spans="2:5" ht="14.25" customHeight="1" x14ac:dyDescent="0.25">
      <c r="B7815" s="103"/>
      <c r="D7815" s="80"/>
      <c r="E7815" s="80"/>
    </row>
    <row r="7816" spans="2:5" ht="14.25" customHeight="1" x14ac:dyDescent="0.25">
      <c r="B7816" s="103"/>
      <c r="D7816" s="80"/>
      <c r="E7816" s="80"/>
    </row>
    <row r="7817" spans="2:5" ht="14.25" customHeight="1" x14ac:dyDescent="0.25">
      <c r="B7817" s="103"/>
      <c r="D7817" s="80"/>
      <c r="E7817" s="80"/>
    </row>
    <row r="7818" spans="2:5" ht="14.25" customHeight="1" x14ac:dyDescent="0.25">
      <c r="B7818" s="103"/>
      <c r="D7818" s="80"/>
      <c r="E7818" s="80"/>
    </row>
    <row r="7819" spans="2:5" ht="14.25" customHeight="1" x14ac:dyDescent="0.25">
      <c r="B7819" s="103"/>
      <c r="D7819" s="80"/>
      <c r="E7819" s="80"/>
    </row>
    <row r="7820" spans="2:5" ht="14.25" customHeight="1" x14ac:dyDescent="0.25">
      <c r="B7820" s="103"/>
      <c r="D7820" s="80"/>
      <c r="E7820" s="80"/>
    </row>
    <row r="7821" spans="2:5" ht="14.25" customHeight="1" x14ac:dyDescent="0.25">
      <c r="B7821" s="103"/>
      <c r="D7821" s="80"/>
      <c r="E7821" s="80"/>
    </row>
    <row r="7822" spans="2:5" ht="14.25" customHeight="1" x14ac:dyDescent="0.25">
      <c r="B7822" s="103"/>
      <c r="D7822" s="80"/>
      <c r="E7822" s="80"/>
    </row>
    <row r="7823" spans="2:5" ht="14.25" customHeight="1" x14ac:dyDescent="0.25">
      <c r="B7823" s="103"/>
      <c r="D7823" s="80"/>
      <c r="E7823" s="80"/>
    </row>
    <row r="7824" spans="2:5" ht="14.25" customHeight="1" x14ac:dyDescent="0.25">
      <c r="B7824" s="103"/>
      <c r="D7824" s="80"/>
      <c r="E7824" s="80"/>
    </row>
    <row r="7825" spans="2:5" ht="14.25" customHeight="1" x14ac:dyDescent="0.25">
      <c r="B7825" s="103"/>
      <c r="D7825" s="80"/>
      <c r="E7825" s="80"/>
    </row>
    <row r="7826" spans="2:5" ht="14.25" customHeight="1" x14ac:dyDescent="0.25">
      <c r="B7826" s="103"/>
      <c r="D7826" s="80"/>
      <c r="E7826" s="80"/>
    </row>
    <row r="7827" spans="2:5" ht="14.25" customHeight="1" x14ac:dyDescent="0.25">
      <c r="B7827" s="103"/>
      <c r="D7827" s="80"/>
      <c r="E7827" s="80"/>
    </row>
    <row r="7828" spans="2:5" ht="14.25" customHeight="1" x14ac:dyDescent="0.25">
      <c r="B7828" s="103"/>
      <c r="D7828" s="80"/>
      <c r="E7828" s="80"/>
    </row>
    <row r="7829" spans="2:5" ht="14.25" customHeight="1" x14ac:dyDescent="0.25">
      <c r="B7829" s="103"/>
      <c r="D7829" s="80"/>
      <c r="E7829" s="80"/>
    </row>
    <row r="7830" spans="2:5" ht="14.25" customHeight="1" x14ac:dyDescent="0.25">
      <c r="B7830" s="103"/>
      <c r="D7830" s="80"/>
      <c r="E7830" s="80"/>
    </row>
    <row r="7831" spans="2:5" ht="14.25" customHeight="1" x14ac:dyDescent="0.25">
      <c r="B7831" s="103"/>
      <c r="D7831" s="80"/>
      <c r="E7831" s="80"/>
    </row>
    <row r="7832" spans="2:5" ht="14.25" customHeight="1" x14ac:dyDescent="0.25">
      <c r="B7832" s="103"/>
      <c r="D7832" s="80"/>
      <c r="E7832" s="80"/>
    </row>
    <row r="7833" spans="2:5" ht="14.25" customHeight="1" x14ac:dyDescent="0.25">
      <c r="B7833" s="103"/>
      <c r="D7833" s="80"/>
      <c r="E7833" s="80"/>
    </row>
    <row r="7834" spans="2:5" ht="14.25" customHeight="1" x14ac:dyDescent="0.25">
      <c r="B7834" s="103"/>
      <c r="D7834" s="80"/>
      <c r="E7834" s="80"/>
    </row>
    <row r="7835" spans="2:5" ht="14.25" customHeight="1" x14ac:dyDescent="0.25">
      <c r="B7835" s="103"/>
      <c r="D7835" s="80"/>
      <c r="E7835" s="80"/>
    </row>
    <row r="7836" spans="2:5" ht="14.25" customHeight="1" x14ac:dyDescent="0.25">
      <c r="B7836" s="103"/>
      <c r="D7836" s="80"/>
      <c r="E7836" s="80"/>
    </row>
    <row r="7837" spans="2:5" ht="14.25" customHeight="1" x14ac:dyDescent="0.25">
      <c r="B7837" s="103"/>
      <c r="D7837" s="80"/>
      <c r="E7837" s="80"/>
    </row>
    <row r="7838" spans="2:5" ht="14.25" customHeight="1" x14ac:dyDescent="0.25">
      <c r="B7838" s="103"/>
      <c r="D7838" s="80"/>
      <c r="E7838" s="80"/>
    </row>
    <row r="7839" spans="2:5" ht="14.25" customHeight="1" x14ac:dyDescent="0.25">
      <c r="B7839" s="103"/>
      <c r="D7839" s="80"/>
      <c r="E7839" s="80"/>
    </row>
    <row r="7840" spans="2:5" ht="14.25" customHeight="1" x14ac:dyDescent="0.25">
      <c r="B7840" s="103"/>
      <c r="D7840" s="80"/>
      <c r="E7840" s="80"/>
    </row>
    <row r="7841" spans="2:5" ht="14.25" customHeight="1" x14ac:dyDescent="0.25">
      <c r="B7841" s="103"/>
      <c r="D7841" s="80"/>
      <c r="E7841" s="80"/>
    </row>
    <row r="7842" spans="2:5" ht="14.25" customHeight="1" x14ac:dyDescent="0.25">
      <c r="B7842" s="103"/>
      <c r="D7842" s="80"/>
      <c r="E7842" s="80"/>
    </row>
    <row r="7843" spans="2:5" ht="14.25" customHeight="1" x14ac:dyDescent="0.25">
      <c r="B7843" s="103"/>
      <c r="D7843" s="80"/>
      <c r="E7843" s="80"/>
    </row>
    <row r="7844" spans="2:5" ht="14.25" customHeight="1" x14ac:dyDescent="0.25">
      <c r="B7844" s="103"/>
      <c r="D7844" s="80"/>
      <c r="E7844" s="80"/>
    </row>
    <row r="7845" spans="2:5" ht="14.25" customHeight="1" x14ac:dyDescent="0.25">
      <c r="B7845" s="103"/>
      <c r="D7845" s="80"/>
      <c r="E7845" s="80"/>
    </row>
    <row r="7846" spans="2:5" ht="14.25" customHeight="1" x14ac:dyDescent="0.25">
      <c r="B7846" s="103"/>
      <c r="D7846" s="80"/>
      <c r="E7846" s="80"/>
    </row>
    <row r="7847" spans="2:5" ht="14.25" customHeight="1" x14ac:dyDescent="0.25">
      <c r="B7847" s="103"/>
      <c r="D7847" s="80"/>
      <c r="E7847" s="80"/>
    </row>
    <row r="7848" spans="2:5" ht="14.25" customHeight="1" x14ac:dyDescent="0.25">
      <c r="B7848" s="103"/>
      <c r="D7848" s="80"/>
      <c r="E7848" s="80"/>
    </row>
    <row r="7849" spans="2:5" ht="14.25" customHeight="1" x14ac:dyDescent="0.25">
      <c r="B7849" s="103"/>
      <c r="D7849" s="80"/>
      <c r="E7849" s="80"/>
    </row>
    <row r="7850" spans="2:5" ht="14.25" customHeight="1" x14ac:dyDescent="0.25">
      <c r="B7850" s="103"/>
      <c r="D7850" s="80"/>
      <c r="E7850" s="80"/>
    </row>
    <row r="7851" spans="2:5" ht="14.25" customHeight="1" x14ac:dyDescent="0.25">
      <c r="B7851" s="103"/>
      <c r="D7851" s="80"/>
      <c r="E7851" s="80"/>
    </row>
    <row r="7852" spans="2:5" ht="14.25" customHeight="1" x14ac:dyDescent="0.25">
      <c r="B7852" s="103"/>
      <c r="D7852" s="80"/>
      <c r="E7852" s="80"/>
    </row>
    <row r="7853" spans="2:5" ht="14.25" customHeight="1" x14ac:dyDescent="0.25">
      <c r="B7853" s="103"/>
      <c r="D7853" s="80"/>
      <c r="E7853" s="80"/>
    </row>
    <row r="7854" spans="2:5" ht="14.25" customHeight="1" x14ac:dyDescent="0.25">
      <c r="B7854" s="103"/>
      <c r="D7854" s="80"/>
      <c r="E7854" s="80"/>
    </row>
    <row r="7855" spans="2:5" ht="14.25" customHeight="1" x14ac:dyDescent="0.25">
      <c r="B7855" s="103"/>
      <c r="D7855" s="80"/>
      <c r="E7855" s="80"/>
    </row>
    <row r="7856" spans="2:5" ht="14.25" customHeight="1" x14ac:dyDescent="0.25">
      <c r="B7856" s="103"/>
      <c r="D7856" s="80"/>
      <c r="E7856" s="80"/>
    </row>
    <row r="7857" spans="2:5" ht="14.25" customHeight="1" x14ac:dyDescent="0.25">
      <c r="B7857" s="103"/>
      <c r="D7857" s="80"/>
      <c r="E7857" s="80"/>
    </row>
    <row r="7858" spans="2:5" ht="14.25" customHeight="1" x14ac:dyDescent="0.25">
      <c r="B7858" s="103"/>
      <c r="D7858" s="80"/>
      <c r="E7858" s="80"/>
    </row>
    <row r="7859" spans="2:5" ht="14.25" customHeight="1" x14ac:dyDescent="0.25">
      <c r="B7859" s="103"/>
      <c r="D7859" s="80"/>
      <c r="E7859" s="80"/>
    </row>
    <row r="7860" spans="2:5" ht="14.25" customHeight="1" x14ac:dyDescent="0.25">
      <c r="B7860" s="103"/>
      <c r="D7860" s="80"/>
      <c r="E7860" s="80"/>
    </row>
    <row r="7861" spans="2:5" ht="14.25" customHeight="1" x14ac:dyDescent="0.25">
      <c r="B7861" s="103"/>
      <c r="D7861" s="80"/>
      <c r="E7861" s="80"/>
    </row>
    <row r="7862" spans="2:5" ht="14.25" customHeight="1" x14ac:dyDescent="0.25">
      <c r="B7862" s="103"/>
      <c r="D7862" s="80"/>
      <c r="E7862" s="80"/>
    </row>
    <row r="7863" spans="2:5" ht="14.25" customHeight="1" x14ac:dyDescent="0.25">
      <c r="B7863" s="103"/>
      <c r="D7863" s="80"/>
      <c r="E7863" s="80"/>
    </row>
    <row r="7864" spans="2:5" ht="14.25" customHeight="1" x14ac:dyDescent="0.25">
      <c r="B7864" s="103"/>
      <c r="D7864" s="80"/>
      <c r="E7864" s="80"/>
    </row>
    <row r="7865" spans="2:5" ht="14.25" customHeight="1" x14ac:dyDescent="0.25">
      <c r="B7865" s="103"/>
      <c r="D7865" s="80"/>
      <c r="E7865" s="80"/>
    </row>
    <row r="7866" spans="2:5" ht="14.25" customHeight="1" x14ac:dyDescent="0.25">
      <c r="B7866" s="103"/>
      <c r="D7866" s="80"/>
      <c r="E7866" s="80"/>
    </row>
    <row r="7867" spans="2:5" ht="14.25" customHeight="1" x14ac:dyDescent="0.25">
      <c r="B7867" s="103"/>
      <c r="D7867" s="80"/>
      <c r="E7867" s="80"/>
    </row>
    <row r="7868" spans="2:5" ht="14.25" customHeight="1" x14ac:dyDescent="0.25">
      <c r="B7868" s="103"/>
      <c r="D7868" s="80"/>
      <c r="E7868" s="80"/>
    </row>
    <row r="7869" spans="2:5" ht="14.25" customHeight="1" x14ac:dyDescent="0.25">
      <c r="B7869" s="103"/>
      <c r="D7869" s="80"/>
      <c r="E7869" s="80"/>
    </row>
    <row r="7870" spans="2:5" ht="14.25" customHeight="1" x14ac:dyDescent="0.25">
      <c r="B7870" s="103"/>
      <c r="D7870" s="80"/>
      <c r="E7870" s="80"/>
    </row>
    <row r="7871" spans="2:5" ht="14.25" customHeight="1" x14ac:dyDescent="0.25">
      <c r="B7871" s="103"/>
      <c r="D7871" s="80"/>
      <c r="E7871" s="80"/>
    </row>
    <row r="7872" spans="2:5" ht="14.25" customHeight="1" x14ac:dyDescent="0.25">
      <c r="B7872" s="103"/>
      <c r="D7872" s="80"/>
      <c r="E7872" s="80"/>
    </row>
    <row r="7873" spans="2:5" ht="14.25" customHeight="1" x14ac:dyDescent="0.25">
      <c r="B7873" s="103"/>
      <c r="D7873" s="80"/>
      <c r="E7873" s="80"/>
    </row>
    <row r="7874" spans="2:5" ht="14.25" customHeight="1" x14ac:dyDescent="0.25">
      <c r="B7874" s="103"/>
      <c r="D7874" s="80"/>
      <c r="E7874" s="80"/>
    </row>
    <row r="7875" spans="2:5" ht="14.25" customHeight="1" x14ac:dyDescent="0.25">
      <c r="B7875" s="103"/>
      <c r="D7875" s="80"/>
      <c r="E7875" s="80"/>
    </row>
    <row r="7876" spans="2:5" ht="14.25" customHeight="1" x14ac:dyDescent="0.25">
      <c r="B7876" s="103"/>
      <c r="D7876" s="80"/>
      <c r="E7876" s="80"/>
    </row>
    <row r="7877" spans="2:5" ht="14.25" customHeight="1" x14ac:dyDescent="0.25">
      <c r="B7877" s="103"/>
      <c r="D7877" s="80"/>
      <c r="E7877" s="80"/>
    </row>
    <row r="7878" spans="2:5" ht="14.25" customHeight="1" x14ac:dyDescent="0.25">
      <c r="B7878" s="103"/>
      <c r="D7878" s="80"/>
      <c r="E7878" s="80"/>
    </row>
    <row r="7879" spans="2:5" ht="14.25" customHeight="1" x14ac:dyDescent="0.25">
      <c r="B7879" s="103"/>
      <c r="D7879" s="80"/>
      <c r="E7879" s="80"/>
    </row>
    <row r="7880" spans="2:5" ht="14.25" customHeight="1" x14ac:dyDescent="0.25">
      <c r="B7880" s="103"/>
      <c r="D7880" s="80"/>
      <c r="E7880" s="80"/>
    </row>
    <row r="7881" spans="2:5" ht="14.25" customHeight="1" x14ac:dyDescent="0.25">
      <c r="B7881" s="103"/>
      <c r="D7881" s="80"/>
      <c r="E7881" s="80"/>
    </row>
    <row r="7882" spans="2:5" ht="14.25" customHeight="1" x14ac:dyDescent="0.25">
      <c r="B7882" s="103"/>
      <c r="D7882" s="80"/>
      <c r="E7882" s="80"/>
    </row>
    <row r="7883" spans="2:5" ht="14.25" customHeight="1" x14ac:dyDescent="0.25">
      <c r="B7883" s="103"/>
      <c r="D7883" s="80"/>
      <c r="E7883" s="80"/>
    </row>
    <row r="7884" spans="2:5" ht="14.25" customHeight="1" x14ac:dyDescent="0.25">
      <c r="B7884" s="103"/>
      <c r="D7884" s="80"/>
      <c r="E7884" s="80"/>
    </row>
    <row r="7885" spans="2:5" ht="14.25" customHeight="1" x14ac:dyDescent="0.25">
      <c r="B7885" s="103"/>
      <c r="D7885" s="80"/>
      <c r="E7885" s="80"/>
    </row>
    <row r="7886" spans="2:5" ht="14.25" customHeight="1" x14ac:dyDescent="0.25">
      <c r="B7886" s="103"/>
      <c r="D7886" s="80"/>
      <c r="E7886" s="80"/>
    </row>
    <row r="7887" spans="2:5" ht="14.25" customHeight="1" x14ac:dyDescent="0.25">
      <c r="B7887" s="103"/>
      <c r="D7887" s="80"/>
      <c r="E7887" s="80"/>
    </row>
    <row r="7888" spans="2:5" ht="14.25" customHeight="1" x14ac:dyDescent="0.25">
      <c r="B7888" s="103"/>
      <c r="D7888" s="80"/>
      <c r="E7888" s="80"/>
    </row>
    <row r="7889" spans="2:5" ht="14.25" customHeight="1" x14ac:dyDescent="0.25">
      <c r="B7889" s="103"/>
      <c r="D7889" s="80"/>
      <c r="E7889" s="80"/>
    </row>
    <row r="7890" spans="2:5" ht="14.25" customHeight="1" x14ac:dyDescent="0.25">
      <c r="B7890" s="103"/>
      <c r="D7890" s="80"/>
      <c r="E7890" s="80"/>
    </row>
    <row r="7891" spans="2:5" ht="14.25" customHeight="1" x14ac:dyDescent="0.25">
      <c r="B7891" s="103"/>
      <c r="D7891" s="80"/>
      <c r="E7891" s="80"/>
    </row>
    <row r="7892" spans="2:5" ht="14.25" customHeight="1" x14ac:dyDescent="0.25">
      <c r="B7892" s="103"/>
      <c r="D7892" s="80"/>
      <c r="E7892" s="80"/>
    </row>
    <row r="7893" spans="2:5" ht="14.25" customHeight="1" x14ac:dyDescent="0.25">
      <c r="B7893" s="103"/>
      <c r="D7893" s="80"/>
      <c r="E7893" s="80"/>
    </row>
    <row r="7894" spans="2:5" ht="14.25" customHeight="1" x14ac:dyDescent="0.25">
      <c r="B7894" s="103"/>
      <c r="D7894" s="80"/>
      <c r="E7894" s="80"/>
    </row>
    <row r="7895" spans="2:5" ht="14.25" customHeight="1" x14ac:dyDescent="0.25">
      <c r="B7895" s="103"/>
      <c r="D7895" s="80"/>
      <c r="E7895" s="80"/>
    </row>
    <row r="7896" spans="2:5" ht="14.25" customHeight="1" x14ac:dyDescent="0.25">
      <c r="B7896" s="103"/>
      <c r="D7896" s="80"/>
      <c r="E7896" s="80"/>
    </row>
    <row r="7897" spans="2:5" ht="14.25" customHeight="1" x14ac:dyDescent="0.25">
      <c r="B7897" s="103"/>
      <c r="D7897" s="80"/>
      <c r="E7897" s="80"/>
    </row>
    <row r="7898" spans="2:5" ht="14.25" customHeight="1" x14ac:dyDescent="0.25">
      <c r="B7898" s="103"/>
      <c r="D7898" s="80"/>
      <c r="E7898" s="80"/>
    </row>
    <row r="7899" spans="2:5" ht="14.25" customHeight="1" x14ac:dyDescent="0.25">
      <c r="B7899" s="103"/>
      <c r="D7899" s="80"/>
      <c r="E7899" s="80"/>
    </row>
    <row r="7900" spans="2:5" ht="14.25" customHeight="1" x14ac:dyDescent="0.25">
      <c r="B7900" s="103"/>
      <c r="D7900" s="80"/>
      <c r="E7900" s="80"/>
    </row>
    <row r="7901" spans="2:5" ht="14.25" customHeight="1" x14ac:dyDescent="0.25">
      <c r="B7901" s="103"/>
      <c r="D7901" s="80"/>
      <c r="E7901" s="80"/>
    </row>
    <row r="7902" spans="2:5" ht="14.25" customHeight="1" x14ac:dyDescent="0.25">
      <c r="B7902" s="103"/>
      <c r="D7902" s="80"/>
      <c r="E7902" s="80"/>
    </row>
    <row r="7903" spans="2:5" ht="14.25" customHeight="1" x14ac:dyDescent="0.25">
      <c r="B7903" s="103"/>
      <c r="D7903" s="80"/>
      <c r="E7903" s="80"/>
    </row>
    <row r="7904" spans="2:5" ht="14.25" customHeight="1" x14ac:dyDescent="0.25">
      <c r="B7904" s="103"/>
      <c r="D7904" s="80"/>
      <c r="E7904" s="80"/>
    </row>
    <row r="7905" spans="2:5" ht="14.25" customHeight="1" x14ac:dyDescent="0.25">
      <c r="B7905" s="103"/>
      <c r="D7905" s="80"/>
      <c r="E7905" s="80"/>
    </row>
    <row r="7906" spans="2:5" ht="14.25" customHeight="1" x14ac:dyDescent="0.25">
      <c r="B7906" s="103"/>
      <c r="D7906" s="80"/>
      <c r="E7906" s="80"/>
    </row>
    <row r="7907" spans="2:5" ht="14.25" customHeight="1" x14ac:dyDescent="0.25">
      <c r="B7907" s="103"/>
      <c r="D7907" s="80"/>
      <c r="E7907" s="80"/>
    </row>
    <row r="7908" spans="2:5" ht="14.25" customHeight="1" x14ac:dyDescent="0.25">
      <c r="B7908" s="103"/>
      <c r="D7908" s="80"/>
      <c r="E7908" s="80"/>
    </row>
    <row r="7909" spans="2:5" ht="14.25" customHeight="1" x14ac:dyDescent="0.25">
      <c r="B7909" s="103"/>
      <c r="D7909" s="80"/>
      <c r="E7909" s="80"/>
    </row>
    <row r="7910" spans="2:5" ht="14.25" customHeight="1" x14ac:dyDescent="0.25">
      <c r="B7910" s="103"/>
      <c r="D7910" s="80"/>
      <c r="E7910" s="80"/>
    </row>
    <row r="7911" spans="2:5" ht="14.25" customHeight="1" x14ac:dyDescent="0.25">
      <c r="B7911" s="103"/>
      <c r="D7911" s="80"/>
      <c r="E7911" s="80"/>
    </row>
    <row r="7912" spans="2:5" ht="14.25" customHeight="1" x14ac:dyDescent="0.25">
      <c r="B7912" s="103"/>
      <c r="D7912" s="80"/>
      <c r="E7912" s="80"/>
    </row>
    <row r="7913" spans="2:5" ht="14.25" customHeight="1" x14ac:dyDescent="0.25">
      <c r="B7913" s="103"/>
      <c r="D7913" s="80"/>
      <c r="E7913" s="80"/>
    </row>
    <row r="7914" spans="2:5" ht="14.25" customHeight="1" x14ac:dyDescent="0.25">
      <c r="B7914" s="103"/>
      <c r="D7914" s="80"/>
      <c r="E7914" s="80"/>
    </row>
    <row r="7915" spans="2:5" ht="14.25" customHeight="1" x14ac:dyDescent="0.25">
      <c r="B7915" s="103"/>
      <c r="D7915" s="80"/>
      <c r="E7915" s="80"/>
    </row>
    <row r="7916" spans="2:5" ht="14.25" customHeight="1" x14ac:dyDescent="0.25">
      <c r="B7916" s="103"/>
      <c r="D7916" s="80"/>
      <c r="E7916" s="80"/>
    </row>
    <row r="7917" spans="2:5" ht="14.25" customHeight="1" x14ac:dyDescent="0.25">
      <c r="B7917" s="103"/>
      <c r="D7917" s="80"/>
      <c r="E7917" s="80"/>
    </row>
    <row r="7918" spans="2:5" ht="14.25" customHeight="1" x14ac:dyDescent="0.25">
      <c r="B7918" s="103"/>
      <c r="D7918" s="80"/>
      <c r="E7918" s="80"/>
    </row>
    <row r="7919" spans="2:5" ht="14.25" customHeight="1" x14ac:dyDescent="0.25">
      <c r="B7919" s="103"/>
      <c r="D7919" s="80"/>
      <c r="E7919" s="80"/>
    </row>
    <row r="7920" spans="2:5" ht="14.25" customHeight="1" x14ac:dyDescent="0.25">
      <c r="B7920" s="103"/>
      <c r="D7920" s="80"/>
      <c r="E7920" s="80"/>
    </row>
    <row r="7921" spans="2:5" ht="14.25" customHeight="1" x14ac:dyDescent="0.25">
      <c r="B7921" s="103"/>
      <c r="D7921" s="80"/>
      <c r="E7921" s="80"/>
    </row>
    <row r="7922" spans="2:5" ht="14.25" customHeight="1" x14ac:dyDescent="0.25">
      <c r="B7922" s="103"/>
      <c r="D7922" s="80"/>
      <c r="E7922" s="80"/>
    </row>
    <row r="7923" spans="2:5" ht="14.25" customHeight="1" x14ac:dyDescent="0.25">
      <c r="B7923" s="103"/>
      <c r="D7923" s="80"/>
      <c r="E7923" s="80"/>
    </row>
    <row r="7924" spans="2:5" ht="14.25" customHeight="1" x14ac:dyDescent="0.25">
      <c r="B7924" s="103"/>
      <c r="D7924" s="80"/>
      <c r="E7924" s="80"/>
    </row>
    <row r="7925" spans="2:5" ht="14.25" customHeight="1" x14ac:dyDescent="0.25">
      <c r="B7925" s="103"/>
      <c r="D7925" s="80"/>
      <c r="E7925" s="80"/>
    </row>
    <row r="7926" spans="2:5" ht="14.25" customHeight="1" x14ac:dyDescent="0.25">
      <c r="B7926" s="103"/>
      <c r="D7926" s="80"/>
      <c r="E7926" s="80"/>
    </row>
    <row r="7927" spans="2:5" ht="14.25" customHeight="1" x14ac:dyDescent="0.25">
      <c r="B7927" s="103"/>
      <c r="D7927" s="80"/>
      <c r="E7927" s="80"/>
    </row>
    <row r="7928" spans="2:5" ht="14.25" customHeight="1" x14ac:dyDescent="0.25">
      <c r="B7928" s="103"/>
      <c r="D7928" s="80"/>
      <c r="E7928" s="80"/>
    </row>
    <row r="7929" spans="2:5" ht="14.25" customHeight="1" x14ac:dyDescent="0.25">
      <c r="B7929" s="103"/>
      <c r="D7929" s="80"/>
      <c r="E7929" s="80"/>
    </row>
    <row r="7930" spans="2:5" ht="14.25" customHeight="1" x14ac:dyDescent="0.25">
      <c r="B7930" s="103"/>
      <c r="D7930" s="80"/>
      <c r="E7930" s="80"/>
    </row>
    <row r="7931" spans="2:5" ht="14.25" customHeight="1" x14ac:dyDescent="0.25">
      <c r="B7931" s="103"/>
      <c r="D7931" s="80"/>
      <c r="E7931" s="80"/>
    </row>
    <row r="7932" spans="2:5" ht="14.25" customHeight="1" x14ac:dyDescent="0.25">
      <c r="B7932" s="103"/>
      <c r="D7932" s="80"/>
      <c r="E7932" s="80"/>
    </row>
    <row r="7933" spans="2:5" ht="14.25" customHeight="1" x14ac:dyDescent="0.25">
      <c r="B7933" s="103"/>
      <c r="D7933" s="80"/>
      <c r="E7933" s="80"/>
    </row>
    <row r="7934" spans="2:5" ht="14.25" customHeight="1" x14ac:dyDescent="0.25">
      <c r="B7934" s="103"/>
      <c r="D7934" s="80"/>
      <c r="E7934" s="80"/>
    </row>
    <row r="7935" spans="2:5" ht="14.25" customHeight="1" x14ac:dyDescent="0.25">
      <c r="B7935" s="103"/>
      <c r="D7935" s="80"/>
      <c r="E7935" s="80"/>
    </row>
    <row r="7936" spans="2:5" ht="14.25" customHeight="1" x14ac:dyDescent="0.25">
      <c r="B7936" s="103"/>
      <c r="D7936" s="80"/>
      <c r="E7936" s="80"/>
    </row>
    <row r="7937" spans="2:5" ht="14.25" customHeight="1" x14ac:dyDescent="0.25">
      <c r="B7937" s="103"/>
      <c r="D7937" s="80"/>
      <c r="E7937" s="80"/>
    </row>
    <row r="7938" spans="2:5" ht="14.25" customHeight="1" x14ac:dyDescent="0.25">
      <c r="B7938" s="103"/>
      <c r="D7938" s="80"/>
      <c r="E7938" s="80"/>
    </row>
    <row r="7939" spans="2:5" ht="14.25" customHeight="1" x14ac:dyDescent="0.25">
      <c r="B7939" s="103"/>
      <c r="D7939" s="80"/>
      <c r="E7939" s="80"/>
    </row>
    <row r="7940" spans="2:5" ht="14.25" customHeight="1" x14ac:dyDescent="0.25">
      <c r="B7940" s="103"/>
      <c r="D7940" s="80"/>
      <c r="E7940" s="80"/>
    </row>
    <row r="7941" spans="2:5" ht="14.25" customHeight="1" x14ac:dyDescent="0.25">
      <c r="B7941" s="103"/>
      <c r="D7941" s="80"/>
      <c r="E7941" s="80"/>
    </row>
    <row r="7942" spans="2:5" ht="14.25" customHeight="1" x14ac:dyDescent="0.25">
      <c r="B7942" s="103"/>
      <c r="D7942" s="80"/>
      <c r="E7942" s="80"/>
    </row>
    <row r="7943" spans="2:5" ht="14.25" customHeight="1" x14ac:dyDescent="0.25">
      <c r="B7943" s="103"/>
      <c r="D7943" s="80"/>
      <c r="E7943" s="80"/>
    </row>
    <row r="7944" spans="2:5" ht="14.25" customHeight="1" x14ac:dyDescent="0.25">
      <c r="B7944" s="103"/>
      <c r="D7944" s="80"/>
      <c r="E7944" s="80"/>
    </row>
    <row r="7945" spans="2:5" ht="14.25" customHeight="1" x14ac:dyDescent="0.25">
      <c r="B7945" s="103"/>
      <c r="D7945" s="80"/>
      <c r="E7945" s="80"/>
    </row>
    <row r="7946" spans="2:5" ht="14.25" customHeight="1" x14ac:dyDescent="0.25">
      <c r="B7946" s="103"/>
      <c r="D7946" s="80"/>
      <c r="E7946" s="80"/>
    </row>
    <row r="7947" spans="2:5" ht="14.25" customHeight="1" x14ac:dyDescent="0.25">
      <c r="B7947" s="103"/>
      <c r="D7947" s="80"/>
      <c r="E7947" s="80"/>
    </row>
    <row r="7948" spans="2:5" ht="14.25" customHeight="1" x14ac:dyDescent="0.25">
      <c r="B7948" s="103"/>
      <c r="D7948" s="80"/>
      <c r="E7948" s="80"/>
    </row>
    <row r="7949" spans="2:5" ht="14.25" customHeight="1" x14ac:dyDescent="0.25">
      <c r="B7949" s="103"/>
      <c r="D7949" s="80"/>
      <c r="E7949" s="80"/>
    </row>
    <row r="7950" spans="2:5" ht="14.25" customHeight="1" x14ac:dyDescent="0.25">
      <c r="B7950" s="103"/>
      <c r="D7950" s="80"/>
      <c r="E7950" s="80"/>
    </row>
    <row r="7951" spans="2:5" ht="14.25" customHeight="1" x14ac:dyDescent="0.25">
      <c r="B7951" s="103"/>
      <c r="D7951" s="80"/>
      <c r="E7951" s="80"/>
    </row>
    <row r="7952" spans="2:5" ht="14.25" customHeight="1" x14ac:dyDescent="0.25">
      <c r="B7952" s="103"/>
      <c r="D7952" s="80"/>
      <c r="E7952" s="80"/>
    </row>
    <row r="7953" spans="2:5" ht="14.25" customHeight="1" x14ac:dyDescent="0.25">
      <c r="B7953" s="103"/>
      <c r="D7953" s="80"/>
      <c r="E7953" s="80"/>
    </row>
    <row r="7954" spans="2:5" ht="14.25" customHeight="1" x14ac:dyDescent="0.25">
      <c r="B7954" s="103"/>
      <c r="D7954" s="80"/>
      <c r="E7954" s="80"/>
    </row>
    <row r="7955" spans="2:5" ht="14.25" customHeight="1" x14ac:dyDescent="0.25">
      <c r="B7955" s="103"/>
      <c r="D7955" s="80"/>
      <c r="E7955" s="80"/>
    </row>
    <row r="7956" spans="2:5" ht="14.25" customHeight="1" x14ac:dyDescent="0.25">
      <c r="B7956" s="103"/>
      <c r="D7956" s="80"/>
      <c r="E7956" s="80"/>
    </row>
    <row r="7957" spans="2:5" ht="14.25" customHeight="1" x14ac:dyDescent="0.25">
      <c r="B7957" s="103"/>
      <c r="D7957" s="80"/>
      <c r="E7957" s="80"/>
    </row>
    <row r="7958" spans="2:5" ht="14.25" customHeight="1" x14ac:dyDescent="0.25">
      <c r="B7958" s="103"/>
      <c r="D7958" s="80"/>
      <c r="E7958" s="80"/>
    </row>
    <row r="7959" spans="2:5" ht="14.25" customHeight="1" x14ac:dyDescent="0.25">
      <c r="B7959" s="103"/>
      <c r="D7959" s="80"/>
      <c r="E7959" s="80"/>
    </row>
    <row r="7960" spans="2:5" ht="14.25" customHeight="1" x14ac:dyDescent="0.25">
      <c r="B7960" s="103"/>
      <c r="D7960" s="80"/>
      <c r="E7960" s="80"/>
    </row>
    <row r="7961" spans="2:5" ht="14.25" customHeight="1" x14ac:dyDescent="0.25">
      <c r="B7961" s="103"/>
      <c r="D7961" s="80"/>
      <c r="E7961" s="80"/>
    </row>
    <row r="7962" spans="2:5" ht="14.25" customHeight="1" x14ac:dyDescent="0.25">
      <c r="B7962" s="103"/>
      <c r="D7962" s="80"/>
      <c r="E7962" s="80"/>
    </row>
    <row r="7963" spans="2:5" ht="14.25" customHeight="1" x14ac:dyDescent="0.25">
      <c r="B7963" s="103"/>
      <c r="D7963" s="80"/>
      <c r="E7963" s="80"/>
    </row>
    <row r="7964" spans="2:5" ht="14.25" customHeight="1" x14ac:dyDescent="0.25">
      <c r="B7964" s="103"/>
      <c r="D7964" s="80"/>
      <c r="E7964" s="80"/>
    </row>
    <row r="7965" spans="2:5" ht="14.25" customHeight="1" x14ac:dyDescent="0.25">
      <c r="B7965" s="103"/>
      <c r="D7965" s="80"/>
      <c r="E7965" s="80"/>
    </row>
    <row r="7966" spans="2:5" ht="14.25" customHeight="1" x14ac:dyDescent="0.25">
      <c r="B7966" s="103"/>
      <c r="D7966" s="80"/>
      <c r="E7966" s="80"/>
    </row>
    <row r="7967" spans="2:5" ht="14.25" customHeight="1" x14ac:dyDescent="0.25">
      <c r="B7967" s="103"/>
      <c r="D7967" s="80"/>
      <c r="E7967" s="80"/>
    </row>
    <row r="7968" spans="2:5" ht="14.25" customHeight="1" x14ac:dyDescent="0.25">
      <c r="B7968" s="103"/>
      <c r="D7968" s="80"/>
      <c r="E7968" s="80"/>
    </row>
    <row r="7969" spans="2:5" ht="14.25" customHeight="1" x14ac:dyDescent="0.25">
      <c r="B7969" s="103"/>
      <c r="D7969" s="80"/>
      <c r="E7969" s="80"/>
    </row>
    <row r="7970" spans="2:5" ht="14.25" customHeight="1" x14ac:dyDescent="0.25">
      <c r="B7970" s="103"/>
      <c r="D7970" s="80"/>
      <c r="E7970" s="80"/>
    </row>
    <row r="7971" spans="2:5" ht="14.25" customHeight="1" x14ac:dyDescent="0.25">
      <c r="B7971" s="103"/>
      <c r="D7971" s="80"/>
      <c r="E7971" s="80"/>
    </row>
    <row r="7972" spans="2:5" ht="14.25" customHeight="1" x14ac:dyDescent="0.25">
      <c r="B7972" s="103"/>
      <c r="D7972" s="80"/>
      <c r="E7972" s="80"/>
    </row>
    <row r="7973" spans="2:5" ht="14.25" customHeight="1" x14ac:dyDescent="0.25">
      <c r="B7973" s="103"/>
      <c r="D7973" s="80"/>
      <c r="E7973" s="80"/>
    </row>
    <row r="7974" spans="2:5" ht="14.25" customHeight="1" x14ac:dyDescent="0.25">
      <c r="B7974" s="103"/>
      <c r="D7974" s="80"/>
      <c r="E7974" s="80"/>
    </row>
    <row r="7975" spans="2:5" ht="14.25" customHeight="1" x14ac:dyDescent="0.25">
      <c r="B7975" s="103"/>
      <c r="D7975" s="80"/>
      <c r="E7975" s="80"/>
    </row>
    <row r="7976" spans="2:5" ht="14.25" customHeight="1" x14ac:dyDescent="0.25">
      <c r="B7976" s="103"/>
      <c r="D7976" s="80"/>
      <c r="E7976" s="80"/>
    </row>
    <row r="7977" spans="2:5" ht="14.25" customHeight="1" x14ac:dyDescent="0.25">
      <c r="B7977" s="103"/>
      <c r="D7977" s="80"/>
      <c r="E7977" s="80"/>
    </row>
    <row r="7978" spans="2:5" ht="14.25" customHeight="1" x14ac:dyDescent="0.25">
      <c r="B7978" s="103"/>
      <c r="D7978" s="80"/>
      <c r="E7978" s="80"/>
    </row>
    <row r="7979" spans="2:5" ht="14.25" customHeight="1" x14ac:dyDescent="0.25">
      <c r="B7979" s="103"/>
      <c r="D7979" s="80"/>
      <c r="E7979" s="80"/>
    </row>
    <row r="7980" spans="2:5" ht="14.25" customHeight="1" x14ac:dyDescent="0.25">
      <c r="B7980" s="103"/>
      <c r="D7980" s="80"/>
      <c r="E7980" s="80"/>
    </row>
    <row r="7981" spans="2:5" ht="14.25" customHeight="1" x14ac:dyDescent="0.25">
      <c r="B7981" s="103"/>
      <c r="D7981" s="80"/>
      <c r="E7981" s="80"/>
    </row>
    <row r="7982" spans="2:5" ht="14.25" customHeight="1" x14ac:dyDescent="0.25">
      <c r="B7982" s="103"/>
      <c r="D7982" s="80"/>
      <c r="E7982" s="80"/>
    </row>
    <row r="7983" spans="2:5" ht="14.25" customHeight="1" x14ac:dyDescent="0.25">
      <c r="B7983" s="103"/>
      <c r="D7983" s="80"/>
      <c r="E7983" s="80"/>
    </row>
    <row r="7984" spans="2:5" ht="14.25" customHeight="1" x14ac:dyDescent="0.25">
      <c r="B7984" s="103"/>
      <c r="D7984" s="80"/>
      <c r="E7984" s="80"/>
    </row>
    <row r="7985" spans="2:5" ht="14.25" customHeight="1" x14ac:dyDescent="0.25">
      <c r="B7985" s="103"/>
      <c r="D7985" s="80"/>
      <c r="E7985" s="80"/>
    </row>
    <row r="7986" spans="2:5" ht="14.25" customHeight="1" x14ac:dyDescent="0.25">
      <c r="B7986" s="103"/>
      <c r="D7986" s="80"/>
      <c r="E7986" s="80"/>
    </row>
    <row r="7987" spans="2:5" ht="14.25" customHeight="1" x14ac:dyDescent="0.25">
      <c r="B7987" s="103"/>
      <c r="D7987" s="80"/>
      <c r="E7987" s="80"/>
    </row>
    <row r="7988" spans="2:5" ht="14.25" customHeight="1" x14ac:dyDescent="0.25">
      <c r="B7988" s="103"/>
      <c r="D7988" s="80"/>
      <c r="E7988" s="80"/>
    </row>
    <row r="7989" spans="2:5" ht="14.25" customHeight="1" x14ac:dyDescent="0.25">
      <c r="B7989" s="103"/>
      <c r="D7989" s="80"/>
      <c r="E7989" s="80"/>
    </row>
    <row r="7990" spans="2:5" ht="14.25" customHeight="1" x14ac:dyDescent="0.25">
      <c r="B7990" s="103"/>
      <c r="D7990" s="80"/>
      <c r="E7990" s="80"/>
    </row>
    <row r="7991" spans="2:5" ht="14.25" customHeight="1" x14ac:dyDescent="0.25">
      <c r="B7991" s="103"/>
      <c r="D7991" s="80"/>
      <c r="E7991" s="80"/>
    </row>
    <row r="7992" spans="2:5" ht="14.25" customHeight="1" x14ac:dyDescent="0.25">
      <c r="B7992" s="103"/>
      <c r="D7992" s="80"/>
      <c r="E7992" s="80"/>
    </row>
    <row r="7993" spans="2:5" ht="14.25" customHeight="1" x14ac:dyDescent="0.25">
      <c r="B7993" s="103"/>
      <c r="D7993" s="80"/>
      <c r="E7993" s="80"/>
    </row>
    <row r="7994" spans="2:5" ht="14.25" customHeight="1" x14ac:dyDescent="0.25">
      <c r="B7994" s="103"/>
      <c r="D7994" s="80"/>
      <c r="E7994" s="80"/>
    </row>
    <row r="7995" spans="2:5" ht="14.25" customHeight="1" x14ac:dyDescent="0.25">
      <c r="B7995" s="103"/>
      <c r="D7995" s="80"/>
      <c r="E7995" s="80"/>
    </row>
    <row r="7996" spans="2:5" ht="14.25" customHeight="1" x14ac:dyDescent="0.25">
      <c r="B7996" s="103"/>
      <c r="D7996" s="80"/>
      <c r="E7996" s="80"/>
    </row>
    <row r="7997" spans="2:5" ht="14.25" customHeight="1" x14ac:dyDescent="0.25">
      <c r="B7997" s="103"/>
      <c r="D7997" s="80"/>
      <c r="E7997" s="80"/>
    </row>
    <row r="7998" spans="2:5" ht="14.25" customHeight="1" x14ac:dyDescent="0.25">
      <c r="B7998" s="103"/>
      <c r="D7998" s="80"/>
      <c r="E7998" s="80"/>
    </row>
    <row r="7999" spans="2:5" ht="14.25" customHeight="1" x14ac:dyDescent="0.25">
      <c r="B7999" s="103"/>
      <c r="D7999" s="80"/>
      <c r="E7999" s="80"/>
    </row>
    <row r="8000" spans="2:5" ht="14.25" customHeight="1" x14ac:dyDescent="0.25">
      <c r="B8000" s="103"/>
      <c r="D8000" s="80"/>
      <c r="E8000" s="80"/>
    </row>
    <row r="8001" spans="2:5" ht="14.25" customHeight="1" x14ac:dyDescent="0.25">
      <c r="B8001" s="103"/>
      <c r="D8001" s="80"/>
      <c r="E8001" s="80"/>
    </row>
    <row r="8002" spans="2:5" ht="14.25" customHeight="1" x14ac:dyDescent="0.25">
      <c r="B8002" s="103"/>
      <c r="D8002" s="80"/>
      <c r="E8002" s="80"/>
    </row>
    <row r="8003" spans="2:5" ht="14.25" customHeight="1" x14ac:dyDescent="0.25">
      <c r="B8003" s="103"/>
      <c r="D8003" s="80"/>
      <c r="E8003" s="80"/>
    </row>
    <row r="8004" spans="2:5" ht="14.25" customHeight="1" x14ac:dyDescent="0.25">
      <c r="B8004" s="103"/>
      <c r="D8004" s="80"/>
      <c r="E8004" s="80"/>
    </row>
    <row r="8005" spans="2:5" ht="14.25" customHeight="1" x14ac:dyDescent="0.25">
      <c r="B8005" s="103"/>
      <c r="D8005" s="80"/>
      <c r="E8005" s="80"/>
    </row>
    <row r="8006" spans="2:5" ht="14.25" customHeight="1" x14ac:dyDescent="0.25">
      <c r="B8006" s="103"/>
      <c r="D8006" s="80"/>
      <c r="E8006" s="80"/>
    </row>
    <row r="8007" spans="2:5" ht="14.25" customHeight="1" x14ac:dyDescent="0.25">
      <c r="B8007" s="103"/>
      <c r="D8007" s="80"/>
      <c r="E8007" s="80"/>
    </row>
    <row r="8008" spans="2:5" ht="14.25" customHeight="1" x14ac:dyDescent="0.25">
      <c r="B8008" s="103"/>
      <c r="D8008" s="80"/>
      <c r="E8008" s="80"/>
    </row>
    <row r="8009" spans="2:5" ht="14.25" customHeight="1" x14ac:dyDescent="0.25">
      <c r="B8009" s="103"/>
      <c r="D8009" s="80"/>
      <c r="E8009" s="80"/>
    </row>
    <row r="8010" spans="2:5" ht="14.25" customHeight="1" x14ac:dyDescent="0.25">
      <c r="B8010" s="103"/>
      <c r="D8010" s="80"/>
      <c r="E8010" s="80"/>
    </row>
    <row r="8011" spans="2:5" ht="14.25" customHeight="1" x14ac:dyDescent="0.25">
      <c r="B8011" s="103"/>
      <c r="D8011" s="80"/>
      <c r="E8011" s="80"/>
    </row>
    <row r="8012" spans="2:5" ht="14.25" customHeight="1" x14ac:dyDescent="0.25">
      <c r="B8012" s="103"/>
      <c r="D8012" s="80"/>
      <c r="E8012" s="80"/>
    </row>
    <row r="8013" spans="2:5" ht="14.25" customHeight="1" x14ac:dyDescent="0.25">
      <c r="B8013" s="103"/>
      <c r="D8013" s="80"/>
      <c r="E8013" s="80"/>
    </row>
    <row r="8014" spans="2:5" ht="14.25" customHeight="1" x14ac:dyDescent="0.25">
      <c r="B8014" s="103"/>
      <c r="D8014" s="80"/>
      <c r="E8014" s="80"/>
    </row>
    <row r="8015" spans="2:5" ht="14.25" customHeight="1" x14ac:dyDescent="0.25">
      <c r="B8015" s="103"/>
      <c r="D8015" s="80"/>
      <c r="E8015" s="80"/>
    </row>
    <row r="8016" spans="2:5" ht="14.25" customHeight="1" x14ac:dyDescent="0.25">
      <c r="B8016" s="103"/>
      <c r="D8016" s="80"/>
      <c r="E8016" s="80"/>
    </row>
    <row r="8017" spans="2:5" ht="14.25" customHeight="1" x14ac:dyDescent="0.25">
      <c r="B8017" s="103"/>
      <c r="D8017" s="80"/>
      <c r="E8017" s="80"/>
    </row>
    <row r="8018" spans="2:5" ht="14.25" customHeight="1" x14ac:dyDescent="0.25">
      <c r="B8018" s="103"/>
      <c r="D8018" s="80"/>
      <c r="E8018" s="80"/>
    </row>
    <row r="8019" spans="2:5" ht="14.25" customHeight="1" x14ac:dyDescent="0.25">
      <c r="B8019" s="103"/>
      <c r="D8019" s="80"/>
      <c r="E8019" s="80"/>
    </row>
    <row r="8020" spans="2:5" ht="14.25" customHeight="1" x14ac:dyDescent="0.25">
      <c r="B8020" s="103"/>
      <c r="D8020" s="80"/>
      <c r="E8020" s="80"/>
    </row>
    <row r="8021" spans="2:5" ht="14.25" customHeight="1" x14ac:dyDescent="0.25">
      <c r="B8021" s="103"/>
      <c r="D8021" s="80"/>
      <c r="E8021" s="80"/>
    </row>
    <row r="8022" spans="2:5" ht="14.25" customHeight="1" x14ac:dyDescent="0.25">
      <c r="B8022" s="103"/>
      <c r="D8022" s="80"/>
      <c r="E8022" s="80"/>
    </row>
    <row r="8023" spans="2:5" ht="14.25" customHeight="1" x14ac:dyDescent="0.25">
      <c r="B8023" s="103"/>
      <c r="D8023" s="80"/>
      <c r="E8023" s="80"/>
    </row>
    <row r="8024" spans="2:5" ht="14.25" customHeight="1" x14ac:dyDescent="0.25">
      <c r="B8024" s="103"/>
      <c r="D8024" s="80"/>
      <c r="E8024" s="80"/>
    </row>
    <row r="8025" spans="2:5" ht="14.25" customHeight="1" x14ac:dyDescent="0.25">
      <c r="B8025" s="103"/>
      <c r="D8025" s="80"/>
      <c r="E8025" s="80"/>
    </row>
    <row r="8026" spans="2:5" ht="14.25" customHeight="1" x14ac:dyDescent="0.25">
      <c r="B8026" s="103"/>
      <c r="D8026" s="80"/>
      <c r="E8026" s="80"/>
    </row>
    <row r="8027" spans="2:5" ht="14.25" customHeight="1" x14ac:dyDescent="0.25">
      <c r="B8027" s="103"/>
      <c r="D8027" s="80"/>
      <c r="E8027" s="80"/>
    </row>
    <row r="8028" spans="2:5" ht="14.25" customHeight="1" x14ac:dyDescent="0.25">
      <c r="B8028" s="103"/>
      <c r="D8028" s="80"/>
      <c r="E8028" s="80"/>
    </row>
    <row r="8029" spans="2:5" ht="14.25" customHeight="1" x14ac:dyDescent="0.25">
      <c r="B8029" s="103"/>
      <c r="D8029" s="80"/>
      <c r="E8029" s="80"/>
    </row>
    <row r="8030" spans="2:5" ht="14.25" customHeight="1" x14ac:dyDescent="0.25">
      <c r="B8030" s="103"/>
      <c r="D8030" s="80"/>
      <c r="E8030" s="80"/>
    </row>
    <row r="8031" spans="2:5" ht="14.25" customHeight="1" x14ac:dyDescent="0.25">
      <c r="B8031" s="103"/>
      <c r="D8031" s="80"/>
      <c r="E8031" s="80"/>
    </row>
    <row r="8032" spans="2:5" ht="14.25" customHeight="1" x14ac:dyDescent="0.25">
      <c r="B8032" s="103"/>
      <c r="D8032" s="80"/>
      <c r="E8032" s="80"/>
    </row>
    <row r="8033" spans="2:5" ht="14.25" customHeight="1" x14ac:dyDescent="0.25">
      <c r="B8033" s="103"/>
      <c r="D8033" s="80"/>
      <c r="E8033" s="80"/>
    </row>
    <row r="8034" spans="2:5" ht="14.25" customHeight="1" x14ac:dyDescent="0.25">
      <c r="B8034" s="103"/>
      <c r="D8034" s="80"/>
      <c r="E8034" s="80"/>
    </row>
    <row r="8035" spans="2:5" ht="14.25" customHeight="1" x14ac:dyDescent="0.25">
      <c r="B8035" s="103"/>
      <c r="D8035" s="80"/>
      <c r="E8035" s="80"/>
    </row>
    <row r="8036" spans="2:5" ht="14.25" customHeight="1" x14ac:dyDescent="0.25">
      <c r="B8036" s="103"/>
      <c r="D8036" s="80"/>
      <c r="E8036" s="80"/>
    </row>
    <row r="8037" spans="2:5" ht="14.25" customHeight="1" x14ac:dyDescent="0.25">
      <c r="B8037" s="103"/>
      <c r="D8037" s="80"/>
      <c r="E8037" s="80"/>
    </row>
    <row r="8038" spans="2:5" ht="14.25" customHeight="1" x14ac:dyDescent="0.25">
      <c r="B8038" s="103"/>
      <c r="D8038" s="80"/>
      <c r="E8038" s="80"/>
    </row>
    <row r="8039" spans="2:5" ht="14.25" customHeight="1" x14ac:dyDescent="0.25">
      <c r="B8039" s="103"/>
      <c r="D8039" s="80"/>
      <c r="E8039" s="80"/>
    </row>
    <row r="8040" spans="2:5" ht="14.25" customHeight="1" x14ac:dyDescent="0.25">
      <c r="B8040" s="103"/>
      <c r="D8040" s="80"/>
      <c r="E8040" s="80"/>
    </row>
    <row r="8041" spans="2:5" ht="14.25" customHeight="1" x14ac:dyDescent="0.25">
      <c r="B8041" s="103"/>
      <c r="D8041" s="80"/>
      <c r="E8041" s="80"/>
    </row>
    <row r="8042" spans="2:5" ht="14.25" customHeight="1" x14ac:dyDescent="0.25">
      <c r="B8042" s="103"/>
      <c r="D8042" s="80"/>
      <c r="E8042" s="80"/>
    </row>
    <row r="8043" spans="2:5" ht="14.25" customHeight="1" x14ac:dyDescent="0.25">
      <c r="B8043" s="103"/>
      <c r="D8043" s="80"/>
      <c r="E8043" s="80"/>
    </row>
    <row r="8044" spans="2:5" ht="14.25" customHeight="1" x14ac:dyDescent="0.25">
      <c r="B8044" s="103"/>
      <c r="D8044" s="80"/>
      <c r="E8044" s="80"/>
    </row>
    <row r="8045" spans="2:5" ht="14.25" customHeight="1" x14ac:dyDescent="0.25">
      <c r="B8045" s="103"/>
      <c r="D8045" s="80"/>
      <c r="E8045" s="80"/>
    </row>
    <row r="8046" spans="2:5" ht="14.25" customHeight="1" x14ac:dyDescent="0.25">
      <c r="B8046" s="103"/>
      <c r="D8046" s="80"/>
      <c r="E8046" s="80"/>
    </row>
    <row r="8047" spans="2:5" ht="14.25" customHeight="1" x14ac:dyDescent="0.25">
      <c r="B8047" s="103"/>
      <c r="D8047" s="80"/>
      <c r="E8047" s="80"/>
    </row>
    <row r="8048" spans="2:5" ht="14.25" customHeight="1" x14ac:dyDescent="0.25">
      <c r="B8048" s="103"/>
      <c r="D8048" s="80"/>
      <c r="E8048" s="80"/>
    </row>
    <row r="8049" spans="2:5" ht="14.25" customHeight="1" x14ac:dyDescent="0.25">
      <c r="B8049" s="103"/>
      <c r="D8049" s="80"/>
      <c r="E8049" s="80"/>
    </row>
    <row r="8050" spans="2:5" ht="14.25" customHeight="1" x14ac:dyDescent="0.25">
      <c r="B8050" s="103"/>
      <c r="D8050" s="80"/>
      <c r="E8050" s="80"/>
    </row>
    <row r="8051" spans="2:5" ht="14.25" customHeight="1" x14ac:dyDescent="0.25">
      <c r="B8051" s="103"/>
      <c r="D8051" s="80"/>
      <c r="E8051" s="80"/>
    </row>
    <row r="8052" spans="2:5" ht="14.25" customHeight="1" x14ac:dyDescent="0.25">
      <c r="B8052" s="103"/>
      <c r="D8052" s="80"/>
      <c r="E8052" s="80"/>
    </row>
    <row r="8053" spans="2:5" ht="14.25" customHeight="1" x14ac:dyDescent="0.25">
      <c r="B8053" s="103"/>
      <c r="D8053" s="80"/>
      <c r="E8053" s="80"/>
    </row>
    <row r="8054" spans="2:5" ht="14.25" customHeight="1" x14ac:dyDescent="0.25">
      <c r="B8054" s="103"/>
      <c r="D8054" s="80"/>
      <c r="E8054" s="80"/>
    </row>
    <row r="8055" spans="2:5" ht="14.25" customHeight="1" x14ac:dyDescent="0.25">
      <c r="B8055" s="103"/>
      <c r="D8055" s="80"/>
      <c r="E8055" s="80"/>
    </row>
    <row r="8056" spans="2:5" ht="14.25" customHeight="1" x14ac:dyDescent="0.25">
      <c r="B8056" s="103"/>
      <c r="D8056" s="80"/>
      <c r="E8056" s="80"/>
    </row>
    <row r="8057" spans="2:5" ht="14.25" customHeight="1" x14ac:dyDescent="0.25">
      <c r="B8057" s="103"/>
      <c r="D8057" s="80"/>
      <c r="E8057" s="80"/>
    </row>
    <row r="8058" spans="2:5" ht="14.25" customHeight="1" x14ac:dyDescent="0.25">
      <c r="B8058" s="103"/>
      <c r="D8058" s="80"/>
      <c r="E8058" s="80"/>
    </row>
    <row r="8059" spans="2:5" ht="14.25" customHeight="1" x14ac:dyDescent="0.25">
      <c r="B8059" s="103"/>
      <c r="D8059" s="80"/>
      <c r="E8059" s="80"/>
    </row>
    <row r="8060" spans="2:5" ht="14.25" customHeight="1" x14ac:dyDescent="0.25">
      <c r="B8060" s="103"/>
      <c r="D8060" s="80"/>
      <c r="E8060" s="80"/>
    </row>
    <row r="8061" spans="2:5" ht="14.25" customHeight="1" x14ac:dyDescent="0.25">
      <c r="B8061" s="103"/>
      <c r="D8061" s="80"/>
      <c r="E8061" s="80"/>
    </row>
    <row r="8062" spans="2:5" ht="14.25" customHeight="1" x14ac:dyDescent="0.25">
      <c r="B8062" s="103"/>
      <c r="D8062" s="80"/>
      <c r="E8062" s="80"/>
    </row>
    <row r="8063" spans="2:5" ht="14.25" customHeight="1" x14ac:dyDescent="0.25">
      <c r="B8063" s="103"/>
      <c r="D8063" s="80"/>
      <c r="E8063" s="80"/>
    </row>
    <row r="8064" spans="2:5" ht="14.25" customHeight="1" x14ac:dyDescent="0.25">
      <c r="B8064" s="103"/>
      <c r="D8064" s="80"/>
      <c r="E8064" s="80"/>
    </row>
    <row r="8065" spans="2:5" ht="14.25" customHeight="1" x14ac:dyDescent="0.25">
      <c r="B8065" s="103"/>
      <c r="D8065" s="80"/>
      <c r="E8065" s="80"/>
    </row>
    <row r="8066" spans="2:5" ht="14.25" customHeight="1" x14ac:dyDescent="0.25">
      <c r="B8066" s="103"/>
      <c r="D8066" s="80"/>
      <c r="E8066" s="80"/>
    </row>
    <row r="8067" spans="2:5" ht="14.25" customHeight="1" x14ac:dyDescent="0.25">
      <c r="B8067" s="103"/>
      <c r="D8067" s="80"/>
      <c r="E8067" s="80"/>
    </row>
    <row r="8068" spans="2:5" ht="14.25" customHeight="1" x14ac:dyDescent="0.25">
      <c r="B8068" s="103"/>
      <c r="D8068" s="80"/>
      <c r="E8068" s="80"/>
    </row>
    <row r="8069" spans="2:5" ht="14.25" customHeight="1" x14ac:dyDescent="0.25">
      <c r="B8069" s="103"/>
      <c r="D8069" s="80"/>
      <c r="E8069" s="80"/>
    </row>
    <row r="8070" spans="2:5" ht="14.25" customHeight="1" x14ac:dyDescent="0.25">
      <c r="B8070" s="103"/>
      <c r="D8070" s="80"/>
      <c r="E8070" s="80"/>
    </row>
    <row r="8071" spans="2:5" ht="14.25" customHeight="1" x14ac:dyDescent="0.25">
      <c r="B8071" s="103"/>
      <c r="D8071" s="80"/>
      <c r="E8071" s="80"/>
    </row>
    <row r="8072" spans="2:5" ht="14.25" customHeight="1" x14ac:dyDescent="0.25">
      <c r="B8072" s="103"/>
      <c r="D8072" s="80"/>
      <c r="E8072" s="80"/>
    </row>
    <row r="8073" spans="2:5" ht="14.25" customHeight="1" x14ac:dyDescent="0.25">
      <c r="B8073" s="103"/>
      <c r="D8073" s="80"/>
      <c r="E8073" s="80"/>
    </row>
    <row r="8074" spans="2:5" ht="14.25" customHeight="1" x14ac:dyDescent="0.25">
      <c r="B8074" s="103"/>
      <c r="D8074" s="80"/>
      <c r="E8074" s="80"/>
    </row>
    <row r="8075" spans="2:5" ht="14.25" customHeight="1" x14ac:dyDescent="0.25">
      <c r="B8075" s="103"/>
      <c r="D8075" s="80"/>
      <c r="E8075" s="80"/>
    </row>
    <row r="8076" spans="2:5" ht="14.25" customHeight="1" x14ac:dyDescent="0.25">
      <c r="B8076" s="103"/>
      <c r="D8076" s="80"/>
      <c r="E8076" s="80"/>
    </row>
    <row r="8077" spans="2:5" ht="14.25" customHeight="1" x14ac:dyDescent="0.25">
      <c r="B8077" s="103"/>
      <c r="D8077" s="80"/>
      <c r="E8077" s="80"/>
    </row>
    <row r="8078" spans="2:5" ht="14.25" customHeight="1" x14ac:dyDescent="0.25">
      <c r="B8078" s="103"/>
      <c r="D8078" s="80"/>
      <c r="E8078" s="80"/>
    </row>
    <row r="8079" spans="2:5" ht="14.25" customHeight="1" x14ac:dyDescent="0.25">
      <c r="B8079" s="103"/>
      <c r="D8079" s="80"/>
      <c r="E8079" s="80"/>
    </row>
    <row r="8080" spans="2:5" ht="14.25" customHeight="1" x14ac:dyDescent="0.25">
      <c r="B8080" s="103"/>
      <c r="D8080" s="80"/>
      <c r="E8080" s="80"/>
    </row>
    <row r="8081" spans="2:5" ht="14.25" customHeight="1" x14ac:dyDescent="0.25">
      <c r="B8081" s="103"/>
      <c r="D8081" s="80"/>
      <c r="E8081" s="80"/>
    </row>
    <row r="8082" spans="2:5" ht="14.25" customHeight="1" x14ac:dyDescent="0.25">
      <c r="B8082" s="103"/>
      <c r="D8082" s="80"/>
      <c r="E8082" s="80"/>
    </row>
    <row r="8083" spans="2:5" ht="14.25" customHeight="1" x14ac:dyDescent="0.25">
      <c r="B8083" s="103"/>
      <c r="D8083" s="80"/>
      <c r="E8083" s="80"/>
    </row>
    <row r="8084" spans="2:5" ht="14.25" customHeight="1" x14ac:dyDescent="0.25">
      <c r="B8084" s="103"/>
      <c r="D8084" s="80"/>
      <c r="E8084" s="80"/>
    </row>
    <row r="8085" spans="2:5" ht="14.25" customHeight="1" x14ac:dyDescent="0.25">
      <c r="B8085" s="103"/>
      <c r="D8085" s="80"/>
      <c r="E8085" s="80"/>
    </row>
    <row r="8086" spans="2:5" ht="14.25" customHeight="1" x14ac:dyDescent="0.25">
      <c r="B8086" s="103"/>
      <c r="D8086" s="80"/>
      <c r="E8086" s="80"/>
    </row>
    <row r="8087" spans="2:5" ht="14.25" customHeight="1" x14ac:dyDescent="0.25">
      <c r="B8087" s="103"/>
      <c r="D8087" s="80"/>
      <c r="E8087" s="80"/>
    </row>
    <row r="8088" spans="2:5" ht="14.25" customHeight="1" x14ac:dyDescent="0.25">
      <c r="B8088" s="103"/>
      <c r="D8088" s="80"/>
      <c r="E8088" s="80"/>
    </row>
    <row r="8089" spans="2:5" ht="14.25" customHeight="1" x14ac:dyDescent="0.25">
      <c r="B8089" s="103"/>
      <c r="D8089" s="80"/>
      <c r="E8089" s="80"/>
    </row>
    <row r="8090" spans="2:5" ht="14.25" customHeight="1" x14ac:dyDescent="0.25">
      <c r="B8090" s="103"/>
      <c r="D8090" s="80"/>
      <c r="E8090" s="80"/>
    </row>
    <row r="8091" spans="2:5" ht="14.25" customHeight="1" x14ac:dyDescent="0.25">
      <c r="B8091" s="103"/>
      <c r="D8091" s="80"/>
      <c r="E8091" s="80"/>
    </row>
    <row r="8092" spans="2:5" ht="14.25" customHeight="1" x14ac:dyDescent="0.25">
      <c r="B8092" s="103"/>
      <c r="D8092" s="80"/>
      <c r="E8092" s="80"/>
    </row>
    <row r="8093" spans="2:5" ht="14.25" customHeight="1" x14ac:dyDescent="0.25">
      <c r="B8093" s="103"/>
      <c r="D8093" s="80"/>
      <c r="E8093" s="80"/>
    </row>
    <row r="8094" spans="2:5" ht="14.25" customHeight="1" x14ac:dyDescent="0.25">
      <c r="B8094" s="103"/>
      <c r="D8094" s="80"/>
      <c r="E8094" s="80"/>
    </row>
    <row r="8095" spans="2:5" ht="14.25" customHeight="1" x14ac:dyDescent="0.25">
      <c r="B8095" s="103"/>
      <c r="D8095" s="80"/>
      <c r="E8095" s="80"/>
    </row>
    <row r="8096" spans="2:5" ht="14.25" customHeight="1" x14ac:dyDescent="0.25">
      <c r="B8096" s="103"/>
      <c r="D8096" s="80"/>
      <c r="E8096" s="80"/>
    </row>
    <row r="8097" spans="2:5" ht="14.25" customHeight="1" x14ac:dyDescent="0.25">
      <c r="B8097" s="103"/>
      <c r="D8097" s="80"/>
      <c r="E8097" s="80"/>
    </row>
    <row r="8098" spans="2:5" ht="14.25" customHeight="1" x14ac:dyDescent="0.25">
      <c r="B8098" s="103"/>
      <c r="D8098" s="80"/>
      <c r="E8098" s="80"/>
    </row>
    <row r="8099" spans="2:5" ht="14.25" customHeight="1" x14ac:dyDescent="0.25">
      <c r="B8099" s="103"/>
      <c r="D8099" s="80"/>
      <c r="E8099" s="80"/>
    </row>
    <row r="8100" spans="2:5" ht="14.25" customHeight="1" x14ac:dyDescent="0.25">
      <c r="B8100" s="103"/>
      <c r="D8100" s="80"/>
      <c r="E8100" s="80"/>
    </row>
    <row r="8101" spans="2:5" ht="14.25" customHeight="1" x14ac:dyDescent="0.25">
      <c r="B8101" s="103"/>
      <c r="D8101" s="80"/>
      <c r="E8101" s="80"/>
    </row>
    <row r="8102" spans="2:5" ht="14.25" customHeight="1" x14ac:dyDescent="0.25">
      <c r="B8102" s="103"/>
      <c r="D8102" s="80"/>
      <c r="E8102" s="80"/>
    </row>
    <row r="8103" spans="2:5" ht="14.25" customHeight="1" x14ac:dyDescent="0.25">
      <c r="B8103" s="103"/>
      <c r="D8103" s="80"/>
      <c r="E8103" s="80"/>
    </row>
    <row r="8104" spans="2:5" ht="14.25" customHeight="1" x14ac:dyDescent="0.25">
      <c r="B8104" s="103"/>
      <c r="D8104" s="80"/>
      <c r="E8104" s="80"/>
    </row>
    <row r="8105" spans="2:5" ht="14.25" customHeight="1" x14ac:dyDescent="0.25">
      <c r="B8105" s="103"/>
      <c r="D8105" s="80"/>
      <c r="E8105" s="80"/>
    </row>
    <row r="8106" spans="2:5" ht="14.25" customHeight="1" x14ac:dyDescent="0.25">
      <c r="B8106" s="103"/>
      <c r="D8106" s="80"/>
      <c r="E8106" s="80"/>
    </row>
    <row r="8107" spans="2:5" ht="14.25" customHeight="1" x14ac:dyDescent="0.25">
      <c r="B8107" s="103"/>
      <c r="D8107" s="80"/>
      <c r="E8107" s="80"/>
    </row>
    <row r="8108" spans="2:5" ht="14.25" customHeight="1" x14ac:dyDescent="0.25">
      <c r="B8108" s="103"/>
      <c r="D8108" s="80"/>
      <c r="E8108" s="80"/>
    </row>
    <row r="8109" spans="2:5" ht="14.25" customHeight="1" x14ac:dyDescent="0.25">
      <c r="B8109" s="103"/>
      <c r="D8109" s="80"/>
      <c r="E8109" s="80"/>
    </row>
    <row r="8110" spans="2:5" ht="14.25" customHeight="1" x14ac:dyDescent="0.25">
      <c r="B8110" s="103"/>
      <c r="D8110" s="80"/>
      <c r="E8110" s="80"/>
    </row>
    <row r="8111" spans="2:5" ht="14.25" customHeight="1" x14ac:dyDescent="0.25">
      <c r="B8111" s="103"/>
      <c r="D8111" s="80"/>
      <c r="E8111" s="80"/>
    </row>
    <row r="8112" spans="2:5" ht="14.25" customHeight="1" x14ac:dyDescent="0.25">
      <c r="B8112" s="103"/>
      <c r="D8112" s="80"/>
      <c r="E8112" s="80"/>
    </row>
    <row r="8113" spans="2:5" ht="14.25" customHeight="1" x14ac:dyDescent="0.25">
      <c r="B8113" s="103"/>
      <c r="D8113" s="80"/>
      <c r="E8113" s="80"/>
    </row>
    <row r="8114" spans="2:5" ht="14.25" customHeight="1" x14ac:dyDescent="0.25">
      <c r="B8114" s="103"/>
      <c r="D8114" s="80"/>
      <c r="E8114" s="80"/>
    </row>
    <row r="8115" spans="2:5" ht="14.25" customHeight="1" x14ac:dyDescent="0.25">
      <c r="B8115" s="103"/>
      <c r="D8115" s="80"/>
      <c r="E8115" s="80"/>
    </row>
    <row r="8116" spans="2:5" ht="14.25" customHeight="1" x14ac:dyDescent="0.25">
      <c r="B8116" s="103"/>
      <c r="D8116" s="80"/>
      <c r="E8116" s="80"/>
    </row>
    <row r="8117" spans="2:5" ht="14.25" customHeight="1" x14ac:dyDescent="0.25">
      <c r="B8117" s="103"/>
      <c r="D8117" s="80"/>
      <c r="E8117" s="80"/>
    </row>
    <row r="8118" spans="2:5" ht="14.25" customHeight="1" x14ac:dyDescent="0.25">
      <c r="B8118" s="103"/>
      <c r="D8118" s="80"/>
      <c r="E8118" s="80"/>
    </row>
    <row r="8119" spans="2:5" ht="14.25" customHeight="1" x14ac:dyDescent="0.25">
      <c r="B8119" s="103"/>
      <c r="D8119" s="80"/>
      <c r="E8119" s="80"/>
    </row>
    <row r="8120" spans="2:5" ht="14.25" customHeight="1" x14ac:dyDescent="0.25">
      <c r="B8120" s="103"/>
      <c r="D8120" s="80"/>
      <c r="E8120" s="80"/>
    </row>
    <row r="8121" spans="2:5" ht="14.25" customHeight="1" x14ac:dyDescent="0.25">
      <c r="B8121" s="103"/>
      <c r="D8121" s="80"/>
      <c r="E8121" s="80"/>
    </row>
    <row r="8122" spans="2:5" ht="14.25" customHeight="1" x14ac:dyDescent="0.25">
      <c r="B8122" s="103"/>
      <c r="D8122" s="80"/>
      <c r="E8122" s="80"/>
    </row>
    <row r="8123" spans="2:5" ht="14.25" customHeight="1" x14ac:dyDescent="0.25">
      <c r="B8123" s="103"/>
      <c r="D8123" s="80"/>
      <c r="E8123" s="80"/>
    </row>
    <row r="8124" spans="2:5" ht="14.25" customHeight="1" x14ac:dyDescent="0.25">
      <c r="B8124" s="103"/>
      <c r="D8124" s="80"/>
      <c r="E8124" s="80"/>
    </row>
    <row r="8125" spans="2:5" ht="14.25" customHeight="1" x14ac:dyDescent="0.25">
      <c r="B8125" s="103"/>
      <c r="D8125" s="80"/>
      <c r="E8125" s="80"/>
    </row>
    <row r="8126" spans="2:5" ht="14.25" customHeight="1" x14ac:dyDescent="0.25">
      <c r="B8126" s="103"/>
      <c r="D8126" s="80"/>
      <c r="E8126" s="80"/>
    </row>
    <row r="8127" spans="2:5" ht="14.25" customHeight="1" x14ac:dyDescent="0.25">
      <c r="B8127" s="103"/>
      <c r="D8127" s="80"/>
      <c r="E8127" s="80"/>
    </row>
    <row r="8128" spans="2:5" ht="14.25" customHeight="1" x14ac:dyDescent="0.25">
      <c r="B8128" s="103"/>
      <c r="D8128" s="80"/>
      <c r="E8128" s="80"/>
    </row>
    <row r="8129" spans="2:5" ht="14.25" customHeight="1" x14ac:dyDescent="0.25">
      <c r="B8129" s="103"/>
      <c r="D8129" s="80"/>
      <c r="E8129" s="80"/>
    </row>
    <row r="8130" spans="2:5" ht="14.25" customHeight="1" x14ac:dyDescent="0.25">
      <c r="B8130" s="103"/>
      <c r="D8130" s="80"/>
      <c r="E8130" s="80"/>
    </row>
    <row r="8131" spans="2:5" ht="14.25" customHeight="1" x14ac:dyDescent="0.25">
      <c r="B8131" s="103"/>
      <c r="D8131" s="80"/>
      <c r="E8131" s="80"/>
    </row>
    <row r="8132" spans="2:5" ht="14.25" customHeight="1" x14ac:dyDescent="0.25">
      <c r="B8132" s="103"/>
      <c r="D8132" s="80"/>
      <c r="E8132" s="80"/>
    </row>
    <row r="8133" spans="2:5" ht="14.25" customHeight="1" x14ac:dyDescent="0.25">
      <c r="B8133" s="103"/>
      <c r="D8133" s="80"/>
      <c r="E8133" s="80"/>
    </row>
    <row r="8134" spans="2:5" ht="14.25" customHeight="1" x14ac:dyDescent="0.25">
      <c r="B8134" s="103"/>
      <c r="D8134" s="80"/>
      <c r="E8134" s="80"/>
    </row>
    <row r="8135" spans="2:5" ht="14.25" customHeight="1" x14ac:dyDescent="0.25">
      <c r="B8135" s="103"/>
      <c r="D8135" s="80"/>
      <c r="E8135" s="80"/>
    </row>
    <row r="8136" spans="2:5" ht="14.25" customHeight="1" x14ac:dyDescent="0.25">
      <c r="B8136" s="103"/>
      <c r="D8136" s="80"/>
      <c r="E8136" s="80"/>
    </row>
    <row r="8137" spans="2:5" ht="14.25" customHeight="1" x14ac:dyDescent="0.25">
      <c r="B8137" s="103"/>
      <c r="D8137" s="80"/>
      <c r="E8137" s="80"/>
    </row>
    <row r="8138" spans="2:5" ht="14.25" customHeight="1" x14ac:dyDescent="0.25">
      <c r="B8138" s="103"/>
      <c r="D8138" s="80"/>
      <c r="E8138" s="80"/>
    </row>
    <row r="8139" spans="2:5" ht="14.25" customHeight="1" x14ac:dyDescent="0.25">
      <c r="B8139" s="103"/>
      <c r="D8139" s="80"/>
      <c r="E8139" s="80"/>
    </row>
    <row r="8140" spans="2:5" ht="14.25" customHeight="1" x14ac:dyDescent="0.25">
      <c r="B8140" s="103"/>
      <c r="D8140" s="80"/>
      <c r="E8140" s="80"/>
    </row>
    <row r="8141" spans="2:5" ht="14.25" customHeight="1" x14ac:dyDescent="0.25">
      <c r="B8141" s="103"/>
      <c r="D8141" s="80"/>
      <c r="E8141" s="80"/>
    </row>
    <row r="8142" spans="2:5" ht="14.25" customHeight="1" x14ac:dyDescent="0.25">
      <c r="B8142" s="103"/>
      <c r="D8142" s="80"/>
      <c r="E8142" s="80"/>
    </row>
    <row r="8143" spans="2:5" ht="14.25" customHeight="1" x14ac:dyDescent="0.25">
      <c r="B8143" s="103"/>
      <c r="D8143" s="80"/>
      <c r="E8143" s="80"/>
    </row>
    <row r="8144" spans="2:5" ht="14.25" customHeight="1" x14ac:dyDescent="0.25">
      <c r="B8144" s="103"/>
      <c r="D8144" s="80"/>
      <c r="E8144" s="80"/>
    </row>
    <row r="8145" spans="2:5" ht="14.25" customHeight="1" x14ac:dyDescent="0.25">
      <c r="B8145" s="103"/>
      <c r="D8145" s="80"/>
      <c r="E8145" s="80"/>
    </row>
    <row r="8146" spans="2:5" ht="14.25" customHeight="1" x14ac:dyDescent="0.25">
      <c r="B8146" s="103"/>
      <c r="D8146" s="80"/>
      <c r="E8146" s="80"/>
    </row>
    <row r="8147" spans="2:5" ht="14.25" customHeight="1" x14ac:dyDescent="0.25">
      <c r="B8147" s="103"/>
      <c r="D8147" s="80"/>
      <c r="E8147" s="80"/>
    </row>
    <row r="8148" spans="2:5" ht="14.25" customHeight="1" x14ac:dyDescent="0.25">
      <c r="B8148" s="103"/>
      <c r="D8148" s="80"/>
      <c r="E8148" s="80"/>
    </row>
    <row r="8149" spans="2:5" ht="14.25" customHeight="1" x14ac:dyDescent="0.25">
      <c r="B8149" s="103"/>
      <c r="D8149" s="80"/>
      <c r="E8149" s="80"/>
    </row>
    <row r="8150" spans="2:5" ht="14.25" customHeight="1" x14ac:dyDescent="0.25">
      <c r="B8150" s="103"/>
      <c r="D8150" s="80"/>
      <c r="E8150" s="80"/>
    </row>
    <row r="8151" spans="2:5" ht="14.25" customHeight="1" x14ac:dyDescent="0.25">
      <c r="B8151" s="103"/>
      <c r="D8151" s="80"/>
      <c r="E8151" s="80"/>
    </row>
    <row r="8152" spans="2:5" ht="14.25" customHeight="1" x14ac:dyDescent="0.25">
      <c r="B8152" s="103"/>
      <c r="D8152" s="80"/>
      <c r="E8152" s="80"/>
    </row>
    <row r="8153" spans="2:5" ht="14.25" customHeight="1" x14ac:dyDescent="0.25">
      <c r="B8153" s="103"/>
      <c r="D8153" s="80"/>
      <c r="E8153" s="80"/>
    </row>
    <row r="8154" spans="2:5" ht="14.25" customHeight="1" x14ac:dyDescent="0.25">
      <c r="B8154" s="103"/>
      <c r="D8154" s="80"/>
      <c r="E8154" s="80"/>
    </row>
    <row r="8155" spans="2:5" ht="14.25" customHeight="1" x14ac:dyDescent="0.25">
      <c r="B8155" s="103"/>
      <c r="D8155" s="80"/>
      <c r="E8155" s="80"/>
    </row>
    <row r="8156" spans="2:5" ht="14.25" customHeight="1" x14ac:dyDescent="0.25">
      <c r="B8156" s="103"/>
      <c r="D8156" s="80"/>
      <c r="E8156" s="80"/>
    </row>
    <row r="8157" spans="2:5" ht="14.25" customHeight="1" x14ac:dyDescent="0.25">
      <c r="B8157" s="103"/>
      <c r="D8157" s="80"/>
      <c r="E8157" s="80"/>
    </row>
    <row r="8158" spans="2:5" ht="14.25" customHeight="1" x14ac:dyDescent="0.25">
      <c r="B8158" s="103"/>
      <c r="D8158" s="80"/>
      <c r="E8158" s="80"/>
    </row>
    <row r="8159" spans="2:5" ht="14.25" customHeight="1" x14ac:dyDescent="0.25">
      <c r="B8159" s="103"/>
      <c r="D8159" s="80"/>
      <c r="E8159" s="80"/>
    </row>
    <row r="8160" spans="2:5" ht="14.25" customHeight="1" x14ac:dyDescent="0.25">
      <c r="B8160" s="103"/>
      <c r="D8160" s="80"/>
      <c r="E8160" s="80"/>
    </row>
    <row r="8161" spans="2:5" ht="14.25" customHeight="1" x14ac:dyDescent="0.25">
      <c r="B8161" s="103"/>
      <c r="D8161" s="80"/>
      <c r="E8161" s="80"/>
    </row>
    <row r="8162" spans="2:5" ht="14.25" customHeight="1" x14ac:dyDescent="0.25">
      <c r="B8162" s="103"/>
      <c r="D8162" s="80"/>
      <c r="E8162" s="80"/>
    </row>
    <row r="8163" spans="2:5" ht="14.25" customHeight="1" x14ac:dyDescent="0.25">
      <c r="B8163" s="103"/>
      <c r="D8163" s="80"/>
      <c r="E8163" s="80"/>
    </row>
    <row r="8164" spans="2:5" ht="14.25" customHeight="1" x14ac:dyDescent="0.25">
      <c r="B8164" s="103"/>
      <c r="D8164" s="80"/>
      <c r="E8164" s="80"/>
    </row>
    <row r="8165" spans="2:5" ht="14.25" customHeight="1" x14ac:dyDescent="0.25">
      <c r="B8165" s="103"/>
      <c r="D8165" s="80"/>
      <c r="E8165" s="80"/>
    </row>
    <row r="8166" spans="2:5" ht="14.25" customHeight="1" x14ac:dyDescent="0.25">
      <c r="B8166" s="103"/>
      <c r="D8166" s="80"/>
      <c r="E8166" s="80"/>
    </row>
    <row r="8167" spans="2:5" ht="14.25" customHeight="1" x14ac:dyDescent="0.25">
      <c r="B8167" s="103"/>
      <c r="D8167" s="80"/>
      <c r="E8167" s="80"/>
    </row>
    <row r="8168" spans="2:5" ht="14.25" customHeight="1" x14ac:dyDescent="0.25">
      <c r="B8168" s="103"/>
      <c r="D8168" s="80"/>
      <c r="E8168" s="80"/>
    </row>
    <row r="8169" spans="2:5" ht="14.25" customHeight="1" x14ac:dyDescent="0.25">
      <c r="B8169" s="103"/>
      <c r="D8169" s="80"/>
      <c r="E8169" s="80"/>
    </row>
    <row r="8170" spans="2:5" ht="14.25" customHeight="1" x14ac:dyDescent="0.25">
      <c r="B8170" s="103"/>
      <c r="D8170" s="80"/>
      <c r="E8170" s="80"/>
    </row>
    <row r="8171" spans="2:5" ht="14.25" customHeight="1" x14ac:dyDescent="0.25">
      <c r="B8171" s="103"/>
      <c r="D8171" s="80"/>
      <c r="E8171" s="80"/>
    </row>
    <row r="8172" spans="2:5" ht="14.25" customHeight="1" x14ac:dyDescent="0.25">
      <c r="B8172" s="103"/>
      <c r="D8172" s="80"/>
      <c r="E8172" s="80"/>
    </row>
    <row r="8173" spans="2:5" ht="14.25" customHeight="1" x14ac:dyDescent="0.25">
      <c r="B8173" s="103"/>
      <c r="D8173" s="80"/>
      <c r="E8173" s="80"/>
    </row>
    <row r="8174" spans="2:5" ht="14.25" customHeight="1" x14ac:dyDescent="0.25">
      <c r="B8174" s="103"/>
      <c r="D8174" s="80"/>
      <c r="E8174" s="80"/>
    </row>
    <row r="8175" spans="2:5" ht="14.25" customHeight="1" x14ac:dyDescent="0.25">
      <c r="B8175" s="103"/>
      <c r="D8175" s="80"/>
      <c r="E8175" s="80"/>
    </row>
    <row r="8176" spans="2:5" ht="14.25" customHeight="1" x14ac:dyDescent="0.25">
      <c r="B8176" s="103"/>
      <c r="D8176" s="80"/>
      <c r="E8176" s="80"/>
    </row>
    <row r="8177" spans="2:5" ht="14.25" customHeight="1" x14ac:dyDescent="0.25">
      <c r="B8177" s="103"/>
      <c r="D8177" s="80"/>
      <c r="E8177" s="80"/>
    </row>
    <row r="8178" spans="2:5" ht="14.25" customHeight="1" x14ac:dyDescent="0.25">
      <c r="B8178" s="103"/>
      <c r="D8178" s="80"/>
      <c r="E8178" s="80"/>
    </row>
    <row r="8179" spans="2:5" ht="14.25" customHeight="1" x14ac:dyDescent="0.25">
      <c r="B8179" s="103"/>
      <c r="D8179" s="80"/>
      <c r="E8179" s="80"/>
    </row>
    <row r="8180" spans="2:5" ht="14.25" customHeight="1" x14ac:dyDescent="0.25">
      <c r="B8180" s="103"/>
      <c r="D8180" s="80"/>
      <c r="E8180" s="80"/>
    </row>
    <row r="8181" spans="2:5" ht="14.25" customHeight="1" x14ac:dyDescent="0.25">
      <c r="B8181" s="103"/>
      <c r="D8181" s="80"/>
      <c r="E8181" s="80"/>
    </row>
    <row r="8182" spans="2:5" ht="14.25" customHeight="1" x14ac:dyDescent="0.25">
      <c r="B8182" s="103"/>
      <c r="D8182" s="80"/>
      <c r="E8182" s="80"/>
    </row>
    <row r="8183" spans="2:5" ht="14.25" customHeight="1" x14ac:dyDescent="0.25">
      <c r="B8183" s="103"/>
      <c r="D8183" s="80"/>
      <c r="E8183" s="80"/>
    </row>
    <row r="8184" spans="2:5" ht="14.25" customHeight="1" x14ac:dyDescent="0.25">
      <c r="B8184" s="103"/>
      <c r="D8184" s="80"/>
      <c r="E8184" s="80"/>
    </row>
    <row r="8185" spans="2:5" ht="14.25" customHeight="1" x14ac:dyDescent="0.25">
      <c r="B8185" s="103"/>
      <c r="D8185" s="80"/>
      <c r="E8185" s="80"/>
    </row>
    <row r="8186" spans="2:5" ht="14.25" customHeight="1" x14ac:dyDescent="0.25">
      <c r="B8186" s="103"/>
      <c r="D8186" s="80"/>
      <c r="E8186" s="80"/>
    </row>
    <row r="8187" spans="2:5" ht="14.25" customHeight="1" x14ac:dyDescent="0.25">
      <c r="B8187" s="103"/>
      <c r="D8187" s="80"/>
      <c r="E8187" s="80"/>
    </row>
    <row r="8188" spans="2:5" ht="14.25" customHeight="1" x14ac:dyDescent="0.25">
      <c r="B8188" s="103"/>
      <c r="D8188" s="80"/>
      <c r="E8188" s="80"/>
    </row>
    <row r="8189" spans="2:5" ht="14.25" customHeight="1" x14ac:dyDescent="0.25">
      <c r="B8189" s="103"/>
      <c r="D8189" s="80"/>
      <c r="E8189" s="80"/>
    </row>
    <row r="8190" spans="2:5" ht="14.25" customHeight="1" x14ac:dyDescent="0.25">
      <c r="B8190" s="103"/>
      <c r="D8190" s="80"/>
      <c r="E8190" s="80"/>
    </row>
    <row r="8191" spans="2:5" ht="14.25" customHeight="1" x14ac:dyDescent="0.25">
      <c r="B8191" s="103"/>
      <c r="D8191" s="80"/>
      <c r="E8191" s="80"/>
    </row>
    <row r="8192" spans="2:5" ht="14.25" customHeight="1" x14ac:dyDescent="0.25">
      <c r="B8192" s="103"/>
      <c r="D8192" s="80"/>
      <c r="E8192" s="80"/>
    </row>
    <row r="8193" spans="2:5" ht="14.25" customHeight="1" x14ac:dyDescent="0.25">
      <c r="B8193" s="103"/>
      <c r="D8193" s="80"/>
      <c r="E8193" s="80"/>
    </row>
    <row r="8194" spans="2:5" ht="14.25" customHeight="1" x14ac:dyDescent="0.25">
      <c r="B8194" s="103"/>
      <c r="D8194" s="80"/>
      <c r="E8194" s="80"/>
    </row>
    <row r="8195" spans="2:5" ht="14.25" customHeight="1" x14ac:dyDescent="0.25">
      <c r="B8195" s="103"/>
      <c r="D8195" s="80"/>
      <c r="E8195" s="80"/>
    </row>
    <row r="8196" spans="2:5" ht="14.25" customHeight="1" x14ac:dyDescent="0.25">
      <c r="B8196" s="103"/>
      <c r="D8196" s="80"/>
      <c r="E8196" s="80"/>
    </row>
    <row r="8197" spans="2:5" ht="14.25" customHeight="1" x14ac:dyDescent="0.25">
      <c r="B8197" s="103"/>
      <c r="D8197" s="80"/>
      <c r="E8197" s="80"/>
    </row>
    <row r="8198" spans="2:5" ht="14.25" customHeight="1" x14ac:dyDescent="0.25">
      <c r="B8198" s="103"/>
      <c r="D8198" s="80"/>
      <c r="E8198" s="80"/>
    </row>
    <row r="8199" spans="2:5" ht="14.25" customHeight="1" x14ac:dyDescent="0.25">
      <c r="B8199" s="103"/>
      <c r="D8199" s="80"/>
      <c r="E8199" s="80"/>
    </row>
    <row r="8200" spans="2:5" ht="14.25" customHeight="1" x14ac:dyDescent="0.25">
      <c r="B8200" s="103"/>
      <c r="D8200" s="80"/>
      <c r="E8200" s="80"/>
    </row>
    <row r="8201" spans="2:5" ht="14.25" customHeight="1" x14ac:dyDescent="0.25">
      <c r="B8201" s="103"/>
      <c r="D8201" s="80"/>
      <c r="E8201" s="80"/>
    </row>
    <row r="8202" spans="2:5" ht="14.25" customHeight="1" x14ac:dyDescent="0.25">
      <c r="B8202" s="103"/>
      <c r="D8202" s="80"/>
      <c r="E8202" s="80"/>
    </row>
    <row r="8203" spans="2:5" ht="14.25" customHeight="1" x14ac:dyDescent="0.25">
      <c r="B8203" s="103"/>
      <c r="D8203" s="80"/>
      <c r="E8203" s="80"/>
    </row>
    <row r="8204" spans="2:5" ht="14.25" customHeight="1" x14ac:dyDescent="0.25">
      <c r="B8204" s="103"/>
      <c r="D8204" s="80"/>
      <c r="E8204" s="80"/>
    </row>
    <row r="8205" spans="2:5" ht="14.25" customHeight="1" x14ac:dyDescent="0.25">
      <c r="B8205" s="103"/>
      <c r="D8205" s="80"/>
      <c r="E8205" s="80"/>
    </row>
    <row r="8206" spans="2:5" ht="14.25" customHeight="1" x14ac:dyDescent="0.25">
      <c r="B8206" s="103"/>
      <c r="D8206" s="80"/>
      <c r="E8206" s="80"/>
    </row>
    <row r="8207" spans="2:5" ht="14.25" customHeight="1" x14ac:dyDescent="0.25">
      <c r="B8207" s="103"/>
      <c r="D8207" s="80"/>
      <c r="E8207" s="80"/>
    </row>
    <row r="8208" spans="2:5" ht="14.25" customHeight="1" x14ac:dyDescent="0.25">
      <c r="B8208" s="103"/>
      <c r="D8208" s="80"/>
      <c r="E8208" s="80"/>
    </row>
    <row r="8209" spans="2:5" ht="14.25" customHeight="1" x14ac:dyDescent="0.25">
      <c r="B8209" s="103"/>
      <c r="D8209" s="80"/>
      <c r="E8209" s="80"/>
    </row>
    <row r="8210" spans="2:5" ht="14.25" customHeight="1" x14ac:dyDescent="0.25">
      <c r="B8210" s="103"/>
      <c r="D8210" s="80"/>
      <c r="E8210" s="80"/>
    </row>
    <row r="8211" spans="2:5" ht="14.25" customHeight="1" x14ac:dyDescent="0.25">
      <c r="B8211" s="103"/>
      <c r="D8211" s="80"/>
      <c r="E8211" s="80"/>
    </row>
    <row r="8212" spans="2:5" ht="14.25" customHeight="1" x14ac:dyDescent="0.25">
      <c r="B8212" s="103"/>
      <c r="D8212" s="80"/>
      <c r="E8212" s="80"/>
    </row>
    <row r="8213" spans="2:5" ht="14.25" customHeight="1" x14ac:dyDescent="0.25">
      <c r="B8213" s="103"/>
      <c r="D8213" s="80"/>
      <c r="E8213" s="80"/>
    </row>
    <row r="8214" spans="2:5" ht="14.25" customHeight="1" x14ac:dyDescent="0.25">
      <c r="B8214" s="103"/>
      <c r="D8214" s="80"/>
      <c r="E8214" s="80"/>
    </row>
    <row r="8215" spans="2:5" ht="14.25" customHeight="1" x14ac:dyDescent="0.25">
      <c r="B8215" s="103"/>
      <c r="D8215" s="80"/>
      <c r="E8215" s="80"/>
    </row>
    <row r="8216" spans="2:5" ht="14.25" customHeight="1" x14ac:dyDescent="0.25">
      <c r="B8216" s="103"/>
      <c r="D8216" s="80"/>
      <c r="E8216" s="80"/>
    </row>
    <row r="8217" spans="2:5" ht="14.25" customHeight="1" x14ac:dyDescent="0.25">
      <c r="B8217" s="103"/>
      <c r="D8217" s="80"/>
      <c r="E8217" s="80"/>
    </row>
    <row r="8218" spans="2:5" ht="14.25" customHeight="1" x14ac:dyDescent="0.25">
      <c r="B8218" s="103"/>
      <c r="D8218" s="80"/>
      <c r="E8218" s="80"/>
    </row>
    <row r="8219" spans="2:5" ht="14.25" customHeight="1" x14ac:dyDescent="0.25">
      <c r="B8219" s="103"/>
      <c r="D8219" s="80"/>
      <c r="E8219" s="80"/>
    </row>
    <row r="8220" spans="2:5" ht="14.25" customHeight="1" x14ac:dyDescent="0.25">
      <c r="B8220" s="103"/>
      <c r="D8220" s="80"/>
      <c r="E8220" s="80"/>
    </row>
    <row r="8221" spans="2:5" ht="14.25" customHeight="1" x14ac:dyDescent="0.25">
      <c r="B8221" s="103"/>
      <c r="D8221" s="80"/>
      <c r="E8221" s="80"/>
    </row>
    <row r="8222" spans="2:5" ht="14.25" customHeight="1" x14ac:dyDescent="0.25">
      <c r="B8222" s="103"/>
      <c r="D8222" s="80"/>
      <c r="E8222" s="80"/>
    </row>
    <row r="8223" spans="2:5" ht="14.25" customHeight="1" x14ac:dyDescent="0.25">
      <c r="B8223" s="103"/>
      <c r="D8223" s="80"/>
      <c r="E8223" s="80"/>
    </row>
    <row r="8224" spans="2:5" ht="14.25" customHeight="1" x14ac:dyDescent="0.25">
      <c r="B8224" s="103"/>
      <c r="D8224" s="80"/>
      <c r="E8224" s="80"/>
    </row>
    <row r="8225" spans="2:5" ht="14.25" customHeight="1" x14ac:dyDescent="0.25">
      <c r="B8225" s="103"/>
      <c r="D8225" s="80"/>
      <c r="E8225" s="80"/>
    </row>
    <row r="8226" spans="2:5" ht="14.25" customHeight="1" x14ac:dyDescent="0.25">
      <c r="B8226" s="103"/>
      <c r="D8226" s="80"/>
      <c r="E8226" s="80"/>
    </row>
    <row r="8227" spans="2:5" ht="14.25" customHeight="1" x14ac:dyDescent="0.25">
      <c r="B8227" s="103"/>
      <c r="D8227" s="80"/>
      <c r="E8227" s="80"/>
    </row>
    <row r="8228" spans="2:5" ht="14.25" customHeight="1" x14ac:dyDescent="0.25">
      <c r="B8228" s="103"/>
      <c r="D8228" s="80"/>
      <c r="E8228" s="80"/>
    </row>
    <row r="8229" spans="2:5" ht="14.25" customHeight="1" x14ac:dyDescent="0.25">
      <c r="B8229" s="103"/>
      <c r="D8229" s="80"/>
      <c r="E8229" s="80"/>
    </row>
    <row r="8230" spans="2:5" ht="14.25" customHeight="1" x14ac:dyDescent="0.25">
      <c r="B8230" s="103"/>
      <c r="D8230" s="80"/>
      <c r="E8230" s="80"/>
    </row>
    <row r="8231" spans="2:5" ht="14.25" customHeight="1" x14ac:dyDescent="0.25">
      <c r="B8231" s="103"/>
      <c r="D8231" s="80"/>
      <c r="E8231" s="80"/>
    </row>
    <row r="8232" spans="2:5" ht="14.25" customHeight="1" x14ac:dyDescent="0.25">
      <c r="B8232" s="103"/>
      <c r="D8232" s="80"/>
      <c r="E8232" s="80"/>
    </row>
    <row r="8233" spans="2:5" ht="14.25" customHeight="1" x14ac:dyDescent="0.25">
      <c r="B8233" s="103"/>
      <c r="D8233" s="80"/>
      <c r="E8233" s="80"/>
    </row>
    <row r="8234" spans="2:5" ht="14.25" customHeight="1" x14ac:dyDescent="0.25">
      <c r="B8234" s="103"/>
      <c r="D8234" s="80"/>
      <c r="E8234" s="80"/>
    </row>
    <row r="8235" spans="2:5" ht="14.25" customHeight="1" x14ac:dyDescent="0.25">
      <c r="B8235" s="103"/>
      <c r="D8235" s="80"/>
      <c r="E8235" s="80"/>
    </row>
    <row r="8236" spans="2:5" ht="14.25" customHeight="1" x14ac:dyDescent="0.25">
      <c r="B8236" s="103"/>
      <c r="D8236" s="80"/>
      <c r="E8236" s="80"/>
    </row>
    <row r="8237" spans="2:5" ht="14.25" customHeight="1" x14ac:dyDescent="0.25">
      <c r="B8237" s="103"/>
      <c r="D8237" s="80"/>
      <c r="E8237" s="80"/>
    </row>
    <row r="8238" spans="2:5" ht="14.25" customHeight="1" x14ac:dyDescent="0.25">
      <c r="B8238" s="103"/>
      <c r="D8238" s="80"/>
      <c r="E8238" s="80"/>
    </row>
    <row r="8239" spans="2:5" ht="14.25" customHeight="1" x14ac:dyDescent="0.25">
      <c r="B8239" s="103"/>
      <c r="D8239" s="80"/>
      <c r="E8239" s="80"/>
    </row>
    <row r="8240" spans="2:5" ht="14.25" customHeight="1" x14ac:dyDescent="0.25">
      <c r="B8240" s="103"/>
      <c r="D8240" s="80"/>
      <c r="E8240" s="80"/>
    </row>
    <row r="8241" spans="2:5" ht="14.25" customHeight="1" x14ac:dyDescent="0.25">
      <c r="B8241" s="103"/>
      <c r="D8241" s="80"/>
      <c r="E8241" s="80"/>
    </row>
    <row r="8242" spans="2:5" ht="14.25" customHeight="1" x14ac:dyDescent="0.25">
      <c r="B8242" s="103"/>
      <c r="D8242" s="80"/>
      <c r="E8242" s="80"/>
    </row>
    <row r="8243" spans="2:5" ht="14.25" customHeight="1" x14ac:dyDescent="0.25">
      <c r="B8243" s="103"/>
      <c r="D8243" s="80"/>
      <c r="E8243" s="80"/>
    </row>
    <row r="8244" spans="2:5" ht="14.25" customHeight="1" x14ac:dyDescent="0.25">
      <c r="B8244" s="103"/>
      <c r="D8244" s="80"/>
      <c r="E8244" s="80"/>
    </row>
    <row r="8245" spans="2:5" ht="14.25" customHeight="1" x14ac:dyDescent="0.25">
      <c r="B8245" s="103"/>
      <c r="D8245" s="80"/>
      <c r="E8245" s="80"/>
    </row>
    <row r="8246" spans="2:5" ht="14.25" customHeight="1" x14ac:dyDescent="0.25">
      <c r="B8246" s="103"/>
      <c r="D8246" s="80"/>
      <c r="E8246" s="80"/>
    </row>
    <row r="8247" spans="2:5" ht="14.25" customHeight="1" x14ac:dyDescent="0.25">
      <c r="B8247" s="103"/>
      <c r="D8247" s="80"/>
      <c r="E8247" s="80"/>
    </row>
    <row r="8248" spans="2:5" ht="14.25" customHeight="1" x14ac:dyDescent="0.25">
      <c r="B8248" s="103"/>
      <c r="D8248" s="80"/>
      <c r="E8248" s="80"/>
    </row>
    <row r="8249" spans="2:5" ht="14.25" customHeight="1" x14ac:dyDescent="0.25">
      <c r="B8249" s="103"/>
      <c r="D8249" s="80"/>
      <c r="E8249" s="80"/>
    </row>
    <row r="8250" spans="2:5" ht="14.25" customHeight="1" x14ac:dyDescent="0.25">
      <c r="B8250" s="103"/>
      <c r="D8250" s="80"/>
      <c r="E8250" s="80"/>
    </row>
    <row r="8251" spans="2:5" ht="14.25" customHeight="1" x14ac:dyDescent="0.25">
      <c r="B8251" s="103"/>
      <c r="D8251" s="80"/>
      <c r="E8251" s="80"/>
    </row>
    <row r="8252" spans="2:5" ht="14.25" customHeight="1" x14ac:dyDescent="0.25">
      <c r="B8252" s="103"/>
      <c r="D8252" s="80"/>
      <c r="E8252" s="80"/>
    </row>
    <row r="8253" spans="2:5" ht="14.25" customHeight="1" x14ac:dyDescent="0.25">
      <c r="B8253" s="103"/>
      <c r="D8253" s="80"/>
      <c r="E8253" s="80"/>
    </row>
    <row r="8254" spans="2:5" ht="14.25" customHeight="1" x14ac:dyDescent="0.25">
      <c r="B8254" s="103"/>
      <c r="D8254" s="80"/>
      <c r="E8254" s="80"/>
    </row>
    <row r="8255" spans="2:5" ht="14.25" customHeight="1" x14ac:dyDescent="0.25">
      <c r="B8255" s="103"/>
      <c r="D8255" s="80"/>
      <c r="E8255" s="80"/>
    </row>
    <row r="8256" spans="2:5" ht="14.25" customHeight="1" x14ac:dyDescent="0.25">
      <c r="B8256" s="103"/>
      <c r="D8256" s="80"/>
      <c r="E8256" s="80"/>
    </row>
    <row r="8257" spans="2:5" ht="14.25" customHeight="1" x14ac:dyDescent="0.25">
      <c r="B8257" s="103"/>
      <c r="D8257" s="80"/>
      <c r="E8257" s="80"/>
    </row>
    <row r="8258" spans="2:5" ht="14.25" customHeight="1" x14ac:dyDescent="0.25">
      <c r="B8258" s="103"/>
      <c r="D8258" s="80"/>
      <c r="E8258" s="80"/>
    </row>
    <row r="8259" spans="2:5" ht="14.25" customHeight="1" x14ac:dyDescent="0.25">
      <c r="B8259" s="103"/>
      <c r="D8259" s="80"/>
      <c r="E8259" s="80"/>
    </row>
    <row r="8260" spans="2:5" ht="14.25" customHeight="1" x14ac:dyDescent="0.25">
      <c r="B8260" s="103"/>
      <c r="D8260" s="80"/>
      <c r="E8260" s="80"/>
    </row>
    <row r="8261" spans="2:5" ht="14.25" customHeight="1" x14ac:dyDescent="0.25">
      <c r="B8261" s="103"/>
      <c r="D8261" s="80"/>
      <c r="E8261" s="80"/>
    </row>
    <row r="8262" spans="2:5" ht="14.25" customHeight="1" x14ac:dyDescent="0.25">
      <c r="B8262" s="103"/>
      <c r="D8262" s="80"/>
      <c r="E8262" s="80"/>
    </row>
    <row r="8263" spans="2:5" ht="14.25" customHeight="1" x14ac:dyDescent="0.25">
      <c r="B8263" s="103"/>
      <c r="D8263" s="80"/>
      <c r="E8263" s="80"/>
    </row>
    <row r="8264" spans="2:5" ht="14.25" customHeight="1" x14ac:dyDescent="0.25">
      <c r="B8264" s="103"/>
      <c r="D8264" s="80"/>
      <c r="E8264" s="80"/>
    </row>
    <row r="8265" spans="2:5" ht="14.25" customHeight="1" x14ac:dyDescent="0.25">
      <c r="B8265" s="103"/>
      <c r="D8265" s="80"/>
      <c r="E8265" s="80"/>
    </row>
    <row r="8266" spans="2:5" ht="14.25" customHeight="1" x14ac:dyDescent="0.25">
      <c r="B8266" s="103"/>
      <c r="D8266" s="80"/>
      <c r="E8266" s="80"/>
    </row>
    <row r="8267" spans="2:5" ht="14.25" customHeight="1" x14ac:dyDescent="0.25">
      <c r="B8267" s="103"/>
      <c r="D8267" s="80"/>
      <c r="E8267" s="80"/>
    </row>
    <row r="8268" spans="2:5" ht="14.25" customHeight="1" x14ac:dyDescent="0.25">
      <c r="B8268" s="103"/>
      <c r="D8268" s="80"/>
      <c r="E8268" s="80"/>
    </row>
    <row r="8269" spans="2:5" ht="14.25" customHeight="1" x14ac:dyDescent="0.25">
      <c r="B8269" s="103"/>
      <c r="D8269" s="80"/>
      <c r="E8269" s="80"/>
    </row>
    <row r="8270" spans="2:5" ht="14.25" customHeight="1" x14ac:dyDescent="0.25">
      <c r="B8270" s="103"/>
      <c r="D8270" s="80"/>
      <c r="E8270" s="80"/>
    </row>
    <row r="8271" spans="2:5" ht="14.25" customHeight="1" x14ac:dyDescent="0.25">
      <c r="B8271" s="103"/>
      <c r="D8271" s="80"/>
      <c r="E8271" s="80"/>
    </row>
    <row r="8272" spans="2:5" ht="14.25" customHeight="1" x14ac:dyDescent="0.25">
      <c r="B8272" s="103"/>
      <c r="D8272" s="80"/>
      <c r="E8272" s="80"/>
    </row>
    <row r="8273" spans="2:5" ht="14.25" customHeight="1" x14ac:dyDescent="0.25">
      <c r="B8273" s="103"/>
      <c r="D8273" s="80"/>
      <c r="E8273" s="80"/>
    </row>
    <row r="8274" spans="2:5" ht="14.25" customHeight="1" x14ac:dyDescent="0.25">
      <c r="B8274" s="103"/>
      <c r="D8274" s="80"/>
      <c r="E8274" s="80"/>
    </row>
    <row r="8275" spans="2:5" ht="14.25" customHeight="1" x14ac:dyDescent="0.25">
      <c r="B8275" s="103"/>
      <c r="D8275" s="80"/>
      <c r="E8275" s="80"/>
    </row>
    <row r="8276" spans="2:5" ht="14.25" customHeight="1" x14ac:dyDescent="0.25">
      <c r="B8276" s="103"/>
      <c r="D8276" s="80"/>
      <c r="E8276" s="80"/>
    </row>
    <row r="8277" spans="2:5" ht="14.25" customHeight="1" x14ac:dyDescent="0.25">
      <c r="B8277" s="103"/>
      <c r="D8277" s="80"/>
      <c r="E8277" s="80"/>
    </row>
    <row r="8278" spans="2:5" ht="14.25" customHeight="1" x14ac:dyDescent="0.25">
      <c r="B8278" s="103"/>
      <c r="D8278" s="80"/>
      <c r="E8278" s="80"/>
    </row>
    <row r="8279" spans="2:5" ht="14.25" customHeight="1" x14ac:dyDescent="0.25">
      <c r="B8279" s="103"/>
      <c r="D8279" s="80"/>
      <c r="E8279" s="80"/>
    </row>
    <row r="8280" spans="2:5" ht="14.25" customHeight="1" x14ac:dyDescent="0.25">
      <c r="B8280" s="103"/>
      <c r="D8280" s="80"/>
      <c r="E8280" s="80"/>
    </row>
    <row r="8281" spans="2:5" ht="14.25" customHeight="1" x14ac:dyDescent="0.25">
      <c r="B8281" s="103"/>
      <c r="D8281" s="80"/>
      <c r="E8281" s="80"/>
    </row>
    <row r="8282" spans="2:5" ht="14.25" customHeight="1" x14ac:dyDescent="0.25">
      <c r="B8282" s="103"/>
      <c r="D8282" s="80"/>
      <c r="E8282" s="80"/>
    </row>
    <row r="8283" spans="2:5" ht="14.25" customHeight="1" x14ac:dyDescent="0.25">
      <c r="B8283" s="103"/>
      <c r="D8283" s="80"/>
      <c r="E8283" s="80"/>
    </row>
    <row r="8284" spans="2:5" ht="14.25" customHeight="1" x14ac:dyDescent="0.25">
      <c r="B8284" s="103"/>
      <c r="D8284" s="80"/>
      <c r="E8284" s="80"/>
    </row>
    <row r="8285" spans="2:5" ht="14.25" customHeight="1" x14ac:dyDescent="0.25">
      <c r="B8285" s="103"/>
      <c r="D8285" s="80"/>
      <c r="E8285" s="80"/>
    </row>
    <row r="8286" spans="2:5" ht="14.25" customHeight="1" x14ac:dyDescent="0.25">
      <c r="B8286" s="103"/>
      <c r="D8286" s="80"/>
      <c r="E8286" s="80"/>
    </row>
    <row r="8287" spans="2:5" ht="14.25" customHeight="1" x14ac:dyDescent="0.25">
      <c r="B8287" s="103"/>
      <c r="D8287" s="80"/>
      <c r="E8287" s="80"/>
    </row>
    <row r="8288" spans="2:5" ht="14.25" customHeight="1" x14ac:dyDescent="0.25">
      <c r="B8288" s="103"/>
      <c r="D8288" s="80"/>
      <c r="E8288" s="80"/>
    </row>
    <row r="8289" spans="2:5" ht="14.25" customHeight="1" x14ac:dyDescent="0.25">
      <c r="B8289" s="103"/>
      <c r="D8289" s="80"/>
      <c r="E8289" s="80"/>
    </row>
    <row r="8290" spans="2:5" ht="14.25" customHeight="1" x14ac:dyDescent="0.25">
      <c r="B8290" s="103"/>
      <c r="D8290" s="80"/>
      <c r="E8290" s="80"/>
    </row>
    <row r="8291" spans="2:5" ht="14.25" customHeight="1" x14ac:dyDescent="0.25">
      <c r="B8291" s="103"/>
      <c r="D8291" s="80"/>
      <c r="E8291" s="80"/>
    </row>
    <row r="8292" spans="2:5" ht="14.25" customHeight="1" x14ac:dyDescent="0.25">
      <c r="B8292" s="103"/>
      <c r="D8292" s="80"/>
      <c r="E8292" s="80"/>
    </row>
    <row r="8293" spans="2:5" ht="14.25" customHeight="1" x14ac:dyDescent="0.25">
      <c r="B8293" s="103"/>
      <c r="D8293" s="80"/>
      <c r="E8293" s="80"/>
    </row>
    <row r="8294" spans="2:5" ht="14.25" customHeight="1" x14ac:dyDescent="0.25">
      <c r="B8294" s="103"/>
      <c r="D8294" s="80"/>
      <c r="E8294" s="80"/>
    </row>
    <row r="8295" spans="2:5" ht="14.25" customHeight="1" x14ac:dyDescent="0.25">
      <c r="B8295" s="103"/>
      <c r="D8295" s="80"/>
      <c r="E8295" s="80"/>
    </row>
    <row r="8296" spans="2:5" ht="14.25" customHeight="1" x14ac:dyDescent="0.25">
      <c r="B8296" s="103"/>
      <c r="D8296" s="80"/>
      <c r="E8296" s="80"/>
    </row>
    <row r="8297" spans="2:5" ht="14.25" customHeight="1" x14ac:dyDescent="0.25">
      <c r="B8297" s="103"/>
      <c r="D8297" s="80"/>
      <c r="E8297" s="80"/>
    </row>
    <row r="8298" spans="2:5" ht="14.25" customHeight="1" x14ac:dyDescent="0.25">
      <c r="B8298" s="103"/>
      <c r="D8298" s="80"/>
      <c r="E8298" s="80"/>
    </row>
    <row r="8299" spans="2:5" ht="14.25" customHeight="1" x14ac:dyDescent="0.25">
      <c r="B8299" s="103"/>
      <c r="D8299" s="80"/>
      <c r="E8299" s="80"/>
    </row>
    <row r="8300" spans="2:5" ht="14.25" customHeight="1" x14ac:dyDescent="0.25">
      <c r="B8300" s="103"/>
      <c r="D8300" s="80"/>
      <c r="E8300" s="80"/>
    </row>
    <row r="8301" spans="2:5" ht="14.25" customHeight="1" x14ac:dyDescent="0.25">
      <c r="B8301" s="103"/>
      <c r="D8301" s="80"/>
      <c r="E8301" s="80"/>
    </row>
    <row r="8302" spans="2:5" ht="14.25" customHeight="1" x14ac:dyDescent="0.25">
      <c r="B8302" s="103"/>
      <c r="D8302" s="80"/>
      <c r="E8302" s="80"/>
    </row>
    <row r="8303" spans="2:5" ht="14.25" customHeight="1" x14ac:dyDescent="0.25">
      <c r="B8303" s="103"/>
      <c r="D8303" s="80"/>
      <c r="E8303" s="80"/>
    </row>
    <row r="8304" spans="2:5" ht="14.25" customHeight="1" x14ac:dyDescent="0.25">
      <c r="B8304" s="103"/>
      <c r="D8304" s="80"/>
      <c r="E8304" s="80"/>
    </row>
    <row r="8305" spans="2:5" ht="14.25" customHeight="1" x14ac:dyDescent="0.25">
      <c r="B8305" s="103"/>
      <c r="D8305" s="80"/>
      <c r="E8305" s="80"/>
    </row>
    <row r="8306" spans="2:5" ht="14.25" customHeight="1" x14ac:dyDescent="0.25">
      <c r="B8306" s="103"/>
      <c r="D8306" s="80"/>
      <c r="E8306" s="80"/>
    </row>
    <row r="8307" spans="2:5" ht="14.25" customHeight="1" x14ac:dyDescent="0.25">
      <c r="B8307" s="103"/>
      <c r="D8307" s="80"/>
      <c r="E8307" s="80"/>
    </row>
    <row r="8308" spans="2:5" ht="14.25" customHeight="1" x14ac:dyDescent="0.25">
      <c r="B8308" s="103"/>
      <c r="D8308" s="80"/>
      <c r="E8308" s="80"/>
    </row>
    <row r="8309" spans="2:5" ht="14.25" customHeight="1" x14ac:dyDescent="0.25">
      <c r="B8309" s="103"/>
      <c r="D8309" s="80"/>
      <c r="E8309" s="80"/>
    </row>
    <row r="8310" spans="2:5" ht="14.25" customHeight="1" x14ac:dyDescent="0.25">
      <c r="B8310" s="103"/>
      <c r="D8310" s="80"/>
      <c r="E8310" s="80"/>
    </row>
    <row r="8311" spans="2:5" ht="14.25" customHeight="1" x14ac:dyDescent="0.25">
      <c r="B8311" s="103"/>
      <c r="D8311" s="80"/>
      <c r="E8311" s="80"/>
    </row>
    <row r="8312" spans="2:5" ht="14.25" customHeight="1" x14ac:dyDescent="0.25">
      <c r="B8312" s="103"/>
      <c r="D8312" s="80"/>
      <c r="E8312" s="80"/>
    </row>
    <row r="8313" spans="2:5" ht="14.25" customHeight="1" x14ac:dyDescent="0.25">
      <c r="B8313" s="103"/>
      <c r="D8313" s="80"/>
      <c r="E8313" s="80"/>
    </row>
    <row r="8314" spans="2:5" ht="14.25" customHeight="1" x14ac:dyDescent="0.25">
      <c r="B8314" s="103"/>
      <c r="D8314" s="80"/>
      <c r="E8314" s="80"/>
    </row>
    <row r="8315" spans="2:5" ht="14.25" customHeight="1" x14ac:dyDescent="0.25">
      <c r="B8315" s="103"/>
      <c r="D8315" s="80"/>
      <c r="E8315" s="80"/>
    </row>
    <row r="8316" spans="2:5" ht="14.25" customHeight="1" x14ac:dyDescent="0.25">
      <c r="B8316" s="103"/>
      <c r="D8316" s="80"/>
      <c r="E8316" s="80"/>
    </row>
    <row r="8317" spans="2:5" ht="14.25" customHeight="1" x14ac:dyDescent="0.25">
      <c r="B8317" s="103"/>
      <c r="D8317" s="80"/>
      <c r="E8317" s="80"/>
    </row>
    <row r="8318" spans="2:5" ht="14.25" customHeight="1" x14ac:dyDescent="0.25">
      <c r="B8318" s="103"/>
      <c r="D8318" s="80"/>
      <c r="E8318" s="80"/>
    </row>
    <row r="8319" spans="2:5" ht="14.25" customHeight="1" x14ac:dyDescent="0.25">
      <c r="B8319" s="103"/>
      <c r="D8319" s="80"/>
      <c r="E8319" s="80"/>
    </row>
    <row r="8320" spans="2:5" ht="14.25" customHeight="1" x14ac:dyDescent="0.25">
      <c r="B8320" s="103"/>
      <c r="D8320" s="80"/>
      <c r="E8320" s="80"/>
    </row>
    <row r="8321" spans="2:5" ht="14.25" customHeight="1" x14ac:dyDescent="0.25">
      <c r="B8321" s="103"/>
      <c r="D8321" s="80"/>
      <c r="E8321" s="80"/>
    </row>
    <row r="8322" spans="2:5" ht="14.25" customHeight="1" x14ac:dyDescent="0.25">
      <c r="B8322" s="103"/>
      <c r="D8322" s="80"/>
      <c r="E8322" s="80"/>
    </row>
    <row r="8323" spans="2:5" ht="14.25" customHeight="1" x14ac:dyDescent="0.25">
      <c r="B8323" s="103"/>
      <c r="D8323" s="80"/>
      <c r="E8323" s="80"/>
    </row>
    <row r="8324" spans="2:5" ht="14.25" customHeight="1" x14ac:dyDescent="0.25">
      <c r="B8324" s="103"/>
      <c r="D8324" s="80"/>
      <c r="E8324" s="80"/>
    </row>
    <row r="8325" spans="2:5" ht="14.25" customHeight="1" x14ac:dyDescent="0.25">
      <c r="B8325" s="103"/>
      <c r="D8325" s="80"/>
      <c r="E8325" s="80"/>
    </row>
    <row r="8326" spans="2:5" ht="14.25" customHeight="1" x14ac:dyDescent="0.25">
      <c r="B8326" s="103"/>
      <c r="D8326" s="80"/>
      <c r="E8326" s="80"/>
    </row>
    <row r="8327" spans="2:5" ht="14.25" customHeight="1" x14ac:dyDescent="0.25">
      <c r="B8327" s="103"/>
      <c r="D8327" s="80"/>
      <c r="E8327" s="80"/>
    </row>
    <row r="8328" spans="2:5" ht="14.25" customHeight="1" x14ac:dyDescent="0.25">
      <c r="B8328" s="103"/>
      <c r="D8328" s="80"/>
      <c r="E8328" s="80"/>
    </row>
    <row r="8329" spans="2:5" ht="14.25" customHeight="1" x14ac:dyDescent="0.25">
      <c r="B8329" s="103"/>
      <c r="D8329" s="80"/>
      <c r="E8329" s="80"/>
    </row>
    <row r="8330" spans="2:5" ht="14.25" customHeight="1" x14ac:dyDescent="0.25">
      <c r="B8330" s="103"/>
      <c r="D8330" s="80"/>
      <c r="E8330" s="80"/>
    </row>
    <row r="8331" spans="2:5" ht="14.25" customHeight="1" x14ac:dyDescent="0.25">
      <c r="B8331" s="103"/>
      <c r="D8331" s="80"/>
      <c r="E8331" s="80"/>
    </row>
    <row r="8332" spans="2:5" ht="14.25" customHeight="1" x14ac:dyDescent="0.25">
      <c r="B8332" s="103"/>
      <c r="D8332" s="80"/>
      <c r="E8332" s="80"/>
    </row>
    <row r="8333" spans="2:5" ht="14.25" customHeight="1" x14ac:dyDescent="0.25">
      <c r="B8333" s="103"/>
      <c r="D8333" s="80"/>
      <c r="E8333" s="80"/>
    </row>
    <row r="8334" spans="2:5" ht="14.25" customHeight="1" x14ac:dyDescent="0.25">
      <c r="B8334" s="103"/>
      <c r="D8334" s="80"/>
      <c r="E8334" s="80"/>
    </row>
    <row r="8335" spans="2:5" ht="14.25" customHeight="1" x14ac:dyDescent="0.25">
      <c r="B8335" s="103"/>
      <c r="D8335" s="80"/>
      <c r="E8335" s="80"/>
    </row>
    <row r="8336" spans="2:5" ht="14.25" customHeight="1" x14ac:dyDescent="0.25">
      <c r="B8336" s="103"/>
      <c r="D8336" s="80"/>
      <c r="E8336" s="80"/>
    </row>
    <row r="8337" spans="2:5" ht="14.25" customHeight="1" x14ac:dyDescent="0.25">
      <c r="B8337" s="103"/>
      <c r="D8337" s="80"/>
      <c r="E8337" s="80"/>
    </row>
    <row r="8338" spans="2:5" ht="14.25" customHeight="1" x14ac:dyDescent="0.25">
      <c r="B8338" s="103"/>
      <c r="D8338" s="80"/>
      <c r="E8338" s="80"/>
    </row>
    <row r="8339" spans="2:5" ht="14.25" customHeight="1" x14ac:dyDescent="0.25">
      <c r="B8339" s="103"/>
      <c r="D8339" s="80"/>
      <c r="E8339" s="80"/>
    </row>
    <row r="8340" spans="2:5" ht="14.25" customHeight="1" x14ac:dyDescent="0.25">
      <c r="B8340" s="103"/>
      <c r="D8340" s="80"/>
      <c r="E8340" s="80"/>
    </row>
    <row r="8341" spans="2:5" ht="14.25" customHeight="1" x14ac:dyDescent="0.25">
      <c r="B8341" s="103"/>
      <c r="D8341" s="80"/>
      <c r="E8341" s="80"/>
    </row>
    <row r="8342" spans="2:5" ht="14.25" customHeight="1" x14ac:dyDescent="0.25">
      <c r="B8342" s="103"/>
      <c r="D8342" s="80"/>
      <c r="E8342" s="80"/>
    </row>
    <row r="8343" spans="2:5" ht="14.25" customHeight="1" x14ac:dyDescent="0.25">
      <c r="B8343" s="103"/>
      <c r="D8343" s="80"/>
      <c r="E8343" s="80"/>
    </row>
    <row r="8344" spans="2:5" ht="14.25" customHeight="1" x14ac:dyDescent="0.25">
      <c r="B8344" s="103"/>
      <c r="D8344" s="80"/>
      <c r="E8344" s="80"/>
    </row>
    <row r="8345" spans="2:5" ht="14.25" customHeight="1" x14ac:dyDescent="0.25">
      <c r="B8345" s="103"/>
      <c r="D8345" s="80"/>
      <c r="E8345" s="80"/>
    </row>
    <row r="8346" spans="2:5" ht="14.25" customHeight="1" x14ac:dyDescent="0.25">
      <c r="B8346" s="103"/>
      <c r="D8346" s="80"/>
      <c r="E8346" s="80"/>
    </row>
    <row r="8347" spans="2:5" ht="14.25" customHeight="1" x14ac:dyDescent="0.25">
      <c r="B8347" s="103"/>
      <c r="D8347" s="80"/>
      <c r="E8347" s="80"/>
    </row>
    <row r="8348" spans="2:5" ht="14.25" customHeight="1" x14ac:dyDescent="0.25">
      <c r="B8348" s="103"/>
      <c r="D8348" s="80"/>
      <c r="E8348" s="80"/>
    </row>
    <row r="8349" spans="2:5" ht="14.25" customHeight="1" x14ac:dyDescent="0.25">
      <c r="B8349" s="103"/>
      <c r="D8349" s="80"/>
      <c r="E8349" s="80"/>
    </row>
    <row r="8350" spans="2:5" ht="14.25" customHeight="1" x14ac:dyDescent="0.25">
      <c r="B8350" s="103"/>
      <c r="D8350" s="80"/>
      <c r="E8350" s="80"/>
    </row>
    <row r="8351" spans="2:5" ht="14.25" customHeight="1" x14ac:dyDescent="0.25">
      <c r="B8351" s="103"/>
      <c r="D8351" s="80"/>
      <c r="E8351" s="80"/>
    </row>
    <row r="8352" spans="2:5" ht="14.25" customHeight="1" x14ac:dyDescent="0.25">
      <c r="B8352" s="103"/>
      <c r="D8352" s="80"/>
      <c r="E8352" s="80"/>
    </row>
    <row r="8353" spans="2:5" ht="14.25" customHeight="1" x14ac:dyDescent="0.25">
      <c r="B8353" s="103"/>
      <c r="D8353" s="80"/>
      <c r="E8353" s="80"/>
    </row>
    <row r="8354" spans="2:5" ht="14.25" customHeight="1" x14ac:dyDescent="0.25">
      <c r="B8354" s="103"/>
      <c r="D8354" s="80"/>
      <c r="E8354" s="80"/>
    </row>
    <row r="8355" spans="2:5" ht="14.25" customHeight="1" x14ac:dyDescent="0.25">
      <c r="B8355" s="103"/>
      <c r="D8355" s="80"/>
      <c r="E8355" s="80"/>
    </row>
    <row r="8356" spans="2:5" ht="14.25" customHeight="1" x14ac:dyDescent="0.25">
      <c r="B8356" s="103"/>
      <c r="D8356" s="80"/>
      <c r="E8356" s="80"/>
    </row>
    <row r="8357" spans="2:5" ht="14.25" customHeight="1" x14ac:dyDescent="0.25">
      <c r="B8357" s="103"/>
      <c r="D8357" s="80"/>
      <c r="E8357" s="80"/>
    </row>
    <row r="8358" spans="2:5" ht="14.25" customHeight="1" x14ac:dyDescent="0.25">
      <c r="B8358" s="103"/>
      <c r="D8358" s="80"/>
      <c r="E8358" s="80"/>
    </row>
    <row r="8359" spans="2:5" ht="14.25" customHeight="1" x14ac:dyDescent="0.25">
      <c r="B8359" s="103"/>
      <c r="D8359" s="80"/>
      <c r="E8359" s="80"/>
    </row>
    <row r="8360" spans="2:5" ht="14.25" customHeight="1" x14ac:dyDescent="0.25">
      <c r="B8360" s="103"/>
      <c r="D8360" s="80"/>
      <c r="E8360" s="80"/>
    </row>
    <row r="8361" spans="2:5" ht="14.25" customHeight="1" x14ac:dyDescent="0.25">
      <c r="B8361" s="103"/>
      <c r="D8361" s="80"/>
      <c r="E8361" s="80"/>
    </row>
    <row r="8362" spans="2:5" ht="14.25" customHeight="1" x14ac:dyDescent="0.25">
      <c r="B8362" s="103"/>
      <c r="D8362" s="80"/>
      <c r="E8362" s="80"/>
    </row>
    <row r="8363" spans="2:5" ht="14.25" customHeight="1" x14ac:dyDescent="0.25">
      <c r="B8363" s="103"/>
      <c r="D8363" s="80"/>
      <c r="E8363" s="80"/>
    </row>
    <row r="8364" spans="2:5" ht="14.25" customHeight="1" x14ac:dyDescent="0.25">
      <c r="B8364" s="103"/>
      <c r="D8364" s="80"/>
      <c r="E8364" s="80"/>
    </row>
    <row r="8365" spans="2:5" ht="14.25" customHeight="1" x14ac:dyDescent="0.25">
      <c r="B8365" s="103"/>
      <c r="D8365" s="80"/>
      <c r="E8365" s="80"/>
    </row>
    <row r="8366" spans="2:5" ht="14.25" customHeight="1" x14ac:dyDescent="0.25">
      <c r="B8366" s="103"/>
      <c r="D8366" s="80"/>
      <c r="E8366" s="80"/>
    </row>
    <row r="8367" spans="2:5" ht="14.25" customHeight="1" x14ac:dyDescent="0.25">
      <c r="B8367" s="103"/>
      <c r="D8367" s="80"/>
      <c r="E8367" s="80"/>
    </row>
    <row r="8368" spans="2:5" ht="14.25" customHeight="1" x14ac:dyDescent="0.25">
      <c r="B8368" s="103"/>
      <c r="D8368" s="80"/>
      <c r="E8368" s="80"/>
    </row>
    <row r="8369" spans="2:5" ht="14.25" customHeight="1" x14ac:dyDescent="0.25">
      <c r="B8369" s="103"/>
      <c r="D8369" s="80"/>
      <c r="E8369" s="80"/>
    </row>
    <row r="8370" spans="2:5" ht="14.25" customHeight="1" x14ac:dyDescent="0.25">
      <c r="B8370" s="103"/>
      <c r="D8370" s="80"/>
      <c r="E8370" s="80"/>
    </row>
    <row r="8371" spans="2:5" ht="14.25" customHeight="1" x14ac:dyDescent="0.25">
      <c r="B8371" s="103"/>
      <c r="D8371" s="80"/>
      <c r="E8371" s="80"/>
    </row>
    <row r="8372" spans="2:5" ht="14.25" customHeight="1" x14ac:dyDescent="0.25">
      <c r="B8372" s="103"/>
      <c r="D8372" s="80"/>
      <c r="E8372" s="80"/>
    </row>
    <row r="8373" spans="2:5" ht="14.25" customHeight="1" x14ac:dyDescent="0.25">
      <c r="B8373" s="103"/>
      <c r="D8373" s="80"/>
      <c r="E8373" s="80"/>
    </row>
    <row r="8374" spans="2:5" ht="14.25" customHeight="1" x14ac:dyDescent="0.25">
      <c r="B8374" s="103"/>
      <c r="D8374" s="80"/>
      <c r="E8374" s="80"/>
    </row>
    <row r="8375" spans="2:5" ht="14.25" customHeight="1" x14ac:dyDescent="0.25">
      <c r="B8375" s="103"/>
      <c r="D8375" s="80"/>
      <c r="E8375" s="80"/>
    </row>
    <row r="8376" spans="2:5" ht="14.25" customHeight="1" x14ac:dyDescent="0.25">
      <c r="B8376" s="103"/>
      <c r="D8376" s="80"/>
      <c r="E8376" s="80"/>
    </row>
    <row r="8377" spans="2:5" ht="14.25" customHeight="1" x14ac:dyDescent="0.25">
      <c r="B8377" s="103"/>
      <c r="D8377" s="80"/>
      <c r="E8377" s="80"/>
    </row>
    <row r="8378" spans="2:5" ht="14.25" customHeight="1" x14ac:dyDescent="0.25">
      <c r="B8378" s="103"/>
      <c r="D8378" s="80"/>
      <c r="E8378" s="80"/>
    </row>
    <row r="8379" spans="2:5" ht="14.25" customHeight="1" x14ac:dyDescent="0.25">
      <c r="B8379" s="103"/>
      <c r="D8379" s="80"/>
      <c r="E8379" s="80"/>
    </row>
    <row r="8380" spans="2:5" ht="14.25" customHeight="1" x14ac:dyDescent="0.25">
      <c r="B8380" s="103"/>
      <c r="D8380" s="80"/>
      <c r="E8380" s="80"/>
    </row>
    <row r="8381" spans="2:5" ht="14.25" customHeight="1" x14ac:dyDescent="0.25">
      <c r="B8381" s="103"/>
      <c r="D8381" s="80"/>
      <c r="E8381" s="80"/>
    </row>
    <row r="8382" spans="2:5" ht="14.25" customHeight="1" x14ac:dyDescent="0.25">
      <c r="B8382" s="103"/>
      <c r="D8382" s="80"/>
      <c r="E8382" s="80"/>
    </row>
    <row r="8383" spans="2:5" ht="14.25" customHeight="1" x14ac:dyDescent="0.25">
      <c r="B8383" s="103"/>
      <c r="D8383" s="80"/>
      <c r="E8383" s="80"/>
    </row>
    <row r="8384" spans="2:5" ht="14.25" customHeight="1" x14ac:dyDescent="0.25">
      <c r="B8384" s="103"/>
      <c r="D8384" s="80"/>
      <c r="E8384" s="80"/>
    </row>
    <row r="8385" spans="2:5" ht="14.25" customHeight="1" x14ac:dyDescent="0.25">
      <c r="B8385" s="103"/>
      <c r="D8385" s="80"/>
      <c r="E8385" s="80"/>
    </row>
    <row r="8386" spans="2:5" ht="14.25" customHeight="1" x14ac:dyDescent="0.25">
      <c r="B8386" s="103"/>
      <c r="D8386" s="80"/>
      <c r="E8386" s="80"/>
    </row>
    <row r="8387" spans="2:5" ht="14.25" customHeight="1" x14ac:dyDescent="0.25">
      <c r="B8387" s="103"/>
      <c r="D8387" s="80"/>
      <c r="E8387" s="80"/>
    </row>
    <row r="8388" spans="2:5" ht="14.25" customHeight="1" x14ac:dyDescent="0.25">
      <c r="B8388" s="103"/>
      <c r="D8388" s="80"/>
      <c r="E8388" s="80"/>
    </row>
    <row r="8389" spans="2:5" ht="14.25" customHeight="1" x14ac:dyDescent="0.25">
      <c r="B8389" s="103"/>
      <c r="D8389" s="80"/>
      <c r="E8389" s="80"/>
    </row>
    <row r="8390" spans="2:5" ht="14.25" customHeight="1" x14ac:dyDescent="0.25">
      <c r="B8390" s="103"/>
      <c r="D8390" s="80"/>
      <c r="E8390" s="80"/>
    </row>
    <row r="8391" spans="2:5" ht="14.25" customHeight="1" x14ac:dyDescent="0.25">
      <c r="B8391" s="103"/>
      <c r="D8391" s="80"/>
      <c r="E8391" s="80"/>
    </row>
    <row r="8392" spans="2:5" ht="14.25" customHeight="1" x14ac:dyDescent="0.25">
      <c r="B8392" s="103"/>
      <c r="D8392" s="80"/>
      <c r="E8392" s="80"/>
    </row>
    <row r="8393" spans="2:5" ht="14.25" customHeight="1" x14ac:dyDescent="0.25">
      <c r="B8393" s="103"/>
      <c r="D8393" s="80"/>
      <c r="E8393" s="80"/>
    </row>
    <row r="8394" spans="2:5" ht="14.25" customHeight="1" x14ac:dyDescent="0.25">
      <c r="B8394" s="103"/>
      <c r="D8394" s="80"/>
      <c r="E8394" s="80"/>
    </row>
    <row r="8395" spans="2:5" ht="14.25" customHeight="1" x14ac:dyDescent="0.25">
      <c r="B8395" s="103"/>
      <c r="D8395" s="80"/>
      <c r="E8395" s="80"/>
    </row>
    <row r="8396" spans="2:5" ht="14.25" customHeight="1" x14ac:dyDescent="0.25">
      <c r="B8396" s="103"/>
      <c r="D8396" s="80"/>
      <c r="E8396" s="80"/>
    </row>
    <row r="8397" spans="2:5" ht="14.25" customHeight="1" x14ac:dyDescent="0.25">
      <c r="B8397" s="103"/>
      <c r="D8397" s="80"/>
      <c r="E8397" s="80"/>
    </row>
    <row r="8398" spans="2:5" ht="14.25" customHeight="1" x14ac:dyDescent="0.25">
      <c r="B8398" s="103"/>
      <c r="D8398" s="80"/>
      <c r="E8398" s="80"/>
    </row>
    <row r="8399" spans="2:5" ht="14.25" customHeight="1" x14ac:dyDescent="0.25">
      <c r="B8399" s="103"/>
      <c r="D8399" s="80"/>
      <c r="E8399" s="80"/>
    </row>
    <row r="8400" spans="2:5" ht="14.25" customHeight="1" x14ac:dyDescent="0.25">
      <c r="B8400" s="103"/>
      <c r="D8400" s="80"/>
      <c r="E8400" s="80"/>
    </row>
    <row r="8401" spans="2:5" ht="14.25" customHeight="1" x14ac:dyDescent="0.25">
      <c r="B8401" s="103"/>
      <c r="D8401" s="80"/>
      <c r="E8401" s="80"/>
    </row>
    <row r="8402" spans="2:5" ht="14.25" customHeight="1" x14ac:dyDescent="0.25">
      <c r="B8402" s="103"/>
      <c r="D8402" s="80"/>
      <c r="E8402" s="80"/>
    </row>
    <row r="8403" spans="2:5" ht="14.25" customHeight="1" x14ac:dyDescent="0.25">
      <c r="B8403" s="103"/>
      <c r="D8403" s="80"/>
      <c r="E8403" s="80"/>
    </row>
    <row r="8404" spans="2:5" ht="14.25" customHeight="1" x14ac:dyDescent="0.25">
      <c r="B8404" s="103"/>
      <c r="D8404" s="80"/>
      <c r="E8404" s="80"/>
    </row>
    <row r="8405" spans="2:5" ht="14.25" customHeight="1" x14ac:dyDescent="0.25">
      <c r="B8405" s="103"/>
      <c r="D8405" s="80"/>
      <c r="E8405" s="80"/>
    </row>
    <row r="8406" spans="2:5" ht="14.25" customHeight="1" x14ac:dyDescent="0.25">
      <c r="B8406" s="103"/>
      <c r="D8406" s="80"/>
      <c r="E8406" s="80"/>
    </row>
    <row r="8407" spans="2:5" ht="14.25" customHeight="1" x14ac:dyDescent="0.25">
      <c r="B8407" s="103"/>
      <c r="D8407" s="80"/>
      <c r="E8407" s="80"/>
    </row>
    <row r="8408" spans="2:5" ht="14.25" customHeight="1" x14ac:dyDescent="0.25">
      <c r="B8408" s="103"/>
      <c r="D8408" s="80"/>
      <c r="E8408" s="80"/>
    </row>
    <row r="8409" spans="2:5" ht="14.25" customHeight="1" x14ac:dyDescent="0.25">
      <c r="B8409" s="103"/>
      <c r="D8409" s="80"/>
      <c r="E8409" s="80"/>
    </row>
    <row r="8410" spans="2:5" ht="14.25" customHeight="1" x14ac:dyDescent="0.25">
      <c r="B8410" s="103"/>
      <c r="D8410" s="80"/>
      <c r="E8410" s="80"/>
    </row>
    <row r="8411" spans="2:5" ht="14.25" customHeight="1" x14ac:dyDescent="0.25">
      <c r="B8411" s="103"/>
      <c r="D8411" s="80"/>
      <c r="E8411" s="80"/>
    </row>
    <row r="8412" spans="2:5" ht="14.25" customHeight="1" x14ac:dyDescent="0.25">
      <c r="B8412" s="103"/>
      <c r="D8412" s="80"/>
      <c r="E8412" s="80"/>
    </row>
    <row r="8413" spans="2:5" ht="14.25" customHeight="1" x14ac:dyDescent="0.25">
      <c r="B8413" s="103"/>
      <c r="D8413" s="80"/>
      <c r="E8413" s="80"/>
    </row>
    <row r="8414" spans="2:5" ht="14.25" customHeight="1" x14ac:dyDescent="0.25">
      <c r="B8414" s="103"/>
      <c r="D8414" s="80"/>
      <c r="E8414" s="80"/>
    </row>
    <row r="8415" spans="2:5" ht="14.25" customHeight="1" x14ac:dyDescent="0.25">
      <c r="B8415" s="103"/>
      <c r="D8415" s="80"/>
      <c r="E8415" s="80"/>
    </row>
    <row r="8416" spans="2:5" ht="14.25" customHeight="1" x14ac:dyDescent="0.25">
      <c r="B8416" s="103"/>
      <c r="D8416" s="80"/>
      <c r="E8416" s="80"/>
    </row>
    <row r="8417" spans="2:5" ht="14.25" customHeight="1" x14ac:dyDescent="0.25">
      <c r="B8417" s="103"/>
      <c r="D8417" s="80"/>
      <c r="E8417" s="80"/>
    </row>
    <row r="8418" spans="2:5" ht="14.25" customHeight="1" x14ac:dyDescent="0.25">
      <c r="B8418" s="103"/>
      <c r="D8418" s="80"/>
      <c r="E8418" s="80"/>
    </row>
    <row r="8419" spans="2:5" ht="14.25" customHeight="1" x14ac:dyDescent="0.25">
      <c r="B8419" s="103"/>
      <c r="D8419" s="80"/>
      <c r="E8419" s="80"/>
    </row>
    <row r="8420" spans="2:5" ht="14.25" customHeight="1" x14ac:dyDescent="0.25">
      <c r="B8420" s="103"/>
      <c r="D8420" s="80"/>
      <c r="E8420" s="80"/>
    </row>
    <row r="8421" spans="2:5" ht="14.25" customHeight="1" x14ac:dyDescent="0.25">
      <c r="B8421" s="103"/>
      <c r="D8421" s="80"/>
      <c r="E8421" s="80"/>
    </row>
    <row r="8422" spans="2:5" ht="14.25" customHeight="1" x14ac:dyDescent="0.25">
      <c r="B8422" s="103"/>
      <c r="D8422" s="80"/>
      <c r="E8422" s="80"/>
    </row>
    <row r="8423" spans="2:5" ht="14.25" customHeight="1" x14ac:dyDescent="0.25">
      <c r="B8423" s="103"/>
      <c r="D8423" s="80"/>
      <c r="E8423" s="80"/>
    </row>
    <row r="8424" spans="2:5" ht="14.25" customHeight="1" x14ac:dyDescent="0.25">
      <c r="B8424" s="103"/>
      <c r="D8424" s="80"/>
      <c r="E8424" s="80"/>
    </row>
    <row r="8425" spans="2:5" ht="14.25" customHeight="1" x14ac:dyDescent="0.25">
      <c r="B8425" s="103"/>
      <c r="D8425" s="80"/>
      <c r="E8425" s="80"/>
    </row>
    <row r="8426" spans="2:5" ht="14.25" customHeight="1" x14ac:dyDescent="0.25">
      <c r="B8426" s="103"/>
      <c r="D8426" s="80"/>
      <c r="E8426" s="80"/>
    </row>
    <row r="8427" spans="2:5" ht="14.25" customHeight="1" x14ac:dyDescent="0.25">
      <c r="B8427" s="103"/>
      <c r="D8427" s="80"/>
      <c r="E8427" s="80"/>
    </row>
    <row r="8428" spans="2:5" ht="14.25" customHeight="1" x14ac:dyDescent="0.25">
      <c r="B8428" s="103"/>
      <c r="D8428" s="80"/>
      <c r="E8428" s="80"/>
    </row>
    <row r="8429" spans="2:5" ht="14.25" customHeight="1" x14ac:dyDescent="0.25">
      <c r="B8429" s="103"/>
      <c r="D8429" s="80"/>
      <c r="E8429" s="80"/>
    </row>
    <row r="8430" spans="2:5" ht="14.25" customHeight="1" x14ac:dyDescent="0.25">
      <c r="B8430" s="103"/>
      <c r="D8430" s="80"/>
      <c r="E8430" s="80"/>
    </row>
    <row r="8431" spans="2:5" ht="14.25" customHeight="1" x14ac:dyDescent="0.25">
      <c r="B8431" s="103"/>
      <c r="D8431" s="80"/>
      <c r="E8431" s="80"/>
    </row>
    <row r="8432" spans="2:5" ht="14.25" customHeight="1" x14ac:dyDescent="0.25">
      <c r="B8432" s="103"/>
      <c r="D8432" s="80"/>
      <c r="E8432" s="80"/>
    </row>
    <row r="8433" spans="2:5" ht="14.25" customHeight="1" x14ac:dyDescent="0.25">
      <c r="B8433" s="103"/>
      <c r="D8433" s="80"/>
      <c r="E8433" s="80"/>
    </row>
    <row r="8434" spans="2:5" ht="14.25" customHeight="1" x14ac:dyDescent="0.25">
      <c r="B8434" s="103"/>
      <c r="D8434" s="80"/>
      <c r="E8434" s="80"/>
    </row>
    <row r="8435" spans="2:5" ht="14.25" customHeight="1" x14ac:dyDescent="0.25">
      <c r="B8435" s="103"/>
      <c r="D8435" s="80"/>
      <c r="E8435" s="80"/>
    </row>
    <row r="8436" spans="2:5" ht="14.25" customHeight="1" x14ac:dyDescent="0.25">
      <c r="B8436" s="103"/>
      <c r="D8436" s="80"/>
      <c r="E8436" s="80"/>
    </row>
    <row r="8437" spans="2:5" ht="14.25" customHeight="1" x14ac:dyDescent="0.25">
      <c r="B8437" s="103"/>
      <c r="D8437" s="80"/>
      <c r="E8437" s="80"/>
    </row>
    <row r="8438" spans="2:5" ht="14.25" customHeight="1" x14ac:dyDescent="0.25">
      <c r="B8438" s="103"/>
      <c r="D8438" s="80"/>
      <c r="E8438" s="80"/>
    </row>
    <row r="8439" spans="2:5" ht="14.25" customHeight="1" x14ac:dyDescent="0.25">
      <c r="B8439" s="103"/>
      <c r="D8439" s="80"/>
      <c r="E8439" s="80"/>
    </row>
    <row r="8440" spans="2:5" ht="14.25" customHeight="1" x14ac:dyDescent="0.25">
      <c r="B8440" s="103"/>
      <c r="D8440" s="80"/>
      <c r="E8440" s="80"/>
    </row>
    <row r="8441" spans="2:5" ht="14.25" customHeight="1" x14ac:dyDescent="0.25">
      <c r="B8441" s="103"/>
      <c r="D8441" s="80"/>
      <c r="E8441" s="80"/>
    </row>
    <row r="8442" spans="2:5" ht="14.25" customHeight="1" x14ac:dyDescent="0.25">
      <c r="B8442" s="103"/>
      <c r="D8442" s="80"/>
      <c r="E8442" s="80"/>
    </row>
    <row r="8443" spans="2:5" ht="14.25" customHeight="1" x14ac:dyDescent="0.25">
      <c r="B8443" s="103"/>
      <c r="D8443" s="80"/>
      <c r="E8443" s="80"/>
    </row>
    <row r="8444" spans="2:5" ht="14.25" customHeight="1" x14ac:dyDescent="0.25">
      <c r="B8444" s="103"/>
      <c r="D8444" s="80"/>
      <c r="E8444" s="80"/>
    </row>
    <row r="8445" spans="2:5" ht="14.25" customHeight="1" x14ac:dyDescent="0.25">
      <c r="B8445" s="103"/>
      <c r="D8445" s="80"/>
      <c r="E8445" s="80"/>
    </row>
    <row r="8446" spans="2:5" ht="14.25" customHeight="1" x14ac:dyDescent="0.25">
      <c r="B8446" s="103"/>
      <c r="D8446" s="80"/>
      <c r="E8446" s="80"/>
    </row>
    <row r="8447" spans="2:5" ht="14.25" customHeight="1" x14ac:dyDescent="0.25">
      <c r="B8447" s="103"/>
      <c r="D8447" s="80"/>
      <c r="E8447" s="80"/>
    </row>
    <row r="8448" spans="2:5" ht="14.25" customHeight="1" x14ac:dyDescent="0.25">
      <c r="B8448" s="103"/>
      <c r="D8448" s="80"/>
      <c r="E8448" s="80"/>
    </row>
    <row r="8449" spans="2:5" ht="14.25" customHeight="1" x14ac:dyDescent="0.25">
      <c r="B8449" s="103"/>
      <c r="D8449" s="80"/>
      <c r="E8449" s="80"/>
    </row>
    <row r="8450" spans="2:5" ht="14.25" customHeight="1" x14ac:dyDescent="0.25">
      <c r="B8450" s="103"/>
      <c r="D8450" s="80"/>
      <c r="E8450" s="80"/>
    </row>
    <row r="8451" spans="2:5" ht="14.25" customHeight="1" x14ac:dyDescent="0.25">
      <c r="B8451" s="103"/>
      <c r="D8451" s="80"/>
      <c r="E8451" s="80"/>
    </row>
    <row r="8452" spans="2:5" ht="14.25" customHeight="1" x14ac:dyDescent="0.25">
      <c r="B8452" s="103"/>
      <c r="D8452" s="80"/>
      <c r="E8452" s="80"/>
    </row>
    <row r="8453" spans="2:5" ht="14.25" customHeight="1" x14ac:dyDescent="0.25">
      <c r="B8453" s="103"/>
      <c r="D8453" s="80"/>
      <c r="E8453" s="80"/>
    </row>
    <row r="8454" spans="2:5" ht="14.25" customHeight="1" x14ac:dyDescent="0.25">
      <c r="B8454" s="103"/>
      <c r="D8454" s="80"/>
      <c r="E8454" s="80"/>
    </row>
    <row r="8455" spans="2:5" ht="14.25" customHeight="1" x14ac:dyDescent="0.25">
      <c r="B8455" s="103"/>
      <c r="D8455" s="80"/>
      <c r="E8455" s="80"/>
    </row>
    <row r="8456" spans="2:5" ht="14.25" customHeight="1" x14ac:dyDescent="0.25">
      <c r="B8456" s="103"/>
      <c r="D8456" s="80"/>
      <c r="E8456" s="80"/>
    </row>
    <row r="8457" spans="2:5" ht="14.25" customHeight="1" x14ac:dyDescent="0.25">
      <c r="B8457" s="103"/>
      <c r="D8457" s="80"/>
      <c r="E8457" s="80"/>
    </row>
    <row r="8458" spans="2:5" ht="14.25" customHeight="1" x14ac:dyDescent="0.25">
      <c r="B8458" s="103"/>
      <c r="D8458" s="80"/>
      <c r="E8458" s="80"/>
    </row>
    <row r="8459" spans="2:5" ht="14.25" customHeight="1" x14ac:dyDescent="0.25">
      <c r="B8459" s="103"/>
      <c r="D8459" s="80"/>
      <c r="E8459" s="80"/>
    </row>
    <row r="8460" spans="2:5" ht="14.25" customHeight="1" x14ac:dyDescent="0.25">
      <c r="B8460" s="103"/>
      <c r="D8460" s="80"/>
      <c r="E8460" s="80"/>
    </row>
    <row r="8461" spans="2:5" ht="14.25" customHeight="1" x14ac:dyDescent="0.25">
      <c r="B8461" s="103"/>
      <c r="D8461" s="80"/>
      <c r="E8461" s="80"/>
    </row>
    <row r="8462" spans="2:5" ht="14.25" customHeight="1" x14ac:dyDescent="0.25">
      <c r="B8462" s="103"/>
      <c r="D8462" s="80"/>
      <c r="E8462" s="80"/>
    </row>
    <row r="8463" spans="2:5" ht="14.25" customHeight="1" x14ac:dyDescent="0.25">
      <c r="B8463" s="103"/>
      <c r="D8463" s="80"/>
      <c r="E8463" s="80"/>
    </row>
    <row r="8464" spans="2:5" ht="14.25" customHeight="1" x14ac:dyDescent="0.25">
      <c r="B8464" s="103"/>
      <c r="D8464" s="80"/>
      <c r="E8464" s="80"/>
    </row>
    <row r="8465" spans="2:5" ht="14.25" customHeight="1" x14ac:dyDescent="0.25">
      <c r="B8465" s="103"/>
      <c r="D8465" s="80"/>
      <c r="E8465" s="80"/>
    </row>
    <row r="8466" spans="2:5" ht="14.25" customHeight="1" x14ac:dyDescent="0.25">
      <c r="B8466" s="103"/>
      <c r="D8466" s="80"/>
      <c r="E8466" s="80"/>
    </row>
    <row r="8467" spans="2:5" ht="14.25" customHeight="1" x14ac:dyDescent="0.25">
      <c r="B8467" s="103"/>
      <c r="D8467" s="80"/>
      <c r="E8467" s="80"/>
    </row>
    <row r="8468" spans="2:5" ht="14.25" customHeight="1" x14ac:dyDescent="0.25">
      <c r="B8468" s="103"/>
      <c r="D8468" s="80"/>
      <c r="E8468" s="80"/>
    </row>
    <row r="8469" spans="2:5" ht="14.25" customHeight="1" x14ac:dyDescent="0.25">
      <c r="B8469" s="103"/>
      <c r="D8469" s="80"/>
      <c r="E8469" s="80"/>
    </row>
    <row r="8470" spans="2:5" ht="14.25" customHeight="1" x14ac:dyDescent="0.25">
      <c r="B8470" s="103"/>
      <c r="D8470" s="80"/>
      <c r="E8470" s="80"/>
    </row>
    <row r="8471" spans="2:5" ht="14.25" customHeight="1" x14ac:dyDescent="0.25">
      <c r="B8471" s="103"/>
      <c r="D8471" s="80"/>
      <c r="E8471" s="80"/>
    </row>
    <row r="8472" spans="2:5" ht="14.25" customHeight="1" x14ac:dyDescent="0.25">
      <c r="B8472" s="103"/>
      <c r="D8472" s="80"/>
      <c r="E8472" s="80"/>
    </row>
    <row r="8473" spans="2:5" ht="14.25" customHeight="1" x14ac:dyDescent="0.25">
      <c r="B8473" s="103"/>
      <c r="D8473" s="80"/>
      <c r="E8473" s="80"/>
    </row>
    <row r="8474" spans="2:5" ht="14.25" customHeight="1" x14ac:dyDescent="0.25">
      <c r="B8474" s="103"/>
      <c r="D8474" s="80"/>
      <c r="E8474" s="80"/>
    </row>
    <row r="8475" spans="2:5" ht="14.25" customHeight="1" x14ac:dyDescent="0.25">
      <c r="B8475" s="103"/>
      <c r="D8475" s="80"/>
      <c r="E8475" s="80"/>
    </row>
    <row r="8476" spans="2:5" ht="14.25" customHeight="1" x14ac:dyDescent="0.25">
      <c r="B8476" s="103"/>
      <c r="D8476" s="80"/>
      <c r="E8476" s="80"/>
    </row>
    <row r="8477" spans="2:5" ht="14.25" customHeight="1" x14ac:dyDescent="0.25">
      <c r="B8477" s="103"/>
      <c r="D8477" s="80"/>
      <c r="E8477" s="80"/>
    </row>
    <row r="8478" spans="2:5" ht="14.25" customHeight="1" x14ac:dyDescent="0.25">
      <c r="B8478" s="103"/>
      <c r="D8478" s="80"/>
      <c r="E8478" s="80"/>
    </row>
    <row r="8479" spans="2:5" ht="14.25" customHeight="1" x14ac:dyDescent="0.25">
      <c r="B8479" s="103"/>
      <c r="D8479" s="80"/>
      <c r="E8479" s="80"/>
    </row>
    <row r="8480" spans="2:5" ht="14.25" customHeight="1" x14ac:dyDescent="0.25">
      <c r="B8480" s="103"/>
      <c r="D8480" s="80"/>
      <c r="E8480" s="80"/>
    </row>
    <row r="8481" spans="2:5" ht="14.25" customHeight="1" x14ac:dyDescent="0.25">
      <c r="B8481" s="103"/>
      <c r="D8481" s="80"/>
      <c r="E8481" s="80"/>
    </row>
    <row r="8482" spans="2:5" ht="14.25" customHeight="1" x14ac:dyDescent="0.25">
      <c r="B8482" s="103"/>
      <c r="D8482" s="80"/>
      <c r="E8482" s="80"/>
    </row>
    <row r="8483" spans="2:5" ht="14.25" customHeight="1" x14ac:dyDescent="0.25">
      <c r="B8483" s="103"/>
      <c r="D8483" s="80"/>
      <c r="E8483" s="80"/>
    </row>
    <row r="8484" spans="2:5" ht="14.25" customHeight="1" x14ac:dyDescent="0.25">
      <c r="B8484" s="103"/>
      <c r="D8484" s="80"/>
      <c r="E8484" s="80"/>
    </row>
    <row r="8485" spans="2:5" ht="14.25" customHeight="1" x14ac:dyDescent="0.25">
      <c r="B8485" s="103"/>
      <c r="D8485" s="80"/>
      <c r="E8485" s="80"/>
    </row>
    <row r="8486" spans="2:5" ht="14.25" customHeight="1" x14ac:dyDescent="0.25">
      <c r="B8486" s="103"/>
      <c r="D8486" s="80"/>
      <c r="E8486" s="80"/>
    </row>
    <row r="8487" spans="2:5" ht="14.25" customHeight="1" x14ac:dyDescent="0.25">
      <c r="B8487" s="103"/>
      <c r="D8487" s="80"/>
      <c r="E8487" s="80"/>
    </row>
    <row r="8488" spans="2:5" ht="14.25" customHeight="1" x14ac:dyDescent="0.25">
      <c r="B8488" s="103"/>
      <c r="D8488" s="80"/>
      <c r="E8488" s="80"/>
    </row>
    <row r="8489" spans="2:5" ht="14.25" customHeight="1" x14ac:dyDescent="0.25">
      <c r="B8489" s="103"/>
      <c r="D8489" s="80"/>
      <c r="E8489" s="80"/>
    </row>
    <row r="8490" spans="2:5" ht="14.25" customHeight="1" x14ac:dyDescent="0.25">
      <c r="B8490" s="103"/>
      <c r="D8490" s="80"/>
      <c r="E8490" s="80"/>
    </row>
    <row r="8491" spans="2:5" ht="14.25" customHeight="1" x14ac:dyDescent="0.25">
      <c r="B8491" s="103"/>
      <c r="D8491" s="80"/>
      <c r="E8491" s="80"/>
    </row>
    <row r="8492" spans="2:5" ht="14.25" customHeight="1" x14ac:dyDescent="0.25">
      <c r="B8492" s="103"/>
      <c r="D8492" s="80"/>
      <c r="E8492" s="80"/>
    </row>
    <row r="8493" spans="2:5" ht="14.25" customHeight="1" x14ac:dyDescent="0.25">
      <c r="B8493" s="103"/>
      <c r="D8493" s="80"/>
      <c r="E8493" s="80"/>
    </row>
    <row r="8494" spans="2:5" ht="14.25" customHeight="1" x14ac:dyDescent="0.25">
      <c r="B8494" s="103"/>
      <c r="D8494" s="80"/>
      <c r="E8494" s="80"/>
    </row>
    <row r="8495" spans="2:5" ht="14.25" customHeight="1" x14ac:dyDescent="0.25">
      <c r="B8495" s="103"/>
      <c r="D8495" s="80"/>
      <c r="E8495" s="80"/>
    </row>
    <row r="8496" spans="2:5" ht="14.25" customHeight="1" x14ac:dyDescent="0.25">
      <c r="B8496" s="103"/>
      <c r="D8496" s="80"/>
      <c r="E8496" s="80"/>
    </row>
    <row r="8497" spans="2:5" ht="14.25" customHeight="1" x14ac:dyDescent="0.25">
      <c r="B8497" s="103"/>
      <c r="D8497" s="80"/>
      <c r="E8497" s="80"/>
    </row>
    <row r="8498" spans="2:5" ht="14.25" customHeight="1" x14ac:dyDescent="0.25">
      <c r="B8498" s="103"/>
      <c r="D8498" s="80"/>
      <c r="E8498" s="80"/>
    </row>
    <row r="8499" spans="2:5" ht="14.25" customHeight="1" x14ac:dyDescent="0.25">
      <c r="B8499" s="103"/>
      <c r="D8499" s="80"/>
      <c r="E8499" s="80"/>
    </row>
    <row r="8500" spans="2:5" ht="14.25" customHeight="1" x14ac:dyDescent="0.25">
      <c r="B8500" s="103"/>
      <c r="D8500" s="80"/>
      <c r="E8500" s="80"/>
    </row>
    <row r="8501" spans="2:5" ht="14.25" customHeight="1" x14ac:dyDescent="0.25">
      <c r="B8501" s="103"/>
      <c r="D8501" s="80"/>
      <c r="E8501" s="80"/>
    </row>
    <row r="8502" spans="2:5" ht="14.25" customHeight="1" x14ac:dyDescent="0.25">
      <c r="B8502" s="103"/>
      <c r="D8502" s="80"/>
      <c r="E8502" s="80"/>
    </row>
    <row r="8503" spans="2:5" ht="14.25" customHeight="1" x14ac:dyDescent="0.25">
      <c r="B8503" s="103"/>
      <c r="D8503" s="80"/>
      <c r="E8503" s="80"/>
    </row>
    <row r="8504" spans="2:5" ht="14.25" customHeight="1" x14ac:dyDescent="0.25">
      <c r="B8504" s="103"/>
      <c r="D8504" s="80"/>
      <c r="E8504" s="80"/>
    </row>
    <row r="8505" spans="2:5" ht="14.25" customHeight="1" x14ac:dyDescent="0.25">
      <c r="B8505" s="103"/>
      <c r="D8505" s="80"/>
      <c r="E8505" s="80"/>
    </row>
    <row r="8506" spans="2:5" ht="14.25" customHeight="1" x14ac:dyDescent="0.25">
      <c r="B8506" s="103"/>
      <c r="D8506" s="80"/>
      <c r="E8506" s="80"/>
    </row>
    <row r="8507" spans="2:5" ht="14.25" customHeight="1" x14ac:dyDescent="0.25">
      <c r="B8507" s="103"/>
      <c r="D8507" s="80"/>
      <c r="E8507" s="80"/>
    </row>
    <row r="8508" spans="2:5" ht="14.25" customHeight="1" x14ac:dyDescent="0.25">
      <c r="B8508" s="103"/>
      <c r="D8508" s="80"/>
      <c r="E8508" s="80"/>
    </row>
    <row r="8509" spans="2:5" ht="14.25" customHeight="1" x14ac:dyDescent="0.25">
      <c r="B8509" s="103"/>
      <c r="D8509" s="80"/>
      <c r="E8509" s="80"/>
    </row>
    <row r="8510" spans="2:5" ht="14.25" customHeight="1" x14ac:dyDescent="0.25">
      <c r="B8510" s="103"/>
      <c r="D8510" s="80"/>
      <c r="E8510" s="80"/>
    </row>
    <row r="8511" spans="2:5" ht="14.25" customHeight="1" x14ac:dyDescent="0.25">
      <c r="B8511" s="103"/>
      <c r="D8511" s="80"/>
      <c r="E8511" s="80"/>
    </row>
    <row r="8512" spans="2:5" ht="14.25" customHeight="1" x14ac:dyDescent="0.25">
      <c r="B8512" s="103"/>
      <c r="D8512" s="80"/>
      <c r="E8512" s="80"/>
    </row>
    <row r="8513" spans="2:5" ht="14.25" customHeight="1" x14ac:dyDescent="0.25">
      <c r="B8513" s="103"/>
      <c r="D8513" s="80"/>
      <c r="E8513" s="80"/>
    </row>
    <row r="8514" spans="2:5" ht="14.25" customHeight="1" x14ac:dyDescent="0.25">
      <c r="B8514" s="103"/>
      <c r="D8514" s="80"/>
      <c r="E8514" s="80"/>
    </row>
    <row r="8515" spans="2:5" ht="14.25" customHeight="1" x14ac:dyDescent="0.25">
      <c r="B8515" s="103"/>
      <c r="D8515" s="80"/>
      <c r="E8515" s="80"/>
    </row>
    <row r="8516" spans="2:5" ht="14.25" customHeight="1" x14ac:dyDescent="0.25">
      <c r="B8516" s="103"/>
      <c r="D8516" s="80"/>
      <c r="E8516" s="80"/>
    </row>
    <row r="8517" spans="2:5" ht="14.25" customHeight="1" x14ac:dyDescent="0.25">
      <c r="B8517" s="103"/>
      <c r="D8517" s="80"/>
      <c r="E8517" s="80"/>
    </row>
    <row r="8518" spans="2:5" ht="14.25" customHeight="1" x14ac:dyDescent="0.25">
      <c r="B8518" s="103"/>
      <c r="D8518" s="80"/>
      <c r="E8518" s="80"/>
    </row>
    <row r="8519" spans="2:5" ht="14.25" customHeight="1" x14ac:dyDescent="0.25">
      <c r="B8519" s="103"/>
      <c r="D8519" s="80"/>
      <c r="E8519" s="80"/>
    </row>
    <row r="8520" spans="2:5" ht="14.25" customHeight="1" x14ac:dyDescent="0.25">
      <c r="B8520" s="103"/>
      <c r="D8520" s="80"/>
      <c r="E8520" s="80"/>
    </row>
    <row r="8521" spans="2:5" ht="14.25" customHeight="1" x14ac:dyDescent="0.25">
      <c r="B8521" s="103"/>
      <c r="D8521" s="80"/>
      <c r="E8521" s="80"/>
    </row>
    <row r="8522" spans="2:5" ht="14.25" customHeight="1" x14ac:dyDescent="0.25">
      <c r="B8522" s="103"/>
      <c r="D8522" s="80"/>
      <c r="E8522" s="80"/>
    </row>
    <row r="8523" spans="2:5" ht="14.25" customHeight="1" x14ac:dyDescent="0.25">
      <c r="B8523" s="103"/>
      <c r="D8523" s="80"/>
      <c r="E8523" s="80"/>
    </row>
    <row r="8524" spans="2:5" ht="14.25" customHeight="1" x14ac:dyDescent="0.25">
      <c r="B8524" s="103"/>
      <c r="D8524" s="80"/>
      <c r="E8524" s="80"/>
    </row>
    <row r="8525" spans="2:5" ht="14.25" customHeight="1" x14ac:dyDescent="0.25">
      <c r="B8525" s="103"/>
      <c r="D8525" s="80"/>
      <c r="E8525" s="80"/>
    </row>
    <row r="8526" spans="2:5" ht="14.25" customHeight="1" x14ac:dyDescent="0.25">
      <c r="B8526" s="103"/>
      <c r="D8526" s="80"/>
      <c r="E8526" s="80"/>
    </row>
    <row r="8527" spans="2:5" ht="14.25" customHeight="1" x14ac:dyDescent="0.25">
      <c r="B8527" s="103"/>
      <c r="D8527" s="80"/>
      <c r="E8527" s="80"/>
    </row>
    <row r="8528" spans="2:5" ht="14.25" customHeight="1" x14ac:dyDescent="0.25">
      <c r="B8528" s="103"/>
      <c r="D8528" s="80"/>
      <c r="E8528" s="80"/>
    </row>
    <row r="8529" spans="2:5" ht="14.25" customHeight="1" x14ac:dyDescent="0.25">
      <c r="B8529" s="103"/>
      <c r="D8529" s="80"/>
      <c r="E8529" s="80"/>
    </row>
    <row r="8530" spans="2:5" ht="14.25" customHeight="1" x14ac:dyDescent="0.25">
      <c r="B8530" s="103"/>
      <c r="D8530" s="80"/>
      <c r="E8530" s="80"/>
    </row>
    <row r="8531" spans="2:5" ht="14.25" customHeight="1" x14ac:dyDescent="0.25">
      <c r="B8531" s="103"/>
      <c r="D8531" s="80"/>
      <c r="E8531" s="80"/>
    </row>
    <row r="8532" spans="2:5" ht="14.25" customHeight="1" x14ac:dyDescent="0.25">
      <c r="B8532" s="103"/>
      <c r="D8532" s="80"/>
      <c r="E8532" s="80"/>
    </row>
    <row r="8533" spans="2:5" ht="14.25" customHeight="1" x14ac:dyDescent="0.25">
      <c r="B8533" s="103"/>
      <c r="D8533" s="80"/>
      <c r="E8533" s="80"/>
    </row>
    <row r="8534" spans="2:5" ht="14.25" customHeight="1" x14ac:dyDescent="0.25">
      <c r="B8534" s="103"/>
      <c r="D8534" s="80"/>
      <c r="E8534" s="80"/>
    </row>
    <row r="8535" spans="2:5" ht="14.25" customHeight="1" x14ac:dyDescent="0.25">
      <c r="B8535" s="103"/>
      <c r="D8535" s="80"/>
      <c r="E8535" s="80"/>
    </row>
    <row r="8536" spans="2:5" ht="14.25" customHeight="1" x14ac:dyDescent="0.25">
      <c r="B8536" s="103"/>
      <c r="D8536" s="80"/>
      <c r="E8536" s="80"/>
    </row>
    <row r="8537" spans="2:5" ht="14.25" customHeight="1" x14ac:dyDescent="0.25">
      <c r="B8537" s="103"/>
      <c r="D8537" s="80"/>
      <c r="E8537" s="80"/>
    </row>
    <row r="8538" spans="2:5" ht="14.25" customHeight="1" x14ac:dyDescent="0.25">
      <c r="B8538" s="103"/>
      <c r="D8538" s="80"/>
      <c r="E8538" s="80"/>
    </row>
    <row r="8539" spans="2:5" ht="14.25" customHeight="1" x14ac:dyDescent="0.25">
      <c r="B8539" s="103"/>
      <c r="D8539" s="80"/>
      <c r="E8539" s="80"/>
    </row>
    <row r="8540" spans="2:5" ht="14.25" customHeight="1" x14ac:dyDescent="0.25">
      <c r="B8540" s="103"/>
      <c r="D8540" s="80"/>
      <c r="E8540" s="80"/>
    </row>
    <row r="8541" spans="2:5" ht="14.25" customHeight="1" x14ac:dyDescent="0.25">
      <c r="B8541" s="103"/>
      <c r="D8541" s="80"/>
      <c r="E8541" s="80"/>
    </row>
    <row r="8542" spans="2:5" ht="14.25" customHeight="1" x14ac:dyDescent="0.25">
      <c r="B8542" s="103"/>
      <c r="D8542" s="80"/>
      <c r="E8542" s="80"/>
    </row>
    <row r="8543" spans="2:5" ht="14.25" customHeight="1" x14ac:dyDescent="0.25">
      <c r="B8543" s="103"/>
      <c r="D8543" s="80"/>
      <c r="E8543" s="80"/>
    </row>
    <row r="8544" spans="2:5" ht="14.25" customHeight="1" x14ac:dyDescent="0.25">
      <c r="B8544" s="103"/>
      <c r="D8544" s="80"/>
      <c r="E8544" s="80"/>
    </row>
    <row r="8545" spans="2:5" ht="14.25" customHeight="1" x14ac:dyDescent="0.25">
      <c r="B8545" s="103"/>
      <c r="D8545" s="80"/>
      <c r="E8545" s="80"/>
    </row>
    <row r="8546" spans="2:5" ht="14.25" customHeight="1" x14ac:dyDescent="0.25">
      <c r="B8546" s="103"/>
      <c r="D8546" s="80"/>
      <c r="E8546" s="80"/>
    </row>
    <row r="8547" spans="2:5" ht="14.25" customHeight="1" x14ac:dyDescent="0.25">
      <c r="B8547" s="103"/>
      <c r="D8547" s="80"/>
      <c r="E8547" s="80"/>
    </row>
    <row r="8548" spans="2:5" ht="14.25" customHeight="1" x14ac:dyDescent="0.25">
      <c r="B8548" s="103"/>
      <c r="D8548" s="80"/>
      <c r="E8548" s="80"/>
    </row>
    <row r="8549" spans="2:5" ht="14.25" customHeight="1" x14ac:dyDescent="0.25">
      <c r="B8549" s="103"/>
      <c r="D8549" s="80"/>
      <c r="E8549" s="80"/>
    </row>
    <row r="8550" spans="2:5" ht="14.25" customHeight="1" x14ac:dyDescent="0.25">
      <c r="B8550" s="103"/>
      <c r="D8550" s="80"/>
      <c r="E8550" s="80"/>
    </row>
    <row r="8551" spans="2:5" ht="14.25" customHeight="1" x14ac:dyDescent="0.25">
      <c r="B8551" s="103"/>
      <c r="D8551" s="80"/>
      <c r="E8551" s="80"/>
    </row>
    <row r="8552" spans="2:5" ht="14.25" customHeight="1" x14ac:dyDescent="0.25">
      <c r="B8552" s="103"/>
      <c r="D8552" s="80"/>
      <c r="E8552" s="80"/>
    </row>
    <row r="8553" spans="2:5" ht="14.25" customHeight="1" x14ac:dyDescent="0.25">
      <c r="B8553" s="103"/>
      <c r="D8553" s="80"/>
      <c r="E8553" s="80"/>
    </row>
    <row r="8554" spans="2:5" ht="14.25" customHeight="1" x14ac:dyDescent="0.25">
      <c r="B8554" s="103"/>
      <c r="D8554" s="80"/>
      <c r="E8554" s="80"/>
    </row>
    <row r="8555" spans="2:5" ht="14.25" customHeight="1" x14ac:dyDescent="0.25">
      <c r="B8555" s="103"/>
      <c r="D8555" s="80"/>
      <c r="E8555" s="80"/>
    </row>
    <row r="8556" spans="2:5" ht="14.25" customHeight="1" x14ac:dyDescent="0.25">
      <c r="B8556" s="103"/>
      <c r="D8556" s="80"/>
      <c r="E8556" s="80"/>
    </row>
    <row r="8557" spans="2:5" ht="14.25" customHeight="1" x14ac:dyDescent="0.25">
      <c r="B8557" s="103"/>
      <c r="D8557" s="80"/>
      <c r="E8557" s="80"/>
    </row>
    <row r="8558" spans="2:5" ht="14.25" customHeight="1" x14ac:dyDescent="0.25">
      <c r="B8558" s="103"/>
      <c r="D8558" s="80"/>
      <c r="E8558" s="80"/>
    </row>
    <row r="8559" spans="2:5" ht="14.25" customHeight="1" x14ac:dyDescent="0.25">
      <c r="B8559" s="103"/>
      <c r="D8559" s="80"/>
      <c r="E8559" s="80"/>
    </row>
    <row r="8560" spans="2:5" ht="14.25" customHeight="1" x14ac:dyDescent="0.25">
      <c r="B8560" s="103"/>
      <c r="D8560" s="80"/>
      <c r="E8560" s="80"/>
    </row>
    <row r="8561" spans="2:5" ht="14.25" customHeight="1" x14ac:dyDescent="0.25">
      <c r="B8561" s="103"/>
      <c r="D8561" s="80"/>
      <c r="E8561" s="80"/>
    </row>
    <row r="8562" spans="2:5" ht="14.25" customHeight="1" x14ac:dyDescent="0.25">
      <c r="B8562" s="103"/>
      <c r="D8562" s="80"/>
      <c r="E8562" s="80"/>
    </row>
    <row r="8563" spans="2:5" ht="14.25" customHeight="1" x14ac:dyDescent="0.25">
      <c r="B8563" s="103"/>
      <c r="D8563" s="80"/>
      <c r="E8563" s="80"/>
    </row>
    <row r="8564" spans="2:5" ht="14.25" customHeight="1" x14ac:dyDescent="0.25">
      <c r="B8564" s="103"/>
      <c r="D8564" s="80"/>
      <c r="E8564" s="80"/>
    </row>
    <row r="8565" spans="2:5" ht="14.25" customHeight="1" x14ac:dyDescent="0.25">
      <c r="B8565" s="103"/>
      <c r="D8565" s="80"/>
      <c r="E8565" s="80"/>
    </row>
    <row r="8566" spans="2:5" ht="14.25" customHeight="1" x14ac:dyDescent="0.25">
      <c r="B8566" s="103"/>
      <c r="D8566" s="80"/>
      <c r="E8566" s="80"/>
    </row>
    <row r="8567" spans="2:5" ht="14.25" customHeight="1" x14ac:dyDescent="0.25">
      <c r="B8567" s="103"/>
      <c r="D8567" s="80"/>
      <c r="E8567" s="80"/>
    </row>
    <row r="8568" spans="2:5" ht="14.25" customHeight="1" x14ac:dyDescent="0.25">
      <c r="B8568" s="103"/>
      <c r="D8568" s="80"/>
      <c r="E8568" s="80"/>
    </row>
    <row r="8569" spans="2:5" ht="14.25" customHeight="1" x14ac:dyDescent="0.25">
      <c r="B8569" s="103"/>
      <c r="D8569" s="80"/>
      <c r="E8569" s="80"/>
    </row>
    <row r="8570" spans="2:5" ht="14.25" customHeight="1" x14ac:dyDescent="0.25">
      <c r="B8570" s="103"/>
      <c r="D8570" s="80"/>
      <c r="E8570" s="80"/>
    </row>
    <row r="8571" spans="2:5" ht="14.25" customHeight="1" x14ac:dyDescent="0.25">
      <c r="B8571" s="103"/>
      <c r="D8571" s="80"/>
      <c r="E8571" s="80"/>
    </row>
    <row r="8572" spans="2:5" ht="14.25" customHeight="1" x14ac:dyDescent="0.25">
      <c r="B8572" s="103"/>
      <c r="D8572" s="80"/>
      <c r="E8572" s="80"/>
    </row>
    <row r="8573" spans="2:5" ht="14.25" customHeight="1" x14ac:dyDescent="0.25">
      <c r="B8573" s="103"/>
      <c r="D8573" s="80"/>
      <c r="E8573" s="80"/>
    </row>
    <row r="8574" spans="2:5" ht="14.25" customHeight="1" x14ac:dyDescent="0.25">
      <c r="B8574" s="103"/>
      <c r="D8574" s="80"/>
      <c r="E8574" s="80"/>
    </row>
    <row r="8575" spans="2:5" ht="14.25" customHeight="1" x14ac:dyDescent="0.25">
      <c r="B8575" s="103"/>
      <c r="D8575" s="80"/>
      <c r="E8575" s="80"/>
    </row>
    <row r="8576" spans="2:5" ht="14.25" customHeight="1" x14ac:dyDescent="0.25">
      <c r="B8576" s="103"/>
      <c r="D8576" s="80"/>
      <c r="E8576" s="80"/>
    </row>
    <row r="8577" spans="2:5" ht="14.25" customHeight="1" x14ac:dyDescent="0.25">
      <c r="B8577" s="103"/>
      <c r="D8577" s="80"/>
      <c r="E8577" s="80"/>
    </row>
    <row r="8578" spans="2:5" ht="14.25" customHeight="1" x14ac:dyDescent="0.25">
      <c r="B8578" s="103"/>
      <c r="D8578" s="80"/>
      <c r="E8578" s="80"/>
    </row>
    <row r="8579" spans="2:5" ht="14.25" customHeight="1" x14ac:dyDescent="0.25">
      <c r="B8579" s="103"/>
      <c r="D8579" s="80"/>
      <c r="E8579" s="80"/>
    </row>
    <row r="8580" spans="2:5" ht="14.25" customHeight="1" x14ac:dyDescent="0.25">
      <c r="B8580" s="103"/>
      <c r="D8580" s="80"/>
      <c r="E8580" s="80"/>
    </row>
    <row r="8581" spans="2:5" ht="14.25" customHeight="1" x14ac:dyDescent="0.25">
      <c r="B8581" s="103"/>
      <c r="D8581" s="80"/>
      <c r="E8581" s="80"/>
    </row>
    <row r="8582" spans="2:5" ht="14.25" customHeight="1" x14ac:dyDescent="0.25">
      <c r="B8582" s="103"/>
      <c r="D8582" s="80"/>
      <c r="E8582" s="80"/>
    </row>
    <row r="8583" spans="2:5" ht="14.25" customHeight="1" x14ac:dyDescent="0.25">
      <c r="B8583" s="103"/>
      <c r="D8583" s="80"/>
      <c r="E8583" s="80"/>
    </row>
    <row r="8584" spans="2:5" ht="14.25" customHeight="1" x14ac:dyDescent="0.25">
      <c r="B8584" s="103"/>
      <c r="D8584" s="80"/>
      <c r="E8584" s="80"/>
    </row>
    <row r="8585" spans="2:5" ht="14.25" customHeight="1" x14ac:dyDescent="0.25">
      <c r="B8585" s="103"/>
      <c r="D8585" s="80"/>
      <c r="E8585" s="80"/>
    </row>
    <row r="8586" spans="2:5" ht="14.25" customHeight="1" x14ac:dyDescent="0.25">
      <c r="B8586" s="103"/>
      <c r="D8586" s="80"/>
      <c r="E8586" s="80"/>
    </row>
    <row r="8587" spans="2:5" ht="14.25" customHeight="1" x14ac:dyDescent="0.25">
      <c r="B8587" s="103"/>
      <c r="D8587" s="80"/>
      <c r="E8587" s="80"/>
    </row>
    <row r="8588" spans="2:5" ht="14.25" customHeight="1" x14ac:dyDescent="0.25">
      <c r="B8588" s="103"/>
      <c r="D8588" s="80"/>
      <c r="E8588" s="80"/>
    </row>
    <row r="8589" spans="2:5" ht="14.25" customHeight="1" x14ac:dyDescent="0.25">
      <c r="B8589" s="103"/>
      <c r="D8589" s="80"/>
      <c r="E8589" s="80"/>
    </row>
    <row r="8590" spans="2:5" ht="14.25" customHeight="1" x14ac:dyDescent="0.25">
      <c r="B8590" s="103"/>
      <c r="D8590" s="80"/>
      <c r="E8590" s="80"/>
    </row>
    <row r="8591" spans="2:5" ht="14.25" customHeight="1" x14ac:dyDescent="0.25">
      <c r="B8591" s="103"/>
      <c r="D8591" s="80"/>
      <c r="E8591" s="80"/>
    </row>
    <row r="8592" spans="2:5" ht="14.25" customHeight="1" x14ac:dyDescent="0.25">
      <c r="B8592" s="103"/>
      <c r="D8592" s="80"/>
      <c r="E8592" s="80"/>
    </row>
    <row r="8593" spans="2:5" ht="14.25" customHeight="1" x14ac:dyDescent="0.25">
      <c r="B8593" s="103"/>
      <c r="D8593" s="80"/>
      <c r="E8593" s="80"/>
    </row>
    <row r="8594" spans="2:5" ht="14.25" customHeight="1" x14ac:dyDescent="0.25">
      <c r="B8594" s="103"/>
      <c r="D8594" s="80"/>
      <c r="E8594" s="80"/>
    </row>
    <row r="8595" spans="2:5" ht="14.25" customHeight="1" x14ac:dyDescent="0.25">
      <c r="B8595" s="103"/>
      <c r="D8595" s="80"/>
      <c r="E8595" s="80"/>
    </row>
    <row r="8596" spans="2:5" ht="14.25" customHeight="1" x14ac:dyDescent="0.25">
      <c r="B8596" s="103"/>
      <c r="D8596" s="80"/>
      <c r="E8596" s="80"/>
    </row>
    <row r="8597" spans="2:5" ht="14.25" customHeight="1" x14ac:dyDescent="0.25">
      <c r="B8597" s="103"/>
      <c r="D8597" s="80"/>
      <c r="E8597" s="80"/>
    </row>
    <row r="8598" spans="2:5" ht="14.25" customHeight="1" x14ac:dyDescent="0.25">
      <c r="B8598" s="103"/>
      <c r="D8598" s="80"/>
      <c r="E8598" s="80"/>
    </row>
    <row r="8599" spans="2:5" ht="14.25" customHeight="1" x14ac:dyDescent="0.25">
      <c r="B8599" s="103"/>
      <c r="D8599" s="80"/>
      <c r="E8599" s="80"/>
    </row>
    <row r="8600" spans="2:5" ht="14.25" customHeight="1" x14ac:dyDescent="0.25">
      <c r="B8600" s="103"/>
      <c r="D8600" s="80"/>
      <c r="E8600" s="80"/>
    </row>
    <row r="8601" spans="2:5" ht="14.25" customHeight="1" x14ac:dyDescent="0.25">
      <c r="B8601" s="103"/>
      <c r="D8601" s="80"/>
      <c r="E8601" s="80"/>
    </row>
    <row r="8602" spans="2:5" ht="14.25" customHeight="1" x14ac:dyDescent="0.25">
      <c r="B8602" s="103"/>
      <c r="D8602" s="80"/>
      <c r="E8602" s="80"/>
    </row>
    <row r="8603" spans="2:5" ht="14.25" customHeight="1" x14ac:dyDescent="0.25">
      <c r="B8603" s="103"/>
      <c r="D8603" s="80"/>
      <c r="E8603" s="80"/>
    </row>
    <row r="8604" spans="2:5" ht="14.25" customHeight="1" x14ac:dyDescent="0.25">
      <c r="B8604" s="103"/>
      <c r="D8604" s="80"/>
      <c r="E8604" s="80"/>
    </row>
    <row r="8605" spans="2:5" ht="14.25" customHeight="1" x14ac:dyDescent="0.25">
      <c r="B8605" s="103"/>
      <c r="D8605" s="80"/>
      <c r="E8605" s="80"/>
    </row>
    <row r="8606" spans="2:5" ht="14.25" customHeight="1" x14ac:dyDescent="0.25">
      <c r="B8606" s="103"/>
      <c r="D8606" s="80"/>
      <c r="E8606" s="80"/>
    </row>
    <row r="8607" spans="2:5" ht="14.25" customHeight="1" x14ac:dyDescent="0.25">
      <c r="B8607" s="103"/>
      <c r="D8607" s="80"/>
      <c r="E8607" s="80"/>
    </row>
    <row r="8608" spans="2:5" ht="14.25" customHeight="1" x14ac:dyDescent="0.25">
      <c r="B8608" s="103"/>
      <c r="D8608" s="80"/>
      <c r="E8608" s="80"/>
    </row>
    <row r="8609" spans="2:5" ht="14.25" customHeight="1" x14ac:dyDescent="0.25">
      <c r="B8609" s="103"/>
      <c r="D8609" s="80"/>
      <c r="E8609" s="80"/>
    </row>
    <row r="8610" spans="2:5" ht="14.25" customHeight="1" x14ac:dyDescent="0.25">
      <c r="B8610" s="103"/>
      <c r="D8610" s="80"/>
      <c r="E8610" s="80"/>
    </row>
    <row r="8611" spans="2:5" ht="14.25" customHeight="1" x14ac:dyDescent="0.25">
      <c r="B8611" s="103"/>
      <c r="D8611" s="80"/>
      <c r="E8611" s="80"/>
    </row>
    <row r="8612" spans="2:5" ht="14.25" customHeight="1" x14ac:dyDescent="0.25">
      <c r="B8612" s="103"/>
      <c r="D8612" s="80"/>
      <c r="E8612" s="80"/>
    </row>
    <row r="8613" spans="2:5" ht="14.25" customHeight="1" x14ac:dyDescent="0.25">
      <c r="B8613" s="103"/>
      <c r="D8613" s="80"/>
      <c r="E8613" s="80"/>
    </row>
    <row r="8614" spans="2:5" ht="14.25" customHeight="1" x14ac:dyDescent="0.25">
      <c r="B8614" s="103"/>
      <c r="D8614" s="80"/>
      <c r="E8614" s="80"/>
    </row>
    <row r="8615" spans="2:5" ht="14.25" customHeight="1" x14ac:dyDescent="0.25">
      <c r="B8615" s="103"/>
      <c r="D8615" s="80"/>
      <c r="E8615" s="80"/>
    </row>
    <row r="8616" spans="2:5" ht="14.25" customHeight="1" x14ac:dyDescent="0.25">
      <c r="B8616" s="103"/>
      <c r="D8616" s="80"/>
      <c r="E8616" s="80"/>
    </row>
    <row r="8617" spans="2:5" ht="14.25" customHeight="1" x14ac:dyDescent="0.25">
      <c r="B8617" s="103"/>
      <c r="D8617" s="80"/>
      <c r="E8617" s="80"/>
    </row>
    <row r="8618" spans="2:5" ht="14.25" customHeight="1" x14ac:dyDescent="0.25">
      <c r="B8618" s="103"/>
      <c r="D8618" s="80"/>
      <c r="E8618" s="80"/>
    </row>
    <row r="8619" spans="2:5" ht="14.25" customHeight="1" x14ac:dyDescent="0.25">
      <c r="B8619" s="103"/>
      <c r="D8619" s="80"/>
      <c r="E8619" s="80"/>
    </row>
    <row r="8620" spans="2:5" ht="14.25" customHeight="1" x14ac:dyDescent="0.25">
      <c r="B8620" s="103"/>
      <c r="D8620" s="80"/>
      <c r="E8620" s="80"/>
    </row>
    <row r="8621" spans="2:5" ht="14.25" customHeight="1" x14ac:dyDescent="0.25">
      <c r="B8621" s="103"/>
      <c r="D8621" s="80"/>
      <c r="E8621" s="80"/>
    </row>
    <row r="8622" spans="2:5" ht="14.25" customHeight="1" x14ac:dyDescent="0.25">
      <c r="B8622" s="103"/>
      <c r="D8622" s="80"/>
      <c r="E8622" s="80"/>
    </row>
    <row r="8623" spans="2:5" ht="14.25" customHeight="1" x14ac:dyDescent="0.25">
      <c r="B8623" s="103"/>
      <c r="D8623" s="80"/>
      <c r="E8623" s="80"/>
    </row>
    <row r="8624" spans="2:5" ht="14.25" customHeight="1" x14ac:dyDescent="0.25">
      <c r="B8624" s="103"/>
      <c r="D8624" s="80"/>
      <c r="E8624" s="80"/>
    </row>
    <row r="8625" spans="2:5" ht="14.25" customHeight="1" x14ac:dyDescent="0.25">
      <c r="B8625" s="103"/>
      <c r="D8625" s="80"/>
      <c r="E8625" s="80"/>
    </row>
    <row r="8626" spans="2:5" ht="14.25" customHeight="1" x14ac:dyDescent="0.25">
      <c r="B8626" s="103"/>
      <c r="D8626" s="80"/>
      <c r="E8626" s="80"/>
    </row>
    <row r="8627" spans="2:5" ht="14.25" customHeight="1" x14ac:dyDescent="0.25">
      <c r="B8627" s="103"/>
      <c r="D8627" s="80"/>
      <c r="E8627" s="80"/>
    </row>
    <row r="8628" spans="2:5" ht="14.25" customHeight="1" x14ac:dyDescent="0.25">
      <c r="B8628" s="103"/>
      <c r="D8628" s="80"/>
      <c r="E8628" s="80"/>
    </row>
    <row r="8629" spans="2:5" ht="14.25" customHeight="1" x14ac:dyDescent="0.25">
      <c r="B8629" s="103"/>
      <c r="D8629" s="80"/>
      <c r="E8629" s="80"/>
    </row>
    <row r="8630" spans="2:5" ht="14.25" customHeight="1" x14ac:dyDescent="0.25">
      <c r="B8630" s="103"/>
      <c r="D8630" s="80"/>
      <c r="E8630" s="80"/>
    </row>
    <row r="8631" spans="2:5" ht="14.25" customHeight="1" x14ac:dyDescent="0.25">
      <c r="B8631" s="103"/>
      <c r="D8631" s="80"/>
      <c r="E8631" s="80"/>
    </row>
    <row r="8632" spans="2:5" ht="14.25" customHeight="1" x14ac:dyDescent="0.25">
      <c r="B8632" s="103"/>
      <c r="D8632" s="80"/>
      <c r="E8632" s="80"/>
    </row>
    <row r="8633" spans="2:5" ht="14.25" customHeight="1" x14ac:dyDescent="0.25">
      <c r="B8633" s="103"/>
      <c r="D8633" s="80"/>
      <c r="E8633" s="80"/>
    </row>
    <row r="8634" spans="2:5" ht="14.25" customHeight="1" x14ac:dyDescent="0.25">
      <c r="B8634" s="103"/>
      <c r="D8634" s="80"/>
      <c r="E8634" s="80"/>
    </row>
    <row r="8635" spans="2:5" ht="14.25" customHeight="1" x14ac:dyDescent="0.25">
      <c r="B8635" s="103"/>
      <c r="D8635" s="80"/>
      <c r="E8635" s="80"/>
    </row>
    <row r="8636" spans="2:5" ht="14.25" customHeight="1" x14ac:dyDescent="0.25">
      <c r="B8636" s="103"/>
      <c r="D8636" s="80"/>
      <c r="E8636" s="80"/>
    </row>
    <row r="8637" spans="2:5" ht="14.25" customHeight="1" x14ac:dyDescent="0.25">
      <c r="B8637" s="103"/>
      <c r="D8637" s="80"/>
      <c r="E8637" s="80"/>
    </row>
    <row r="8638" spans="2:5" ht="14.25" customHeight="1" x14ac:dyDescent="0.25">
      <c r="B8638" s="103"/>
      <c r="D8638" s="80"/>
      <c r="E8638" s="80"/>
    </row>
    <row r="8639" spans="2:5" ht="14.25" customHeight="1" x14ac:dyDescent="0.25">
      <c r="B8639" s="103"/>
      <c r="D8639" s="80"/>
      <c r="E8639" s="80"/>
    </row>
    <row r="8640" spans="2:5" ht="14.25" customHeight="1" x14ac:dyDescent="0.25">
      <c r="B8640" s="103"/>
      <c r="D8640" s="80"/>
      <c r="E8640" s="80"/>
    </row>
    <row r="8641" spans="2:5" ht="14.25" customHeight="1" x14ac:dyDescent="0.25">
      <c r="B8641" s="103"/>
      <c r="D8641" s="80"/>
      <c r="E8641" s="80"/>
    </row>
    <row r="8642" spans="2:5" ht="14.25" customHeight="1" x14ac:dyDescent="0.25">
      <c r="B8642" s="103"/>
      <c r="D8642" s="80"/>
      <c r="E8642" s="80"/>
    </row>
    <row r="8643" spans="2:5" ht="14.25" customHeight="1" x14ac:dyDescent="0.25">
      <c r="B8643" s="103"/>
      <c r="D8643" s="80"/>
      <c r="E8643" s="80"/>
    </row>
    <row r="8644" spans="2:5" ht="14.25" customHeight="1" x14ac:dyDescent="0.25">
      <c r="B8644" s="103"/>
      <c r="D8644" s="80"/>
      <c r="E8644" s="80"/>
    </row>
    <row r="8645" spans="2:5" ht="14.25" customHeight="1" x14ac:dyDescent="0.25">
      <c r="B8645" s="103"/>
      <c r="D8645" s="80"/>
      <c r="E8645" s="80"/>
    </row>
    <row r="8646" spans="2:5" ht="14.25" customHeight="1" x14ac:dyDescent="0.25">
      <c r="B8646" s="103"/>
      <c r="D8646" s="80"/>
      <c r="E8646" s="80"/>
    </row>
    <row r="8647" spans="2:5" ht="14.25" customHeight="1" x14ac:dyDescent="0.25">
      <c r="B8647" s="103"/>
      <c r="D8647" s="80"/>
      <c r="E8647" s="80"/>
    </row>
    <row r="8648" spans="2:5" ht="14.25" customHeight="1" x14ac:dyDescent="0.25">
      <c r="B8648" s="103"/>
      <c r="D8648" s="80"/>
      <c r="E8648" s="80"/>
    </row>
    <row r="8649" spans="2:5" ht="14.25" customHeight="1" x14ac:dyDescent="0.25">
      <c r="B8649" s="103"/>
      <c r="D8649" s="80"/>
      <c r="E8649" s="80"/>
    </row>
    <row r="8650" spans="2:5" ht="14.25" customHeight="1" x14ac:dyDescent="0.25">
      <c r="B8650" s="103"/>
      <c r="D8650" s="80"/>
      <c r="E8650" s="80"/>
    </row>
    <row r="8651" spans="2:5" ht="14.25" customHeight="1" x14ac:dyDescent="0.25">
      <c r="B8651" s="103"/>
      <c r="D8651" s="80"/>
      <c r="E8651" s="80"/>
    </row>
    <row r="8652" spans="2:5" ht="14.25" customHeight="1" x14ac:dyDescent="0.25">
      <c r="B8652" s="103"/>
      <c r="D8652" s="80"/>
      <c r="E8652" s="80"/>
    </row>
    <row r="8653" spans="2:5" ht="14.25" customHeight="1" x14ac:dyDescent="0.25">
      <c r="B8653" s="103"/>
      <c r="D8653" s="80"/>
      <c r="E8653" s="80"/>
    </row>
    <row r="8654" spans="2:5" ht="14.25" customHeight="1" x14ac:dyDescent="0.25">
      <c r="B8654" s="103"/>
      <c r="D8654" s="80"/>
      <c r="E8654" s="80"/>
    </row>
    <row r="8655" spans="2:5" ht="14.25" customHeight="1" x14ac:dyDescent="0.25">
      <c r="B8655" s="103"/>
      <c r="D8655" s="80"/>
      <c r="E8655" s="80"/>
    </row>
    <row r="8656" spans="2:5" ht="14.25" customHeight="1" x14ac:dyDescent="0.25">
      <c r="B8656" s="103"/>
      <c r="D8656" s="80"/>
      <c r="E8656" s="80"/>
    </row>
    <row r="8657" spans="2:5" ht="14.25" customHeight="1" x14ac:dyDescent="0.25">
      <c r="B8657" s="103"/>
      <c r="D8657" s="80"/>
      <c r="E8657" s="80"/>
    </row>
    <row r="8658" spans="2:5" ht="14.25" customHeight="1" x14ac:dyDescent="0.25">
      <c r="B8658" s="103"/>
      <c r="D8658" s="80"/>
      <c r="E8658" s="80"/>
    </row>
    <row r="8659" spans="2:5" ht="14.25" customHeight="1" x14ac:dyDescent="0.25">
      <c r="B8659" s="103"/>
      <c r="D8659" s="80"/>
      <c r="E8659" s="80"/>
    </row>
    <row r="8660" spans="2:5" ht="14.25" customHeight="1" x14ac:dyDescent="0.25">
      <c r="B8660" s="103"/>
      <c r="D8660" s="80"/>
      <c r="E8660" s="80"/>
    </row>
    <row r="8661" spans="2:5" ht="14.25" customHeight="1" x14ac:dyDescent="0.25">
      <c r="B8661" s="103"/>
      <c r="D8661" s="80"/>
      <c r="E8661" s="80"/>
    </row>
    <row r="8662" spans="2:5" ht="14.25" customHeight="1" x14ac:dyDescent="0.25">
      <c r="B8662" s="103"/>
      <c r="D8662" s="80"/>
      <c r="E8662" s="80"/>
    </row>
    <row r="8663" spans="2:5" ht="14.25" customHeight="1" x14ac:dyDescent="0.25">
      <c r="B8663" s="103"/>
      <c r="D8663" s="80"/>
      <c r="E8663" s="80"/>
    </row>
    <row r="8664" spans="2:5" ht="14.25" customHeight="1" x14ac:dyDescent="0.25">
      <c r="B8664" s="103"/>
      <c r="D8664" s="80"/>
      <c r="E8664" s="80"/>
    </row>
    <row r="8665" spans="2:5" ht="14.25" customHeight="1" x14ac:dyDescent="0.25">
      <c r="B8665" s="103"/>
      <c r="D8665" s="80"/>
      <c r="E8665" s="80"/>
    </row>
    <row r="8666" spans="2:5" ht="14.25" customHeight="1" x14ac:dyDescent="0.25">
      <c r="B8666" s="103"/>
      <c r="D8666" s="80"/>
      <c r="E8666" s="80"/>
    </row>
    <row r="8667" spans="2:5" ht="14.25" customHeight="1" x14ac:dyDescent="0.25">
      <c r="B8667" s="103"/>
      <c r="D8667" s="80"/>
      <c r="E8667" s="80"/>
    </row>
    <row r="8668" spans="2:5" ht="14.25" customHeight="1" x14ac:dyDescent="0.25">
      <c r="B8668" s="103"/>
      <c r="D8668" s="80"/>
      <c r="E8668" s="80"/>
    </row>
    <row r="8669" spans="2:5" ht="14.25" customHeight="1" x14ac:dyDescent="0.25">
      <c r="B8669" s="103"/>
      <c r="D8669" s="80"/>
      <c r="E8669" s="80"/>
    </row>
    <row r="8670" spans="2:5" ht="14.25" customHeight="1" x14ac:dyDescent="0.25">
      <c r="B8670" s="103"/>
      <c r="D8670" s="80"/>
      <c r="E8670" s="80"/>
    </row>
    <row r="8671" spans="2:5" ht="14.25" customHeight="1" x14ac:dyDescent="0.25">
      <c r="B8671" s="103"/>
      <c r="D8671" s="80"/>
      <c r="E8671" s="80"/>
    </row>
    <row r="8672" spans="2:5" ht="14.25" customHeight="1" x14ac:dyDescent="0.25">
      <c r="B8672" s="103"/>
      <c r="D8672" s="80"/>
      <c r="E8672" s="80"/>
    </row>
    <row r="8673" spans="2:5" ht="14.25" customHeight="1" x14ac:dyDescent="0.25">
      <c r="B8673" s="103"/>
      <c r="D8673" s="80"/>
      <c r="E8673" s="80"/>
    </row>
    <row r="8674" spans="2:5" ht="14.25" customHeight="1" x14ac:dyDescent="0.25">
      <c r="B8674" s="103"/>
      <c r="D8674" s="80"/>
      <c r="E8674" s="80"/>
    </row>
    <row r="8675" spans="2:5" ht="14.25" customHeight="1" x14ac:dyDescent="0.25">
      <c r="B8675" s="103"/>
      <c r="D8675" s="80"/>
      <c r="E8675" s="80"/>
    </row>
    <row r="8676" spans="2:5" ht="14.25" customHeight="1" x14ac:dyDescent="0.25">
      <c r="B8676" s="103"/>
      <c r="D8676" s="80"/>
      <c r="E8676" s="80"/>
    </row>
    <row r="8677" spans="2:5" ht="14.25" customHeight="1" x14ac:dyDescent="0.25">
      <c r="B8677" s="103"/>
      <c r="D8677" s="80"/>
      <c r="E8677" s="80"/>
    </row>
    <row r="8678" spans="2:5" ht="14.25" customHeight="1" x14ac:dyDescent="0.25">
      <c r="B8678" s="103"/>
      <c r="D8678" s="80"/>
      <c r="E8678" s="80"/>
    </row>
    <row r="8679" spans="2:5" ht="14.25" customHeight="1" x14ac:dyDescent="0.25">
      <c r="B8679" s="103"/>
      <c r="D8679" s="80"/>
      <c r="E8679" s="80"/>
    </row>
    <row r="8680" spans="2:5" ht="14.25" customHeight="1" x14ac:dyDescent="0.25">
      <c r="B8680" s="103"/>
      <c r="D8680" s="80"/>
      <c r="E8680" s="80"/>
    </row>
    <row r="8681" spans="2:5" ht="14.25" customHeight="1" x14ac:dyDescent="0.25">
      <c r="B8681" s="103"/>
      <c r="D8681" s="80"/>
      <c r="E8681" s="80"/>
    </row>
    <row r="8682" spans="2:5" ht="14.25" customHeight="1" x14ac:dyDescent="0.25">
      <c r="B8682" s="103"/>
      <c r="D8682" s="80"/>
      <c r="E8682" s="80"/>
    </row>
    <row r="8683" spans="2:5" ht="14.25" customHeight="1" x14ac:dyDescent="0.25">
      <c r="B8683" s="103"/>
      <c r="D8683" s="80"/>
      <c r="E8683" s="80"/>
    </row>
    <row r="8684" spans="2:5" ht="14.25" customHeight="1" x14ac:dyDescent="0.25">
      <c r="B8684" s="103"/>
      <c r="D8684" s="80"/>
      <c r="E8684" s="80"/>
    </row>
    <row r="8685" spans="2:5" ht="14.25" customHeight="1" x14ac:dyDescent="0.25">
      <c r="B8685" s="103"/>
      <c r="D8685" s="80"/>
      <c r="E8685" s="80"/>
    </row>
    <row r="8686" spans="2:5" ht="14.25" customHeight="1" x14ac:dyDescent="0.25">
      <c r="B8686" s="103"/>
      <c r="D8686" s="80"/>
      <c r="E8686" s="80"/>
    </row>
    <row r="8687" spans="2:5" ht="14.25" customHeight="1" x14ac:dyDescent="0.25">
      <c r="B8687" s="103"/>
      <c r="D8687" s="80"/>
      <c r="E8687" s="80"/>
    </row>
    <row r="8688" spans="2:5" ht="14.25" customHeight="1" x14ac:dyDescent="0.25">
      <c r="B8688" s="103"/>
      <c r="D8688" s="80"/>
      <c r="E8688" s="80"/>
    </row>
    <row r="8689" spans="2:5" ht="14.25" customHeight="1" x14ac:dyDescent="0.25">
      <c r="B8689" s="103"/>
      <c r="D8689" s="80"/>
      <c r="E8689" s="80"/>
    </row>
    <row r="8690" spans="2:5" ht="14.25" customHeight="1" x14ac:dyDescent="0.25">
      <c r="B8690" s="103"/>
      <c r="D8690" s="80"/>
      <c r="E8690" s="80"/>
    </row>
    <row r="8691" spans="2:5" ht="14.25" customHeight="1" x14ac:dyDescent="0.25">
      <c r="B8691" s="103"/>
      <c r="D8691" s="80"/>
      <c r="E8691" s="80"/>
    </row>
    <row r="8692" spans="2:5" ht="14.25" customHeight="1" x14ac:dyDescent="0.25">
      <c r="B8692" s="103"/>
      <c r="D8692" s="80"/>
      <c r="E8692" s="80"/>
    </row>
    <row r="8693" spans="2:5" ht="14.25" customHeight="1" x14ac:dyDescent="0.25">
      <c r="B8693" s="103"/>
      <c r="D8693" s="80"/>
      <c r="E8693" s="80"/>
    </row>
    <row r="8694" spans="2:5" ht="14.25" customHeight="1" x14ac:dyDescent="0.25">
      <c r="B8694" s="103"/>
      <c r="D8694" s="80"/>
      <c r="E8694" s="80"/>
    </row>
    <row r="8695" spans="2:5" ht="14.25" customHeight="1" x14ac:dyDescent="0.25">
      <c r="B8695" s="103"/>
      <c r="D8695" s="80"/>
      <c r="E8695" s="80"/>
    </row>
    <row r="8696" spans="2:5" ht="14.25" customHeight="1" x14ac:dyDescent="0.25">
      <c r="B8696" s="103"/>
      <c r="D8696" s="80"/>
      <c r="E8696" s="80"/>
    </row>
    <row r="8697" spans="2:5" ht="14.25" customHeight="1" x14ac:dyDescent="0.25">
      <c r="B8697" s="103"/>
      <c r="D8697" s="80"/>
      <c r="E8697" s="80"/>
    </row>
    <row r="8698" spans="2:5" ht="14.25" customHeight="1" x14ac:dyDescent="0.25">
      <c r="B8698" s="103"/>
      <c r="D8698" s="80"/>
      <c r="E8698" s="80"/>
    </row>
    <row r="8699" spans="2:5" ht="14.25" customHeight="1" x14ac:dyDescent="0.25">
      <c r="B8699" s="103"/>
      <c r="D8699" s="80"/>
      <c r="E8699" s="80"/>
    </row>
    <row r="8700" spans="2:5" ht="14.25" customHeight="1" x14ac:dyDescent="0.25">
      <c r="B8700" s="103"/>
      <c r="D8700" s="80"/>
      <c r="E8700" s="80"/>
    </row>
    <row r="8701" spans="2:5" ht="14.25" customHeight="1" x14ac:dyDescent="0.25">
      <c r="B8701" s="103"/>
      <c r="D8701" s="80"/>
      <c r="E8701" s="80"/>
    </row>
    <row r="8702" spans="2:5" ht="14.25" customHeight="1" x14ac:dyDescent="0.25">
      <c r="B8702" s="103"/>
      <c r="D8702" s="80"/>
      <c r="E8702" s="80"/>
    </row>
    <row r="8703" spans="2:5" ht="14.25" customHeight="1" x14ac:dyDescent="0.25">
      <c r="B8703" s="103"/>
      <c r="D8703" s="80"/>
      <c r="E8703" s="80"/>
    </row>
    <row r="8704" spans="2:5" ht="14.25" customHeight="1" x14ac:dyDescent="0.25">
      <c r="B8704" s="103"/>
      <c r="D8704" s="80"/>
      <c r="E8704" s="80"/>
    </row>
    <row r="8705" spans="2:5" ht="14.25" customHeight="1" x14ac:dyDescent="0.25">
      <c r="B8705" s="103"/>
      <c r="D8705" s="80"/>
      <c r="E8705" s="80"/>
    </row>
    <row r="8706" spans="2:5" ht="14.25" customHeight="1" x14ac:dyDescent="0.25">
      <c r="B8706" s="103"/>
      <c r="D8706" s="80"/>
      <c r="E8706" s="80"/>
    </row>
    <row r="8707" spans="2:5" ht="14.25" customHeight="1" x14ac:dyDescent="0.25">
      <c r="B8707" s="103"/>
      <c r="D8707" s="80"/>
      <c r="E8707" s="80"/>
    </row>
    <row r="8708" spans="2:5" ht="14.25" customHeight="1" x14ac:dyDescent="0.25">
      <c r="B8708" s="103"/>
      <c r="D8708" s="80"/>
      <c r="E8708" s="80"/>
    </row>
    <row r="8709" spans="2:5" ht="14.25" customHeight="1" x14ac:dyDescent="0.25">
      <c r="B8709" s="103"/>
      <c r="D8709" s="80"/>
      <c r="E8709" s="80"/>
    </row>
    <row r="8710" spans="2:5" ht="14.25" customHeight="1" x14ac:dyDescent="0.25">
      <c r="B8710" s="103"/>
      <c r="D8710" s="80"/>
      <c r="E8710" s="80"/>
    </row>
    <row r="8711" spans="2:5" ht="14.25" customHeight="1" x14ac:dyDescent="0.25">
      <c r="B8711" s="103"/>
      <c r="D8711" s="80"/>
      <c r="E8711" s="80"/>
    </row>
    <row r="8712" spans="2:5" ht="14.25" customHeight="1" x14ac:dyDescent="0.25">
      <c r="B8712" s="103"/>
      <c r="D8712" s="80"/>
      <c r="E8712" s="80"/>
    </row>
    <row r="8713" spans="2:5" ht="14.25" customHeight="1" x14ac:dyDescent="0.25">
      <c r="B8713" s="103"/>
      <c r="D8713" s="80"/>
      <c r="E8713" s="80"/>
    </row>
    <row r="8714" spans="2:5" ht="14.25" customHeight="1" x14ac:dyDescent="0.25">
      <c r="B8714" s="103"/>
      <c r="D8714" s="80"/>
      <c r="E8714" s="80"/>
    </row>
    <row r="8715" spans="2:5" ht="14.25" customHeight="1" x14ac:dyDescent="0.25">
      <c r="B8715" s="103"/>
      <c r="D8715" s="80"/>
      <c r="E8715" s="80"/>
    </row>
    <row r="8716" spans="2:5" ht="14.25" customHeight="1" x14ac:dyDescent="0.25">
      <c r="B8716" s="103"/>
      <c r="D8716" s="80"/>
      <c r="E8716" s="80"/>
    </row>
    <row r="8717" spans="2:5" ht="14.25" customHeight="1" x14ac:dyDescent="0.25">
      <c r="B8717" s="103"/>
      <c r="D8717" s="80"/>
      <c r="E8717" s="80"/>
    </row>
    <row r="8718" spans="2:5" ht="14.25" customHeight="1" x14ac:dyDescent="0.25">
      <c r="B8718" s="103"/>
      <c r="D8718" s="80"/>
      <c r="E8718" s="80"/>
    </row>
    <row r="8719" spans="2:5" ht="14.25" customHeight="1" x14ac:dyDescent="0.25">
      <c r="B8719" s="103"/>
      <c r="D8719" s="80"/>
      <c r="E8719" s="80"/>
    </row>
    <row r="8720" spans="2:5" ht="14.25" customHeight="1" x14ac:dyDescent="0.25">
      <c r="B8720" s="103"/>
      <c r="D8720" s="80"/>
      <c r="E8720" s="80"/>
    </row>
    <row r="8721" spans="2:5" ht="14.25" customHeight="1" x14ac:dyDescent="0.25">
      <c r="B8721" s="103"/>
      <c r="D8721" s="80"/>
      <c r="E8721" s="80"/>
    </row>
    <row r="8722" spans="2:5" ht="14.25" customHeight="1" x14ac:dyDescent="0.25">
      <c r="B8722" s="103"/>
      <c r="D8722" s="80"/>
      <c r="E8722" s="80"/>
    </row>
    <row r="8723" spans="2:5" ht="14.25" customHeight="1" x14ac:dyDescent="0.25">
      <c r="B8723" s="103"/>
      <c r="D8723" s="80"/>
      <c r="E8723" s="80"/>
    </row>
    <row r="8724" spans="2:5" ht="14.25" customHeight="1" x14ac:dyDescent="0.25">
      <c r="B8724" s="103"/>
      <c r="D8724" s="80"/>
      <c r="E8724" s="80"/>
    </row>
    <row r="8725" spans="2:5" ht="14.25" customHeight="1" x14ac:dyDescent="0.25">
      <c r="B8725" s="103"/>
      <c r="D8725" s="80"/>
      <c r="E8725" s="80"/>
    </row>
    <row r="8726" spans="2:5" ht="14.25" customHeight="1" x14ac:dyDescent="0.25">
      <c r="B8726" s="103"/>
      <c r="D8726" s="80"/>
      <c r="E8726" s="80"/>
    </row>
    <row r="8727" spans="2:5" ht="14.25" customHeight="1" x14ac:dyDescent="0.25">
      <c r="B8727" s="103"/>
      <c r="D8727" s="80"/>
      <c r="E8727" s="80"/>
    </row>
    <row r="8728" spans="2:5" ht="14.25" customHeight="1" x14ac:dyDescent="0.25">
      <c r="B8728" s="103"/>
      <c r="D8728" s="80"/>
      <c r="E8728" s="80"/>
    </row>
    <row r="8729" spans="2:5" ht="14.25" customHeight="1" x14ac:dyDescent="0.25">
      <c r="B8729" s="103"/>
      <c r="D8729" s="80"/>
      <c r="E8729" s="80"/>
    </row>
    <row r="8730" spans="2:5" ht="14.25" customHeight="1" x14ac:dyDescent="0.25">
      <c r="B8730" s="103"/>
      <c r="D8730" s="80"/>
      <c r="E8730" s="80"/>
    </row>
    <row r="8731" spans="2:5" ht="14.25" customHeight="1" x14ac:dyDescent="0.25">
      <c r="B8731" s="103"/>
      <c r="D8731" s="80"/>
      <c r="E8731" s="80"/>
    </row>
    <row r="8732" spans="2:5" ht="14.25" customHeight="1" x14ac:dyDescent="0.25">
      <c r="B8732" s="103"/>
      <c r="D8732" s="80"/>
      <c r="E8732" s="80"/>
    </row>
    <row r="8733" spans="2:5" ht="14.25" customHeight="1" x14ac:dyDescent="0.25">
      <c r="B8733" s="103"/>
      <c r="D8733" s="80"/>
      <c r="E8733" s="80"/>
    </row>
    <row r="8734" spans="2:5" ht="14.25" customHeight="1" x14ac:dyDescent="0.25">
      <c r="B8734" s="103"/>
      <c r="D8734" s="80"/>
      <c r="E8734" s="80"/>
    </row>
    <row r="8735" spans="2:5" ht="14.25" customHeight="1" x14ac:dyDescent="0.25">
      <c r="B8735" s="103"/>
      <c r="D8735" s="80"/>
      <c r="E8735" s="80"/>
    </row>
    <row r="8736" spans="2:5" ht="14.25" customHeight="1" x14ac:dyDescent="0.25">
      <c r="B8736" s="103"/>
      <c r="D8736" s="80"/>
      <c r="E8736" s="80"/>
    </row>
    <row r="8737" spans="2:5" ht="14.25" customHeight="1" x14ac:dyDescent="0.25">
      <c r="B8737" s="103"/>
      <c r="D8737" s="80"/>
      <c r="E8737" s="80"/>
    </row>
    <row r="8738" spans="2:5" ht="14.25" customHeight="1" x14ac:dyDescent="0.25">
      <c r="B8738" s="103"/>
      <c r="D8738" s="80"/>
      <c r="E8738" s="80"/>
    </row>
    <row r="8739" spans="2:5" ht="14.25" customHeight="1" x14ac:dyDescent="0.25">
      <c r="B8739" s="103"/>
      <c r="D8739" s="80"/>
      <c r="E8739" s="80"/>
    </row>
    <row r="8740" spans="2:5" ht="14.25" customHeight="1" x14ac:dyDescent="0.25">
      <c r="B8740" s="103"/>
      <c r="D8740" s="80"/>
      <c r="E8740" s="80"/>
    </row>
    <row r="8741" spans="2:5" ht="14.25" customHeight="1" x14ac:dyDescent="0.25">
      <c r="B8741" s="103"/>
      <c r="D8741" s="80"/>
      <c r="E8741" s="80"/>
    </row>
    <row r="8742" spans="2:5" ht="14.25" customHeight="1" x14ac:dyDescent="0.25">
      <c r="B8742" s="103"/>
      <c r="D8742" s="80"/>
      <c r="E8742" s="80"/>
    </row>
    <row r="8743" spans="2:5" ht="14.25" customHeight="1" x14ac:dyDescent="0.25">
      <c r="B8743" s="103"/>
      <c r="D8743" s="80"/>
      <c r="E8743" s="80"/>
    </row>
    <row r="8744" spans="2:5" ht="14.25" customHeight="1" x14ac:dyDescent="0.25">
      <c r="B8744" s="103"/>
      <c r="D8744" s="80"/>
      <c r="E8744" s="80"/>
    </row>
    <row r="8745" spans="2:5" ht="14.25" customHeight="1" x14ac:dyDescent="0.25">
      <c r="B8745" s="103"/>
      <c r="D8745" s="80"/>
      <c r="E8745" s="80"/>
    </row>
    <row r="8746" spans="2:5" ht="14.25" customHeight="1" x14ac:dyDescent="0.25">
      <c r="B8746" s="103"/>
      <c r="D8746" s="80"/>
      <c r="E8746" s="80"/>
    </row>
    <row r="8747" spans="2:5" ht="14.25" customHeight="1" x14ac:dyDescent="0.25">
      <c r="B8747" s="103"/>
      <c r="D8747" s="80"/>
      <c r="E8747" s="80"/>
    </row>
    <row r="8748" spans="2:5" ht="14.25" customHeight="1" x14ac:dyDescent="0.25">
      <c r="B8748" s="103"/>
      <c r="D8748" s="80"/>
      <c r="E8748" s="80"/>
    </row>
    <row r="8749" spans="2:5" ht="14.25" customHeight="1" x14ac:dyDescent="0.25">
      <c r="B8749" s="103"/>
      <c r="D8749" s="80"/>
      <c r="E8749" s="80"/>
    </row>
    <row r="8750" spans="2:5" ht="14.25" customHeight="1" x14ac:dyDescent="0.25">
      <c r="B8750" s="103"/>
      <c r="D8750" s="80"/>
      <c r="E8750" s="80"/>
    </row>
    <row r="8751" spans="2:5" ht="14.25" customHeight="1" x14ac:dyDescent="0.25">
      <c r="B8751" s="103"/>
      <c r="D8751" s="80"/>
      <c r="E8751" s="80"/>
    </row>
    <row r="8752" spans="2:5" ht="14.25" customHeight="1" x14ac:dyDescent="0.25">
      <c r="B8752" s="103"/>
      <c r="D8752" s="80"/>
      <c r="E8752" s="80"/>
    </row>
    <row r="8753" spans="2:5" ht="14.25" customHeight="1" x14ac:dyDescent="0.25">
      <c r="B8753" s="103"/>
      <c r="D8753" s="80"/>
      <c r="E8753" s="80"/>
    </row>
    <row r="8754" spans="2:5" ht="14.25" customHeight="1" x14ac:dyDescent="0.25">
      <c r="B8754" s="103"/>
      <c r="D8754" s="80"/>
      <c r="E8754" s="80"/>
    </row>
    <row r="8755" spans="2:5" ht="14.25" customHeight="1" x14ac:dyDescent="0.25">
      <c r="B8755" s="103"/>
      <c r="D8755" s="80"/>
      <c r="E8755" s="80"/>
    </row>
    <row r="8756" spans="2:5" ht="14.25" customHeight="1" x14ac:dyDescent="0.25">
      <c r="B8756" s="103"/>
      <c r="D8756" s="80"/>
      <c r="E8756" s="80"/>
    </row>
    <row r="8757" spans="2:5" ht="14.25" customHeight="1" x14ac:dyDescent="0.25">
      <c r="B8757" s="103"/>
      <c r="D8757" s="80"/>
      <c r="E8757" s="80"/>
    </row>
    <row r="8758" spans="2:5" ht="14.25" customHeight="1" x14ac:dyDescent="0.25">
      <c r="B8758" s="103"/>
      <c r="D8758" s="80"/>
      <c r="E8758" s="80"/>
    </row>
    <row r="8759" spans="2:5" ht="14.25" customHeight="1" x14ac:dyDescent="0.25">
      <c r="B8759" s="103"/>
      <c r="D8759" s="80"/>
      <c r="E8759" s="80"/>
    </row>
    <row r="8760" spans="2:5" ht="14.25" customHeight="1" x14ac:dyDescent="0.25">
      <c r="B8760" s="103"/>
      <c r="D8760" s="80"/>
      <c r="E8760" s="80"/>
    </row>
    <row r="8761" spans="2:5" ht="14.25" customHeight="1" x14ac:dyDescent="0.25">
      <c r="B8761" s="103"/>
      <c r="D8761" s="80"/>
      <c r="E8761" s="80"/>
    </row>
    <row r="8762" spans="2:5" ht="14.25" customHeight="1" x14ac:dyDescent="0.25">
      <c r="B8762" s="103"/>
      <c r="D8762" s="80"/>
      <c r="E8762" s="80"/>
    </row>
    <row r="8763" spans="2:5" ht="14.25" customHeight="1" x14ac:dyDescent="0.25">
      <c r="B8763" s="103"/>
      <c r="D8763" s="80"/>
      <c r="E8763" s="80"/>
    </row>
    <row r="8764" spans="2:5" ht="14.25" customHeight="1" x14ac:dyDescent="0.25">
      <c r="B8764" s="103"/>
      <c r="D8764" s="80"/>
      <c r="E8764" s="80"/>
    </row>
    <row r="8765" spans="2:5" ht="14.25" customHeight="1" x14ac:dyDescent="0.25">
      <c r="B8765" s="103"/>
      <c r="D8765" s="80"/>
      <c r="E8765" s="80"/>
    </row>
    <row r="8766" spans="2:5" ht="14.25" customHeight="1" x14ac:dyDescent="0.25">
      <c r="B8766" s="103"/>
      <c r="D8766" s="80"/>
      <c r="E8766" s="80"/>
    </row>
    <row r="8767" spans="2:5" ht="14.25" customHeight="1" x14ac:dyDescent="0.25">
      <c r="B8767" s="103"/>
      <c r="D8767" s="80"/>
      <c r="E8767" s="80"/>
    </row>
    <row r="8768" spans="2:5" ht="14.25" customHeight="1" x14ac:dyDescent="0.25">
      <c r="B8768" s="103"/>
      <c r="D8768" s="80"/>
      <c r="E8768" s="80"/>
    </row>
    <row r="8769" spans="2:5" ht="14.25" customHeight="1" x14ac:dyDescent="0.25">
      <c r="B8769" s="103"/>
      <c r="D8769" s="80"/>
      <c r="E8769" s="80"/>
    </row>
    <row r="8770" spans="2:5" ht="14.25" customHeight="1" x14ac:dyDescent="0.25">
      <c r="B8770" s="103"/>
      <c r="D8770" s="80"/>
      <c r="E8770" s="80"/>
    </row>
    <row r="8771" spans="2:5" ht="14.25" customHeight="1" x14ac:dyDescent="0.25">
      <c r="B8771" s="103"/>
      <c r="D8771" s="80"/>
      <c r="E8771" s="80"/>
    </row>
    <row r="8772" spans="2:5" ht="14.25" customHeight="1" x14ac:dyDescent="0.25">
      <c r="B8772" s="103"/>
      <c r="D8772" s="80"/>
      <c r="E8772" s="80"/>
    </row>
    <row r="8773" spans="2:5" ht="14.25" customHeight="1" x14ac:dyDescent="0.25">
      <c r="B8773" s="103"/>
      <c r="D8773" s="80"/>
      <c r="E8773" s="80"/>
    </row>
    <row r="8774" spans="2:5" ht="14.25" customHeight="1" x14ac:dyDescent="0.25">
      <c r="B8774" s="103"/>
      <c r="D8774" s="80"/>
      <c r="E8774" s="80"/>
    </row>
    <row r="8775" spans="2:5" ht="14.25" customHeight="1" x14ac:dyDescent="0.25">
      <c r="B8775" s="103"/>
      <c r="D8775" s="80"/>
      <c r="E8775" s="80"/>
    </row>
    <row r="8776" spans="2:5" ht="14.25" customHeight="1" x14ac:dyDescent="0.25">
      <c r="B8776" s="103"/>
      <c r="D8776" s="80"/>
      <c r="E8776" s="80"/>
    </row>
    <row r="8777" spans="2:5" ht="14.25" customHeight="1" x14ac:dyDescent="0.25">
      <c r="B8777" s="103"/>
      <c r="D8777" s="80"/>
      <c r="E8777" s="80"/>
    </row>
    <row r="8778" spans="2:5" ht="14.25" customHeight="1" x14ac:dyDescent="0.25">
      <c r="B8778" s="103"/>
      <c r="D8778" s="80"/>
      <c r="E8778" s="80"/>
    </row>
    <row r="8779" spans="2:5" ht="14.25" customHeight="1" x14ac:dyDescent="0.25">
      <c r="B8779" s="103"/>
      <c r="D8779" s="80"/>
      <c r="E8779" s="80"/>
    </row>
    <row r="8780" spans="2:5" ht="14.25" customHeight="1" x14ac:dyDescent="0.25">
      <c r="B8780" s="103"/>
      <c r="D8780" s="80"/>
      <c r="E8780" s="80"/>
    </row>
    <row r="8781" spans="2:5" ht="14.25" customHeight="1" x14ac:dyDescent="0.25">
      <c r="B8781" s="103"/>
      <c r="D8781" s="80"/>
      <c r="E8781" s="80"/>
    </row>
    <row r="8782" spans="2:5" ht="14.25" customHeight="1" x14ac:dyDescent="0.25">
      <c r="B8782" s="103"/>
      <c r="D8782" s="80"/>
      <c r="E8782" s="80"/>
    </row>
    <row r="8783" spans="2:5" ht="14.25" customHeight="1" x14ac:dyDescent="0.25">
      <c r="B8783" s="103"/>
      <c r="D8783" s="80"/>
      <c r="E8783" s="80"/>
    </row>
    <row r="8784" spans="2:5" ht="14.25" customHeight="1" x14ac:dyDescent="0.25">
      <c r="B8784" s="103"/>
      <c r="D8784" s="80"/>
      <c r="E8784" s="80"/>
    </row>
    <row r="8785" spans="2:5" ht="14.25" customHeight="1" x14ac:dyDescent="0.25">
      <c r="B8785" s="103"/>
      <c r="D8785" s="80"/>
      <c r="E8785" s="80"/>
    </row>
    <row r="8786" spans="2:5" ht="14.25" customHeight="1" x14ac:dyDescent="0.25">
      <c r="B8786" s="103"/>
      <c r="D8786" s="80"/>
      <c r="E8786" s="80"/>
    </row>
    <row r="8787" spans="2:5" ht="14.25" customHeight="1" x14ac:dyDescent="0.25">
      <c r="B8787" s="103"/>
      <c r="D8787" s="80"/>
      <c r="E8787" s="80"/>
    </row>
    <row r="8788" spans="2:5" ht="14.25" customHeight="1" x14ac:dyDescent="0.25">
      <c r="B8788" s="103"/>
      <c r="D8788" s="80"/>
      <c r="E8788" s="80"/>
    </row>
    <row r="8789" spans="2:5" ht="14.25" customHeight="1" x14ac:dyDescent="0.25">
      <c r="B8789" s="103"/>
      <c r="D8789" s="80"/>
      <c r="E8789" s="80"/>
    </row>
    <row r="8790" spans="2:5" ht="14.25" customHeight="1" x14ac:dyDescent="0.25">
      <c r="B8790" s="103"/>
      <c r="D8790" s="80"/>
      <c r="E8790" s="80"/>
    </row>
    <row r="8791" spans="2:5" ht="14.25" customHeight="1" x14ac:dyDescent="0.25">
      <c r="B8791" s="103"/>
      <c r="D8791" s="80"/>
      <c r="E8791" s="80"/>
    </row>
    <row r="8792" spans="2:5" ht="14.25" customHeight="1" x14ac:dyDescent="0.25">
      <c r="B8792" s="103"/>
      <c r="D8792" s="80"/>
      <c r="E8792" s="80"/>
    </row>
    <row r="8793" spans="2:5" ht="14.25" customHeight="1" x14ac:dyDescent="0.25">
      <c r="B8793" s="103"/>
      <c r="D8793" s="80"/>
      <c r="E8793" s="80"/>
    </row>
    <row r="8794" spans="2:5" ht="14.25" customHeight="1" x14ac:dyDescent="0.25">
      <c r="B8794" s="103"/>
      <c r="D8794" s="80"/>
      <c r="E8794" s="80"/>
    </row>
    <row r="8795" spans="2:5" ht="14.25" customHeight="1" x14ac:dyDescent="0.25">
      <c r="B8795" s="103"/>
      <c r="D8795" s="80"/>
      <c r="E8795" s="80"/>
    </row>
    <row r="8796" spans="2:5" ht="14.25" customHeight="1" x14ac:dyDescent="0.25">
      <c r="B8796" s="103"/>
      <c r="D8796" s="80"/>
      <c r="E8796" s="80"/>
    </row>
    <row r="8797" spans="2:5" ht="14.25" customHeight="1" x14ac:dyDescent="0.25">
      <c r="B8797" s="103"/>
      <c r="D8797" s="80"/>
      <c r="E8797" s="80"/>
    </row>
    <row r="8798" spans="2:5" ht="14.25" customHeight="1" x14ac:dyDescent="0.25">
      <c r="B8798" s="103"/>
      <c r="D8798" s="80"/>
      <c r="E8798" s="80"/>
    </row>
    <row r="8799" spans="2:5" ht="14.25" customHeight="1" x14ac:dyDescent="0.25">
      <c r="B8799" s="103"/>
      <c r="D8799" s="80"/>
      <c r="E8799" s="80"/>
    </row>
    <row r="8800" spans="2:5" ht="14.25" customHeight="1" x14ac:dyDescent="0.25">
      <c r="B8800" s="103"/>
      <c r="D8800" s="80"/>
      <c r="E8800" s="80"/>
    </row>
    <row r="8801" spans="2:5" ht="14.25" customHeight="1" x14ac:dyDescent="0.25">
      <c r="B8801" s="103"/>
      <c r="D8801" s="80"/>
      <c r="E8801" s="80"/>
    </row>
    <row r="8802" spans="2:5" ht="14.25" customHeight="1" x14ac:dyDescent="0.25">
      <c r="B8802" s="103"/>
      <c r="D8802" s="80"/>
      <c r="E8802" s="80"/>
    </row>
    <row r="8803" spans="2:5" ht="14.25" customHeight="1" x14ac:dyDescent="0.25">
      <c r="B8803" s="103"/>
      <c r="D8803" s="80"/>
      <c r="E8803" s="80"/>
    </row>
    <row r="8804" spans="2:5" ht="14.25" customHeight="1" x14ac:dyDescent="0.25">
      <c r="B8804" s="103"/>
      <c r="D8804" s="80"/>
      <c r="E8804" s="80"/>
    </row>
    <row r="8805" spans="2:5" ht="14.25" customHeight="1" x14ac:dyDescent="0.25">
      <c r="B8805" s="103"/>
      <c r="D8805" s="80"/>
      <c r="E8805" s="80"/>
    </row>
    <row r="8806" spans="2:5" ht="14.25" customHeight="1" x14ac:dyDescent="0.25">
      <c r="B8806" s="103"/>
      <c r="D8806" s="80"/>
      <c r="E8806" s="80"/>
    </row>
    <row r="8807" spans="2:5" ht="14.25" customHeight="1" x14ac:dyDescent="0.25">
      <c r="B8807" s="103"/>
      <c r="D8807" s="80"/>
      <c r="E8807" s="80"/>
    </row>
    <row r="8808" spans="2:5" ht="14.25" customHeight="1" x14ac:dyDescent="0.25">
      <c r="B8808" s="103"/>
      <c r="D8808" s="80"/>
      <c r="E8808" s="80"/>
    </row>
    <row r="8809" spans="2:5" ht="14.25" customHeight="1" x14ac:dyDescent="0.25">
      <c r="B8809" s="103"/>
      <c r="D8809" s="80"/>
      <c r="E8809" s="80"/>
    </row>
    <row r="8810" spans="2:5" ht="14.25" customHeight="1" x14ac:dyDescent="0.25">
      <c r="B8810" s="103"/>
      <c r="D8810" s="80"/>
      <c r="E8810" s="80"/>
    </row>
    <row r="8811" spans="2:5" ht="14.25" customHeight="1" x14ac:dyDescent="0.25">
      <c r="B8811" s="103"/>
      <c r="D8811" s="80"/>
      <c r="E8811" s="80"/>
    </row>
    <row r="8812" spans="2:5" ht="14.25" customHeight="1" x14ac:dyDescent="0.25">
      <c r="B8812" s="103"/>
      <c r="D8812" s="80"/>
      <c r="E8812" s="80"/>
    </row>
    <row r="8813" spans="2:5" ht="14.25" customHeight="1" x14ac:dyDescent="0.25">
      <c r="B8813" s="103"/>
      <c r="D8813" s="80"/>
      <c r="E8813" s="80"/>
    </row>
    <row r="8814" spans="2:5" ht="14.25" customHeight="1" x14ac:dyDescent="0.25">
      <c r="B8814" s="103"/>
      <c r="D8814" s="80"/>
      <c r="E8814" s="80"/>
    </row>
    <row r="8815" spans="2:5" ht="14.25" customHeight="1" x14ac:dyDescent="0.25">
      <c r="B8815" s="103"/>
      <c r="D8815" s="80"/>
      <c r="E8815" s="80"/>
    </row>
    <row r="8816" spans="2:5" ht="14.25" customHeight="1" x14ac:dyDescent="0.25">
      <c r="B8816" s="103"/>
      <c r="D8816" s="80"/>
      <c r="E8816" s="80"/>
    </row>
    <row r="8817" spans="2:5" ht="14.25" customHeight="1" x14ac:dyDescent="0.25">
      <c r="B8817" s="103"/>
      <c r="D8817" s="80"/>
      <c r="E8817" s="80"/>
    </row>
    <row r="8818" spans="2:5" ht="14.25" customHeight="1" x14ac:dyDescent="0.25">
      <c r="B8818" s="103"/>
      <c r="D8818" s="80"/>
      <c r="E8818" s="80"/>
    </row>
    <row r="8819" spans="2:5" ht="14.25" customHeight="1" x14ac:dyDescent="0.25">
      <c r="B8819" s="103"/>
      <c r="D8819" s="80"/>
      <c r="E8819" s="80"/>
    </row>
    <row r="8820" spans="2:5" ht="14.25" customHeight="1" x14ac:dyDescent="0.25">
      <c r="B8820" s="103"/>
      <c r="D8820" s="80"/>
      <c r="E8820" s="80"/>
    </row>
    <row r="8821" spans="2:5" ht="14.25" customHeight="1" x14ac:dyDescent="0.25">
      <c r="B8821" s="103"/>
      <c r="D8821" s="80"/>
      <c r="E8821" s="80"/>
    </row>
    <row r="8822" spans="2:5" ht="14.25" customHeight="1" x14ac:dyDescent="0.25">
      <c r="B8822" s="103"/>
      <c r="D8822" s="80"/>
      <c r="E8822" s="80"/>
    </row>
    <row r="8823" spans="2:5" ht="14.25" customHeight="1" x14ac:dyDescent="0.25">
      <c r="B8823" s="103"/>
      <c r="D8823" s="80"/>
      <c r="E8823" s="80"/>
    </row>
    <row r="8824" spans="2:5" ht="14.25" customHeight="1" x14ac:dyDescent="0.25">
      <c r="B8824" s="103"/>
      <c r="D8824" s="80"/>
      <c r="E8824" s="80"/>
    </row>
    <row r="8825" spans="2:5" ht="14.25" customHeight="1" x14ac:dyDescent="0.25">
      <c r="B8825" s="103"/>
      <c r="D8825" s="80"/>
      <c r="E8825" s="80"/>
    </row>
    <row r="8826" spans="2:5" ht="14.25" customHeight="1" x14ac:dyDescent="0.25">
      <c r="B8826" s="103"/>
      <c r="D8826" s="80"/>
      <c r="E8826" s="80"/>
    </row>
    <row r="8827" spans="2:5" ht="14.25" customHeight="1" x14ac:dyDescent="0.25">
      <c r="B8827" s="103"/>
      <c r="D8827" s="80"/>
      <c r="E8827" s="80"/>
    </row>
    <row r="8828" spans="2:5" ht="14.25" customHeight="1" x14ac:dyDescent="0.25">
      <c r="B8828" s="103"/>
      <c r="D8828" s="80"/>
      <c r="E8828" s="80"/>
    </row>
    <row r="8829" spans="2:5" ht="14.25" customHeight="1" x14ac:dyDescent="0.25">
      <c r="B8829" s="103"/>
      <c r="D8829" s="80"/>
      <c r="E8829" s="80"/>
    </row>
    <row r="8830" spans="2:5" ht="14.25" customHeight="1" x14ac:dyDescent="0.25">
      <c r="B8830" s="103"/>
      <c r="D8830" s="80"/>
      <c r="E8830" s="80"/>
    </row>
    <row r="8831" spans="2:5" ht="14.25" customHeight="1" x14ac:dyDescent="0.25">
      <c r="B8831" s="103"/>
      <c r="D8831" s="80"/>
      <c r="E8831" s="80"/>
    </row>
    <row r="8832" spans="2:5" ht="14.25" customHeight="1" x14ac:dyDescent="0.25">
      <c r="B8832" s="103"/>
      <c r="D8832" s="80"/>
      <c r="E8832" s="80"/>
    </row>
    <row r="8833" spans="2:5" ht="14.25" customHeight="1" x14ac:dyDescent="0.25">
      <c r="B8833" s="103"/>
      <c r="D8833" s="80"/>
      <c r="E8833" s="80"/>
    </row>
    <row r="8834" spans="2:5" ht="14.25" customHeight="1" x14ac:dyDescent="0.25">
      <c r="B8834" s="103"/>
      <c r="D8834" s="80"/>
      <c r="E8834" s="80"/>
    </row>
    <row r="8835" spans="2:5" ht="14.25" customHeight="1" x14ac:dyDescent="0.25">
      <c r="B8835" s="103"/>
      <c r="D8835" s="80"/>
      <c r="E8835" s="80"/>
    </row>
    <row r="8836" spans="2:5" ht="14.25" customHeight="1" x14ac:dyDescent="0.25">
      <c r="B8836" s="103"/>
      <c r="D8836" s="80"/>
      <c r="E8836" s="80"/>
    </row>
    <row r="8837" spans="2:5" ht="14.25" customHeight="1" x14ac:dyDescent="0.25">
      <c r="B8837" s="103"/>
      <c r="D8837" s="80"/>
      <c r="E8837" s="80"/>
    </row>
    <row r="8838" spans="2:5" ht="14.25" customHeight="1" x14ac:dyDescent="0.25">
      <c r="B8838" s="103"/>
      <c r="D8838" s="80"/>
      <c r="E8838" s="80"/>
    </row>
    <row r="8839" spans="2:5" ht="14.25" customHeight="1" x14ac:dyDescent="0.25">
      <c r="B8839" s="103"/>
      <c r="D8839" s="80"/>
      <c r="E8839" s="80"/>
    </row>
    <row r="8840" spans="2:5" ht="14.25" customHeight="1" x14ac:dyDescent="0.25">
      <c r="B8840" s="103"/>
      <c r="D8840" s="80"/>
      <c r="E8840" s="80"/>
    </row>
    <row r="8841" spans="2:5" ht="14.25" customHeight="1" x14ac:dyDescent="0.25">
      <c r="B8841" s="103"/>
      <c r="D8841" s="80"/>
      <c r="E8841" s="80"/>
    </row>
    <row r="8842" spans="2:5" ht="14.25" customHeight="1" x14ac:dyDescent="0.25">
      <c r="B8842" s="103"/>
      <c r="D8842" s="80"/>
      <c r="E8842" s="80"/>
    </row>
    <row r="8843" spans="2:5" ht="14.25" customHeight="1" x14ac:dyDescent="0.25">
      <c r="B8843" s="103"/>
      <c r="D8843" s="80"/>
      <c r="E8843" s="80"/>
    </row>
    <row r="8844" spans="2:5" ht="14.25" customHeight="1" x14ac:dyDescent="0.25">
      <c r="B8844" s="103"/>
      <c r="D8844" s="80"/>
      <c r="E8844" s="80"/>
    </row>
    <row r="8845" spans="2:5" ht="14.25" customHeight="1" x14ac:dyDescent="0.25">
      <c r="B8845" s="103"/>
      <c r="D8845" s="80"/>
      <c r="E8845" s="80"/>
    </row>
    <row r="8846" spans="2:5" ht="14.25" customHeight="1" x14ac:dyDescent="0.25">
      <c r="B8846" s="103"/>
      <c r="D8846" s="80"/>
      <c r="E8846" s="80"/>
    </row>
    <row r="8847" spans="2:5" ht="14.25" customHeight="1" x14ac:dyDescent="0.25">
      <c r="B8847" s="103"/>
      <c r="D8847" s="80"/>
      <c r="E8847" s="80"/>
    </row>
    <row r="8848" spans="2:5" ht="14.25" customHeight="1" x14ac:dyDescent="0.25">
      <c r="B8848" s="103"/>
      <c r="D8848" s="80"/>
      <c r="E8848" s="80"/>
    </row>
    <row r="8849" spans="2:5" ht="14.25" customHeight="1" x14ac:dyDescent="0.25">
      <c r="B8849" s="103"/>
      <c r="D8849" s="80"/>
      <c r="E8849" s="80"/>
    </row>
    <row r="8850" spans="2:5" ht="14.25" customHeight="1" x14ac:dyDescent="0.25">
      <c r="B8850" s="103"/>
      <c r="D8850" s="80"/>
      <c r="E8850" s="80"/>
    </row>
    <row r="8851" spans="2:5" ht="14.25" customHeight="1" x14ac:dyDescent="0.25">
      <c r="B8851" s="103"/>
      <c r="D8851" s="80"/>
      <c r="E8851" s="80"/>
    </row>
    <row r="8852" spans="2:5" ht="14.25" customHeight="1" x14ac:dyDescent="0.25">
      <c r="B8852" s="103"/>
      <c r="D8852" s="80"/>
      <c r="E8852" s="80"/>
    </row>
    <row r="8853" spans="2:5" ht="14.25" customHeight="1" x14ac:dyDescent="0.25">
      <c r="B8853" s="103"/>
      <c r="D8853" s="80"/>
      <c r="E8853" s="80"/>
    </row>
    <row r="8854" spans="2:5" ht="14.25" customHeight="1" x14ac:dyDescent="0.25">
      <c r="B8854" s="103"/>
      <c r="D8854" s="80"/>
      <c r="E8854" s="80"/>
    </row>
    <row r="8855" spans="2:5" ht="14.25" customHeight="1" x14ac:dyDescent="0.25">
      <c r="B8855" s="103"/>
      <c r="D8855" s="80"/>
      <c r="E8855" s="80"/>
    </row>
    <row r="8856" spans="2:5" ht="14.25" customHeight="1" x14ac:dyDescent="0.25">
      <c r="B8856" s="103"/>
      <c r="D8856" s="80"/>
      <c r="E8856" s="80"/>
    </row>
    <row r="8857" spans="2:5" ht="14.25" customHeight="1" x14ac:dyDescent="0.25">
      <c r="B8857" s="103"/>
      <c r="D8857" s="80"/>
      <c r="E8857" s="80"/>
    </row>
    <row r="8858" spans="2:5" ht="14.25" customHeight="1" x14ac:dyDescent="0.25">
      <c r="B8858" s="103"/>
      <c r="D8858" s="80"/>
      <c r="E8858" s="80"/>
    </row>
    <row r="8859" spans="2:5" ht="14.25" customHeight="1" x14ac:dyDescent="0.25">
      <c r="B8859" s="103"/>
      <c r="D8859" s="80"/>
      <c r="E8859" s="80"/>
    </row>
    <row r="8860" spans="2:5" ht="14.25" customHeight="1" x14ac:dyDescent="0.25">
      <c r="B8860" s="103"/>
      <c r="D8860" s="80"/>
      <c r="E8860" s="80"/>
    </row>
    <row r="8861" spans="2:5" ht="14.25" customHeight="1" x14ac:dyDescent="0.25">
      <c r="B8861" s="103"/>
      <c r="D8861" s="80"/>
      <c r="E8861" s="80"/>
    </row>
    <row r="8862" spans="2:5" ht="14.25" customHeight="1" x14ac:dyDescent="0.25">
      <c r="B8862" s="103"/>
      <c r="D8862" s="80"/>
      <c r="E8862" s="80"/>
    </row>
    <row r="8863" spans="2:5" ht="14.25" customHeight="1" x14ac:dyDescent="0.25">
      <c r="B8863" s="103"/>
      <c r="D8863" s="80"/>
      <c r="E8863" s="80"/>
    </row>
    <row r="8864" spans="2:5" ht="14.25" customHeight="1" x14ac:dyDescent="0.25">
      <c r="B8864" s="103"/>
      <c r="D8864" s="80"/>
      <c r="E8864" s="80"/>
    </row>
    <row r="8865" spans="2:5" ht="14.25" customHeight="1" x14ac:dyDescent="0.25">
      <c r="B8865" s="103"/>
      <c r="D8865" s="80"/>
      <c r="E8865" s="80"/>
    </row>
    <row r="8866" spans="2:5" ht="14.25" customHeight="1" x14ac:dyDescent="0.25">
      <c r="B8866" s="103"/>
      <c r="D8866" s="80"/>
      <c r="E8866" s="80"/>
    </row>
    <row r="8867" spans="2:5" ht="14.25" customHeight="1" x14ac:dyDescent="0.25">
      <c r="B8867" s="103"/>
      <c r="D8867" s="80"/>
      <c r="E8867" s="80"/>
    </row>
    <row r="8868" spans="2:5" ht="14.25" customHeight="1" x14ac:dyDescent="0.25">
      <c r="B8868" s="103"/>
      <c r="D8868" s="80"/>
      <c r="E8868" s="80"/>
    </row>
    <row r="8869" spans="2:5" ht="14.25" customHeight="1" x14ac:dyDescent="0.25">
      <c r="B8869" s="103"/>
      <c r="D8869" s="80"/>
      <c r="E8869" s="80"/>
    </row>
    <row r="8870" spans="2:5" ht="14.25" customHeight="1" x14ac:dyDescent="0.25">
      <c r="B8870" s="103"/>
      <c r="D8870" s="80"/>
      <c r="E8870" s="80"/>
    </row>
    <row r="8871" spans="2:5" ht="14.25" customHeight="1" x14ac:dyDescent="0.25">
      <c r="B8871" s="103"/>
      <c r="D8871" s="80"/>
      <c r="E8871" s="80"/>
    </row>
    <row r="8872" spans="2:5" ht="14.25" customHeight="1" x14ac:dyDescent="0.25">
      <c r="B8872" s="103"/>
      <c r="D8872" s="80"/>
      <c r="E8872" s="80"/>
    </row>
    <row r="8873" spans="2:5" ht="14.25" customHeight="1" x14ac:dyDescent="0.25">
      <c r="B8873" s="103"/>
      <c r="D8873" s="80"/>
      <c r="E8873" s="80"/>
    </row>
    <row r="8874" spans="2:5" ht="14.25" customHeight="1" x14ac:dyDescent="0.25">
      <c r="B8874" s="103"/>
      <c r="D8874" s="80"/>
      <c r="E8874" s="80"/>
    </row>
    <row r="8875" spans="2:5" ht="14.25" customHeight="1" x14ac:dyDescent="0.25">
      <c r="B8875" s="103"/>
      <c r="D8875" s="80"/>
      <c r="E8875" s="80"/>
    </row>
    <row r="8876" spans="2:5" ht="14.25" customHeight="1" x14ac:dyDescent="0.25">
      <c r="B8876" s="103"/>
      <c r="D8876" s="80"/>
      <c r="E8876" s="80"/>
    </row>
    <row r="8877" spans="2:5" ht="14.25" customHeight="1" x14ac:dyDescent="0.25">
      <c r="B8877" s="103"/>
      <c r="D8877" s="80"/>
      <c r="E8877" s="80"/>
    </row>
    <row r="8878" spans="2:5" ht="14.25" customHeight="1" x14ac:dyDescent="0.25">
      <c r="B8878" s="103"/>
      <c r="D8878" s="80"/>
      <c r="E8878" s="80"/>
    </row>
    <row r="8879" spans="2:5" ht="14.25" customHeight="1" x14ac:dyDescent="0.25">
      <c r="B8879" s="103"/>
      <c r="D8879" s="80"/>
      <c r="E8879" s="80"/>
    </row>
    <row r="8880" spans="2:5" ht="14.25" customHeight="1" x14ac:dyDescent="0.25">
      <c r="B8880" s="103"/>
      <c r="D8880" s="80"/>
      <c r="E8880" s="80"/>
    </row>
    <row r="8881" spans="2:5" ht="14.25" customHeight="1" x14ac:dyDescent="0.25">
      <c r="B8881" s="103"/>
      <c r="D8881" s="80"/>
      <c r="E8881" s="80"/>
    </row>
    <row r="8882" spans="2:5" ht="14.25" customHeight="1" x14ac:dyDescent="0.25">
      <c r="B8882" s="103"/>
      <c r="D8882" s="80"/>
      <c r="E8882" s="80"/>
    </row>
    <row r="8883" spans="2:5" ht="14.25" customHeight="1" x14ac:dyDescent="0.25">
      <c r="B8883" s="103"/>
      <c r="D8883" s="80"/>
      <c r="E8883" s="80"/>
    </row>
    <row r="8884" spans="2:5" ht="14.25" customHeight="1" x14ac:dyDescent="0.25">
      <c r="B8884" s="103"/>
      <c r="D8884" s="80"/>
      <c r="E8884" s="80"/>
    </row>
    <row r="8885" spans="2:5" ht="14.25" customHeight="1" x14ac:dyDescent="0.25">
      <c r="B8885" s="103"/>
      <c r="D8885" s="80"/>
      <c r="E8885" s="80"/>
    </row>
    <row r="8886" spans="2:5" ht="14.25" customHeight="1" x14ac:dyDescent="0.25">
      <c r="B8886" s="103"/>
      <c r="D8886" s="80"/>
      <c r="E8886" s="80"/>
    </row>
    <row r="8887" spans="2:5" ht="14.25" customHeight="1" x14ac:dyDescent="0.25">
      <c r="B8887" s="103"/>
      <c r="D8887" s="80"/>
      <c r="E8887" s="80"/>
    </row>
    <row r="8888" spans="2:5" ht="14.25" customHeight="1" x14ac:dyDescent="0.25">
      <c r="B8888" s="103"/>
      <c r="D8888" s="80"/>
      <c r="E8888" s="80"/>
    </row>
    <row r="8889" spans="2:5" ht="14.25" customHeight="1" x14ac:dyDescent="0.25">
      <c r="B8889" s="103"/>
      <c r="D8889" s="80"/>
      <c r="E8889" s="80"/>
    </row>
    <row r="8890" spans="2:5" ht="14.25" customHeight="1" x14ac:dyDescent="0.25">
      <c r="B8890" s="103"/>
      <c r="D8890" s="80"/>
      <c r="E8890" s="80"/>
    </row>
    <row r="8891" spans="2:5" ht="14.25" customHeight="1" x14ac:dyDescent="0.25">
      <c r="B8891" s="103"/>
      <c r="D8891" s="80"/>
      <c r="E8891" s="80"/>
    </row>
    <row r="8892" spans="2:5" ht="14.25" customHeight="1" x14ac:dyDescent="0.25">
      <c r="B8892" s="103"/>
      <c r="D8892" s="80"/>
      <c r="E8892" s="80"/>
    </row>
    <row r="8893" spans="2:5" ht="14.25" customHeight="1" x14ac:dyDescent="0.25">
      <c r="B8893" s="103"/>
      <c r="D8893" s="80"/>
      <c r="E8893" s="80"/>
    </row>
    <row r="8894" spans="2:5" ht="14.25" customHeight="1" x14ac:dyDescent="0.25">
      <c r="B8894" s="103"/>
      <c r="D8894" s="80"/>
      <c r="E8894" s="80"/>
    </row>
    <row r="8895" spans="2:5" ht="14.25" customHeight="1" x14ac:dyDescent="0.25">
      <c r="B8895" s="103"/>
      <c r="D8895" s="80"/>
      <c r="E8895" s="80"/>
    </row>
    <row r="8896" spans="2:5" ht="14.25" customHeight="1" x14ac:dyDescent="0.25">
      <c r="B8896" s="103"/>
      <c r="D8896" s="80"/>
      <c r="E8896" s="80"/>
    </row>
    <row r="8897" spans="2:5" ht="14.25" customHeight="1" x14ac:dyDescent="0.25">
      <c r="B8897" s="103"/>
      <c r="D8897" s="80"/>
      <c r="E8897" s="80"/>
    </row>
    <row r="8898" spans="2:5" ht="14.25" customHeight="1" x14ac:dyDescent="0.25">
      <c r="B8898" s="103"/>
      <c r="D8898" s="80"/>
      <c r="E8898" s="80"/>
    </row>
    <row r="8899" spans="2:5" ht="14.25" customHeight="1" x14ac:dyDescent="0.25">
      <c r="B8899" s="103"/>
      <c r="D8899" s="80"/>
      <c r="E8899" s="80"/>
    </row>
    <row r="8900" spans="2:5" ht="14.25" customHeight="1" x14ac:dyDescent="0.25">
      <c r="B8900" s="103"/>
      <c r="D8900" s="80"/>
      <c r="E8900" s="80"/>
    </row>
    <row r="8901" spans="2:5" ht="14.25" customHeight="1" x14ac:dyDescent="0.25">
      <c r="B8901" s="103"/>
      <c r="D8901" s="80"/>
      <c r="E8901" s="80"/>
    </row>
    <row r="8902" spans="2:5" ht="14.25" customHeight="1" x14ac:dyDescent="0.25">
      <c r="B8902" s="103"/>
      <c r="D8902" s="80"/>
      <c r="E8902" s="80"/>
    </row>
    <row r="8903" spans="2:5" ht="14.25" customHeight="1" x14ac:dyDescent="0.25">
      <c r="B8903" s="103"/>
      <c r="D8903" s="80"/>
      <c r="E8903" s="80"/>
    </row>
    <row r="8904" spans="2:5" ht="14.25" customHeight="1" x14ac:dyDescent="0.25">
      <c r="B8904" s="103"/>
      <c r="D8904" s="80"/>
      <c r="E8904" s="80"/>
    </row>
    <row r="8905" spans="2:5" ht="14.25" customHeight="1" x14ac:dyDescent="0.25">
      <c r="B8905" s="103"/>
      <c r="D8905" s="80"/>
      <c r="E8905" s="80"/>
    </row>
    <row r="8906" spans="2:5" ht="14.25" customHeight="1" x14ac:dyDescent="0.25">
      <c r="B8906" s="103"/>
      <c r="D8906" s="80"/>
      <c r="E8906" s="80"/>
    </row>
    <row r="8907" spans="2:5" ht="14.25" customHeight="1" x14ac:dyDescent="0.25">
      <c r="B8907" s="103"/>
      <c r="D8907" s="80"/>
      <c r="E8907" s="80"/>
    </row>
    <row r="8908" spans="2:5" ht="14.25" customHeight="1" x14ac:dyDescent="0.25">
      <c r="B8908" s="103"/>
      <c r="D8908" s="80"/>
      <c r="E8908" s="80"/>
    </row>
    <row r="8909" spans="2:5" ht="14.25" customHeight="1" x14ac:dyDescent="0.25">
      <c r="B8909" s="103"/>
      <c r="D8909" s="80"/>
      <c r="E8909" s="80"/>
    </row>
    <row r="8910" spans="2:5" ht="14.25" customHeight="1" x14ac:dyDescent="0.25">
      <c r="B8910" s="103"/>
      <c r="D8910" s="80"/>
      <c r="E8910" s="80"/>
    </row>
    <row r="8911" spans="2:5" ht="14.25" customHeight="1" x14ac:dyDescent="0.25">
      <c r="B8911" s="103"/>
      <c r="D8911" s="80"/>
      <c r="E8911" s="80"/>
    </row>
    <row r="8912" spans="2:5" ht="14.25" customHeight="1" x14ac:dyDescent="0.25">
      <c r="B8912" s="103"/>
      <c r="D8912" s="80"/>
      <c r="E8912" s="80"/>
    </row>
    <row r="8913" spans="2:5" ht="14.25" customHeight="1" x14ac:dyDescent="0.25">
      <c r="B8913" s="103"/>
      <c r="D8913" s="80"/>
      <c r="E8913" s="80"/>
    </row>
    <row r="8914" spans="2:5" ht="14.25" customHeight="1" x14ac:dyDescent="0.25">
      <c r="B8914" s="103"/>
      <c r="D8914" s="80"/>
      <c r="E8914" s="80"/>
    </row>
    <row r="8915" spans="2:5" ht="14.25" customHeight="1" x14ac:dyDescent="0.25">
      <c r="B8915" s="103"/>
      <c r="D8915" s="80"/>
      <c r="E8915" s="80"/>
    </row>
    <row r="8916" spans="2:5" ht="14.25" customHeight="1" x14ac:dyDescent="0.25">
      <c r="B8916" s="103"/>
      <c r="D8916" s="80"/>
      <c r="E8916" s="80"/>
    </row>
    <row r="8917" spans="2:5" ht="14.25" customHeight="1" x14ac:dyDescent="0.25">
      <c r="B8917" s="103"/>
      <c r="D8917" s="80"/>
      <c r="E8917" s="80"/>
    </row>
    <row r="8918" spans="2:5" ht="14.25" customHeight="1" x14ac:dyDescent="0.25">
      <c r="B8918" s="103"/>
      <c r="D8918" s="80"/>
      <c r="E8918" s="80"/>
    </row>
    <row r="8919" spans="2:5" ht="14.25" customHeight="1" x14ac:dyDescent="0.25">
      <c r="B8919" s="103"/>
      <c r="D8919" s="80"/>
      <c r="E8919" s="80"/>
    </row>
    <row r="8920" spans="2:5" ht="14.25" customHeight="1" x14ac:dyDescent="0.25">
      <c r="B8920" s="103"/>
      <c r="D8920" s="80"/>
      <c r="E8920" s="80"/>
    </row>
    <row r="8921" spans="2:5" ht="14.25" customHeight="1" x14ac:dyDescent="0.25">
      <c r="B8921" s="103"/>
      <c r="D8921" s="80"/>
      <c r="E8921" s="80"/>
    </row>
    <row r="8922" spans="2:5" ht="14.25" customHeight="1" x14ac:dyDescent="0.25">
      <c r="B8922" s="103"/>
      <c r="D8922" s="80"/>
      <c r="E8922" s="80"/>
    </row>
    <row r="8923" spans="2:5" ht="14.25" customHeight="1" x14ac:dyDescent="0.25">
      <c r="B8923" s="103"/>
      <c r="D8923" s="80"/>
      <c r="E8923" s="80"/>
    </row>
    <row r="8924" spans="2:5" ht="14.25" customHeight="1" x14ac:dyDescent="0.25">
      <c r="B8924" s="103"/>
      <c r="D8924" s="80"/>
      <c r="E8924" s="80"/>
    </row>
    <row r="8925" spans="2:5" ht="14.25" customHeight="1" x14ac:dyDescent="0.25">
      <c r="B8925" s="103"/>
      <c r="D8925" s="80"/>
      <c r="E8925" s="80"/>
    </row>
    <row r="8926" spans="2:5" ht="14.25" customHeight="1" x14ac:dyDescent="0.25">
      <c r="B8926" s="103"/>
      <c r="D8926" s="80"/>
      <c r="E8926" s="80"/>
    </row>
    <row r="8927" spans="2:5" ht="14.25" customHeight="1" x14ac:dyDescent="0.25">
      <c r="B8927" s="103"/>
      <c r="D8927" s="80"/>
      <c r="E8927" s="80"/>
    </row>
    <row r="8928" spans="2:5" ht="14.25" customHeight="1" x14ac:dyDescent="0.25">
      <c r="B8928" s="103"/>
      <c r="D8928" s="80"/>
      <c r="E8928" s="80"/>
    </row>
    <row r="8929" spans="2:5" ht="14.25" customHeight="1" x14ac:dyDescent="0.25">
      <c r="B8929" s="103"/>
      <c r="D8929" s="80"/>
      <c r="E8929" s="80"/>
    </row>
    <row r="8930" spans="2:5" ht="14.25" customHeight="1" x14ac:dyDescent="0.25">
      <c r="B8930" s="103"/>
      <c r="D8930" s="80"/>
      <c r="E8930" s="80"/>
    </row>
    <row r="8931" spans="2:5" ht="14.25" customHeight="1" x14ac:dyDescent="0.25">
      <c r="B8931" s="103"/>
      <c r="D8931" s="80"/>
      <c r="E8931" s="80"/>
    </row>
    <row r="8932" spans="2:5" ht="14.25" customHeight="1" x14ac:dyDescent="0.25">
      <c r="B8932" s="103"/>
      <c r="D8932" s="80"/>
      <c r="E8932" s="80"/>
    </row>
    <row r="8933" spans="2:5" ht="14.25" customHeight="1" x14ac:dyDescent="0.25">
      <c r="B8933" s="103"/>
      <c r="D8933" s="80"/>
      <c r="E8933" s="80"/>
    </row>
    <row r="8934" spans="2:5" ht="14.25" customHeight="1" x14ac:dyDescent="0.25">
      <c r="B8934" s="103"/>
      <c r="D8934" s="80"/>
      <c r="E8934" s="80"/>
    </row>
    <row r="8935" spans="2:5" ht="14.25" customHeight="1" x14ac:dyDescent="0.25">
      <c r="B8935" s="103"/>
      <c r="D8935" s="80"/>
      <c r="E8935" s="80"/>
    </row>
    <row r="8936" spans="2:5" ht="14.25" customHeight="1" x14ac:dyDescent="0.25">
      <c r="B8936" s="103"/>
      <c r="D8936" s="80"/>
      <c r="E8936" s="80"/>
    </row>
    <row r="8937" spans="2:5" ht="14.25" customHeight="1" x14ac:dyDescent="0.25">
      <c r="B8937" s="103"/>
      <c r="D8937" s="80"/>
      <c r="E8937" s="80"/>
    </row>
    <row r="8938" spans="2:5" ht="14.25" customHeight="1" x14ac:dyDescent="0.25">
      <c r="B8938" s="103"/>
      <c r="D8938" s="80"/>
      <c r="E8938" s="80"/>
    </row>
    <row r="8939" spans="2:5" ht="14.25" customHeight="1" x14ac:dyDescent="0.25">
      <c r="B8939" s="103"/>
      <c r="D8939" s="80"/>
      <c r="E8939" s="80"/>
    </row>
    <row r="8940" spans="2:5" ht="14.25" customHeight="1" x14ac:dyDescent="0.25">
      <c r="B8940" s="103"/>
      <c r="D8940" s="80"/>
      <c r="E8940" s="80"/>
    </row>
    <row r="8941" spans="2:5" ht="14.25" customHeight="1" x14ac:dyDescent="0.25">
      <c r="B8941" s="103"/>
      <c r="D8941" s="80"/>
      <c r="E8941" s="80"/>
    </row>
    <row r="8942" spans="2:5" ht="14.25" customHeight="1" x14ac:dyDescent="0.25">
      <c r="B8942" s="103"/>
      <c r="D8942" s="80"/>
      <c r="E8942" s="80"/>
    </row>
    <row r="8943" spans="2:5" ht="14.25" customHeight="1" x14ac:dyDescent="0.25">
      <c r="B8943" s="103"/>
      <c r="D8943" s="80"/>
      <c r="E8943" s="80"/>
    </row>
    <row r="8944" spans="2:5" ht="14.25" customHeight="1" x14ac:dyDescent="0.25">
      <c r="B8944" s="103"/>
      <c r="D8944" s="80"/>
      <c r="E8944" s="80"/>
    </row>
    <row r="8945" spans="2:5" ht="14.25" customHeight="1" x14ac:dyDescent="0.25">
      <c r="B8945" s="103"/>
      <c r="D8945" s="80"/>
      <c r="E8945" s="80"/>
    </row>
    <row r="8946" spans="2:5" ht="14.25" customHeight="1" x14ac:dyDescent="0.25">
      <c r="B8946" s="103"/>
      <c r="D8946" s="80"/>
      <c r="E8946" s="80"/>
    </row>
    <row r="8947" spans="2:5" ht="14.25" customHeight="1" x14ac:dyDescent="0.25">
      <c r="B8947" s="103"/>
      <c r="D8947" s="80"/>
      <c r="E8947" s="80"/>
    </row>
    <row r="8948" spans="2:5" ht="14.25" customHeight="1" x14ac:dyDescent="0.25">
      <c r="B8948" s="103"/>
      <c r="D8948" s="80"/>
      <c r="E8948" s="80"/>
    </row>
    <row r="8949" spans="2:5" ht="14.25" customHeight="1" x14ac:dyDescent="0.25">
      <c r="B8949" s="103"/>
      <c r="D8949" s="80"/>
      <c r="E8949" s="80"/>
    </row>
    <row r="8950" spans="2:5" ht="14.25" customHeight="1" x14ac:dyDescent="0.25">
      <c r="B8950" s="103"/>
      <c r="D8950" s="80"/>
      <c r="E8950" s="80"/>
    </row>
    <row r="8951" spans="2:5" ht="14.25" customHeight="1" x14ac:dyDescent="0.25">
      <c r="B8951" s="103"/>
      <c r="D8951" s="80"/>
      <c r="E8951" s="80"/>
    </row>
    <row r="8952" spans="2:5" ht="14.25" customHeight="1" x14ac:dyDescent="0.25">
      <c r="B8952" s="103"/>
      <c r="D8952" s="80"/>
      <c r="E8952" s="80"/>
    </row>
    <row r="8953" spans="2:5" ht="14.25" customHeight="1" x14ac:dyDescent="0.25">
      <c r="B8953" s="103"/>
      <c r="D8953" s="80"/>
      <c r="E8953" s="80"/>
    </row>
    <row r="8954" spans="2:5" ht="14.25" customHeight="1" x14ac:dyDescent="0.25">
      <c r="B8954" s="103"/>
      <c r="D8954" s="80"/>
      <c r="E8954" s="80"/>
    </row>
    <row r="8955" spans="2:5" ht="14.25" customHeight="1" x14ac:dyDescent="0.25">
      <c r="B8955" s="103"/>
      <c r="D8955" s="80"/>
      <c r="E8955" s="80"/>
    </row>
    <row r="8956" spans="2:5" ht="14.25" customHeight="1" x14ac:dyDescent="0.25">
      <c r="B8956" s="103"/>
      <c r="D8956" s="80"/>
      <c r="E8956" s="80"/>
    </row>
    <row r="8957" spans="2:5" ht="14.25" customHeight="1" x14ac:dyDescent="0.25">
      <c r="B8957" s="103"/>
      <c r="D8957" s="80"/>
      <c r="E8957" s="80"/>
    </row>
    <row r="8958" spans="2:5" ht="14.25" customHeight="1" x14ac:dyDescent="0.25">
      <c r="B8958" s="103"/>
      <c r="D8958" s="80"/>
      <c r="E8958" s="80"/>
    </row>
    <row r="8959" spans="2:5" ht="14.25" customHeight="1" x14ac:dyDescent="0.25">
      <c r="B8959" s="103"/>
      <c r="D8959" s="80"/>
      <c r="E8959" s="80"/>
    </row>
    <row r="8960" spans="2:5" ht="14.25" customHeight="1" x14ac:dyDescent="0.25">
      <c r="B8960" s="103"/>
      <c r="D8960" s="80"/>
      <c r="E8960" s="80"/>
    </row>
    <row r="8961" spans="2:5" ht="14.25" customHeight="1" x14ac:dyDescent="0.25">
      <c r="B8961" s="103"/>
      <c r="D8961" s="80"/>
      <c r="E8961" s="80"/>
    </row>
    <row r="8962" spans="2:5" ht="14.25" customHeight="1" x14ac:dyDescent="0.25">
      <c r="B8962" s="103"/>
      <c r="D8962" s="80"/>
      <c r="E8962" s="80"/>
    </row>
    <row r="8963" spans="2:5" ht="14.25" customHeight="1" x14ac:dyDescent="0.25">
      <c r="B8963" s="103"/>
      <c r="D8963" s="80"/>
      <c r="E8963" s="80"/>
    </row>
    <row r="8964" spans="2:5" ht="14.25" customHeight="1" x14ac:dyDescent="0.25">
      <c r="B8964" s="103"/>
      <c r="D8964" s="80"/>
      <c r="E8964" s="80"/>
    </row>
    <row r="8965" spans="2:5" ht="14.25" customHeight="1" x14ac:dyDescent="0.25">
      <c r="B8965" s="103"/>
      <c r="D8965" s="80"/>
      <c r="E8965" s="80"/>
    </row>
    <row r="8966" spans="2:5" ht="14.25" customHeight="1" x14ac:dyDescent="0.25">
      <c r="B8966" s="103"/>
      <c r="D8966" s="80"/>
      <c r="E8966" s="80"/>
    </row>
    <row r="8967" spans="2:5" ht="14.25" customHeight="1" x14ac:dyDescent="0.25">
      <c r="B8967" s="103"/>
      <c r="D8967" s="80"/>
      <c r="E8967" s="80"/>
    </row>
    <row r="8968" spans="2:5" ht="14.25" customHeight="1" x14ac:dyDescent="0.25">
      <c r="B8968" s="103"/>
      <c r="D8968" s="80"/>
      <c r="E8968" s="80"/>
    </row>
    <row r="8969" spans="2:5" ht="14.25" customHeight="1" x14ac:dyDescent="0.25">
      <c r="B8969" s="103"/>
      <c r="D8969" s="80"/>
      <c r="E8969" s="80"/>
    </row>
    <row r="8970" spans="2:5" ht="14.25" customHeight="1" x14ac:dyDescent="0.25">
      <c r="B8970" s="103"/>
      <c r="D8970" s="80"/>
      <c r="E8970" s="80"/>
    </row>
    <row r="8971" spans="2:5" ht="14.25" customHeight="1" x14ac:dyDescent="0.25">
      <c r="B8971" s="103"/>
      <c r="D8971" s="80"/>
      <c r="E8971" s="80"/>
    </row>
    <row r="8972" spans="2:5" ht="14.25" customHeight="1" x14ac:dyDescent="0.25">
      <c r="B8972" s="103"/>
      <c r="D8972" s="80"/>
      <c r="E8972" s="80"/>
    </row>
    <row r="8973" spans="2:5" ht="14.25" customHeight="1" x14ac:dyDescent="0.25">
      <c r="B8973" s="103"/>
      <c r="D8973" s="80"/>
      <c r="E8973" s="80"/>
    </row>
    <row r="8974" spans="2:5" ht="14.25" customHeight="1" x14ac:dyDescent="0.25">
      <c r="B8974" s="103"/>
      <c r="D8974" s="80"/>
      <c r="E8974" s="80"/>
    </row>
    <row r="8975" spans="2:5" ht="14.25" customHeight="1" x14ac:dyDescent="0.25">
      <c r="B8975" s="103"/>
      <c r="D8975" s="80"/>
      <c r="E8975" s="80"/>
    </row>
    <row r="8976" spans="2:5" ht="14.25" customHeight="1" x14ac:dyDescent="0.25">
      <c r="B8976" s="103"/>
      <c r="D8976" s="80"/>
      <c r="E8976" s="80"/>
    </row>
    <row r="8977" spans="2:5" ht="14.25" customHeight="1" x14ac:dyDescent="0.25">
      <c r="B8977" s="103"/>
      <c r="D8977" s="80"/>
      <c r="E8977" s="80"/>
    </row>
    <row r="8978" spans="2:5" ht="14.25" customHeight="1" x14ac:dyDescent="0.25">
      <c r="B8978" s="103"/>
      <c r="D8978" s="80"/>
      <c r="E8978" s="80"/>
    </row>
    <row r="8979" spans="2:5" ht="14.25" customHeight="1" x14ac:dyDescent="0.25">
      <c r="B8979" s="103"/>
      <c r="D8979" s="80"/>
      <c r="E8979" s="80"/>
    </row>
    <row r="8980" spans="2:5" ht="14.25" customHeight="1" x14ac:dyDescent="0.25">
      <c r="B8980" s="103"/>
      <c r="D8980" s="80"/>
      <c r="E8980" s="80"/>
    </row>
    <row r="8981" spans="2:5" ht="14.25" customHeight="1" x14ac:dyDescent="0.25">
      <c r="B8981" s="103"/>
      <c r="D8981" s="80"/>
      <c r="E8981" s="80"/>
    </row>
    <row r="8982" spans="2:5" ht="14.25" customHeight="1" x14ac:dyDescent="0.25">
      <c r="B8982" s="103"/>
      <c r="D8982" s="80"/>
      <c r="E8982" s="80"/>
    </row>
    <row r="8983" spans="2:5" ht="14.25" customHeight="1" x14ac:dyDescent="0.25">
      <c r="B8983" s="103"/>
      <c r="D8983" s="80"/>
      <c r="E8983" s="80"/>
    </row>
    <row r="8984" spans="2:5" ht="14.25" customHeight="1" x14ac:dyDescent="0.25">
      <c r="B8984" s="103"/>
      <c r="D8984" s="80"/>
      <c r="E8984" s="80"/>
    </row>
    <row r="8985" spans="2:5" ht="14.25" customHeight="1" x14ac:dyDescent="0.25">
      <c r="B8985" s="103"/>
      <c r="D8985" s="80"/>
      <c r="E8985" s="80"/>
    </row>
    <row r="8986" spans="2:5" ht="14.25" customHeight="1" x14ac:dyDescent="0.25">
      <c r="B8986" s="103"/>
      <c r="D8986" s="80"/>
      <c r="E8986" s="80"/>
    </row>
    <row r="8987" spans="2:5" ht="14.25" customHeight="1" x14ac:dyDescent="0.25">
      <c r="B8987" s="103"/>
      <c r="D8987" s="80"/>
      <c r="E8987" s="80"/>
    </row>
    <row r="8988" spans="2:5" ht="14.25" customHeight="1" x14ac:dyDescent="0.25">
      <c r="B8988" s="103"/>
      <c r="D8988" s="80"/>
      <c r="E8988" s="80"/>
    </row>
    <row r="8989" spans="2:5" ht="14.25" customHeight="1" x14ac:dyDescent="0.25">
      <c r="B8989" s="103"/>
      <c r="D8989" s="80"/>
      <c r="E8989" s="80"/>
    </row>
    <row r="8990" spans="2:5" ht="14.25" customHeight="1" x14ac:dyDescent="0.25">
      <c r="B8990" s="103"/>
      <c r="D8990" s="80"/>
      <c r="E8990" s="80"/>
    </row>
    <row r="8991" spans="2:5" ht="14.25" customHeight="1" x14ac:dyDescent="0.25">
      <c r="B8991" s="103"/>
      <c r="D8991" s="80"/>
      <c r="E8991" s="80"/>
    </row>
    <row r="8992" spans="2:5" ht="14.25" customHeight="1" x14ac:dyDescent="0.25">
      <c r="B8992" s="103"/>
      <c r="D8992" s="80"/>
      <c r="E8992" s="80"/>
    </row>
    <row r="8993" spans="2:5" ht="14.25" customHeight="1" x14ac:dyDescent="0.25">
      <c r="B8993" s="103"/>
      <c r="D8993" s="80"/>
      <c r="E8993" s="80"/>
    </row>
    <row r="8994" spans="2:5" ht="14.25" customHeight="1" x14ac:dyDescent="0.25">
      <c r="B8994" s="103"/>
      <c r="D8994" s="80"/>
      <c r="E8994" s="80"/>
    </row>
    <row r="8995" spans="2:5" ht="14.25" customHeight="1" x14ac:dyDescent="0.25">
      <c r="B8995" s="103"/>
      <c r="D8995" s="80"/>
      <c r="E8995" s="80"/>
    </row>
    <row r="8996" spans="2:5" ht="14.25" customHeight="1" x14ac:dyDescent="0.25">
      <c r="B8996" s="103"/>
      <c r="D8996" s="80"/>
      <c r="E8996" s="80"/>
    </row>
    <row r="8997" spans="2:5" ht="14.25" customHeight="1" x14ac:dyDescent="0.25">
      <c r="B8997" s="103"/>
      <c r="D8997" s="80"/>
      <c r="E8997" s="80"/>
    </row>
    <row r="8998" spans="2:5" ht="14.25" customHeight="1" x14ac:dyDescent="0.25">
      <c r="B8998" s="103"/>
      <c r="D8998" s="80"/>
      <c r="E8998" s="80"/>
    </row>
    <row r="8999" spans="2:5" ht="14.25" customHeight="1" x14ac:dyDescent="0.25">
      <c r="B8999" s="103"/>
      <c r="D8999" s="80"/>
      <c r="E8999" s="80"/>
    </row>
    <row r="9000" spans="2:5" ht="14.25" customHeight="1" x14ac:dyDescent="0.25">
      <c r="B9000" s="103"/>
      <c r="D9000" s="80"/>
      <c r="E9000" s="80"/>
    </row>
    <row r="9001" spans="2:5" ht="14.25" customHeight="1" x14ac:dyDescent="0.25">
      <c r="B9001" s="103"/>
      <c r="D9001" s="80"/>
      <c r="E9001" s="80"/>
    </row>
    <row r="9002" spans="2:5" ht="14.25" customHeight="1" x14ac:dyDescent="0.25">
      <c r="B9002" s="103"/>
      <c r="D9002" s="80"/>
      <c r="E9002" s="80"/>
    </row>
    <row r="9003" spans="2:5" ht="14.25" customHeight="1" x14ac:dyDescent="0.25">
      <c r="B9003" s="103"/>
      <c r="D9003" s="80"/>
      <c r="E9003" s="80"/>
    </row>
    <row r="9004" spans="2:5" ht="14.25" customHeight="1" x14ac:dyDescent="0.25">
      <c r="B9004" s="103"/>
      <c r="D9004" s="80"/>
      <c r="E9004" s="80"/>
    </row>
    <row r="9005" spans="2:5" ht="14.25" customHeight="1" x14ac:dyDescent="0.25">
      <c r="B9005" s="103"/>
      <c r="D9005" s="80"/>
      <c r="E9005" s="80"/>
    </row>
    <row r="9006" spans="2:5" ht="14.25" customHeight="1" x14ac:dyDescent="0.25">
      <c r="B9006" s="103"/>
      <c r="D9006" s="80"/>
      <c r="E9006" s="80"/>
    </row>
    <row r="9007" spans="2:5" ht="14.25" customHeight="1" x14ac:dyDescent="0.25">
      <c r="B9007" s="103"/>
      <c r="D9007" s="80"/>
      <c r="E9007" s="80"/>
    </row>
    <row r="9008" spans="2:5" ht="14.25" customHeight="1" x14ac:dyDescent="0.25">
      <c r="B9008" s="103"/>
      <c r="D9008" s="80"/>
      <c r="E9008" s="80"/>
    </row>
    <row r="9009" spans="2:5" ht="14.25" customHeight="1" x14ac:dyDescent="0.25">
      <c r="B9009" s="103"/>
      <c r="D9009" s="80"/>
      <c r="E9009" s="80"/>
    </row>
    <row r="9010" spans="2:5" ht="14.25" customHeight="1" x14ac:dyDescent="0.25">
      <c r="B9010" s="103"/>
      <c r="D9010" s="80"/>
      <c r="E9010" s="80"/>
    </row>
    <row r="9011" spans="2:5" ht="14.25" customHeight="1" x14ac:dyDescent="0.25">
      <c r="B9011" s="103"/>
      <c r="D9011" s="80"/>
      <c r="E9011" s="80"/>
    </row>
    <row r="9012" spans="2:5" ht="14.25" customHeight="1" x14ac:dyDescent="0.25">
      <c r="B9012" s="103"/>
      <c r="D9012" s="80"/>
      <c r="E9012" s="80"/>
    </row>
    <row r="9013" spans="2:5" ht="14.25" customHeight="1" x14ac:dyDescent="0.25">
      <c r="B9013" s="103"/>
      <c r="D9013" s="80"/>
      <c r="E9013" s="80"/>
    </row>
    <row r="9014" spans="2:5" ht="14.25" customHeight="1" x14ac:dyDescent="0.25">
      <c r="B9014" s="103"/>
      <c r="D9014" s="80"/>
      <c r="E9014" s="80"/>
    </row>
    <row r="9015" spans="2:5" ht="14.25" customHeight="1" x14ac:dyDescent="0.25">
      <c r="B9015" s="103"/>
      <c r="D9015" s="80"/>
      <c r="E9015" s="80"/>
    </row>
    <row r="9016" spans="2:5" ht="14.25" customHeight="1" x14ac:dyDescent="0.25">
      <c r="B9016" s="103"/>
      <c r="D9016" s="80"/>
      <c r="E9016" s="80"/>
    </row>
    <row r="9017" spans="2:5" ht="14.25" customHeight="1" x14ac:dyDescent="0.25">
      <c r="B9017" s="103"/>
      <c r="D9017" s="80"/>
      <c r="E9017" s="80"/>
    </row>
    <row r="9018" spans="2:5" ht="14.25" customHeight="1" x14ac:dyDescent="0.25">
      <c r="B9018" s="103"/>
      <c r="D9018" s="80"/>
      <c r="E9018" s="80"/>
    </row>
    <row r="9019" spans="2:5" ht="14.25" customHeight="1" x14ac:dyDescent="0.25">
      <c r="B9019" s="103"/>
      <c r="D9019" s="80"/>
      <c r="E9019" s="80"/>
    </row>
    <row r="9020" spans="2:5" ht="14.25" customHeight="1" x14ac:dyDescent="0.25">
      <c r="B9020" s="103"/>
      <c r="D9020" s="80"/>
      <c r="E9020" s="80"/>
    </row>
    <row r="9021" spans="2:5" ht="14.25" customHeight="1" x14ac:dyDescent="0.25">
      <c r="B9021" s="103"/>
      <c r="D9021" s="80"/>
      <c r="E9021" s="80"/>
    </row>
    <row r="9022" spans="2:5" ht="14.25" customHeight="1" x14ac:dyDescent="0.25">
      <c r="B9022" s="103"/>
      <c r="D9022" s="80"/>
      <c r="E9022" s="80"/>
    </row>
    <row r="9023" spans="2:5" ht="14.25" customHeight="1" x14ac:dyDescent="0.25">
      <c r="B9023" s="103"/>
      <c r="D9023" s="80"/>
      <c r="E9023" s="80"/>
    </row>
    <row r="9024" spans="2:5" ht="14.25" customHeight="1" x14ac:dyDescent="0.25">
      <c r="B9024" s="103"/>
      <c r="D9024" s="80"/>
      <c r="E9024" s="80"/>
    </row>
    <row r="9025" spans="2:5" ht="14.25" customHeight="1" x14ac:dyDescent="0.25">
      <c r="B9025" s="103"/>
      <c r="D9025" s="80"/>
      <c r="E9025" s="80"/>
    </row>
    <row r="9026" spans="2:5" ht="14.25" customHeight="1" x14ac:dyDescent="0.25">
      <c r="B9026" s="103"/>
      <c r="D9026" s="80"/>
      <c r="E9026" s="80"/>
    </row>
    <row r="9027" spans="2:5" ht="14.25" customHeight="1" x14ac:dyDescent="0.25">
      <c r="B9027" s="103"/>
      <c r="D9027" s="80"/>
      <c r="E9027" s="80"/>
    </row>
    <row r="9028" spans="2:5" ht="14.25" customHeight="1" x14ac:dyDescent="0.25">
      <c r="B9028" s="103"/>
      <c r="D9028" s="80"/>
      <c r="E9028" s="80"/>
    </row>
    <row r="9029" spans="2:5" ht="14.25" customHeight="1" x14ac:dyDescent="0.25">
      <c r="B9029" s="103"/>
      <c r="D9029" s="80"/>
      <c r="E9029" s="80"/>
    </row>
    <row r="9030" spans="2:5" ht="14.25" customHeight="1" x14ac:dyDescent="0.25">
      <c r="B9030" s="103"/>
      <c r="D9030" s="80"/>
      <c r="E9030" s="80"/>
    </row>
    <row r="9031" spans="2:5" ht="14.25" customHeight="1" x14ac:dyDescent="0.25">
      <c r="B9031" s="103"/>
      <c r="D9031" s="80"/>
      <c r="E9031" s="80"/>
    </row>
    <row r="9032" spans="2:5" ht="14.25" customHeight="1" x14ac:dyDescent="0.25">
      <c r="B9032" s="103"/>
      <c r="D9032" s="80"/>
      <c r="E9032" s="80"/>
    </row>
    <row r="9033" spans="2:5" ht="14.25" customHeight="1" x14ac:dyDescent="0.25">
      <c r="B9033" s="103"/>
      <c r="D9033" s="80"/>
      <c r="E9033" s="80"/>
    </row>
    <row r="9034" spans="2:5" ht="14.25" customHeight="1" x14ac:dyDescent="0.25">
      <c r="B9034" s="103"/>
      <c r="D9034" s="80"/>
      <c r="E9034" s="80"/>
    </row>
    <row r="9035" spans="2:5" ht="14.25" customHeight="1" x14ac:dyDescent="0.25">
      <c r="B9035" s="103"/>
      <c r="D9035" s="80"/>
      <c r="E9035" s="80"/>
    </row>
    <row r="9036" spans="2:5" ht="14.25" customHeight="1" x14ac:dyDescent="0.25">
      <c r="B9036" s="103"/>
      <c r="D9036" s="80"/>
      <c r="E9036" s="80"/>
    </row>
    <row r="9037" spans="2:5" ht="14.25" customHeight="1" x14ac:dyDescent="0.25">
      <c r="B9037" s="103"/>
      <c r="D9037" s="80"/>
      <c r="E9037" s="80"/>
    </row>
    <row r="9038" spans="2:5" ht="14.25" customHeight="1" x14ac:dyDescent="0.25">
      <c r="B9038" s="103"/>
      <c r="D9038" s="80"/>
      <c r="E9038" s="80"/>
    </row>
    <row r="9039" spans="2:5" ht="14.25" customHeight="1" x14ac:dyDescent="0.25">
      <c r="B9039" s="103"/>
      <c r="D9039" s="80"/>
      <c r="E9039" s="80"/>
    </row>
    <row r="9040" spans="2:5" ht="14.25" customHeight="1" x14ac:dyDescent="0.25">
      <c r="B9040" s="103"/>
      <c r="D9040" s="80"/>
      <c r="E9040" s="80"/>
    </row>
    <row r="9041" spans="2:5" ht="14.25" customHeight="1" x14ac:dyDescent="0.25">
      <c r="B9041" s="103"/>
      <c r="D9041" s="80"/>
      <c r="E9041" s="80"/>
    </row>
    <row r="9042" spans="2:5" ht="14.25" customHeight="1" x14ac:dyDescent="0.25">
      <c r="B9042" s="103"/>
      <c r="D9042" s="80"/>
      <c r="E9042" s="80"/>
    </row>
    <row r="9043" spans="2:5" ht="14.25" customHeight="1" x14ac:dyDescent="0.25">
      <c r="B9043" s="103"/>
      <c r="D9043" s="80"/>
      <c r="E9043" s="80"/>
    </row>
    <row r="9044" spans="2:5" ht="14.25" customHeight="1" x14ac:dyDescent="0.25">
      <c r="B9044" s="103"/>
      <c r="D9044" s="80"/>
      <c r="E9044" s="80"/>
    </row>
    <row r="9045" spans="2:5" ht="14.25" customHeight="1" x14ac:dyDescent="0.25">
      <c r="B9045" s="103"/>
      <c r="D9045" s="80"/>
      <c r="E9045" s="80"/>
    </row>
    <row r="9046" spans="2:5" ht="14.25" customHeight="1" x14ac:dyDescent="0.25">
      <c r="B9046" s="103"/>
      <c r="D9046" s="80"/>
      <c r="E9046" s="80"/>
    </row>
    <row r="9047" spans="2:5" ht="14.25" customHeight="1" x14ac:dyDescent="0.25">
      <c r="B9047" s="103"/>
      <c r="D9047" s="80"/>
      <c r="E9047" s="80"/>
    </row>
    <row r="9048" spans="2:5" ht="14.25" customHeight="1" x14ac:dyDescent="0.25">
      <c r="B9048" s="103"/>
      <c r="D9048" s="80"/>
      <c r="E9048" s="80"/>
    </row>
    <row r="9049" spans="2:5" ht="14.25" customHeight="1" x14ac:dyDescent="0.25">
      <c r="B9049" s="103"/>
      <c r="D9049" s="80"/>
      <c r="E9049" s="80"/>
    </row>
    <row r="9050" spans="2:5" ht="14.25" customHeight="1" x14ac:dyDescent="0.25">
      <c r="B9050" s="103"/>
      <c r="D9050" s="80"/>
      <c r="E9050" s="80"/>
    </row>
    <row r="9051" spans="2:5" ht="14.25" customHeight="1" x14ac:dyDescent="0.25">
      <c r="B9051" s="103"/>
      <c r="D9051" s="80"/>
      <c r="E9051" s="80"/>
    </row>
    <row r="9052" spans="2:5" ht="14.25" customHeight="1" x14ac:dyDescent="0.25">
      <c r="B9052" s="103"/>
      <c r="D9052" s="80"/>
      <c r="E9052" s="80"/>
    </row>
    <row r="9053" spans="2:5" ht="14.25" customHeight="1" x14ac:dyDescent="0.25">
      <c r="B9053" s="103"/>
      <c r="D9053" s="80"/>
      <c r="E9053" s="80"/>
    </row>
    <row r="9054" spans="2:5" ht="14.25" customHeight="1" x14ac:dyDescent="0.25">
      <c r="B9054" s="103"/>
      <c r="D9054" s="80"/>
      <c r="E9054" s="80"/>
    </row>
    <row r="9055" spans="2:5" ht="14.25" customHeight="1" x14ac:dyDescent="0.25">
      <c r="B9055" s="103"/>
      <c r="D9055" s="80"/>
      <c r="E9055" s="80"/>
    </row>
    <row r="9056" spans="2:5" ht="14.25" customHeight="1" x14ac:dyDescent="0.25">
      <c r="B9056" s="103"/>
      <c r="D9056" s="80"/>
      <c r="E9056" s="80"/>
    </row>
    <row r="9057" spans="2:5" ht="14.25" customHeight="1" x14ac:dyDescent="0.25">
      <c r="B9057" s="103"/>
      <c r="D9057" s="80"/>
      <c r="E9057" s="80"/>
    </row>
    <row r="9058" spans="2:5" ht="14.25" customHeight="1" x14ac:dyDescent="0.25">
      <c r="B9058" s="103"/>
      <c r="D9058" s="80"/>
      <c r="E9058" s="80"/>
    </row>
    <row r="9059" spans="2:5" ht="14.25" customHeight="1" x14ac:dyDescent="0.25">
      <c r="B9059" s="103"/>
      <c r="D9059" s="80"/>
      <c r="E9059" s="80"/>
    </row>
    <row r="9060" spans="2:5" ht="14.25" customHeight="1" x14ac:dyDescent="0.25">
      <c r="B9060" s="103"/>
      <c r="D9060" s="80"/>
      <c r="E9060" s="80"/>
    </row>
    <row r="9061" spans="2:5" ht="14.25" customHeight="1" x14ac:dyDescent="0.25">
      <c r="B9061" s="103"/>
      <c r="D9061" s="80"/>
      <c r="E9061" s="80"/>
    </row>
    <row r="9062" spans="2:5" ht="14.25" customHeight="1" x14ac:dyDescent="0.25">
      <c r="B9062" s="103"/>
      <c r="D9062" s="80"/>
      <c r="E9062" s="80"/>
    </row>
    <row r="9063" spans="2:5" ht="14.25" customHeight="1" x14ac:dyDescent="0.25">
      <c r="B9063" s="103"/>
      <c r="D9063" s="80"/>
      <c r="E9063" s="80"/>
    </row>
    <row r="9064" spans="2:5" ht="14.25" customHeight="1" x14ac:dyDescent="0.25">
      <c r="B9064" s="103"/>
      <c r="D9064" s="80"/>
      <c r="E9064" s="80"/>
    </row>
    <row r="9065" spans="2:5" ht="14.25" customHeight="1" x14ac:dyDescent="0.25">
      <c r="B9065" s="103"/>
      <c r="D9065" s="80"/>
      <c r="E9065" s="80"/>
    </row>
    <row r="9066" spans="2:5" ht="14.25" customHeight="1" x14ac:dyDescent="0.25">
      <c r="B9066" s="103"/>
      <c r="D9066" s="80"/>
      <c r="E9066" s="80"/>
    </row>
    <row r="9067" spans="2:5" ht="14.25" customHeight="1" x14ac:dyDescent="0.25">
      <c r="B9067" s="103"/>
      <c r="D9067" s="80"/>
      <c r="E9067" s="80"/>
    </row>
    <row r="9068" spans="2:5" ht="14.25" customHeight="1" x14ac:dyDescent="0.25">
      <c r="B9068" s="103"/>
      <c r="D9068" s="80"/>
      <c r="E9068" s="80"/>
    </row>
    <row r="9069" spans="2:5" ht="14.25" customHeight="1" x14ac:dyDescent="0.25">
      <c r="B9069" s="103"/>
      <c r="D9069" s="80"/>
      <c r="E9069" s="80"/>
    </row>
    <row r="9070" spans="2:5" ht="14.25" customHeight="1" x14ac:dyDescent="0.25">
      <c r="B9070" s="103"/>
      <c r="D9070" s="80"/>
      <c r="E9070" s="80"/>
    </row>
    <row r="9071" spans="2:5" ht="14.25" customHeight="1" x14ac:dyDescent="0.25">
      <c r="B9071" s="103"/>
      <c r="D9071" s="80"/>
      <c r="E9071" s="80"/>
    </row>
    <row r="9072" spans="2:5" ht="14.25" customHeight="1" x14ac:dyDescent="0.25">
      <c r="B9072" s="103"/>
      <c r="D9072" s="80"/>
      <c r="E9072" s="80"/>
    </row>
    <row r="9073" spans="2:5" ht="14.25" customHeight="1" x14ac:dyDescent="0.25">
      <c r="B9073" s="103"/>
      <c r="D9073" s="80"/>
      <c r="E9073" s="80"/>
    </row>
    <row r="9074" spans="2:5" ht="14.25" customHeight="1" x14ac:dyDescent="0.25">
      <c r="B9074" s="103"/>
      <c r="D9074" s="80"/>
      <c r="E9074" s="80"/>
    </row>
    <row r="9075" spans="2:5" ht="14.25" customHeight="1" x14ac:dyDescent="0.25">
      <c r="B9075" s="103"/>
      <c r="D9075" s="80"/>
      <c r="E9075" s="80"/>
    </row>
    <row r="9076" spans="2:5" ht="14.25" customHeight="1" x14ac:dyDescent="0.25">
      <c r="B9076" s="103"/>
      <c r="D9076" s="80"/>
      <c r="E9076" s="80"/>
    </row>
    <row r="9077" spans="2:5" ht="14.25" customHeight="1" x14ac:dyDescent="0.25">
      <c r="B9077" s="103"/>
      <c r="D9077" s="80"/>
      <c r="E9077" s="80"/>
    </row>
    <row r="9078" spans="2:5" ht="14.25" customHeight="1" x14ac:dyDescent="0.25">
      <c r="B9078" s="103"/>
      <c r="D9078" s="80"/>
      <c r="E9078" s="80"/>
    </row>
    <row r="9079" spans="2:5" ht="14.25" customHeight="1" x14ac:dyDescent="0.25">
      <c r="B9079" s="103"/>
      <c r="D9079" s="80"/>
      <c r="E9079" s="80"/>
    </row>
    <row r="9080" spans="2:5" ht="14.25" customHeight="1" x14ac:dyDescent="0.25">
      <c r="B9080" s="103"/>
      <c r="D9080" s="80"/>
      <c r="E9080" s="80"/>
    </row>
    <row r="9081" spans="2:5" ht="14.25" customHeight="1" x14ac:dyDescent="0.25">
      <c r="B9081" s="103"/>
      <c r="D9081" s="80"/>
      <c r="E9081" s="80"/>
    </row>
    <row r="9082" spans="2:5" ht="14.25" customHeight="1" x14ac:dyDescent="0.25">
      <c r="B9082" s="103"/>
      <c r="D9082" s="80"/>
      <c r="E9082" s="80"/>
    </row>
    <row r="9083" spans="2:5" ht="14.25" customHeight="1" x14ac:dyDescent="0.25">
      <c r="B9083" s="103"/>
      <c r="D9083" s="80"/>
      <c r="E9083" s="80"/>
    </row>
    <row r="9084" spans="2:5" ht="14.25" customHeight="1" x14ac:dyDescent="0.25">
      <c r="B9084" s="103"/>
      <c r="D9084" s="80"/>
      <c r="E9084" s="80"/>
    </row>
    <row r="9085" spans="2:5" ht="14.25" customHeight="1" x14ac:dyDescent="0.25">
      <c r="B9085" s="103"/>
      <c r="D9085" s="80"/>
      <c r="E9085" s="80"/>
    </row>
    <row r="9086" spans="2:5" ht="14.25" customHeight="1" x14ac:dyDescent="0.25">
      <c r="B9086" s="103"/>
      <c r="D9086" s="80"/>
      <c r="E9086" s="80"/>
    </row>
    <row r="9087" spans="2:5" ht="14.25" customHeight="1" x14ac:dyDescent="0.25">
      <c r="B9087" s="103"/>
      <c r="D9087" s="80"/>
      <c r="E9087" s="80"/>
    </row>
    <row r="9088" spans="2:5" ht="14.25" customHeight="1" x14ac:dyDescent="0.25">
      <c r="B9088" s="103"/>
      <c r="D9088" s="80"/>
      <c r="E9088" s="80"/>
    </row>
    <row r="9089" spans="2:5" ht="14.25" customHeight="1" x14ac:dyDescent="0.25">
      <c r="B9089" s="103"/>
      <c r="D9089" s="80"/>
      <c r="E9089" s="80"/>
    </row>
    <row r="9090" spans="2:5" ht="14.25" customHeight="1" x14ac:dyDescent="0.25">
      <c r="B9090" s="103"/>
      <c r="D9090" s="80"/>
      <c r="E9090" s="80"/>
    </row>
    <row r="9091" spans="2:5" ht="14.25" customHeight="1" x14ac:dyDescent="0.25">
      <c r="B9091" s="103"/>
      <c r="D9091" s="80"/>
      <c r="E9091" s="80"/>
    </row>
    <row r="9092" spans="2:5" ht="14.25" customHeight="1" x14ac:dyDescent="0.25">
      <c r="B9092" s="103"/>
      <c r="D9092" s="80"/>
      <c r="E9092" s="80"/>
    </row>
    <row r="9093" spans="2:5" ht="14.25" customHeight="1" x14ac:dyDescent="0.25">
      <c r="B9093" s="103"/>
      <c r="D9093" s="80"/>
      <c r="E9093" s="80"/>
    </row>
    <row r="9094" spans="2:5" ht="14.25" customHeight="1" x14ac:dyDescent="0.25">
      <c r="B9094" s="103"/>
      <c r="D9094" s="80"/>
      <c r="E9094" s="80"/>
    </row>
    <row r="9095" spans="2:5" ht="14.25" customHeight="1" x14ac:dyDescent="0.25">
      <c r="B9095" s="103"/>
      <c r="D9095" s="80"/>
      <c r="E9095" s="80"/>
    </row>
    <row r="9096" spans="2:5" ht="14.25" customHeight="1" x14ac:dyDescent="0.25">
      <c r="B9096" s="103"/>
      <c r="D9096" s="80"/>
      <c r="E9096" s="80"/>
    </row>
    <row r="9097" spans="2:5" ht="14.25" customHeight="1" x14ac:dyDescent="0.25">
      <c r="B9097" s="103"/>
      <c r="D9097" s="80"/>
      <c r="E9097" s="80"/>
    </row>
    <row r="9098" spans="2:5" ht="14.25" customHeight="1" x14ac:dyDescent="0.25">
      <c r="B9098" s="103"/>
      <c r="D9098" s="80"/>
      <c r="E9098" s="80"/>
    </row>
    <row r="9099" spans="2:5" ht="14.25" customHeight="1" x14ac:dyDescent="0.25">
      <c r="B9099" s="103"/>
      <c r="D9099" s="80"/>
      <c r="E9099" s="80"/>
    </row>
    <row r="9100" spans="2:5" ht="14.25" customHeight="1" x14ac:dyDescent="0.25">
      <c r="B9100" s="103"/>
      <c r="D9100" s="80"/>
      <c r="E9100" s="80"/>
    </row>
    <row r="9101" spans="2:5" ht="14.25" customHeight="1" x14ac:dyDescent="0.25">
      <c r="B9101" s="103"/>
      <c r="D9101" s="80"/>
      <c r="E9101" s="80"/>
    </row>
    <row r="9102" spans="2:5" ht="14.25" customHeight="1" x14ac:dyDescent="0.25">
      <c r="B9102" s="103"/>
      <c r="D9102" s="80"/>
      <c r="E9102" s="80"/>
    </row>
    <row r="9103" spans="2:5" ht="14.25" customHeight="1" x14ac:dyDescent="0.25">
      <c r="B9103" s="103"/>
      <c r="D9103" s="80"/>
      <c r="E9103" s="80"/>
    </row>
    <row r="9104" spans="2:5" ht="14.25" customHeight="1" x14ac:dyDescent="0.25">
      <c r="B9104" s="103"/>
      <c r="D9104" s="80"/>
      <c r="E9104" s="80"/>
    </row>
    <row r="9105" spans="2:5" ht="14.25" customHeight="1" x14ac:dyDescent="0.25">
      <c r="B9105" s="103"/>
      <c r="D9105" s="80"/>
      <c r="E9105" s="80"/>
    </row>
    <row r="9106" spans="2:5" ht="14.25" customHeight="1" x14ac:dyDescent="0.25">
      <c r="B9106" s="103"/>
      <c r="D9106" s="80"/>
      <c r="E9106" s="80"/>
    </row>
    <row r="9107" spans="2:5" ht="14.25" customHeight="1" x14ac:dyDescent="0.25">
      <c r="B9107" s="103"/>
      <c r="D9107" s="80"/>
      <c r="E9107" s="80"/>
    </row>
    <row r="9108" spans="2:5" ht="14.25" customHeight="1" x14ac:dyDescent="0.25">
      <c r="B9108" s="103"/>
      <c r="D9108" s="80"/>
      <c r="E9108" s="80"/>
    </row>
    <row r="9109" spans="2:5" ht="14.25" customHeight="1" x14ac:dyDescent="0.25">
      <c r="B9109" s="103"/>
      <c r="D9109" s="80"/>
      <c r="E9109" s="80"/>
    </row>
    <row r="9110" spans="2:5" ht="14.25" customHeight="1" x14ac:dyDescent="0.25">
      <c r="B9110" s="103"/>
      <c r="D9110" s="80"/>
      <c r="E9110" s="80"/>
    </row>
    <row r="9111" spans="2:5" ht="14.25" customHeight="1" x14ac:dyDescent="0.25">
      <c r="B9111" s="103"/>
      <c r="D9111" s="80"/>
      <c r="E9111" s="80"/>
    </row>
    <row r="9112" spans="2:5" ht="14.25" customHeight="1" x14ac:dyDescent="0.25">
      <c r="B9112" s="103"/>
      <c r="D9112" s="80"/>
      <c r="E9112" s="80"/>
    </row>
    <row r="9113" spans="2:5" ht="14.25" customHeight="1" x14ac:dyDescent="0.25">
      <c r="B9113" s="103"/>
      <c r="D9113" s="80"/>
      <c r="E9113" s="80"/>
    </row>
    <row r="9114" spans="2:5" ht="14.25" customHeight="1" x14ac:dyDescent="0.25">
      <c r="B9114" s="103"/>
      <c r="D9114" s="80"/>
      <c r="E9114" s="80"/>
    </row>
    <row r="9115" spans="2:5" ht="14.25" customHeight="1" x14ac:dyDescent="0.25">
      <c r="B9115" s="103"/>
      <c r="D9115" s="80"/>
      <c r="E9115" s="80"/>
    </row>
    <row r="9116" spans="2:5" ht="14.25" customHeight="1" x14ac:dyDescent="0.25">
      <c r="B9116" s="103"/>
      <c r="D9116" s="80"/>
      <c r="E9116" s="80"/>
    </row>
    <row r="9117" spans="2:5" ht="14.25" customHeight="1" x14ac:dyDescent="0.25">
      <c r="B9117" s="103"/>
      <c r="D9117" s="80"/>
      <c r="E9117" s="80"/>
    </row>
    <row r="9118" spans="2:5" ht="14.25" customHeight="1" x14ac:dyDescent="0.25">
      <c r="B9118" s="103"/>
      <c r="D9118" s="80"/>
      <c r="E9118" s="80"/>
    </row>
    <row r="9119" spans="2:5" ht="14.25" customHeight="1" x14ac:dyDescent="0.25">
      <c r="B9119" s="103"/>
      <c r="D9119" s="80"/>
      <c r="E9119" s="80"/>
    </row>
    <row r="9120" spans="2:5" ht="14.25" customHeight="1" x14ac:dyDescent="0.25">
      <c r="B9120" s="103"/>
      <c r="D9120" s="80"/>
      <c r="E9120" s="80"/>
    </row>
    <row r="9121" spans="2:5" ht="14.25" customHeight="1" x14ac:dyDescent="0.25">
      <c r="B9121" s="103"/>
      <c r="D9121" s="80"/>
      <c r="E9121" s="80"/>
    </row>
    <row r="9122" spans="2:5" ht="14.25" customHeight="1" x14ac:dyDescent="0.25">
      <c r="B9122" s="103"/>
      <c r="D9122" s="80"/>
      <c r="E9122" s="80"/>
    </row>
    <row r="9123" spans="2:5" ht="14.25" customHeight="1" x14ac:dyDescent="0.25">
      <c r="B9123" s="103"/>
      <c r="D9123" s="80"/>
      <c r="E9123" s="80"/>
    </row>
    <row r="9124" spans="2:5" ht="14.25" customHeight="1" x14ac:dyDescent="0.25">
      <c r="B9124" s="103"/>
      <c r="D9124" s="80"/>
      <c r="E9124" s="80"/>
    </row>
    <row r="9125" spans="2:5" ht="14.25" customHeight="1" x14ac:dyDescent="0.25">
      <c r="B9125" s="103"/>
      <c r="D9125" s="80"/>
      <c r="E9125" s="80"/>
    </row>
    <row r="9126" spans="2:5" ht="14.25" customHeight="1" x14ac:dyDescent="0.25">
      <c r="B9126" s="103"/>
      <c r="D9126" s="80"/>
      <c r="E9126" s="80"/>
    </row>
    <row r="9127" spans="2:5" ht="14.25" customHeight="1" x14ac:dyDescent="0.25">
      <c r="B9127" s="103"/>
      <c r="D9127" s="80"/>
      <c r="E9127" s="80"/>
    </row>
    <row r="9128" spans="2:5" ht="14.25" customHeight="1" x14ac:dyDescent="0.25">
      <c r="B9128" s="103"/>
      <c r="D9128" s="80"/>
      <c r="E9128" s="80"/>
    </row>
    <row r="9129" spans="2:5" ht="14.25" customHeight="1" x14ac:dyDescent="0.25">
      <c r="B9129" s="103"/>
      <c r="D9129" s="80"/>
      <c r="E9129" s="80"/>
    </row>
    <row r="9130" spans="2:5" ht="14.25" customHeight="1" x14ac:dyDescent="0.25">
      <c r="B9130" s="103"/>
      <c r="D9130" s="80"/>
      <c r="E9130" s="80"/>
    </row>
    <row r="9131" spans="2:5" ht="14.25" customHeight="1" x14ac:dyDescent="0.25">
      <c r="B9131" s="103"/>
      <c r="D9131" s="80"/>
      <c r="E9131" s="80"/>
    </row>
    <row r="9132" spans="2:5" ht="14.25" customHeight="1" x14ac:dyDescent="0.25">
      <c r="B9132" s="103"/>
      <c r="D9132" s="80"/>
      <c r="E9132" s="80"/>
    </row>
    <row r="9133" spans="2:5" ht="14.25" customHeight="1" x14ac:dyDescent="0.25">
      <c r="B9133" s="103"/>
      <c r="D9133" s="80"/>
      <c r="E9133" s="80"/>
    </row>
    <row r="9134" spans="2:5" ht="14.25" customHeight="1" x14ac:dyDescent="0.25">
      <c r="B9134" s="103"/>
      <c r="D9134" s="80"/>
      <c r="E9134" s="80"/>
    </row>
    <row r="9135" spans="2:5" ht="14.25" customHeight="1" x14ac:dyDescent="0.25">
      <c r="B9135" s="103"/>
      <c r="D9135" s="80"/>
      <c r="E9135" s="80"/>
    </row>
    <row r="9136" spans="2:5" ht="14.25" customHeight="1" x14ac:dyDescent="0.25">
      <c r="B9136" s="103"/>
      <c r="D9136" s="80"/>
      <c r="E9136" s="80"/>
    </row>
    <row r="9137" spans="2:5" ht="14.25" customHeight="1" x14ac:dyDescent="0.25">
      <c r="B9137" s="103"/>
      <c r="D9137" s="80"/>
      <c r="E9137" s="80"/>
    </row>
    <row r="9138" spans="2:5" ht="14.25" customHeight="1" x14ac:dyDescent="0.25">
      <c r="B9138" s="103"/>
      <c r="D9138" s="80"/>
      <c r="E9138" s="80"/>
    </row>
    <row r="9139" spans="2:5" ht="14.25" customHeight="1" x14ac:dyDescent="0.25">
      <c r="B9139" s="103"/>
      <c r="D9139" s="80"/>
      <c r="E9139" s="80"/>
    </row>
    <row r="9140" spans="2:5" ht="14.25" customHeight="1" x14ac:dyDescent="0.25">
      <c r="B9140" s="103"/>
      <c r="D9140" s="80"/>
      <c r="E9140" s="80"/>
    </row>
    <row r="9141" spans="2:5" ht="14.25" customHeight="1" x14ac:dyDescent="0.25">
      <c r="B9141" s="103"/>
      <c r="D9141" s="80"/>
      <c r="E9141" s="80"/>
    </row>
    <row r="9142" spans="2:5" ht="14.25" customHeight="1" x14ac:dyDescent="0.25">
      <c r="B9142" s="103"/>
      <c r="D9142" s="80"/>
      <c r="E9142" s="80"/>
    </row>
    <row r="9143" spans="2:5" ht="14.25" customHeight="1" x14ac:dyDescent="0.25">
      <c r="B9143" s="103"/>
      <c r="D9143" s="80"/>
      <c r="E9143" s="80"/>
    </row>
    <row r="9144" spans="2:5" ht="14.25" customHeight="1" x14ac:dyDescent="0.25">
      <c r="B9144" s="103"/>
      <c r="D9144" s="80"/>
      <c r="E9144" s="80"/>
    </row>
    <row r="9145" spans="2:5" ht="14.25" customHeight="1" x14ac:dyDescent="0.25">
      <c r="B9145" s="103"/>
      <c r="D9145" s="80"/>
      <c r="E9145" s="80"/>
    </row>
    <row r="9146" spans="2:5" ht="14.25" customHeight="1" x14ac:dyDescent="0.25">
      <c r="B9146" s="103"/>
      <c r="D9146" s="80"/>
      <c r="E9146" s="80"/>
    </row>
    <row r="9147" spans="2:5" ht="14.25" customHeight="1" x14ac:dyDescent="0.25">
      <c r="B9147" s="103"/>
      <c r="D9147" s="80"/>
      <c r="E9147" s="80"/>
    </row>
    <row r="9148" spans="2:5" ht="14.25" customHeight="1" x14ac:dyDescent="0.25">
      <c r="B9148" s="103"/>
      <c r="D9148" s="80"/>
      <c r="E9148" s="80"/>
    </row>
    <row r="9149" spans="2:5" ht="14.25" customHeight="1" x14ac:dyDescent="0.25">
      <c r="B9149" s="103"/>
      <c r="D9149" s="80"/>
      <c r="E9149" s="80"/>
    </row>
    <row r="9150" spans="2:5" ht="14.25" customHeight="1" x14ac:dyDescent="0.25">
      <c r="B9150" s="103"/>
      <c r="D9150" s="80"/>
      <c r="E9150" s="80"/>
    </row>
    <row r="9151" spans="2:5" ht="14.25" customHeight="1" x14ac:dyDescent="0.25">
      <c r="B9151" s="103"/>
      <c r="D9151" s="80"/>
      <c r="E9151" s="80"/>
    </row>
    <row r="9152" spans="2:5" ht="14.25" customHeight="1" x14ac:dyDescent="0.25">
      <c r="B9152" s="103"/>
      <c r="D9152" s="80"/>
      <c r="E9152" s="80"/>
    </row>
    <row r="9153" spans="2:5" ht="14.25" customHeight="1" x14ac:dyDescent="0.25">
      <c r="B9153" s="103"/>
      <c r="D9153" s="80"/>
      <c r="E9153" s="80"/>
    </row>
    <row r="9154" spans="2:5" ht="14.25" customHeight="1" x14ac:dyDescent="0.25">
      <c r="B9154" s="103"/>
      <c r="D9154" s="80"/>
      <c r="E9154" s="80"/>
    </row>
    <row r="9155" spans="2:5" ht="14.25" customHeight="1" x14ac:dyDescent="0.25">
      <c r="B9155" s="103"/>
      <c r="D9155" s="80"/>
      <c r="E9155" s="80"/>
    </row>
    <row r="9156" spans="2:5" ht="14.25" customHeight="1" x14ac:dyDescent="0.25">
      <c r="B9156" s="103"/>
      <c r="D9156" s="80"/>
      <c r="E9156" s="80"/>
    </row>
    <row r="9157" spans="2:5" ht="14.25" customHeight="1" x14ac:dyDescent="0.25">
      <c r="B9157" s="103"/>
      <c r="D9157" s="80"/>
      <c r="E9157" s="80"/>
    </row>
    <row r="9158" spans="2:5" ht="14.25" customHeight="1" x14ac:dyDescent="0.25">
      <c r="B9158" s="103"/>
      <c r="D9158" s="80"/>
      <c r="E9158" s="80"/>
    </row>
    <row r="9159" spans="2:5" ht="14.25" customHeight="1" x14ac:dyDescent="0.25">
      <c r="B9159" s="103"/>
      <c r="D9159" s="80"/>
      <c r="E9159" s="80"/>
    </row>
    <row r="9160" spans="2:5" ht="14.25" customHeight="1" x14ac:dyDescent="0.25">
      <c r="B9160" s="103"/>
      <c r="D9160" s="80"/>
      <c r="E9160" s="80"/>
    </row>
    <row r="9161" spans="2:5" ht="14.25" customHeight="1" x14ac:dyDescent="0.25">
      <c r="B9161" s="103"/>
      <c r="D9161" s="80"/>
      <c r="E9161" s="80"/>
    </row>
    <row r="9162" spans="2:5" ht="14.25" customHeight="1" x14ac:dyDescent="0.25">
      <c r="B9162" s="103"/>
      <c r="D9162" s="80"/>
      <c r="E9162" s="80"/>
    </row>
    <row r="9163" spans="2:5" ht="14.25" customHeight="1" x14ac:dyDescent="0.25">
      <c r="B9163" s="103"/>
      <c r="D9163" s="80"/>
      <c r="E9163" s="80"/>
    </row>
    <row r="9164" spans="2:5" ht="14.25" customHeight="1" x14ac:dyDescent="0.25">
      <c r="B9164" s="103"/>
      <c r="D9164" s="80"/>
      <c r="E9164" s="80"/>
    </row>
    <row r="9165" spans="2:5" ht="14.25" customHeight="1" x14ac:dyDescent="0.25">
      <c r="B9165" s="103"/>
      <c r="D9165" s="80"/>
      <c r="E9165" s="80"/>
    </row>
    <row r="9166" spans="2:5" ht="14.25" customHeight="1" x14ac:dyDescent="0.25">
      <c r="B9166" s="103"/>
      <c r="D9166" s="80"/>
      <c r="E9166" s="80"/>
    </row>
    <row r="9167" spans="2:5" ht="14.25" customHeight="1" x14ac:dyDescent="0.25">
      <c r="B9167" s="103"/>
      <c r="D9167" s="80"/>
      <c r="E9167" s="80"/>
    </row>
    <row r="9168" spans="2:5" ht="14.25" customHeight="1" x14ac:dyDescent="0.25">
      <c r="B9168" s="103"/>
      <c r="D9168" s="80"/>
      <c r="E9168" s="80"/>
    </row>
    <row r="9169" spans="2:5" ht="14.25" customHeight="1" x14ac:dyDescent="0.25">
      <c r="B9169" s="103"/>
      <c r="D9169" s="80"/>
      <c r="E9169" s="80"/>
    </row>
    <row r="9170" spans="2:5" ht="14.25" customHeight="1" x14ac:dyDescent="0.25">
      <c r="B9170" s="103"/>
      <c r="D9170" s="80"/>
      <c r="E9170" s="80"/>
    </row>
    <row r="9171" spans="2:5" ht="14.25" customHeight="1" x14ac:dyDescent="0.25">
      <c r="B9171" s="103"/>
      <c r="D9171" s="80"/>
      <c r="E9171" s="80"/>
    </row>
    <row r="9172" spans="2:5" ht="14.25" customHeight="1" x14ac:dyDescent="0.25">
      <c r="B9172" s="103"/>
      <c r="D9172" s="80"/>
      <c r="E9172" s="80"/>
    </row>
    <row r="9173" spans="2:5" ht="14.25" customHeight="1" x14ac:dyDescent="0.25">
      <c r="B9173" s="103"/>
      <c r="D9173" s="80"/>
      <c r="E9173" s="80"/>
    </row>
    <row r="9174" spans="2:5" ht="14.25" customHeight="1" x14ac:dyDescent="0.25">
      <c r="B9174" s="103"/>
      <c r="D9174" s="80"/>
      <c r="E9174" s="80"/>
    </row>
    <row r="9175" spans="2:5" ht="14.25" customHeight="1" x14ac:dyDescent="0.25">
      <c r="B9175" s="103"/>
      <c r="D9175" s="80"/>
      <c r="E9175" s="80"/>
    </row>
    <row r="9176" spans="2:5" ht="14.25" customHeight="1" x14ac:dyDescent="0.25">
      <c r="B9176" s="103"/>
      <c r="D9176" s="80"/>
      <c r="E9176" s="80"/>
    </row>
    <row r="9177" spans="2:5" ht="14.25" customHeight="1" x14ac:dyDescent="0.25">
      <c r="B9177" s="103"/>
      <c r="D9177" s="80"/>
      <c r="E9177" s="80"/>
    </row>
    <row r="9178" spans="2:5" ht="14.25" customHeight="1" x14ac:dyDescent="0.25">
      <c r="B9178" s="103"/>
      <c r="D9178" s="80"/>
      <c r="E9178" s="80"/>
    </row>
    <row r="9179" spans="2:5" ht="14.25" customHeight="1" x14ac:dyDescent="0.25">
      <c r="B9179" s="103"/>
      <c r="D9179" s="80"/>
      <c r="E9179" s="80"/>
    </row>
    <row r="9180" spans="2:5" ht="14.25" customHeight="1" x14ac:dyDescent="0.25">
      <c r="B9180" s="103"/>
      <c r="D9180" s="80"/>
      <c r="E9180" s="80"/>
    </row>
    <row r="9181" spans="2:5" ht="14.25" customHeight="1" x14ac:dyDescent="0.25">
      <c r="B9181" s="103"/>
      <c r="D9181" s="80"/>
      <c r="E9181" s="80"/>
    </row>
    <row r="9182" spans="2:5" ht="14.25" customHeight="1" x14ac:dyDescent="0.25">
      <c r="B9182" s="103"/>
      <c r="D9182" s="80"/>
      <c r="E9182" s="80"/>
    </row>
    <row r="9183" spans="2:5" ht="14.25" customHeight="1" x14ac:dyDescent="0.25">
      <c r="B9183" s="103"/>
      <c r="D9183" s="80"/>
      <c r="E9183" s="80"/>
    </row>
    <row r="9184" spans="2:5" ht="14.25" customHeight="1" x14ac:dyDescent="0.25">
      <c r="B9184" s="103"/>
      <c r="D9184" s="80"/>
      <c r="E9184" s="80"/>
    </row>
    <row r="9185" spans="2:5" ht="14.25" customHeight="1" x14ac:dyDescent="0.25">
      <c r="B9185" s="103"/>
      <c r="D9185" s="80"/>
      <c r="E9185" s="80"/>
    </row>
    <row r="9186" spans="2:5" ht="14.25" customHeight="1" x14ac:dyDescent="0.25">
      <c r="B9186" s="103"/>
      <c r="D9186" s="80"/>
      <c r="E9186" s="80"/>
    </row>
    <row r="9187" spans="2:5" ht="14.25" customHeight="1" x14ac:dyDescent="0.25">
      <c r="B9187" s="103"/>
      <c r="D9187" s="80"/>
      <c r="E9187" s="80"/>
    </row>
    <row r="9188" spans="2:5" ht="14.25" customHeight="1" x14ac:dyDescent="0.25">
      <c r="B9188" s="103"/>
      <c r="D9188" s="80"/>
      <c r="E9188" s="80"/>
    </row>
    <row r="9189" spans="2:5" ht="14.25" customHeight="1" x14ac:dyDescent="0.25">
      <c r="B9189" s="103"/>
      <c r="D9189" s="80"/>
      <c r="E9189" s="80"/>
    </row>
    <row r="9190" spans="2:5" ht="14.25" customHeight="1" x14ac:dyDescent="0.25">
      <c r="B9190" s="103"/>
      <c r="D9190" s="80"/>
      <c r="E9190" s="80"/>
    </row>
    <row r="9191" spans="2:5" ht="14.25" customHeight="1" x14ac:dyDescent="0.25">
      <c r="B9191" s="103"/>
      <c r="D9191" s="80"/>
      <c r="E9191" s="80"/>
    </row>
    <row r="9192" spans="2:5" ht="14.25" customHeight="1" x14ac:dyDescent="0.25">
      <c r="B9192" s="103"/>
      <c r="D9192" s="80"/>
      <c r="E9192" s="80"/>
    </row>
    <row r="9193" spans="2:5" ht="14.25" customHeight="1" x14ac:dyDescent="0.25">
      <c r="B9193" s="103"/>
      <c r="D9193" s="80"/>
      <c r="E9193" s="80"/>
    </row>
    <row r="9194" spans="2:5" ht="14.25" customHeight="1" x14ac:dyDescent="0.25">
      <c r="B9194" s="103"/>
      <c r="D9194" s="80"/>
      <c r="E9194" s="80"/>
    </row>
    <row r="9195" spans="2:5" ht="14.25" customHeight="1" x14ac:dyDescent="0.25">
      <c r="B9195" s="103"/>
      <c r="D9195" s="80"/>
      <c r="E9195" s="80"/>
    </row>
    <row r="9196" spans="2:5" ht="14.25" customHeight="1" x14ac:dyDescent="0.25">
      <c r="B9196" s="103"/>
      <c r="D9196" s="80"/>
      <c r="E9196" s="80"/>
    </row>
    <row r="9197" spans="2:5" ht="14.25" customHeight="1" x14ac:dyDescent="0.25">
      <c r="B9197" s="103"/>
      <c r="D9197" s="80"/>
      <c r="E9197" s="80"/>
    </row>
    <row r="9198" spans="2:5" ht="14.25" customHeight="1" x14ac:dyDescent="0.25">
      <c r="B9198" s="103"/>
      <c r="D9198" s="80"/>
      <c r="E9198" s="80"/>
    </row>
    <row r="9199" spans="2:5" ht="14.25" customHeight="1" x14ac:dyDescent="0.25">
      <c r="B9199" s="103"/>
      <c r="D9199" s="80"/>
      <c r="E9199" s="80"/>
    </row>
    <row r="9200" spans="2:5" ht="14.25" customHeight="1" x14ac:dyDescent="0.25">
      <c r="B9200" s="103"/>
      <c r="D9200" s="80"/>
      <c r="E9200" s="80"/>
    </row>
    <row r="9201" spans="2:5" ht="14.25" customHeight="1" x14ac:dyDescent="0.25">
      <c r="B9201" s="103"/>
      <c r="D9201" s="80"/>
      <c r="E9201" s="80"/>
    </row>
    <row r="9202" spans="2:5" ht="14.25" customHeight="1" x14ac:dyDescent="0.25">
      <c r="B9202" s="103"/>
      <c r="D9202" s="80"/>
      <c r="E9202" s="80"/>
    </row>
    <row r="9203" spans="2:5" ht="14.25" customHeight="1" x14ac:dyDescent="0.25">
      <c r="B9203" s="103"/>
      <c r="D9203" s="80"/>
      <c r="E9203" s="80"/>
    </row>
    <row r="9204" spans="2:5" ht="14.25" customHeight="1" x14ac:dyDescent="0.25">
      <c r="B9204" s="103"/>
      <c r="D9204" s="80"/>
      <c r="E9204" s="80"/>
    </row>
    <row r="9205" spans="2:5" ht="14.25" customHeight="1" x14ac:dyDescent="0.25">
      <c r="B9205" s="103"/>
      <c r="D9205" s="80"/>
      <c r="E9205" s="80"/>
    </row>
    <row r="9206" spans="2:5" ht="14.25" customHeight="1" x14ac:dyDescent="0.25">
      <c r="B9206" s="103"/>
      <c r="D9206" s="80"/>
      <c r="E9206" s="80"/>
    </row>
    <row r="9207" spans="2:5" ht="14.25" customHeight="1" x14ac:dyDescent="0.25">
      <c r="B9207" s="103"/>
      <c r="D9207" s="80"/>
      <c r="E9207" s="80"/>
    </row>
    <row r="9208" spans="2:5" ht="14.25" customHeight="1" x14ac:dyDescent="0.25">
      <c r="B9208" s="103"/>
      <c r="D9208" s="80"/>
      <c r="E9208" s="80"/>
    </row>
    <row r="9209" spans="2:5" ht="14.25" customHeight="1" x14ac:dyDescent="0.25">
      <c r="B9209" s="103"/>
      <c r="D9209" s="80"/>
      <c r="E9209" s="80"/>
    </row>
    <row r="9210" spans="2:5" ht="14.25" customHeight="1" x14ac:dyDescent="0.25">
      <c r="B9210" s="103"/>
      <c r="D9210" s="80"/>
      <c r="E9210" s="80"/>
    </row>
    <row r="9211" spans="2:5" ht="14.25" customHeight="1" x14ac:dyDescent="0.25">
      <c r="B9211" s="103"/>
      <c r="D9211" s="80"/>
      <c r="E9211" s="80"/>
    </row>
    <row r="9212" spans="2:5" ht="14.25" customHeight="1" x14ac:dyDescent="0.25">
      <c r="B9212" s="103"/>
      <c r="D9212" s="80"/>
      <c r="E9212" s="80"/>
    </row>
    <row r="9213" spans="2:5" ht="14.25" customHeight="1" x14ac:dyDescent="0.25">
      <c r="B9213" s="103"/>
      <c r="D9213" s="80"/>
      <c r="E9213" s="80"/>
    </row>
    <row r="9214" spans="2:5" ht="14.25" customHeight="1" x14ac:dyDescent="0.25">
      <c r="B9214" s="103"/>
      <c r="D9214" s="80"/>
      <c r="E9214" s="80"/>
    </row>
    <row r="9215" spans="2:5" ht="14.25" customHeight="1" x14ac:dyDescent="0.25">
      <c r="B9215" s="103"/>
      <c r="D9215" s="80"/>
      <c r="E9215" s="80"/>
    </row>
    <row r="9216" spans="2:5" ht="14.25" customHeight="1" x14ac:dyDescent="0.25">
      <c r="B9216" s="103"/>
      <c r="D9216" s="80"/>
      <c r="E9216" s="80"/>
    </row>
    <row r="9217" spans="2:5" ht="14.25" customHeight="1" x14ac:dyDescent="0.25">
      <c r="B9217" s="103"/>
      <c r="D9217" s="80"/>
      <c r="E9217" s="80"/>
    </row>
    <row r="9218" spans="2:5" ht="14.25" customHeight="1" x14ac:dyDescent="0.25">
      <c r="B9218" s="103"/>
      <c r="D9218" s="80"/>
      <c r="E9218" s="80"/>
    </row>
    <row r="9219" spans="2:5" ht="14.25" customHeight="1" x14ac:dyDescent="0.25">
      <c r="B9219" s="103"/>
      <c r="D9219" s="80"/>
      <c r="E9219" s="80"/>
    </row>
    <row r="9220" spans="2:5" ht="14.25" customHeight="1" x14ac:dyDescent="0.25">
      <c r="B9220" s="103"/>
      <c r="D9220" s="80"/>
      <c r="E9220" s="80"/>
    </row>
    <row r="9221" spans="2:5" ht="14.25" customHeight="1" x14ac:dyDescent="0.25">
      <c r="B9221" s="103"/>
      <c r="D9221" s="80"/>
      <c r="E9221" s="80"/>
    </row>
    <row r="9222" spans="2:5" ht="14.25" customHeight="1" x14ac:dyDescent="0.25">
      <c r="B9222" s="103"/>
      <c r="D9222" s="80"/>
      <c r="E9222" s="80"/>
    </row>
    <row r="9223" spans="2:5" ht="14.25" customHeight="1" x14ac:dyDescent="0.25">
      <c r="B9223" s="103"/>
      <c r="D9223" s="80"/>
      <c r="E9223" s="80"/>
    </row>
    <row r="9224" spans="2:5" ht="14.25" customHeight="1" x14ac:dyDescent="0.25">
      <c r="B9224" s="103"/>
      <c r="D9224" s="80"/>
      <c r="E9224" s="80"/>
    </row>
    <row r="9225" spans="2:5" ht="14.25" customHeight="1" x14ac:dyDescent="0.25">
      <c r="B9225" s="103"/>
      <c r="D9225" s="80"/>
      <c r="E9225" s="80"/>
    </row>
    <row r="9226" spans="2:5" ht="14.25" customHeight="1" x14ac:dyDescent="0.25">
      <c r="B9226" s="103"/>
      <c r="D9226" s="80"/>
      <c r="E9226" s="80"/>
    </row>
    <row r="9227" spans="2:5" ht="14.25" customHeight="1" x14ac:dyDescent="0.25">
      <c r="B9227" s="103"/>
      <c r="D9227" s="80"/>
      <c r="E9227" s="80"/>
    </row>
    <row r="9228" spans="2:5" ht="14.25" customHeight="1" x14ac:dyDescent="0.25">
      <c r="B9228" s="103"/>
      <c r="D9228" s="80"/>
      <c r="E9228" s="80"/>
    </row>
    <row r="9229" spans="2:5" ht="14.25" customHeight="1" x14ac:dyDescent="0.25">
      <c r="B9229" s="103"/>
      <c r="D9229" s="80"/>
      <c r="E9229" s="80"/>
    </row>
    <row r="9230" spans="2:5" ht="14.25" customHeight="1" x14ac:dyDescent="0.25">
      <c r="B9230" s="103"/>
      <c r="D9230" s="80"/>
      <c r="E9230" s="80"/>
    </row>
    <row r="9231" spans="2:5" ht="14.25" customHeight="1" x14ac:dyDescent="0.25">
      <c r="B9231" s="103"/>
      <c r="D9231" s="80"/>
      <c r="E9231" s="80"/>
    </row>
    <row r="9232" spans="2:5" ht="14.25" customHeight="1" x14ac:dyDescent="0.25">
      <c r="B9232" s="103"/>
      <c r="D9232" s="80"/>
      <c r="E9232" s="80"/>
    </row>
    <row r="9233" spans="2:5" ht="14.25" customHeight="1" x14ac:dyDescent="0.25">
      <c r="B9233" s="103"/>
      <c r="D9233" s="80"/>
      <c r="E9233" s="80"/>
    </row>
    <row r="9234" spans="2:5" ht="14.25" customHeight="1" x14ac:dyDescent="0.25">
      <c r="B9234" s="103"/>
      <c r="D9234" s="80"/>
      <c r="E9234" s="80"/>
    </row>
    <row r="9235" spans="2:5" ht="14.25" customHeight="1" x14ac:dyDescent="0.25">
      <c r="B9235" s="103"/>
      <c r="D9235" s="80"/>
      <c r="E9235" s="80"/>
    </row>
    <row r="9236" spans="2:5" ht="14.25" customHeight="1" x14ac:dyDescent="0.25">
      <c r="B9236" s="103"/>
      <c r="D9236" s="80"/>
      <c r="E9236" s="80"/>
    </row>
    <row r="9237" spans="2:5" ht="14.25" customHeight="1" x14ac:dyDescent="0.25">
      <c r="B9237" s="103"/>
      <c r="D9237" s="80"/>
      <c r="E9237" s="80"/>
    </row>
    <row r="9238" spans="2:5" ht="14.25" customHeight="1" x14ac:dyDescent="0.25">
      <c r="B9238" s="103"/>
      <c r="D9238" s="80"/>
      <c r="E9238" s="80"/>
    </row>
    <row r="9239" spans="2:5" ht="14.25" customHeight="1" x14ac:dyDescent="0.25">
      <c r="B9239" s="103"/>
      <c r="D9239" s="80"/>
      <c r="E9239" s="80"/>
    </row>
    <row r="9240" spans="2:5" ht="14.25" customHeight="1" x14ac:dyDescent="0.25">
      <c r="B9240" s="103"/>
      <c r="D9240" s="80"/>
      <c r="E9240" s="80"/>
    </row>
    <row r="9241" spans="2:5" ht="14.25" customHeight="1" x14ac:dyDescent="0.25">
      <c r="B9241" s="103"/>
      <c r="D9241" s="80"/>
      <c r="E9241" s="80"/>
    </row>
    <row r="9242" spans="2:5" ht="14.25" customHeight="1" x14ac:dyDescent="0.25">
      <c r="B9242" s="103"/>
      <c r="D9242" s="80"/>
      <c r="E9242" s="80"/>
    </row>
    <row r="9243" spans="2:5" ht="14.25" customHeight="1" x14ac:dyDescent="0.25">
      <c r="B9243" s="103"/>
      <c r="D9243" s="80"/>
      <c r="E9243" s="80"/>
    </row>
    <row r="9244" spans="2:5" ht="14.25" customHeight="1" x14ac:dyDescent="0.25">
      <c r="B9244" s="103"/>
      <c r="D9244" s="80"/>
      <c r="E9244" s="80"/>
    </row>
    <row r="9245" spans="2:5" ht="14.25" customHeight="1" x14ac:dyDescent="0.25">
      <c r="B9245" s="103"/>
      <c r="D9245" s="80"/>
      <c r="E9245" s="80"/>
    </row>
    <row r="9246" spans="2:5" ht="14.25" customHeight="1" x14ac:dyDescent="0.25">
      <c r="B9246" s="103"/>
      <c r="D9246" s="80"/>
      <c r="E9246" s="80"/>
    </row>
    <row r="9247" spans="2:5" ht="14.25" customHeight="1" x14ac:dyDescent="0.25">
      <c r="B9247" s="103"/>
      <c r="D9247" s="80"/>
      <c r="E9247" s="80"/>
    </row>
    <row r="9248" spans="2:5" ht="14.25" customHeight="1" x14ac:dyDescent="0.25">
      <c r="B9248" s="103"/>
      <c r="D9248" s="80"/>
      <c r="E9248" s="80"/>
    </row>
    <row r="9249" spans="2:5" ht="14.25" customHeight="1" x14ac:dyDescent="0.25">
      <c r="B9249" s="103"/>
      <c r="D9249" s="80"/>
      <c r="E9249" s="80"/>
    </row>
    <row r="9250" spans="2:5" ht="14.25" customHeight="1" x14ac:dyDescent="0.25">
      <c r="B9250" s="103"/>
      <c r="D9250" s="80"/>
      <c r="E9250" s="80"/>
    </row>
    <row r="9251" spans="2:5" ht="14.25" customHeight="1" x14ac:dyDescent="0.25">
      <c r="B9251" s="103"/>
      <c r="D9251" s="80"/>
      <c r="E9251" s="80"/>
    </row>
    <row r="9252" spans="2:5" ht="14.25" customHeight="1" x14ac:dyDescent="0.25">
      <c r="B9252" s="103"/>
      <c r="D9252" s="80"/>
      <c r="E9252" s="80"/>
    </row>
    <row r="9253" spans="2:5" ht="14.25" customHeight="1" x14ac:dyDescent="0.25">
      <c r="B9253" s="103"/>
      <c r="D9253" s="80"/>
      <c r="E9253" s="80"/>
    </row>
    <row r="9254" spans="2:5" ht="14.25" customHeight="1" x14ac:dyDescent="0.25">
      <c r="B9254" s="103"/>
      <c r="D9254" s="80"/>
      <c r="E9254" s="80"/>
    </row>
    <row r="9255" spans="2:5" ht="14.25" customHeight="1" x14ac:dyDescent="0.25">
      <c r="B9255" s="103"/>
      <c r="D9255" s="80"/>
      <c r="E9255" s="80"/>
    </row>
    <row r="9256" spans="2:5" ht="14.25" customHeight="1" x14ac:dyDescent="0.25">
      <c r="B9256" s="103"/>
      <c r="D9256" s="80"/>
      <c r="E9256" s="80"/>
    </row>
    <row r="9257" spans="2:5" ht="14.25" customHeight="1" x14ac:dyDescent="0.25">
      <c r="B9257" s="103"/>
      <c r="D9257" s="80"/>
      <c r="E9257" s="80"/>
    </row>
    <row r="9258" spans="2:5" ht="14.25" customHeight="1" x14ac:dyDescent="0.25">
      <c r="B9258" s="103"/>
      <c r="D9258" s="80"/>
      <c r="E9258" s="80"/>
    </row>
    <row r="9259" spans="2:5" ht="14.25" customHeight="1" x14ac:dyDescent="0.25">
      <c r="B9259" s="103"/>
      <c r="D9259" s="80"/>
      <c r="E9259" s="80"/>
    </row>
    <row r="9260" spans="2:5" ht="14.25" customHeight="1" x14ac:dyDescent="0.25">
      <c r="B9260" s="103"/>
      <c r="D9260" s="80"/>
      <c r="E9260" s="80"/>
    </row>
    <row r="9261" spans="2:5" ht="14.25" customHeight="1" x14ac:dyDescent="0.25">
      <c r="B9261" s="103"/>
      <c r="D9261" s="80"/>
      <c r="E9261" s="80"/>
    </row>
    <row r="9262" spans="2:5" ht="14.25" customHeight="1" x14ac:dyDescent="0.25">
      <c r="B9262" s="103"/>
      <c r="D9262" s="80"/>
      <c r="E9262" s="80"/>
    </row>
    <row r="9263" spans="2:5" ht="14.25" customHeight="1" x14ac:dyDescent="0.25">
      <c r="B9263" s="103"/>
      <c r="D9263" s="80"/>
      <c r="E9263" s="80"/>
    </row>
    <row r="9264" spans="2:5" ht="14.25" customHeight="1" x14ac:dyDescent="0.25">
      <c r="B9264" s="103"/>
      <c r="D9264" s="80"/>
      <c r="E9264" s="80"/>
    </row>
    <row r="9265" spans="2:5" ht="14.25" customHeight="1" x14ac:dyDescent="0.25">
      <c r="B9265" s="103"/>
      <c r="D9265" s="80"/>
      <c r="E9265" s="80"/>
    </row>
    <row r="9266" spans="2:5" ht="14.25" customHeight="1" x14ac:dyDescent="0.25">
      <c r="B9266" s="103"/>
      <c r="D9266" s="80"/>
      <c r="E9266" s="80"/>
    </row>
    <row r="9267" spans="2:5" ht="14.25" customHeight="1" x14ac:dyDescent="0.25">
      <c r="B9267" s="103"/>
      <c r="D9267" s="80"/>
      <c r="E9267" s="80"/>
    </row>
    <row r="9268" spans="2:5" ht="14.25" customHeight="1" x14ac:dyDescent="0.25">
      <c r="B9268" s="103"/>
      <c r="D9268" s="80"/>
      <c r="E9268" s="80"/>
    </row>
    <row r="9269" spans="2:5" ht="14.25" customHeight="1" x14ac:dyDescent="0.25">
      <c r="B9269" s="103"/>
      <c r="D9269" s="80"/>
      <c r="E9269" s="80"/>
    </row>
    <row r="9270" spans="2:5" ht="14.25" customHeight="1" x14ac:dyDescent="0.25">
      <c r="B9270" s="103"/>
      <c r="D9270" s="80"/>
      <c r="E9270" s="80"/>
    </row>
    <row r="9271" spans="2:5" ht="14.25" customHeight="1" x14ac:dyDescent="0.25">
      <c r="B9271" s="103"/>
      <c r="D9271" s="80"/>
      <c r="E9271" s="80"/>
    </row>
    <row r="9272" spans="2:5" ht="14.25" customHeight="1" x14ac:dyDescent="0.25">
      <c r="B9272" s="103"/>
      <c r="D9272" s="80"/>
      <c r="E9272" s="80"/>
    </row>
    <row r="9273" spans="2:5" ht="14.25" customHeight="1" x14ac:dyDescent="0.25">
      <c r="B9273" s="103"/>
      <c r="D9273" s="80"/>
      <c r="E9273" s="80"/>
    </row>
    <row r="9274" spans="2:5" ht="14.25" customHeight="1" x14ac:dyDescent="0.25">
      <c r="B9274" s="103"/>
      <c r="D9274" s="80"/>
      <c r="E9274" s="80"/>
    </row>
    <row r="9275" spans="2:5" ht="14.25" customHeight="1" x14ac:dyDescent="0.25">
      <c r="B9275" s="103"/>
      <c r="D9275" s="80"/>
      <c r="E9275" s="80"/>
    </row>
    <row r="9276" spans="2:5" ht="14.25" customHeight="1" x14ac:dyDescent="0.25">
      <c r="B9276" s="103"/>
      <c r="D9276" s="80"/>
      <c r="E9276" s="80"/>
    </row>
    <row r="9277" spans="2:5" ht="14.25" customHeight="1" x14ac:dyDescent="0.25">
      <c r="B9277" s="103"/>
      <c r="D9277" s="80"/>
      <c r="E9277" s="80"/>
    </row>
    <row r="9278" spans="2:5" ht="14.25" customHeight="1" x14ac:dyDescent="0.25">
      <c r="B9278" s="103"/>
      <c r="D9278" s="80"/>
      <c r="E9278" s="80"/>
    </row>
    <row r="9279" spans="2:5" ht="14.25" customHeight="1" x14ac:dyDescent="0.25">
      <c r="B9279" s="103"/>
      <c r="D9279" s="80"/>
      <c r="E9279" s="80"/>
    </row>
    <row r="9280" spans="2:5" ht="14.25" customHeight="1" x14ac:dyDescent="0.25">
      <c r="B9280" s="103"/>
      <c r="D9280" s="80"/>
      <c r="E9280" s="80"/>
    </row>
    <row r="9281" spans="2:5" ht="14.25" customHeight="1" x14ac:dyDescent="0.25">
      <c r="B9281" s="103"/>
      <c r="D9281" s="80"/>
      <c r="E9281" s="80"/>
    </row>
    <row r="9282" spans="2:5" ht="14.25" customHeight="1" x14ac:dyDescent="0.25">
      <c r="B9282" s="103"/>
      <c r="D9282" s="80"/>
      <c r="E9282" s="80"/>
    </row>
    <row r="9283" spans="2:5" ht="14.25" customHeight="1" x14ac:dyDescent="0.25">
      <c r="B9283" s="103"/>
      <c r="D9283" s="80"/>
      <c r="E9283" s="80"/>
    </row>
    <row r="9284" spans="2:5" ht="14.25" customHeight="1" x14ac:dyDescent="0.25">
      <c r="B9284" s="103"/>
      <c r="D9284" s="80"/>
      <c r="E9284" s="80"/>
    </row>
    <row r="9285" spans="2:5" ht="14.25" customHeight="1" x14ac:dyDescent="0.25">
      <c r="B9285" s="103"/>
      <c r="D9285" s="80"/>
      <c r="E9285" s="80"/>
    </row>
    <row r="9286" spans="2:5" ht="14.25" customHeight="1" x14ac:dyDescent="0.25">
      <c r="B9286" s="103"/>
      <c r="D9286" s="80"/>
      <c r="E9286" s="80"/>
    </row>
    <row r="9287" spans="2:5" ht="14.25" customHeight="1" x14ac:dyDescent="0.25">
      <c r="B9287" s="103"/>
      <c r="D9287" s="80"/>
      <c r="E9287" s="80"/>
    </row>
    <row r="9288" spans="2:5" ht="14.25" customHeight="1" x14ac:dyDescent="0.25">
      <c r="B9288" s="103"/>
      <c r="D9288" s="80"/>
      <c r="E9288" s="80"/>
    </row>
    <row r="9289" spans="2:5" ht="14.25" customHeight="1" x14ac:dyDescent="0.25">
      <c r="B9289" s="103"/>
      <c r="D9289" s="80"/>
      <c r="E9289" s="80"/>
    </row>
    <row r="9290" spans="2:5" ht="14.25" customHeight="1" x14ac:dyDescent="0.25">
      <c r="B9290" s="103"/>
      <c r="D9290" s="80"/>
      <c r="E9290" s="80"/>
    </row>
    <row r="9291" spans="2:5" ht="14.25" customHeight="1" x14ac:dyDescent="0.25">
      <c r="B9291" s="103"/>
      <c r="D9291" s="80"/>
      <c r="E9291" s="80"/>
    </row>
    <row r="9292" spans="2:5" ht="14.25" customHeight="1" x14ac:dyDescent="0.25">
      <c r="B9292" s="103"/>
      <c r="D9292" s="80"/>
      <c r="E9292" s="80"/>
    </row>
    <row r="9293" spans="2:5" ht="14.25" customHeight="1" x14ac:dyDescent="0.25">
      <c r="B9293" s="103"/>
      <c r="D9293" s="80"/>
      <c r="E9293" s="80"/>
    </row>
    <row r="9294" spans="2:5" ht="14.25" customHeight="1" x14ac:dyDescent="0.25">
      <c r="B9294" s="103"/>
      <c r="D9294" s="80"/>
      <c r="E9294" s="80"/>
    </row>
    <row r="9295" spans="2:5" ht="14.25" customHeight="1" x14ac:dyDescent="0.25">
      <c r="B9295" s="103"/>
      <c r="D9295" s="80"/>
      <c r="E9295" s="80"/>
    </row>
    <row r="9296" spans="2:5" ht="14.25" customHeight="1" x14ac:dyDescent="0.25">
      <c r="B9296" s="103"/>
      <c r="D9296" s="80"/>
      <c r="E9296" s="80"/>
    </row>
    <row r="9297" spans="2:5" ht="14.25" customHeight="1" x14ac:dyDescent="0.25">
      <c r="B9297" s="103"/>
      <c r="D9297" s="80"/>
      <c r="E9297" s="80"/>
    </row>
    <row r="9298" spans="2:5" ht="14.25" customHeight="1" x14ac:dyDescent="0.25">
      <c r="B9298" s="103"/>
      <c r="D9298" s="80"/>
      <c r="E9298" s="80"/>
    </row>
    <row r="9299" spans="2:5" ht="14.25" customHeight="1" x14ac:dyDescent="0.25">
      <c r="B9299" s="103"/>
      <c r="D9299" s="80"/>
      <c r="E9299" s="80"/>
    </row>
    <row r="9300" spans="2:5" ht="14.25" customHeight="1" x14ac:dyDescent="0.25">
      <c r="B9300" s="103"/>
      <c r="D9300" s="80"/>
      <c r="E9300" s="80"/>
    </row>
    <row r="9301" spans="2:5" ht="14.25" customHeight="1" x14ac:dyDescent="0.25">
      <c r="B9301" s="103"/>
      <c r="D9301" s="80"/>
      <c r="E9301" s="80"/>
    </row>
    <row r="9302" spans="2:5" ht="14.25" customHeight="1" x14ac:dyDescent="0.25">
      <c r="B9302" s="103"/>
      <c r="D9302" s="80"/>
      <c r="E9302" s="80"/>
    </row>
    <row r="9303" spans="2:5" ht="14.25" customHeight="1" x14ac:dyDescent="0.25">
      <c r="B9303" s="103"/>
      <c r="D9303" s="80"/>
      <c r="E9303" s="80"/>
    </row>
    <row r="9304" spans="2:5" ht="14.25" customHeight="1" x14ac:dyDescent="0.25">
      <c r="B9304" s="103"/>
      <c r="D9304" s="80"/>
      <c r="E9304" s="80"/>
    </row>
    <row r="9305" spans="2:5" ht="14.25" customHeight="1" x14ac:dyDescent="0.25">
      <c r="B9305" s="103"/>
      <c r="D9305" s="80"/>
      <c r="E9305" s="80"/>
    </row>
    <row r="9306" spans="2:5" ht="14.25" customHeight="1" x14ac:dyDescent="0.25">
      <c r="B9306" s="103"/>
      <c r="D9306" s="80"/>
      <c r="E9306" s="80"/>
    </row>
    <row r="9307" spans="2:5" ht="14.25" customHeight="1" x14ac:dyDescent="0.25">
      <c r="B9307" s="103"/>
      <c r="D9307" s="80"/>
      <c r="E9307" s="80"/>
    </row>
    <row r="9308" spans="2:5" ht="14.25" customHeight="1" x14ac:dyDescent="0.25">
      <c r="B9308" s="103"/>
      <c r="D9308" s="80"/>
      <c r="E9308" s="80"/>
    </row>
    <row r="9309" spans="2:5" ht="14.25" customHeight="1" x14ac:dyDescent="0.25">
      <c r="B9309" s="103"/>
      <c r="D9309" s="80"/>
      <c r="E9309" s="80"/>
    </row>
    <row r="9310" spans="2:5" ht="14.25" customHeight="1" x14ac:dyDescent="0.25">
      <c r="B9310" s="103"/>
      <c r="D9310" s="80"/>
      <c r="E9310" s="80"/>
    </row>
    <row r="9311" spans="2:5" ht="14.25" customHeight="1" x14ac:dyDescent="0.25">
      <c r="B9311" s="103"/>
      <c r="D9311" s="80"/>
      <c r="E9311" s="80"/>
    </row>
    <row r="9312" spans="2:5" ht="14.25" customHeight="1" x14ac:dyDescent="0.25">
      <c r="B9312" s="103"/>
      <c r="D9312" s="80"/>
      <c r="E9312" s="80"/>
    </row>
    <row r="9313" spans="2:5" ht="14.25" customHeight="1" x14ac:dyDescent="0.25">
      <c r="B9313" s="103"/>
      <c r="D9313" s="80"/>
      <c r="E9313" s="80"/>
    </row>
    <row r="9314" spans="2:5" ht="14.25" customHeight="1" x14ac:dyDescent="0.25">
      <c r="B9314" s="103"/>
      <c r="D9314" s="80"/>
      <c r="E9314" s="80"/>
    </row>
    <row r="9315" spans="2:5" ht="14.25" customHeight="1" x14ac:dyDescent="0.25">
      <c r="B9315" s="103"/>
      <c r="D9315" s="80"/>
      <c r="E9315" s="80"/>
    </row>
    <row r="9316" spans="2:5" ht="14.25" customHeight="1" x14ac:dyDescent="0.25">
      <c r="B9316" s="103"/>
      <c r="D9316" s="80"/>
      <c r="E9316" s="80"/>
    </row>
    <row r="9317" spans="2:5" ht="14.25" customHeight="1" x14ac:dyDescent="0.25">
      <c r="B9317" s="103"/>
      <c r="D9317" s="80"/>
      <c r="E9317" s="80"/>
    </row>
    <row r="9318" spans="2:5" ht="14.25" customHeight="1" x14ac:dyDescent="0.25">
      <c r="B9318" s="103"/>
      <c r="D9318" s="80"/>
      <c r="E9318" s="80"/>
    </row>
    <row r="9319" spans="2:5" ht="14.25" customHeight="1" x14ac:dyDescent="0.25">
      <c r="B9319" s="103"/>
      <c r="D9319" s="80"/>
      <c r="E9319" s="80"/>
    </row>
    <row r="9320" spans="2:5" ht="14.25" customHeight="1" x14ac:dyDescent="0.25">
      <c r="B9320" s="103"/>
      <c r="D9320" s="80"/>
      <c r="E9320" s="80"/>
    </row>
    <row r="9321" spans="2:5" ht="14.25" customHeight="1" x14ac:dyDescent="0.25">
      <c r="B9321" s="103"/>
      <c r="D9321" s="80"/>
      <c r="E9321" s="80"/>
    </row>
    <row r="9322" spans="2:5" ht="14.25" customHeight="1" x14ac:dyDescent="0.25">
      <c r="B9322" s="103"/>
      <c r="D9322" s="80"/>
      <c r="E9322" s="80"/>
    </row>
    <row r="9323" spans="2:5" ht="14.25" customHeight="1" x14ac:dyDescent="0.25">
      <c r="B9323" s="103"/>
      <c r="D9323" s="80"/>
      <c r="E9323" s="80"/>
    </row>
    <row r="9324" spans="2:5" ht="14.25" customHeight="1" x14ac:dyDescent="0.25">
      <c r="B9324" s="103"/>
      <c r="D9324" s="80"/>
      <c r="E9324" s="80"/>
    </row>
    <row r="9325" spans="2:5" ht="14.25" customHeight="1" x14ac:dyDescent="0.25">
      <c r="B9325" s="103"/>
      <c r="D9325" s="80"/>
      <c r="E9325" s="80"/>
    </row>
    <row r="9326" spans="2:5" ht="14.25" customHeight="1" x14ac:dyDescent="0.25">
      <c r="B9326" s="103"/>
      <c r="D9326" s="80"/>
      <c r="E9326" s="80"/>
    </row>
    <row r="9327" spans="2:5" ht="14.25" customHeight="1" x14ac:dyDescent="0.25">
      <c r="B9327" s="103"/>
      <c r="D9327" s="80"/>
      <c r="E9327" s="80"/>
    </row>
    <row r="9328" spans="2:5" ht="14.25" customHeight="1" x14ac:dyDescent="0.25">
      <c r="B9328" s="103"/>
      <c r="D9328" s="80"/>
      <c r="E9328" s="80"/>
    </row>
    <row r="9329" spans="2:5" ht="14.25" customHeight="1" x14ac:dyDescent="0.25">
      <c r="B9329" s="103"/>
      <c r="D9329" s="80"/>
      <c r="E9329" s="80"/>
    </row>
    <row r="9330" spans="2:5" ht="14.25" customHeight="1" x14ac:dyDescent="0.25">
      <c r="B9330" s="103"/>
      <c r="D9330" s="80"/>
      <c r="E9330" s="80"/>
    </row>
    <row r="9331" spans="2:5" ht="14.25" customHeight="1" x14ac:dyDescent="0.25">
      <c r="B9331" s="103"/>
      <c r="D9331" s="80"/>
      <c r="E9331" s="80"/>
    </row>
    <row r="9332" spans="2:5" ht="14.25" customHeight="1" x14ac:dyDescent="0.25">
      <c r="B9332" s="103"/>
      <c r="D9332" s="80"/>
      <c r="E9332" s="80"/>
    </row>
    <row r="9333" spans="2:5" ht="14.25" customHeight="1" x14ac:dyDescent="0.25">
      <c r="B9333" s="103"/>
      <c r="D9333" s="80"/>
      <c r="E9333" s="80"/>
    </row>
    <row r="9334" spans="2:5" ht="14.25" customHeight="1" x14ac:dyDescent="0.25">
      <c r="B9334" s="103"/>
      <c r="D9334" s="80"/>
      <c r="E9334" s="80"/>
    </row>
    <row r="9335" spans="2:5" ht="14.25" customHeight="1" x14ac:dyDescent="0.25">
      <c r="B9335" s="103"/>
      <c r="D9335" s="80"/>
      <c r="E9335" s="80"/>
    </row>
    <row r="9336" spans="2:5" ht="14.25" customHeight="1" x14ac:dyDescent="0.25">
      <c r="B9336" s="103"/>
      <c r="D9336" s="80"/>
      <c r="E9336" s="80"/>
    </row>
    <row r="9337" spans="2:5" ht="14.25" customHeight="1" x14ac:dyDescent="0.25">
      <c r="B9337" s="103"/>
      <c r="D9337" s="80"/>
      <c r="E9337" s="80"/>
    </row>
    <row r="9338" spans="2:5" ht="14.25" customHeight="1" x14ac:dyDescent="0.25">
      <c r="B9338" s="103"/>
      <c r="D9338" s="80"/>
      <c r="E9338" s="80"/>
    </row>
    <row r="9339" spans="2:5" ht="14.25" customHeight="1" x14ac:dyDescent="0.25">
      <c r="B9339" s="103"/>
      <c r="D9339" s="80"/>
      <c r="E9339" s="80"/>
    </row>
    <row r="9340" spans="2:5" ht="14.25" customHeight="1" x14ac:dyDescent="0.25">
      <c r="B9340" s="103"/>
      <c r="D9340" s="80"/>
      <c r="E9340" s="80"/>
    </row>
    <row r="9341" spans="2:5" ht="14.25" customHeight="1" x14ac:dyDescent="0.25">
      <c r="B9341" s="103"/>
      <c r="D9341" s="80"/>
      <c r="E9341" s="80"/>
    </row>
    <row r="9342" spans="2:5" ht="14.25" customHeight="1" x14ac:dyDescent="0.25">
      <c r="B9342" s="103"/>
      <c r="D9342" s="80"/>
      <c r="E9342" s="80"/>
    </row>
    <row r="9343" spans="2:5" ht="14.25" customHeight="1" x14ac:dyDescent="0.25">
      <c r="B9343" s="103"/>
      <c r="D9343" s="80"/>
      <c r="E9343" s="80"/>
    </row>
    <row r="9344" spans="2:5" ht="14.25" customHeight="1" x14ac:dyDescent="0.25">
      <c r="B9344" s="103"/>
      <c r="D9344" s="80"/>
      <c r="E9344" s="80"/>
    </row>
    <row r="9345" spans="2:5" ht="14.25" customHeight="1" x14ac:dyDescent="0.25">
      <c r="B9345" s="103"/>
      <c r="D9345" s="80"/>
      <c r="E9345" s="80"/>
    </row>
    <row r="9346" spans="2:5" ht="14.25" customHeight="1" x14ac:dyDescent="0.25">
      <c r="B9346" s="103"/>
      <c r="D9346" s="80"/>
      <c r="E9346" s="80"/>
    </row>
    <row r="9347" spans="2:5" ht="14.25" customHeight="1" x14ac:dyDescent="0.25">
      <c r="B9347" s="103"/>
      <c r="D9347" s="80"/>
      <c r="E9347" s="80"/>
    </row>
    <row r="9348" spans="2:5" ht="14.25" customHeight="1" x14ac:dyDescent="0.25">
      <c r="B9348" s="103"/>
      <c r="D9348" s="80"/>
      <c r="E9348" s="80"/>
    </row>
    <row r="9349" spans="2:5" ht="14.25" customHeight="1" x14ac:dyDescent="0.25">
      <c r="B9349" s="103"/>
      <c r="D9349" s="80"/>
      <c r="E9349" s="80"/>
    </row>
    <row r="9350" spans="2:5" ht="14.25" customHeight="1" x14ac:dyDescent="0.25">
      <c r="B9350" s="103"/>
      <c r="D9350" s="80"/>
      <c r="E9350" s="80"/>
    </row>
    <row r="9351" spans="2:5" ht="14.25" customHeight="1" x14ac:dyDescent="0.25">
      <c r="B9351" s="103"/>
      <c r="D9351" s="80"/>
      <c r="E9351" s="80"/>
    </row>
    <row r="9352" spans="2:5" ht="14.25" customHeight="1" x14ac:dyDescent="0.25">
      <c r="B9352" s="103"/>
      <c r="D9352" s="80"/>
      <c r="E9352" s="80"/>
    </row>
    <row r="9353" spans="2:5" ht="14.25" customHeight="1" x14ac:dyDescent="0.25">
      <c r="B9353" s="103"/>
      <c r="D9353" s="80"/>
      <c r="E9353" s="80"/>
    </row>
    <row r="9354" spans="2:5" ht="14.25" customHeight="1" x14ac:dyDescent="0.25">
      <c r="B9354" s="103"/>
      <c r="D9354" s="80"/>
      <c r="E9354" s="80"/>
    </row>
    <row r="9355" spans="2:5" ht="14.25" customHeight="1" x14ac:dyDescent="0.25">
      <c r="B9355" s="103"/>
      <c r="D9355" s="80"/>
      <c r="E9355" s="80"/>
    </row>
    <row r="9356" spans="2:5" ht="14.25" customHeight="1" x14ac:dyDescent="0.25">
      <c r="B9356" s="103"/>
      <c r="D9356" s="80"/>
      <c r="E9356" s="80"/>
    </row>
    <row r="9357" spans="2:5" ht="14.25" customHeight="1" x14ac:dyDescent="0.25">
      <c r="B9357" s="103"/>
      <c r="D9357" s="80"/>
      <c r="E9357" s="80"/>
    </row>
    <row r="9358" spans="2:5" ht="14.25" customHeight="1" x14ac:dyDescent="0.25">
      <c r="B9358" s="103"/>
      <c r="D9358" s="80"/>
      <c r="E9358" s="80"/>
    </row>
    <row r="9359" spans="2:5" ht="14.25" customHeight="1" x14ac:dyDescent="0.25">
      <c r="B9359" s="103"/>
      <c r="D9359" s="80"/>
      <c r="E9359" s="80"/>
    </row>
    <row r="9360" spans="2:5" ht="14.25" customHeight="1" x14ac:dyDescent="0.25">
      <c r="B9360" s="103"/>
      <c r="D9360" s="80"/>
      <c r="E9360" s="80"/>
    </row>
    <row r="9361" spans="2:5" ht="14.25" customHeight="1" x14ac:dyDescent="0.25">
      <c r="B9361" s="103"/>
      <c r="D9361" s="80"/>
      <c r="E9361" s="80"/>
    </row>
    <row r="9362" spans="2:5" ht="14.25" customHeight="1" x14ac:dyDescent="0.25">
      <c r="B9362" s="103"/>
      <c r="D9362" s="80"/>
      <c r="E9362" s="80"/>
    </row>
    <row r="9363" spans="2:5" ht="14.25" customHeight="1" x14ac:dyDescent="0.25">
      <c r="B9363" s="103"/>
      <c r="D9363" s="80"/>
      <c r="E9363" s="80"/>
    </row>
    <row r="9364" spans="2:5" ht="14.25" customHeight="1" x14ac:dyDescent="0.25">
      <c r="B9364" s="103"/>
      <c r="D9364" s="80"/>
      <c r="E9364" s="80"/>
    </row>
    <row r="9365" spans="2:5" ht="14.25" customHeight="1" x14ac:dyDescent="0.25">
      <c r="B9365" s="103"/>
      <c r="D9365" s="80"/>
      <c r="E9365" s="80"/>
    </row>
    <row r="9366" spans="2:5" ht="14.25" customHeight="1" x14ac:dyDescent="0.25">
      <c r="B9366" s="103"/>
      <c r="D9366" s="80"/>
      <c r="E9366" s="80"/>
    </row>
    <row r="9367" spans="2:5" ht="14.25" customHeight="1" x14ac:dyDescent="0.25">
      <c r="B9367" s="103"/>
      <c r="D9367" s="80"/>
      <c r="E9367" s="80"/>
    </row>
    <row r="9368" spans="2:5" ht="14.25" customHeight="1" x14ac:dyDescent="0.25">
      <c r="B9368" s="103"/>
      <c r="D9368" s="80"/>
      <c r="E9368" s="80"/>
    </row>
    <row r="9369" spans="2:5" ht="14.25" customHeight="1" x14ac:dyDescent="0.25">
      <c r="B9369" s="103"/>
      <c r="D9369" s="80"/>
      <c r="E9369" s="80"/>
    </row>
    <row r="9370" spans="2:5" ht="14.25" customHeight="1" x14ac:dyDescent="0.25">
      <c r="B9370" s="103"/>
      <c r="D9370" s="80"/>
      <c r="E9370" s="80"/>
    </row>
    <row r="9371" spans="2:5" ht="14.25" customHeight="1" x14ac:dyDescent="0.25">
      <c r="B9371" s="103"/>
      <c r="D9371" s="80"/>
      <c r="E9371" s="80"/>
    </row>
    <row r="9372" spans="2:5" ht="14.25" customHeight="1" x14ac:dyDescent="0.25">
      <c r="B9372" s="103"/>
      <c r="D9372" s="80"/>
      <c r="E9372" s="80"/>
    </row>
    <row r="9373" spans="2:5" ht="14.25" customHeight="1" x14ac:dyDescent="0.25">
      <c r="B9373" s="103"/>
      <c r="D9373" s="80"/>
      <c r="E9373" s="80"/>
    </row>
    <row r="9374" spans="2:5" ht="14.25" customHeight="1" x14ac:dyDescent="0.25">
      <c r="B9374" s="103"/>
      <c r="D9374" s="80"/>
      <c r="E9374" s="80"/>
    </row>
    <row r="9375" spans="2:5" ht="14.25" customHeight="1" x14ac:dyDescent="0.25">
      <c r="B9375" s="103"/>
      <c r="D9375" s="80"/>
      <c r="E9375" s="80"/>
    </row>
    <row r="9376" spans="2:5" ht="14.25" customHeight="1" x14ac:dyDescent="0.25">
      <c r="B9376" s="103"/>
      <c r="D9376" s="80"/>
      <c r="E9376" s="80"/>
    </row>
    <row r="9377" spans="2:5" ht="14.25" customHeight="1" x14ac:dyDescent="0.25">
      <c r="B9377" s="103"/>
      <c r="D9377" s="80"/>
      <c r="E9377" s="80"/>
    </row>
    <row r="9378" spans="2:5" ht="14.25" customHeight="1" x14ac:dyDescent="0.25">
      <c r="B9378" s="103"/>
      <c r="D9378" s="80"/>
      <c r="E9378" s="80"/>
    </row>
    <row r="9379" spans="2:5" ht="14.25" customHeight="1" x14ac:dyDescent="0.25">
      <c r="B9379" s="103"/>
      <c r="D9379" s="80"/>
      <c r="E9379" s="80"/>
    </row>
    <row r="9380" spans="2:5" ht="14.25" customHeight="1" x14ac:dyDescent="0.25">
      <c r="B9380" s="103"/>
      <c r="D9380" s="80"/>
      <c r="E9380" s="80"/>
    </row>
    <row r="9381" spans="2:5" ht="14.25" customHeight="1" x14ac:dyDescent="0.25">
      <c r="B9381" s="103"/>
      <c r="D9381" s="80"/>
      <c r="E9381" s="80"/>
    </row>
    <row r="9382" spans="2:5" ht="14.25" customHeight="1" x14ac:dyDescent="0.25">
      <c r="B9382" s="103"/>
      <c r="D9382" s="80"/>
      <c r="E9382" s="80"/>
    </row>
    <row r="9383" spans="2:5" ht="14.25" customHeight="1" x14ac:dyDescent="0.25">
      <c r="B9383" s="103"/>
      <c r="D9383" s="80"/>
      <c r="E9383" s="80"/>
    </row>
    <row r="9384" spans="2:5" ht="14.25" customHeight="1" x14ac:dyDescent="0.25">
      <c r="B9384" s="103"/>
      <c r="D9384" s="80"/>
      <c r="E9384" s="80"/>
    </row>
    <row r="9385" spans="2:5" ht="14.25" customHeight="1" x14ac:dyDescent="0.25">
      <c r="B9385" s="103"/>
      <c r="D9385" s="80"/>
      <c r="E9385" s="80"/>
    </row>
    <row r="9386" spans="2:5" ht="14.25" customHeight="1" x14ac:dyDescent="0.25">
      <c r="B9386" s="103"/>
      <c r="D9386" s="80"/>
      <c r="E9386" s="80"/>
    </row>
    <row r="9387" spans="2:5" ht="14.25" customHeight="1" x14ac:dyDescent="0.25">
      <c r="B9387" s="103"/>
      <c r="D9387" s="80"/>
      <c r="E9387" s="80"/>
    </row>
    <row r="9388" spans="2:5" ht="14.25" customHeight="1" x14ac:dyDescent="0.25">
      <c r="B9388" s="103"/>
      <c r="D9388" s="80"/>
      <c r="E9388" s="80"/>
    </row>
    <row r="9389" spans="2:5" ht="14.25" customHeight="1" x14ac:dyDescent="0.25">
      <c r="B9389" s="103"/>
      <c r="D9389" s="80"/>
      <c r="E9389" s="80"/>
    </row>
    <row r="9390" spans="2:5" ht="14.25" customHeight="1" x14ac:dyDescent="0.25">
      <c r="B9390" s="103"/>
      <c r="D9390" s="80"/>
      <c r="E9390" s="80"/>
    </row>
    <row r="9391" spans="2:5" ht="14.25" customHeight="1" x14ac:dyDescent="0.25">
      <c r="B9391" s="103"/>
      <c r="D9391" s="80"/>
      <c r="E9391" s="80"/>
    </row>
    <row r="9392" spans="2:5" ht="14.25" customHeight="1" x14ac:dyDescent="0.25">
      <c r="B9392" s="103"/>
      <c r="D9392" s="80"/>
      <c r="E9392" s="80"/>
    </row>
    <row r="9393" spans="2:5" ht="14.25" customHeight="1" x14ac:dyDescent="0.25">
      <c r="B9393" s="103"/>
      <c r="D9393" s="80"/>
      <c r="E9393" s="80"/>
    </row>
    <row r="9394" spans="2:5" ht="14.25" customHeight="1" x14ac:dyDescent="0.25">
      <c r="B9394" s="103"/>
      <c r="D9394" s="80"/>
      <c r="E9394" s="80"/>
    </row>
    <row r="9395" spans="2:5" ht="14.25" customHeight="1" x14ac:dyDescent="0.25">
      <c r="B9395" s="103"/>
      <c r="D9395" s="80"/>
      <c r="E9395" s="80"/>
    </row>
    <row r="9396" spans="2:5" ht="14.25" customHeight="1" x14ac:dyDescent="0.25">
      <c r="B9396" s="103"/>
      <c r="D9396" s="80"/>
      <c r="E9396" s="80"/>
    </row>
    <row r="9397" spans="2:5" ht="14.25" customHeight="1" x14ac:dyDescent="0.25">
      <c r="B9397" s="103"/>
      <c r="D9397" s="80"/>
      <c r="E9397" s="80"/>
    </row>
    <row r="9398" spans="2:5" ht="14.25" customHeight="1" x14ac:dyDescent="0.25">
      <c r="B9398" s="103"/>
      <c r="D9398" s="80"/>
      <c r="E9398" s="80"/>
    </row>
    <row r="9399" spans="2:5" ht="14.25" customHeight="1" x14ac:dyDescent="0.25">
      <c r="B9399" s="103"/>
      <c r="D9399" s="80"/>
      <c r="E9399" s="80"/>
    </row>
    <row r="9400" spans="2:5" ht="14.25" customHeight="1" x14ac:dyDescent="0.25">
      <c r="B9400" s="103"/>
      <c r="D9400" s="80"/>
      <c r="E9400" s="80"/>
    </row>
    <row r="9401" spans="2:5" ht="14.25" customHeight="1" x14ac:dyDescent="0.25">
      <c r="B9401" s="103"/>
      <c r="D9401" s="80"/>
      <c r="E9401" s="80"/>
    </row>
    <row r="9402" spans="2:5" ht="14.25" customHeight="1" x14ac:dyDescent="0.25">
      <c r="B9402" s="103"/>
      <c r="D9402" s="80"/>
      <c r="E9402" s="80"/>
    </row>
    <row r="9403" spans="2:5" ht="14.25" customHeight="1" x14ac:dyDescent="0.25">
      <c r="B9403" s="103"/>
      <c r="D9403" s="80"/>
      <c r="E9403" s="80"/>
    </row>
    <row r="9404" spans="2:5" ht="14.25" customHeight="1" x14ac:dyDescent="0.25">
      <c r="B9404" s="103"/>
      <c r="D9404" s="80"/>
      <c r="E9404" s="80"/>
    </row>
    <row r="9405" spans="2:5" ht="14.25" customHeight="1" x14ac:dyDescent="0.25">
      <c r="B9405" s="103"/>
      <c r="D9405" s="80"/>
      <c r="E9405" s="80"/>
    </row>
    <row r="9406" spans="2:5" ht="14.25" customHeight="1" x14ac:dyDescent="0.25">
      <c r="B9406" s="103"/>
      <c r="D9406" s="80"/>
      <c r="E9406" s="80"/>
    </row>
    <row r="9407" spans="2:5" ht="14.25" customHeight="1" x14ac:dyDescent="0.25">
      <c r="B9407" s="103"/>
      <c r="D9407" s="80"/>
      <c r="E9407" s="80"/>
    </row>
    <row r="9408" spans="2:5" ht="14.25" customHeight="1" x14ac:dyDescent="0.25">
      <c r="B9408" s="103"/>
      <c r="D9408" s="80"/>
      <c r="E9408" s="80"/>
    </row>
    <row r="9409" spans="2:5" ht="14.25" customHeight="1" x14ac:dyDescent="0.25">
      <c r="B9409" s="103"/>
      <c r="D9409" s="80"/>
      <c r="E9409" s="80"/>
    </row>
    <row r="9410" spans="2:5" ht="14.25" customHeight="1" x14ac:dyDescent="0.25">
      <c r="B9410" s="103"/>
      <c r="D9410" s="80"/>
      <c r="E9410" s="80"/>
    </row>
    <row r="9411" spans="2:5" ht="14.25" customHeight="1" x14ac:dyDescent="0.25">
      <c r="B9411" s="103"/>
      <c r="D9411" s="80"/>
      <c r="E9411" s="80"/>
    </row>
    <row r="9412" spans="2:5" ht="14.25" customHeight="1" x14ac:dyDescent="0.25">
      <c r="B9412" s="103"/>
      <c r="D9412" s="80"/>
      <c r="E9412" s="80"/>
    </row>
    <row r="9413" spans="2:5" ht="14.25" customHeight="1" x14ac:dyDescent="0.25">
      <c r="B9413" s="103"/>
      <c r="D9413" s="80"/>
      <c r="E9413" s="80"/>
    </row>
    <row r="9414" spans="2:5" ht="14.25" customHeight="1" x14ac:dyDescent="0.25">
      <c r="B9414" s="103"/>
      <c r="D9414" s="80"/>
      <c r="E9414" s="80"/>
    </row>
    <row r="9415" spans="2:5" ht="14.25" customHeight="1" x14ac:dyDescent="0.25">
      <c r="B9415" s="103"/>
      <c r="D9415" s="80"/>
      <c r="E9415" s="80"/>
    </row>
    <row r="9416" spans="2:5" ht="14.25" customHeight="1" x14ac:dyDescent="0.25">
      <c r="B9416" s="103"/>
      <c r="D9416" s="80"/>
      <c r="E9416" s="80"/>
    </row>
    <row r="9417" spans="2:5" ht="14.25" customHeight="1" x14ac:dyDescent="0.25">
      <c r="B9417" s="103"/>
      <c r="D9417" s="80"/>
      <c r="E9417" s="80"/>
    </row>
    <row r="9418" spans="2:5" ht="14.25" customHeight="1" x14ac:dyDescent="0.25">
      <c r="B9418" s="103"/>
      <c r="D9418" s="80"/>
      <c r="E9418" s="80"/>
    </row>
    <row r="9419" spans="2:5" ht="14.25" customHeight="1" x14ac:dyDescent="0.25">
      <c r="B9419" s="103"/>
      <c r="D9419" s="80"/>
      <c r="E9419" s="80"/>
    </row>
    <row r="9420" spans="2:5" ht="14.25" customHeight="1" x14ac:dyDescent="0.25">
      <c r="B9420" s="103"/>
      <c r="D9420" s="80"/>
      <c r="E9420" s="80"/>
    </row>
    <row r="9421" spans="2:5" ht="14.25" customHeight="1" x14ac:dyDescent="0.25">
      <c r="B9421" s="103"/>
      <c r="D9421" s="80"/>
      <c r="E9421" s="80"/>
    </row>
    <row r="9422" spans="2:5" ht="14.25" customHeight="1" x14ac:dyDescent="0.25">
      <c r="B9422" s="103"/>
      <c r="D9422" s="80"/>
      <c r="E9422" s="80"/>
    </row>
    <row r="9423" spans="2:5" ht="14.25" customHeight="1" x14ac:dyDescent="0.25">
      <c r="B9423" s="103"/>
      <c r="D9423" s="80"/>
      <c r="E9423" s="80"/>
    </row>
    <row r="9424" spans="2:5" ht="14.25" customHeight="1" x14ac:dyDescent="0.25">
      <c r="B9424" s="103"/>
      <c r="D9424" s="80"/>
      <c r="E9424" s="80"/>
    </row>
    <row r="9425" spans="2:5" ht="14.25" customHeight="1" x14ac:dyDescent="0.25">
      <c r="B9425" s="103"/>
      <c r="D9425" s="80"/>
      <c r="E9425" s="80"/>
    </row>
    <row r="9426" spans="2:5" ht="14.25" customHeight="1" x14ac:dyDescent="0.25">
      <c r="B9426" s="103"/>
      <c r="D9426" s="80"/>
      <c r="E9426" s="80"/>
    </row>
    <row r="9427" spans="2:5" ht="14.25" customHeight="1" x14ac:dyDescent="0.25">
      <c r="B9427" s="103"/>
      <c r="D9427" s="80"/>
      <c r="E9427" s="80"/>
    </row>
    <row r="9428" spans="2:5" ht="14.25" customHeight="1" x14ac:dyDescent="0.25">
      <c r="B9428" s="103"/>
      <c r="D9428" s="80"/>
      <c r="E9428" s="80"/>
    </row>
    <row r="9429" spans="2:5" ht="14.25" customHeight="1" x14ac:dyDescent="0.25">
      <c r="B9429" s="103"/>
      <c r="D9429" s="80"/>
      <c r="E9429" s="80"/>
    </row>
    <row r="9430" spans="2:5" ht="14.25" customHeight="1" x14ac:dyDescent="0.25">
      <c r="B9430" s="103"/>
      <c r="D9430" s="80"/>
      <c r="E9430" s="80"/>
    </row>
    <row r="9431" spans="2:5" ht="14.25" customHeight="1" x14ac:dyDescent="0.25">
      <c r="B9431" s="103"/>
      <c r="D9431" s="80"/>
      <c r="E9431" s="80"/>
    </row>
    <row r="9432" spans="2:5" ht="14.25" customHeight="1" x14ac:dyDescent="0.25">
      <c r="B9432" s="103"/>
      <c r="D9432" s="80"/>
      <c r="E9432" s="80"/>
    </row>
    <row r="9433" spans="2:5" ht="14.25" customHeight="1" x14ac:dyDescent="0.25">
      <c r="B9433" s="103"/>
      <c r="D9433" s="80"/>
      <c r="E9433" s="80"/>
    </row>
    <row r="9434" spans="2:5" ht="14.25" customHeight="1" x14ac:dyDescent="0.25">
      <c r="B9434" s="103"/>
      <c r="D9434" s="80"/>
      <c r="E9434" s="80"/>
    </row>
    <row r="9435" spans="2:5" ht="14.25" customHeight="1" x14ac:dyDescent="0.25">
      <c r="B9435" s="103"/>
      <c r="D9435" s="80"/>
      <c r="E9435" s="80"/>
    </row>
    <row r="9436" spans="2:5" ht="14.25" customHeight="1" x14ac:dyDescent="0.25">
      <c r="B9436" s="103"/>
      <c r="D9436" s="80"/>
      <c r="E9436" s="80"/>
    </row>
    <row r="9437" spans="2:5" ht="14.25" customHeight="1" x14ac:dyDescent="0.25">
      <c r="B9437" s="103"/>
      <c r="D9437" s="80"/>
      <c r="E9437" s="80"/>
    </row>
    <row r="9438" spans="2:5" ht="14.25" customHeight="1" x14ac:dyDescent="0.25">
      <c r="B9438" s="103"/>
      <c r="D9438" s="80"/>
      <c r="E9438" s="80"/>
    </row>
    <row r="9439" spans="2:5" ht="14.25" customHeight="1" x14ac:dyDescent="0.25">
      <c r="B9439" s="103"/>
      <c r="D9439" s="80"/>
      <c r="E9439" s="80"/>
    </row>
    <row r="9440" spans="2:5" ht="14.25" customHeight="1" x14ac:dyDescent="0.25">
      <c r="B9440" s="103"/>
      <c r="D9440" s="80"/>
      <c r="E9440" s="80"/>
    </row>
    <row r="9441" spans="2:5" ht="14.25" customHeight="1" x14ac:dyDescent="0.25">
      <c r="B9441" s="103"/>
      <c r="D9441" s="80"/>
      <c r="E9441" s="80"/>
    </row>
    <row r="9442" spans="2:5" ht="14.25" customHeight="1" x14ac:dyDescent="0.25">
      <c r="B9442" s="103"/>
      <c r="D9442" s="80"/>
      <c r="E9442" s="80"/>
    </row>
    <row r="9443" spans="2:5" ht="14.25" customHeight="1" x14ac:dyDescent="0.25">
      <c r="B9443" s="103"/>
      <c r="D9443" s="80"/>
      <c r="E9443" s="80"/>
    </row>
    <row r="9444" spans="2:5" ht="14.25" customHeight="1" x14ac:dyDescent="0.25">
      <c r="B9444" s="103"/>
      <c r="D9444" s="80"/>
      <c r="E9444" s="80"/>
    </row>
    <row r="9445" spans="2:5" ht="14.25" customHeight="1" x14ac:dyDescent="0.25">
      <c r="B9445" s="103"/>
      <c r="D9445" s="80"/>
      <c r="E9445" s="80"/>
    </row>
    <row r="9446" spans="2:5" ht="14.25" customHeight="1" x14ac:dyDescent="0.25">
      <c r="B9446" s="103"/>
      <c r="D9446" s="80"/>
      <c r="E9446" s="80"/>
    </row>
    <row r="9447" spans="2:5" ht="14.25" customHeight="1" x14ac:dyDescent="0.25">
      <c r="B9447" s="103"/>
      <c r="D9447" s="80"/>
      <c r="E9447" s="80"/>
    </row>
    <row r="9448" spans="2:5" ht="14.25" customHeight="1" x14ac:dyDescent="0.25">
      <c r="B9448" s="103"/>
      <c r="D9448" s="80"/>
      <c r="E9448" s="80"/>
    </row>
    <row r="9449" spans="2:5" ht="14.25" customHeight="1" x14ac:dyDescent="0.25">
      <c r="B9449" s="103"/>
      <c r="D9449" s="80"/>
      <c r="E9449" s="80"/>
    </row>
    <row r="9450" spans="2:5" ht="14.25" customHeight="1" x14ac:dyDescent="0.25">
      <c r="B9450" s="103"/>
      <c r="D9450" s="80"/>
      <c r="E9450" s="80"/>
    </row>
    <row r="9451" spans="2:5" ht="14.25" customHeight="1" x14ac:dyDescent="0.25">
      <c r="B9451" s="103"/>
      <c r="D9451" s="80"/>
      <c r="E9451" s="80"/>
    </row>
    <row r="9452" spans="2:5" ht="14.25" customHeight="1" x14ac:dyDescent="0.25">
      <c r="B9452" s="103"/>
      <c r="D9452" s="80"/>
      <c r="E9452" s="80"/>
    </row>
    <row r="9453" spans="2:5" ht="14.25" customHeight="1" x14ac:dyDescent="0.25">
      <c r="B9453" s="103"/>
      <c r="D9453" s="80"/>
      <c r="E9453" s="80"/>
    </row>
    <row r="9454" spans="2:5" ht="14.25" customHeight="1" x14ac:dyDescent="0.25">
      <c r="B9454" s="103"/>
      <c r="D9454" s="80"/>
      <c r="E9454" s="80"/>
    </row>
    <row r="9455" spans="2:5" ht="14.25" customHeight="1" x14ac:dyDescent="0.25">
      <c r="B9455" s="103"/>
      <c r="D9455" s="80"/>
      <c r="E9455" s="80"/>
    </row>
    <row r="9456" spans="2:5" ht="14.25" customHeight="1" x14ac:dyDescent="0.25">
      <c r="B9456" s="103"/>
      <c r="D9456" s="80"/>
      <c r="E9456" s="80"/>
    </row>
    <row r="9457" spans="2:5" ht="14.25" customHeight="1" x14ac:dyDescent="0.25">
      <c r="B9457" s="103"/>
      <c r="D9457" s="80"/>
      <c r="E9457" s="80"/>
    </row>
    <row r="9458" spans="2:5" ht="14.25" customHeight="1" x14ac:dyDescent="0.25">
      <c r="B9458" s="103"/>
      <c r="D9458" s="80"/>
      <c r="E9458" s="80"/>
    </row>
    <row r="9459" spans="2:5" ht="14.25" customHeight="1" x14ac:dyDescent="0.25">
      <c r="B9459" s="103"/>
      <c r="D9459" s="80"/>
      <c r="E9459" s="80"/>
    </row>
    <row r="9460" spans="2:5" ht="14.25" customHeight="1" x14ac:dyDescent="0.25">
      <c r="B9460" s="103"/>
      <c r="D9460" s="80"/>
      <c r="E9460" s="80"/>
    </row>
    <row r="9461" spans="2:5" ht="14.25" customHeight="1" x14ac:dyDescent="0.25">
      <c r="B9461" s="103"/>
      <c r="D9461" s="80"/>
      <c r="E9461" s="80"/>
    </row>
    <row r="9462" spans="2:5" ht="14.25" customHeight="1" x14ac:dyDescent="0.25">
      <c r="B9462" s="103"/>
      <c r="D9462" s="80"/>
      <c r="E9462" s="80"/>
    </row>
    <row r="9463" spans="2:5" ht="14.25" customHeight="1" x14ac:dyDescent="0.25">
      <c r="B9463" s="103"/>
      <c r="D9463" s="80"/>
      <c r="E9463" s="80"/>
    </row>
    <row r="9464" spans="2:5" ht="14.25" customHeight="1" x14ac:dyDescent="0.25">
      <c r="B9464" s="103"/>
      <c r="D9464" s="80"/>
      <c r="E9464" s="80"/>
    </row>
    <row r="9465" spans="2:5" ht="14.25" customHeight="1" x14ac:dyDescent="0.25">
      <c r="B9465" s="103"/>
      <c r="D9465" s="80"/>
      <c r="E9465" s="80"/>
    </row>
    <row r="9466" spans="2:5" ht="14.25" customHeight="1" x14ac:dyDescent="0.25">
      <c r="B9466" s="103"/>
      <c r="D9466" s="80"/>
      <c r="E9466" s="80"/>
    </row>
    <row r="9467" spans="2:5" ht="14.25" customHeight="1" x14ac:dyDescent="0.25">
      <c r="B9467" s="103"/>
      <c r="D9467" s="80"/>
      <c r="E9467" s="80"/>
    </row>
    <row r="9468" spans="2:5" ht="14.25" customHeight="1" x14ac:dyDescent="0.25">
      <c r="B9468" s="103"/>
      <c r="D9468" s="80"/>
      <c r="E9468" s="80"/>
    </row>
    <row r="9469" spans="2:5" ht="14.25" customHeight="1" x14ac:dyDescent="0.25">
      <c r="B9469" s="103"/>
      <c r="D9469" s="80"/>
      <c r="E9469" s="80"/>
    </row>
    <row r="9470" spans="2:5" ht="14.25" customHeight="1" x14ac:dyDescent="0.25">
      <c r="B9470" s="103"/>
      <c r="D9470" s="80"/>
      <c r="E9470" s="80"/>
    </row>
    <row r="9471" spans="2:5" ht="14.25" customHeight="1" x14ac:dyDescent="0.25">
      <c r="B9471" s="103"/>
      <c r="D9471" s="80"/>
      <c r="E9471" s="80"/>
    </row>
    <row r="9472" spans="2:5" ht="14.25" customHeight="1" x14ac:dyDescent="0.25">
      <c r="B9472" s="103"/>
      <c r="D9472" s="80"/>
      <c r="E9472" s="80"/>
    </row>
    <row r="9473" spans="2:5" ht="14.25" customHeight="1" x14ac:dyDescent="0.25">
      <c r="B9473" s="103"/>
      <c r="D9473" s="80"/>
      <c r="E9473" s="80"/>
    </row>
    <row r="9474" spans="2:5" ht="14.25" customHeight="1" x14ac:dyDescent="0.25">
      <c r="B9474" s="103"/>
      <c r="D9474" s="80"/>
      <c r="E9474" s="80"/>
    </row>
    <row r="9475" spans="2:5" ht="14.25" customHeight="1" x14ac:dyDescent="0.25">
      <c r="B9475" s="103"/>
      <c r="D9475" s="80"/>
      <c r="E9475" s="80"/>
    </row>
    <row r="9476" spans="2:5" ht="14.25" customHeight="1" x14ac:dyDescent="0.25">
      <c r="B9476" s="103"/>
      <c r="D9476" s="80"/>
      <c r="E9476" s="80"/>
    </row>
    <row r="9477" spans="2:5" ht="14.25" customHeight="1" x14ac:dyDescent="0.25">
      <c r="B9477" s="103"/>
      <c r="D9477" s="80"/>
      <c r="E9477" s="80"/>
    </row>
    <row r="9478" spans="2:5" ht="14.25" customHeight="1" x14ac:dyDescent="0.25">
      <c r="B9478" s="103"/>
      <c r="D9478" s="80"/>
      <c r="E9478" s="80"/>
    </row>
    <row r="9479" spans="2:5" ht="14.25" customHeight="1" x14ac:dyDescent="0.25">
      <c r="B9479" s="103"/>
      <c r="D9479" s="80"/>
      <c r="E9479" s="80"/>
    </row>
    <row r="9480" spans="2:5" ht="14.25" customHeight="1" x14ac:dyDescent="0.25">
      <c r="B9480" s="103"/>
      <c r="D9480" s="80"/>
      <c r="E9480" s="80"/>
    </row>
    <row r="9481" spans="2:5" ht="14.25" customHeight="1" x14ac:dyDescent="0.25">
      <c r="B9481" s="103"/>
      <c r="D9481" s="80"/>
      <c r="E9481" s="80"/>
    </row>
    <row r="9482" spans="2:5" ht="14.25" customHeight="1" x14ac:dyDescent="0.25">
      <c r="B9482" s="103"/>
      <c r="D9482" s="80"/>
      <c r="E9482" s="80"/>
    </row>
    <row r="9483" spans="2:5" ht="14.25" customHeight="1" x14ac:dyDescent="0.25">
      <c r="B9483" s="103"/>
      <c r="D9483" s="80"/>
      <c r="E9483" s="80"/>
    </row>
    <row r="9484" spans="2:5" ht="14.25" customHeight="1" x14ac:dyDescent="0.25">
      <c r="B9484" s="103"/>
      <c r="D9484" s="80"/>
      <c r="E9484" s="80"/>
    </row>
    <row r="9485" spans="2:5" ht="14.25" customHeight="1" x14ac:dyDescent="0.25">
      <c r="B9485" s="103"/>
      <c r="D9485" s="80"/>
      <c r="E9485" s="80"/>
    </row>
    <row r="9486" spans="2:5" ht="14.25" customHeight="1" x14ac:dyDescent="0.25">
      <c r="B9486" s="103"/>
      <c r="D9486" s="80"/>
      <c r="E9486" s="80"/>
    </row>
    <row r="9487" spans="2:5" ht="14.25" customHeight="1" x14ac:dyDescent="0.25">
      <c r="B9487" s="103"/>
      <c r="D9487" s="80"/>
      <c r="E9487" s="80"/>
    </row>
    <row r="9488" spans="2:5" ht="14.25" customHeight="1" x14ac:dyDescent="0.25">
      <c r="B9488" s="103"/>
      <c r="D9488" s="80"/>
      <c r="E9488" s="80"/>
    </row>
    <row r="9489" spans="2:5" ht="14.25" customHeight="1" x14ac:dyDescent="0.25">
      <c r="B9489" s="103"/>
      <c r="D9489" s="80"/>
      <c r="E9489" s="80"/>
    </row>
    <row r="9490" spans="2:5" ht="14.25" customHeight="1" x14ac:dyDescent="0.25">
      <c r="B9490" s="103"/>
      <c r="D9490" s="80"/>
      <c r="E9490" s="80"/>
    </row>
    <row r="9491" spans="2:5" ht="14.25" customHeight="1" x14ac:dyDescent="0.25">
      <c r="B9491" s="103"/>
      <c r="D9491" s="80"/>
      <c r="E9491" s="80"/>
    </row>
    <row r="9492" spans="2:5" ht="14.25" customHeight="1" x14ac:dyDescent="0.25">
      <c r="B9492" s="103"/>
      <c r="D9492" s="80"/>
      <c r="E9492" s="80"/>
    </row>
    <row r="9493" spans="2:5" ht="14.25" customHeight="1" x14ac:dyDescent="0.25">
      <c r="B9493" s="103"/>
      <c r="D9493" s="80"/>
      <c r="E9493" s="80"/>
    </row>
    <row r="9494" spans="2:5" ht="14.25" customHeight="1" x14ac:dyDescent="0.25">
      <c r="B9494" s="103"/>
      <c r="D9494" s="80"/>
      <c r="E9494" s="80"/>
    </row>
    <row r="9495" spans="2:5" ht="14.25" customHeight="1" x14ac:dyDescent="0.25">
      <c r="B9495" s="103"/>
      <c r="D9495" s="80"/>
      <c r="E9495" s="80"/>
    </row>
    <row r="9496" spans="2:5" ht="14.25" customHeight="1" x14ac:dyDescent="0.25">
      <c r="B9496" s="103"/>
      <c r="D9496" s="80"/>
      <c r="E9496" s="80"/>
    </row>
    <row r="9497" spans="2:5" ht="14.25" customHeight="1" x14ac:dyDescent="0.25">
      <c r="B9497" s="103"/>
      <c r="D9497" s="80"/>
      <c r="E9497" s="80"/>
    </row>
    <row r="9498" spans="2:5" ht="14.25" customHeight="1" x14ac:dyDescent="0.25">
      <c r="B9498" s="103"/>
      <c r="D9498" s="80"/>
      <c r="E9498" s="80"/>
    </row>
    <row r="9499" spans="2:5" ht="14.25" customHeight="1" x14ac:dyDescent="0.25">
      <c r="B9499" s="103"/>
      <c r="D9499" s="80"/>
      <c r="E9499" s="80"/>
    </row>
    <row r="9500" spans="2:5" ht="14.25" customHeight="1" x14ac:dyDescent="0.25">
      <c r="B9500" s="103"/>
      <c r="D9500" s="80"/>
      <c r="E9500" s="80"/>
    </row>
    <row r="9501" spans="2:5" ht="14.25" customHeight="1" x14ac:dyDescent="0.25">
      <c r="B9501" s="103"/>
      <c r="D9501" s="80"/>
      <c r="E9501" s="80"/>
    </row>
    <row r="9502" spans="2:5" ht="14.25" customHeight="1" x14ac:dyDescent="0.25">
      <c r="B9502" s="103"/>
      <c r="D9502" s="80"/>
      <c r="E9502" s="80"/>
    </row>
    <row r="9503" spans="2:5" ht="14.25" customHeight="1" x14ac:dyDescent="0.25">
      <c r="B9503" s="103"/>
      <c r="D9503" s="80"/>
      <c r="E9503" s="80"/>
    </row>
    <row r="9504" spans="2:5" ht="14.25" customHeight="1" x14ac:dyDescent="0.25">
      <c r="B9504" s="103"/>
      <c r="D9504" s="80"/>
      <c r="E9504" s="80"/>
    </row>
    <row r="9505" spans="2:5" ht="14.25" customHeight="1" x14ac:dyDescent="0.25">
      <c r="B9505" s="103"/>
      <c r="D9505" s="80"/>
      <c r="E9505" s="80"/>
    </row>
    <row r="9506" spans="2:5" ht="14.25" customHeight="1" x14ac:dyDescent="0.25">
      <c r="B9506" s="103"/>
      <c r="D9506" s="80"/>
      <c r="E9506" s="80"/>
    </row>
    <row r="9507" spans="2:5" ht="14.25" customHeight="1" x14ac:dyDescent="0.25">
      <c r="B9507" s="103"/>
      <c r="D9507" s="80"/>
      <c r="E9507" s="80"/>
    </row>
    <row r="9508" spans="2:5" ht="14.25" customHeight="1" x14ac:dyDescent="0.25">
      <c r="B9508" s="103"/>
      <c r="D9508" s="80"/>
      <c r="E9508" s="80"/>
    </row>
    <row r="9509" spans="2:5" ht="14.25" customHeight="1" x14ac:dyDescent="0.25">
      <c r="B9509" s="103"/>
      <c r="D9509" s="80"/>
      <c r="E9509" s="80"/>
    </row>
    <row r="9510" spans="2:5" ht="14.25" customHeight="1" x14ac:dyDescent="0.25">
      <c r="B9510" s="103"/>
      <c r="D9510" s="80"/>
      <c r="E9510" s="80"/>
    </row>
    <row r="9511" spans="2:5" ht="14.25" customHeight="1" x14ac:dyDescent="0.25">
      <c r="B9511" s="103"/>
      <c r="D9511" s="80"/>
      <c r="E9511" s="80"/>
    </row>
    <row r="9512" spans="2:5" ht="14.25" customHeight="1" x14ac:dyDescent="0.25">
      <c r="B9512" s="103"/>
      <c r="D9512" s="80"/>
      <c r="E9512" s="80"/>
    </row>
    <row r="9513" spans="2:5" ht="14.25" customHeight="1" x14ac:dyDescent="0.25">
      <c r="B9513" s="103"/>
      <c r="D9513" s="80"/>
      <c r="E9513" s="80"/>
    </row>
    <row r="9514" spans="2:5" ht="14.25" customHeight="1" x14ac:dyDescent="0.25">
      <c r="B9514" s="103"/>
      <c r="D9514" s="80"/>
      <c r="E9514" s="80"/>
    </row>
    <row r="9515" spans="2:5" ht="14.25" customHeight="1" x14ac:dyDescent="0.25">
      <c r="B9515" s="103"/>
      <c r="D9515" s="80"/>
      <c r="E9515" s="80"/>
    </row>
    <row r="9516" spans="2:5" ht="14.25" customHeight="1" x14ac:dyDescent="0.25">
      <c r="B9516" s="103"/>
      <c r="D9516" s="80"/>
      <c r="E9516" s="80"/>
    </row>
    <row r="9517" spans="2:5" ht="14.25" customHeight="1" x14ac:dyDescent="0.25">
      <c r="B9517" s="103"/>
      <c r="D9517" s="80"/>
      <c r="E9517" s="80"/>
    </row>
    <row r="9518" spans="2:5" ht="14.25" customHeight="1" x14ac:dyDescent="0.25">
      <c r="B9518" s="103"/>
      <c r="D9518" s="80"/>
      <c r="E9518" s="80"/>
    </row>
    <row r="9519" spans="2:5" ht="14.25" customHeight="1" x14ac:dyDescent="0.25">
      <c r="B9519" s="103"/>
      <c r="D9519" s="80"/>
      <c r="E9519" s="80"/>
    </row>
    <row r="9520" spans="2:5" ht="14.25" customHeight="1" x14ac:dyDescent="0.25">
      <c r="B9520" s="103"/>
      <c r="D9520" s="80"/>
      <c r="E9520" s="80"/>
    </row>
    <row r="9521" spans="2:5" ht="14.25" customHeight="1" x14ac:dyDescent="0.25">
      <c r="B9521" s="103"/>
      <c r="D9521" s="80"/>
      <c r="E9521" s="80"/>
    </row>
    <row r="9522" spans="2:5" ht="14.25" customHeight="1" x14ac:dyDescent="0.25">
      <c r="B9522" s="103"/>
      <c r="D9522" s="80"/>
      <c r="E9522" s="80"/>
    </row>
    <row r="9523" spans="2:5" ht="14.25" customHeight="1" x14ac:dyDescent="0.25">
      <c r="B9523" s="103"/>
      <c r="D9523" s="80"/>
      <c r="E9523" s="80"/>
    </row>
    <row r="9524" spans="2:5" ht="14.25" customHeight="1" x14ac:dyDescent="0.25">
      <c r="B9524" s="103"/>
      <c r="D9524" s="80"/>
      <c r="E9524" s="80"/>
    </row>
    <row r="9525" spans="2:5" ht="14.25" customHeight="1" x14ac:dyDescent="0.25">
      <c r="B9525" s="103"/>
      <c r="D9525" s="80"/>
      <c r="E9525" s="80"/>
    </row>
    <row r="9526" spans="2:5" ht="14.25" customHeight="1" x14ac:dyDescent="0.25">
      <c r="B9526" s="103"/>
      <c r="D9526" s="80"/>
      <c r="E9526" s="80"/>
    </row>
    <row r="9527" spans="2:5" ht="14.25" customHeight="1" x14ac:dyDescent="0.25">
      <c r="B9527" s="103"/>
      <c r="D9527" s="80"/>
      <c r="E9527" s="80"/>
    </row>
    <row r="9528" spans="2:5" ht="14.25" customHeight="1" x14ac:dyDescent="0.25">
      <c r="B9528" s="103"/>
      <c r="D9528" s="80"/>
      <c r="E9528" s="80"/>
    </row>
    <row r="9529" spans="2:5" ht="14.25" customHeight="1" x14ac:dyDescent="0.25">
      <c r="B9529" s="103"/>
      <c r="D9529" s="80"/>
      <c r="E9529" s="80"/>
    </row>
    <row r="9530" spans="2:5" ht="14.25" customHeight="1" x14ac:dyDescent="0.25">
      <c r="B9530" s="103"/>
      <c r="D9530" s="80"/>
      <c r="E9530" s="80"/>
    </row>
    <row r="9531" spans="2:5" ht="14.25" customHeight="1" x14ac:dyDescent="0.25">
      <c r="B9531" s="103"/>
      <c r="D9531" s="80"/>
      <c r="E9531" s="80"/>
    </row>
    <row r="9532" spans="2:5" ht="14.25" customHeight="1" x14ac:dyDescent="0.25">
      <c r="B9532" s="103"/>
      <c r="D9532" s="80"/>
      <c r="E9532" s="80"/>
    </row>
    <row r="9533" spans="2:5" ht="14.25" customHeight="1" x14ac:dyDescent="0.25">
      <c r="B9533" s="103"/>
      <c r="D9533" s="80"/>
      <c r="E9533" s="80"/>
    </row>
    <row r="9534" spans="2:5" ht="14.25" customHeight="1" x14ac:dyDescent="0.25">
      <c r="B9534" s="103"/>
      <c r="D9534" s="80"/>
      <c r="E9534" s="80"/>
    </row>
    <row r="9535" spans="2:5" ht="14.25" customHeight="1" x14ac:dyDescent="0.25">
      <c r="B9535" s="103"/>
      <c r="D9535" s="80"/>
      <c r="E9535" s="80"/>
    </row>
    <row r="9536" spans="2:5" ht="14.25" customHeight="1" x14ac:dyDescent="0.25">
      <c r="B9536" s="103"/>
      <c r="D9536" s="80"/>
      <c r="E9536" s="80"/>
    </row>
    <row r="9537" spans="2:5" ht="14.25" customHeight="1" x14ac:dyDescent="0.25">
      <c r="B9537" s="103"/>
      <c r="D9537" s="80"/>
      <c r="E9537" s="80"/>
    </row>
    <row r="9538" spans="2:5" ht="14.25" customHeight="1" x14ac:dyDescent="0.25">
      <c r="B9538" s="103"/>
      <c r="D9538" s="80"/>
      <c r="E9538" s="80"/>
    </row>
    <row r="9539" spans="2:5" ht="14.25" customHeight="1" x14ac:dyDescent="0.25">
      <c r="B9539" s="103"/>
      <c r="D9539" s="80"/>
      <c r="E9539" s="80"/>
    </row>
    <row r="9540" spans="2:5" ht="14.25" customHeight="1" x14ac:dyDescent="0.25">
      <c r="B9540" s="103"/>
      <c r="D9540" s="80"/>
      <c r="E9540" s="80"/>
    </row>
    <row r="9541" spans="2:5" ht="14.25" customHeight="1" x14ac:dyDescent="0.25">
      <c r="B9541" s="103"/>
      <c r="D9541" s="80"/>
      <c r="E9541" s="80"/>
    </row>
    <row r="9542" spans="2:5" ht="14.25" customHeight="1" x14ac:dyDescent="0.25">
      <c r="B9542" s="103"/>
      <c r="D9542" s="80"/>
      <c r="E9542" s="80"/>
    </row>
    <row r="9543" spans="2:5" ht="14.25" customHeight="1" x14ac:dyDescent="0.25">
      <c r="B9543" s="103"/>
      <c r="D9543" s="80"/>
      <c r="E9543" s="80"/>
    </row>
    <row r="9544" spans="2:5" ht="14.25" customHeight="1" x14ac:dyDescent="0.25">
      <c r="B9544" s="103"/>
      <c r="D9544" s="80"/>
      <c r="E9544" s="80"/>
    </row>
    <row r="9545" spans="2:5" ht="14.25" customHeight="1" x14ac:dyDescent="0.25">
      <c r="B9545" s="103"/>
      <c r="D9545" s="80"/>
      <c r="E9545" s="80"/>
    </row>
    <row r="9546" spans="2:5" ht="14.25" customHeight="1" x14ac:dyDescent="0.25">
      <c r="B9546" s="103"/>
      <c r="D9546" s="80"/>
      <c r="E9546" s="80"/>
    </row>
    <row r="9547" spans="2:5" ht="14.25" customHeight="1" x14ac:dyDescent="0.25">
      <c r="B9547" s="103"/>
      <c r="D9547" s="80"/>
      <c r="E9547" s="80"/>
    </row>
    <row r="9548" spans="2:5" ht="14.25" customHeight="1" x14ac:dyDescent="0.25">
      <c r="B9548" s="103"/>
      <c r="D9548" s="80"/>
      <c r="E9548" s="80"/>
    </row>
    <row r="9549" spans="2:5" ht="14.25" customHeight="1" x14ac:dyDescent="0.25">
      <c r="B9549" s="103"/>
      <c r="D9549" s="80"/>
      <c r="E9549" s="80"/>
    </row>
    <row r="9550" spans="2:5" ht="14.25" customHeight="1" x14ac:dyDescent="0.25">
      <c r="B9550" s="103"/>
      <c r="D9550" s="80"/>
      <c r="E9550" s="80"/>
    </row>
    <row r="9551" spans="2:5" ht="14.25" customHeight="1" x14ac:dyDescent="0.25">
      <c r="B9551" s="103"/>
      <c r="D9551" s="80"/>
      <c r="E9551" s="80"/>
    </row>
    <row r="9552" spans="2:5" ht="14.25" customHeight="1" x14ac:dyDescent="0.25">
      <c r="B9552" s="103"/>
      <c r="D9552" s="80"/>
      <c r="E9552" s="80"/>
    </row>
    <row r="9553" spans="2:5" ht="14.25" customHeight="1" x14ac:dyDescent="0.25">
      <c r="B9553" s="103"/>
      <c r="D9553" s="80"/>
      <c r="E9553" s="80"/>
    </row>
    <row r="9554" spans="2:5" ht="14.25" customHeight="1" x14ac:dyDescent="0.25">
      <c r="B9554" s="103"/>
      <c r="D9554" s="80"/>
      <c r="E9554" s="80"/>
    </row>
    <row r="9555" spans="2:5" ht="14.25" customHeight="1" x14ac:dyDescent="0.25">
      <c r="B9555" s="103"/>
      <c r="D9555" s="80"/>
      <c r="E9555" s="80"/>
    </row>
    <row r="9556" spans="2:5" ht="14.25" customHeight="1" x14ac:dyDescent="0.25">
      <c r="B9556" s="103"/>
      <c r="D9556" s="80"/>
      <c r="E9556" s="80"/>
    </row>
    <row r="9557" spans="2:5" ht="14.25" customHeight="1" x14ac:dyDescent="0.25">
      <c r="B9557" s="103"/>
      <c r="D9557" s="80"/>
      <c r="E9557" s="80"/>
    </row>
    <row r="9558" spans="2:5" ht="14.25" customHeight="1" x14ac:dyDescent="0.25">
      <c r="B9558" s="103"/>
      <c r="D9558" s="80"/>
      <c r="E9558" s="80"/>
    </row>
    <row r="9559" spans="2:5" ht="14.25" customHeight="1" x14ac:dyDescent="0.25">
      <c r="B9559" s="103"/>
      <c r="D9559" s="80"/>
      <c r="E9559" s="80"/>
    </row>
    <row r="9560" spans="2:5" ht="14.25" customHeight="1" x14ac:dyDescent="0.25">
      <c r="B9560" s="103"/>
      <c r="D9560" s="80"/>
      <c r="E9560" s="80"/>
    </row>
    <row r="9561" spans="2:5" ht="14.25" customHeight="1" x14ac:dyDescent="0.25">
      <c r="B9561" s="103"/>
      <c r="D9561" s="80"/>
      <c r="E9561" s="80"/>
    </row>
    <row r="9562" spans="2:5" ht="14.25" customHeight="1" x14ac:dyDescent="0.25">
      <c r="B9562" s="103"/>
      <c r="D9562" s="80"/>
      <c r="E9562" s="80"/>
    </row>
    <row r="9563" spans="2:5" ht="14.25" customHeight="1" x14ac:dyDescent="0.25">
      <c r="B9563" s="103"/>
      <c r="D9563" s="80"/>
      <c r="E9563" s="80"/>
    </row>
    <row r="9564" spans="2:5" ht="14.25" customHeight="1" x14ac:dyDescent="0.25">
      <c r="B9564" s="103"/>
      <c r="D9564" s="80"/>
      <c r="E9564" s="80"/>
    </row>
    <row r="9565" spans="2:5" ht="14.25" customHeight="1" x14ac:dyDescent="0.25">
      <c r="B9565" s="103"/>
      <c r="D9565" s="80"/>
      <c r="E9565" s="80"/>
    </row>
    <row r="9566" spans="2:5" ht="14.25" customHeight="1" x14ac:dyDescent="0.25">
      <c r="B9566" s="103"/>
      <c r="D9566" s="80"/>
      <c r="E9566" s="80"/>
    </row>
    <row r="9567" spans="2:5" ht="14.25" customHeight="1" x14ac:dyDescent="0.25">
      <c r="B9567" s="103"/>
      <c r="D9567" s="80"/>
      <c r="E9567" s="80"/>
    </row>
    <row r="9568" spans="2:5" ht="14.25" customHeight="1" x14ac:dyDescent="0.25">
      <c r="B9568" s="103"/>
      <c r="D9568" s="80"/>
      <c r="E9568" s="80"/>
    </row>
    <row r="9569" spans="2:5" ht="14.25" customHeight="1" x14ac:dyDescent="0.25">
      <c r="B9569" s="103"/>
      <c r="D9569" s="80"/>
      <c r="E9569" s="80"/>
    </row>
    <row r="9570" spans="2:5" ht="14.25" customHeight="1" x14ac:dyDescent="0.25">
      <c r="B9570" s="103"/>
      <c r="D9570" s="80"/>
      <c r="E9570" s="80"/>
    </row>
    <row r="9571" spans="2:5" ht="14.25" customHeight="1" x14ac:dyDescent="0.25">
      <c r="B9571" s="103"/>
      <c r="D9571" s="80"/>
      <c r="E9571" s="80"/>
    </row>
    <row r="9572" spans="2:5" ht="14.25" customHeight="1" x14ac:dyDescent="0.25">
      <c r="B9572" s="103"/>
      <c r="D9572" s="80"/>
      <c r="E9572" s="80"/>
    </row>
    <row r="9573" spans="2:5" ht="14.25" customHeight="1" x14ac:dyDescent="0.25">
      <c r="B9573" s="103"/>
      <c r="D9573" s="80"/>
      <c r="E9573" s="80"/>
    </row>
    <row r="9574" spans="2:5" ht="14.25" customHeight="1" x14ac:dyDescent="0.25">
      <c r="B9574" s="103"/>
      <c r="D9574" s="80"/>
      <c r="E9574" s="80"/>
    </row>
    <row r="9575" spans="2:5" ht="14.25" customHeight="1" x14ac:dyDescent="0.25">
      <c r="B9575" s="103"/>
      <c r="D9575" s="80"/>
      <c r="E9575" s="80"/>
    </row>
    <row r="9576" spans="2:5" ht="14.25" customHeight="1" x14ac:dyDescent="0.25">
      <c r="B9576" s="103"/>
      <c r="D9576" s="80"/>
      <c r="E9576" s="80"/>
    </row>
    <row r="9577" spans="2:5" ht="14.25" customHeight="1" x14ac:dyDescent="0.25">
      <c r="B9577" s="103"/>
      <c r="D9577" s="80"/>
      <c r="E9577" s="80"/>
    </row>
    <row r="9578" spans="2:5" ht="14.25" customHeight="1" x14ac:dyDescent="0.25">
      <c r="B9578" s="103"/>
      <c r="D9578" s="80"/>
      <c r="E9578" s="80"/>
    </row>
    <row r="9579" spans="2:5" ht="14.25" customHeight="1" x14ac:dyDescent="0.25">
      <c r="B9579" s="103"/>
      <c r="D9579" s="80"/>
      <c r="E9579" s="80"/>
    </row>
    <row r="9580" spans="2:5" ht="14.25" customHeight="1" x14ac:dyDescent="0.25">
      <c r="B9580" s="103"/>
      <c r="D9580" s="80"/>
      <c r="E9580" s="80"/>
    </row>
    <row r="9581" spans="2:5" ht="14.25" customHeight="1" x14ac:dyDescent="0.25">
      <c r="B9581" s="103"/>
      <c r="D9581" s="80"/>
      <c r="E9581" s="80"/>
    </row>
    <row r="9582" spans="2:5" ht="14.25" customHeight="1" x14ac:dyDescent="0.25">
      <c r="B9582" s="103"/>
      <c r="D9582" s="80"/>
      <c r="E9582" s="80"/>
    </row>
    <row r="9583" spans="2:5" ht="14.25" customHeight="1" x14ac:dyDescent="0.25">
      <c r="B9583" s="103"/>
      <c r="D9583" s="80"/>
      <c r="E9583" s="80"/>
    </row>
    <row r="9584" spans="2:5" ht="14.25" customHeight="1" x14ac:dyDescent="0.25">
      <c r="B9584" s="103"/>
      <c r="D9584" s="80"/>
      <c r="E9584" s="80"/>
    </row>
    <row r="9585" spans="2:5" ht="14.25" customHeight="1" x14ac:dyDescent="0.25">
      <c r="B9585" s="103"/>
      <c r="D9585" s="80"/>
      <c r="E9585" s="80"/>
    </row>
    <row r="9586" spans="2:5" ht="14.25" customHeight="1" x14ac:dyDescent="0.25">
      <c r="B9586" s="103"/>
      <c r="D9586" s="80"/>
      <c r="E9586" s="80"/>
    </row>
    <row r="9587" spans="2:5" ht="14.25" customHeight="1" x14ac:dyDescent="0.25">
      <c r="B9587" s="103"/>
      <c r="D9587" s="80"/>
      <c r="E9587" s="80"/>
    </row>
    <row r="9588" spans="2:5" ht="14.25" customHeight="1" x14ac:dyDescent="0.25">
      <c r="B9588" s="103"/>
      <c r="D9588" s="80"/>
      <c r="E9588" s="80"/>
    </row>
    <row r="9589" spans="2:5" ht="14.25" customHeight="1" x14ac:dyDescent="0.25">
      <c r="B9589" s="103"/>
      <c r="D9589" s="80"/>
      <c r="E9589" s="80"/>
    </row>
    <row r="9590" spans="2:5" ht="14.25" customHeight="1" x14ac:dyDescent="0.25">
      <c r="B9590" s="103"/>
      <c r="D9590" s="80"/>
      <c r="E9590" s="80"/>
    </row>
    <row r="9591" spans="2:5" ht="14.25" customHeight="1" x14ac:dyDescent="0.25">
      <c r="B9591" s="103"/>
      <c r="D9591" s="80"/>
      <c r="E9591" s="80"/>
    </row>
    <row r="9592" spans="2:5" ht="14.25" customHeight="1" x14ac:dyDescent="0.25">
      <c r="B9592" s="103"/>
      <c r="D9592" s="80"/>
      <c r="E9592" s="80"/>
    </row>
    <row r="9593" spans="2:5" ht="14.25" customHeight="1" x14ac:dyDescent="0.25">
      <c r="B9593" s="103"/>
      <c r="D9593" s="80"/>
      <c r="E9593" s="80"/>
    </row>
    <row r="9594" spans="2:5" ht="14.25" customHeight="1" x14ac:dyDescent="0.25">
      <c r="B9594" s="103"/>
      <c r="D9594" s="80"/>
      <c r="E9594" s="80"/>
    </row>
    <row r="9595" spans="2:5" ht="14.25" customHeight="1" x14ac:dyDescent="0.25">
      <c r="B9595" s="103"/>
      <c r="D9595" s="80"/>
      <c r="E9595" s="80"/>
    </row>
    <row r="9596" spans="2:5" ht="14.25" customHeight="1" x14ac:dyDescent="0.25">
      <c r="B9596" s="103"/>
      <c r="D9596" s="80"/>
      <c r="E9596" s="80"/>
    </row>
    <row r="9597" spans="2:5" ht="14.25" customHeight="1" x14ac:dyDescent="0.25">
      <c r="B9597" s="103"/>
      <c r="D9597" s="80"/>
      <c r="E9597" s="80"/>
    </row>
    <row r="9598" spans="2:5" ht="14.25" customHeight="1" x14ac:dyDescent="0.25">
      <c r="B9598" s="103"/>
      <c r="D9598" s="80"/>
      <c r="E9598" s="80"/>
    </row>
    <row r="9599" spans="2:5" ht="14.25" customHeight="1" x14ac:dyDescent="0.25">
      <c r="B9599" s="103"/>
      <c r="D9599" s="80"/>
      <c r="E9599" s="80"/>
    </row>
    <row r="9600" spans="2:5" ht="14.25" customHeight="1" x14ac:dyDescent="0.25">
      <c r="B9600" s="103"/>
      <c r="D9600" s="80"/>
      <c r="E9600" s="80"/>
    </row>
    <row r="9601" spans="2:5" ht="14.25" customHeight="1" x14ac:dyDescent="0.25">
      <c r="B9601" s="103"/>
      <c r="D9601" s="80"/>
      <c r="E9601" s="80"/>
    </row>
    <row r="9602" spans="2:5" ht="14.25" customHeight="1" x14ac:dyDescent="0.25">
      <c r="B9602" s="103"/>
      <c r="D9602" s="80"/>
      <c r="E9602" s="80"/>
    </row>
    <row r="9603" spans="2:5" ht="14.25" customHeight="1" x14ac:dyDescent="0.25">
      <c r="B9603" s="103"/>
      <c r="D9603" s="80"/>
      <c r="E9603" s="80"/>
    </row>
    <row r="9604" spans="2:5" ht="14.25" customHeight="1" x14ac:dyDescent="0.25">
      <c r="B9604" s="103"/>
      <c r="D9604" s="80"/>
      <c r="E9604" s="80"/>
    </row>
    <row r="9605" spans="2:5" ht="14.25" customHeight="1" x14ac:dyDescent="0.25">
      <c r="B9605" s="103"/>
      <c r="D9605" s="80"/>
      <c r="E9605" s="80"/>
    </row>
    <row r="9606" spans="2:5" ht="14.25" customHeight="1" x14ac:dyDescent="0.25">
      <c r="B9606" s="103"/>
      <c r="D9606" s="80"/>
      <c r="E9606" s="80"/>
    </row>
    <row r="9607" spans="2:5" ht="14.25" customHeight="1" x14ac:dyDescent="0.25">
      <c r="B9607" s="103"/>
      <c r="D9607" s="80"/>
      <c r="E9607" s="80"/>
    </row>
    <row r="9608" spans="2:5" ht="14.25" customHeight="1" x14ac:dyDescent="0.25">
      <c r="B9608" s="103"/>
      <c r="D9608" s="80"/>
      <c r="E9608" s="80"/>
    </row>
    <row r="9609" spans="2:5" ht="14.25" customHeight="1" x14ac:dyDescent="0.25">
      <c r="B9609" s="103"/>
      <c r="D9609" s="80"/>
      <c r="E9609" s="80"/>
    </row>
    <row r="9610" spans="2:5" ht="14.25" customHeight="1" x14ac:dyDescent="0.25">
      <c r="B9610" s="103"/>
      <c r="D9610" s="80"/>
      <c r="E9610" s="80"/>
    </row>
    <row r="9611" spans="2:5" ht="14.25" customHeight="1" x14ac:dyDescent="0.25">
      <c r="B9611" s="103"/>
      <c r="D9611" s="80"/>
      <c r="E9611" s="80"/>
    </row>
    <row r="9612" spans="2:5" ht="14.25" customHeight="1" x14ac:dyDescent="0.25">
      <c r="B9612" s="103"/>
      <c r="D9612" s="80"/>
      <c r="E9612" s="80"/>
    </row>
    <row r="9613" spans="2:5" ht="14.25" customHeight="1" x14ac:dyDescent="0.25">
      <c r="B9613" s="103"/>
      <c r="D9613" s="80"/>
      <c r="E9613" s="80"/>
    </row>
    <row r="9614" spans="2:5" ht="14.25" customHeight="1" x14ac:dyDescent="0.25">
      <c r="B9614" s="103"/>
      <c r="D9614" s="80"/>
      <c r="E9614" s="80"/>
    </row>
    <row r="9615" spans="2:5" ht="14.25" customHeight="1" x14ac:dyDescent="0.25">
      <c r="B9615" s="103"/>
      <c r="D9615" s="80"/>
      <c r="E9615" s="80"/>
    </row>
    <row r="9616" spans="2:5" ht="14.25" customHeight="1" x14ac:dyDescent="0.25">
      <c r="B9616" s="103"/>
      <c r="D9616" s="80"/>
      <c r="E9616" s="80"/>
    </row>
    <row r="9617" spans="2:5" ht="14.25" customHeight="1" x14ac:dyDescent="0.25">
      <c r="B9617" s="103"/>
      <c r="D9617" s="80"/>
      <c r="E9617" s="80"/>
    </row>
    <row r="9618" spans="2:5" ht="14.25" customHeight="1" x14ac:dyDescent="0.25">
      <c r="B9618" s="103"/>
      <c r="D9618" s="80"/>
      <c r="E9618" s="80"/>
    </row>
    <row r="9619" spans="2:5" ht="14.25" customHeight="1" x14ac:dyDescent="0.25">
      <c r="B9619" s="103"/>
      <c r="D9619" s="80"/>
      <c r="E9619" s="80"/>
    </row>
    <row r="9620" spans="2:5" ht="14.25" customHeight="1" x14ac:dyDescent="0.25">
      <c r="B9620" s="103"/>
      <c r="D9620" s="80"/>
      <c r="E9620" s="80"/>
    </row>
    <row r="9621" spans="2:5" ht="14.25" customHeight="1" x14ac:dyDescent="0.25">
      <c r="B9621" s="103"/>
      <c r="D9621" s="80"/>
      <c r="E9621" s="80"/>
    </row>
    <row r="9622" spans="2:5" ht="14.25" customHeight="1" x14ac:dyDescent="0.25">
      <c r="B9622" s="103"/>
      <c r="D9622" s="80"/>
      <c r="E9622" s="80"/>
    </row>
    <row r="9623" spans="2:5" ht="14.25" customHeight="1" x14ac:dyDescent="0.25">
      <c r="B9623" s="103"/>
      <c r="D9623" s="80"/>
      <c r="E9623" s="80"/>
    </row>
    <row r="9624" spans="2:5" ht="14.25" customHeight="1" x14ac:dyDescent="0.25">
      <c r="B9624" s="103"/>
      <c r="D9624" s="80"/>
      <c r="E9624" s="80"/>
    </row>
    <row r="9625" spans="2:5" ht="14.25" customHeight="1" x14ac:dyDescent="0.25">
      <c r="B9625" s="103"/>
      <c r="D9625" s="80"/>
      <c r="E9625" s="80"/>
    </row>
    <row r="9626" spans="2:5" ht="14.25" customHeight="1" x14ac:dyDescent="0.25">
      <c r="B9626" s="103"/>
      <c r="D9626" s="80"/>
      <c r="E9626" s="80"/>
    </row>
    <row r="9627" spans="2:5" ht="14.25" customHeight="1" x14ac:dyDescent="0.25">
      <c r="B9627" s="103"/>
      <c r="D9627" s="80"/>
      <c r="E9627" s="80"/>
    </row>
    <row r="9628" spans="2:5" ht="14.25" customHeight="1" x14ac:dyDescent="0.25">
      <c r="B9628" s="103"/>
      <c r="D9628" s="80"/>
      <c r="E9628" s="80"/>
    </row>
    <row r="9629" spans="2:5" ht="14.25" customHeight="1" x14ac:dyDescent="0.25">
      <c r="B9629" s="103"/>
      <c r="D9629" s="80"/>
      <c r="E9629" s="80"/>
    </row>
    <row r="9630" spans="2:5" ht="14.25" customHeight="1" x14ac:dyDescent="0.25">
      <c r="B9630" s="103"/>
      <c r="D9630" s="80"/>
      <c r="E9630" s="80"/>
    </row>
    <row r="9631" spans="2:5" ht="14.25" customHeight="1" x14ac:dyDescent="0.25">
      <c r="B9631" s="103"/>
      <c r="D9631" s="80"/>
      <c r="E9631" s="80"/>
    </row>
    <row r="9632" spans="2:5" ht="14.25" customHeight="1" x14ac:dyDescent="0.25">
      <c r="B9632" s="103"/>
      <c r="D9632" s="80"/>
      <c r="E9632" s="80"/>
    </row>
    <row r="9633" spans="2:5" ht="14.25" customHeight="1" x14ac:dyDescent="0.25">
      <c r="B9633" s="103"/>
      <c r="D9633" s="80"/>
      <c r="E9633" s="80"/>
    </row>
    <row r="9634" spans="2:5" ht="14.25" customHeight="1" x14ac:dyDescent="0.25">
      <c r="B9634" s="103"/>
      <c r="D9634" s="80"/>
      <c r="E9634" s="80"/>
    </row>
    <row r="9635" spans="2:5" ht="14.25" customHeight="1" x14ac:dyDescent="0.25">
      <c r="B9635" s="103"/>
      <c r="D9635" s="80"/>
      <c r="E9635" s="80"/>
    </row>
    <row r="9636" spans="2:5" ht="14.25" customHeight="1" x14ac:dyDescent="0.25">
      <c r="B9636" s="103"/>
      <c r="D9636" s="80"/>
      <c r="E9636" s="80"/>
    </row>
    <row r="9637" spans="2:5" ht="14.25" customHeight="1" x14ac:dyDescent="0.25">
      <c r="B9637" s="103"/>
      <c r="D9637" s="80"/>
      <c r="E9637" s="80"/>
    </row>
    <row r="9638" spans="2:5" ht="14.25" customHeight="1" x14ac:dyDescent="0.25">
      <c r="B9638" s="103"/>
      <c r="D9638" s="80"/>
      <c r="E9638" s="80"/>
    </row>
    <row r="9639" spans="2:5" ht="14.25" customHeight="1" x14ac:dyDescent="0.25">
      <c r="B9639" s="103"/>
      <c r="D9639" s="80"/>
      <c r="E9639" s="80"/>
    </row>
    <row r="9640" spans="2:5" ht="14.25" customHeight="1" x14ac:dyDescent="0.25">
      <c r="B9640" s="103"/>
      <c r="D9640" s="80"/>
      <c r="E9640" s="80"/>
    </row>
    <row r="9641" spans="2:5" ht="14.25" customHeight="1" x14ac:dyDescent="0.25">
      <c r="B9641" s="103"/>
      <c r="D9641" s="80"/>
      <c r="E9641" s="80"/>
    </row>
    <row r="9642" spans="2:5" ht="14.25" customHeight="1" x14ac:dyDescent="0.25">
      <c r="B9642" s="103"/>
      <c r="D9642" s="80"/>
      <c r="E9642" s="80"/>
    </row>
    <row r="9643" spans="2:5" ht="14.25" customHeight="1" x14ac:dyDescent="0.25">
      <c r="B9643" s="103"/>
      <c r="D9643" s="80"/>
      <c r="E9643" s="80"/>
    </row>
    <row r="9644" spans="2:5" ht="14.25" customHeight="1" x14ac:dyDescent="0.25">
      <c r="B9644" s="103"/>
      <c r="D9644" s="80"/>
      <c r="E9644" s="80"/>
    </row>
    <row r="9645" spans="2:5" ht="14.25" customHeight="1" x14ac:dyDescent="0.25">
      <c r="B9645" s="103"/>
      <c r="D9645" s="80"/>
      <c r="E9645" s="80"/>
    </row>
    <row r="9646" spans="2:5" ht="14.25" customHeight="1" x14ac:dyDescent="0.25">
      <c r="B9646" s="103"/>
      <c r="D9646" s="80"/>
      <c r="E9646" s="80"/>
    </row>
    <row r="9647" spans="2:5" ht="14.25" customHeight="1" x14ac:dyDescent="0.25">
      <c r="B9647" s="103"/>
      <c r="D9647" s="80"/>
      <c r="E9647" s="80"/>
    </row>
    <row r="9648" spans="2:5" ht="14.25" customHeight="1" x14ac:dyDescent="0.25">
      <c r="B9648" s="103"/>
      <c r="D9648" s="80"/>
      <c r="E9648" s="80"/>
    </row>
    <row r="9649" spans="2:5" ht="14.25" customHeight="1" x14ac:dyDescent="0.25">
      <c r="B9649" s="103"/>
      <c r="D9649" s="80"/>
      <c r="E9649" s="80"/>
    </row>
    <row r="9650" spans="2:5" ht="14.25" customHeight="1" x14ac:dyDescent="0.25">
      <c r="B9650" s="103"/>
      <c r="D9650" s="80"/>
      <c r="E9650" s="80"/>
    </row>
    <row r="9651" spans="2:5" ht="14.25" customHeight="1" x14ac:dyDescent="0.25">
      <c r="B9651" s="103"/>
      <c r="D9651" s="80"/>
      <c r="E9651" s="80"/>
    </row>
    <row r="9652" spans="2:5" ht="14.25" customHeight="1" x14ac:dyDescent="0.25">
      <c r="B9652" s="103"/>
      <c r="D9652" s="80"/>
      <c r="E9652" s="80"/>
    </row>
    <row r="9653" spans="2:5" ht="14.25" customHeight="1" x14ac:dyDescent="0.25">
      <c r="B9653" s="103"/>
      <c r="D9653" s="80"/>
      <c r="E9653" s="80"/>
    </row>
    <row r="9654" spans="2:5" ht="14.25" customHeight="1" x14ac:dyDescent="0.25">
      <c r="B9654" s="103"/>
      <c r="D9654" s="80"/>
      <c r="E9654" s="80"/>
    </row>
    <row r="9655" spans="2:5" ht="14.25" customHeight="1" x14ac:dyDescent="0.25">
      <c r="B9655" s="103"/>
      <c r="D9655" s="80"/>
      <c r="E9655" s="80"/>
    </row>
    <row r="9656" spans="2:5" ht="14.25" customHeight="1" x14ac:dyDescent="0.25">
      <c r="B9656" s="103"/>
      <c r="D9656" s="80"/>
      <c r="E9656" s="80"/>
    </row>
    <row r="9657" spans="2:5" ht="14.25" customHeight="1" x14ac:dyDescent="0.25">
      <c r="B9657" s="103"/>
      <c r="D9657" s="80"/>
      <c r="E9657" s="80"/>
    </row>
    <row r="9658" spans="2:5" ht="14.25" customHeight="1" x14ac:dyDescent="0.25">
      <c r="B9658" s="103"/>
      <c r="D9658" s="80"/>
      <c r="E9658" s="80"/>
    </row>
    <row r="9659" spans="2:5" ht="14.25" customHeight="1" x14ac:dyDescent="0.25">
      <c r="B9659" s="103"/>
      <c r="D9659" s="80"/>
      <c r="E9659" s="80"/>
    </row>
    <row r="9660" spans="2:5" ht="14.25" customHeight="1" x14ac:dyDescent="0.25">
      <c r="B9660" s="103"/>
      <c r="D9660" s="80"/>
      <c r="E9660" s="80"/>
    </row>
    <row r="9661" spans="2:5" ht="14.25" customHeight="1" x14ac:dyDescent="0.25">
      <c r="B9661" s="103"/>
      <c r="D9661" s="80"/>
      <c r="E9661" s="80"/>
    </row>
    <row r="9662" spans="2:5" ht="14.25" customHeight="1" x14ac:dyDescent="0.25">
      <c r="B9662" s="103"/>
      <c r="D9662" s="80"/>
      <c r="E9662" s="80"/>
    </row>
    <row r="9663" spans="2:5" ht="14.25" customHeight="1" x14ac:dyDescent="0.25">
      <c r="B9663" s="103"/>
      <c r="D9663" s="80"/>
      <c r="E9663" s="80"/>
    </row>
    <row r="9664" spans="2:5" ht="14.25" customHeight="1" x14ac:dyDescent="0.25">
      <c r="B9664" s="103"/>
      <c r="D9664" s="80"/>
      <c r="E9664" s="80"/>
    </row>
    <row r="9665" spans="2:5" ht="14.25" customHeight="1" x14ac:dyDescent="0.25">
      <c r="B9665" s="103"/>
      <c r="D9665" s="80"/>
      <c r="E9665" s="80"/>
    </row>
    <row r="9666" spans="2:5" ht="14.25" customHeight="1" x14ac:dyDescent="0.25">
      <c r="B9666" s="103"/>
      <c r="D9666" s="80"/>
      <c r="E9666" s="80"/>
    </row>
    <row r="9667" spans="2:5" ht="14.25" customHeight="1" x14ac:dyDescent="0.25">
      <c r="B9667" s="103"/>
      <c r="D9667" s="80"/>
      <c r="E9667" s="80"/>
    </row>
    <row r="9668" spans="2:5" ht="14.25" customHeight="1" x14ac:dyDescent="0.25">
      <c r="B9668" s="103"/>
      <c r="D9668" s="80"/>
      <c r="E9668" s="80"/>
    </row>
    <row r="9669" spans="2:5" ht="14.25" customHeight="1" x14ac:dyDescent="0.25">
      <c r="B9669" s="103"/>
      <c r="D9669" s="80"/>
      <c r="E9669" s="80"/>
    </row>
    <row r="9670" spans="2:5" ht="14.25" customHeight="1" x14ac:dyDescent="0.25">
      <c r="B9670" s="103"/>
      <c r="D9670" s="80"/>
      <c r="E9670" s="80"/>
    </row>
    <row r="9671" spans="2:5" ht="14.25" customHeight="1" x14ac:dyDescent="0.25">
      <c r="B9671" s="103"/>
      <c r="D9671" s="80"/>
      <c r="E9671" s="80"/>
    </row>
    <row r="9672" spans="2:5" ht="14.25" customHeight="1" x14ac:dyDescent="0.25">
      <c r="B9672" s="103"/>
      <c r="D9672" s="80"/>
      <c r="E9672" s="80"/>
    </row>
    <row r="9673" spans="2:5" ht="14.25" customHeight="1" x14ac:dyDescent="0.25">
      <c r="B9673" s="103"/>
      <c r="D9673" s="80"/>
      <c r="E9673" s="80"/>
    </row>
    <row r="9674" spans="2:5" ht="14.25" customHeight="1" x14ac:dyDescent="0.25">
      <c r="B9674" s="103"/>
      <c r="D9674" s="80"/>
      <c r="E9674" s="80"/>
    </row>
    <row r="9675" spans="2:5" ht="14.25" customHeight="1" x14ac:dyDescent="0.25">
      <c r="B9675" s="103"/>
      <c r="D9675" s="80"/>
      <c r="E9675" s="80"/>
    </row>
    <row r="9676" spans="2:5" ht="14.25" customHeight="1" x14ac:dyDescent="0.25">
      <c r="B9676" s="103"/>
      <c r="D9676" s="80"/>
      <c r="E9676" s="80"/>
    </row>
    <row r="9677" spans="2:5" ht="14.25" customHeight="1" x14ac:dyDescent="0.25">
      <c r="B9677" s="103"/>
      <c r="D9677" s="80"/>
      <c r="E9677" s="80"/>
    </row>
    <row r="9678" spans="2:5" ht="14.25" customHeight="1" x14ac:dyDescent="0.25">
      <c r="B9678" s="103"/>
      <c r="D9678" s="80"/>
      <c r="E9678" s="80"/>
    </row>
    <row r="9679" spans="2:5" ht="14.25" customHeight="1" x14ac:dyDescent="0.25">
      <c r="B9679" s="103"/>
      <c r="D9679" s="80"/>
      <c r="E9679" s="80"/>
    </row>
    <row r="9680" spans="2:5" ht="14.25" customHeight="1" x14ac:dyDescent="0.25">
      <c r="B9680" s="103"/>
      <c r="D9680" s="80"/>
      <c r="E9680" s="80"/>
    </row>
    <row r="9681" spans="2:5" ht="14.25" customHeight="1" x14ac:dyDescent="0.25">
      <c r="B9681" s="103"/>
      <c r="D9681" s="80"/>
      <c r="E9681" s="80"/>
    </row>
    <row r="9682" spans="2:5" ht="14.25" customHeight="1" x14ac:dyDescent="0.25">
      <c r="B9682" s="103"/>
      <c r="D9682" s="80"/>
      <c r="E9682" s="80"/>
    </row>
    <row r="9683" spans="2:5" ht="14.25" customHeight="1" x14ac:dyDescent="0.25">
      <c r="B9683" s="103"/>
      <c r="D9683" s="80"/>
      <c r="E9683" s="80"/>
    </row>
    <row r="9684" spans="2:5" ht="14.25" customHeight="1" x14ac:dyDescent="0.25">
      <c r="B9684" s="103"/>
      <c r="D9684" s="80"/>
      <c r="E9684" s="80"/>
    </row>
    <row r="9685" spans="2:5" ht="14.25" customHeight="1" x14ac:dyDescent="0.25">
      <c r="B9685" s="103"/>
      <c r="D9685" s="80"/>
      <c r="E9685" s="80"/>
    </row>
    <row r="9686" spans="2:5" ht="14.25" customHeight="1" x14ac:dyDescent="0.25">
      <c r="B9686" s="103"/>
      <c r="D9686" s="80"/>
      <c r="E9686" s="80"/>
    </row>
    <row r="9687" spans="2:5" ht="14.25" customHeight="1" x14ac:dyDescent="0.25">
      <c r="B9687" s="103"/>
      <c r="D9687" s="80"/>
      <c r="E9687" s="80"/>
    </row>
    <row r="9688" spans="2:5" ht="14.25" customHeight="1" x14ac:dyDescent="0.25">
      <c r="B9688" s="103"/>
      <c r="D9688" s="80"/>
      <c r="E9688" s="80"/>
    </row>
    <row r="9689" spans="2:5" ht="14.25" customHeight="1" x14ac:dyDescent="0.25">
      <c r="B9689" s="103"/>
      <c r="D9689" s="80"/>
      <c r="E9689" s="80"/>
    </row>
    <row r="9690" spans="2:5" ht="14.25" customHeight="1" x14ac:dyDescent="0.25">
      <c r="B9690" s="103"/>
      <c r="D9690" s="80"/>
      <c r="E9690" s="80"/>
    </row>
    <row r="9691" spans="2:5" ht="14.25" customHeight="1" x14ac:dyDescent="0.25">
      <c r="B9691" s="103"/>
      <c r="D9691" s="80"/>
      <c r="E9691" s="80"/>
    </row>
    <row r="9692" spans="2:5" ht="14.25" customHeight="1" x14ac:dyDescent="0.25">
      <c r="B9692" s="103"/>
      <c r="D9692" s="80"/>
      <c r="E9692" s="80"/>
    </row>
    <row r="9693" spans="2:5" ht="14.25" customHeight="1" x14ac:dyDescent="0.25">
      <c r="B9693" s="103"/>
      <c r="D9693" s="80"/>
      <c r="E9693" s="80"/>
    </row>
    <row r="9694" spans="2:5" ht="14.25" customHeight="1" x14ac:dyDescent="0.25">
      <c r="B9694" s="103"/>
      <c r="D9694" s="80"/>
      <c r="E9694" s="80"/>
    </row>
    <row r="9695" spans="2:5" ht="14.25" customHeight="1" x14ac:dyDescent="0.25">
      <c r="B9695" s="103"/>
      <c r="D9695" s="80"/>
      <c r="E9695" s="80"/>
    </row>
    <row r="9696" spans="2:5" ht="14.25" customHeight="1" x14ac:dyDescent="0.25">
      <c r="B9696" s="103"/>
      <c r="D9696" s="80"/>
      <c r="E9696" s="80"/>
    </row>
    <row r="9697" spans="2:5" ht="14.25" customHeight="1" x14ac:dyDescent="0.25">
      <c r="B9697" s="103"/>
      <c r="D9697" s="80"/>
      <c r="E9697" s="80"/>
    </row>
    <row r="9698" spans="2:5" ht="14.25" customHeight="1" x14ac:dyDescent="0.25">
      <c r="B9698" s="103"/>
      <c r="D9698" s="80"/>
      <c r="E9698" s="80"/>
    </row>
    <row r="9699" spans="2:5" ht="14.25" customHeight="1" x14ac:dyDescent="0.25">
      <c r="B9699" s="103"/>
      <c r="D9699" s="80"/>
      <c r="E9699" s="80"/>
    </row>
    <row r="9700" spans="2:5" ht="14.25" customHeight="1" x14ac:dyDescent="0.25">
      <c r="B9700" s="103"/>
      <c r="D9700" s="80"/>
      <c r="E9700" s="80"/>
    </row>
    <row r="9701" spans="2:5" ht="14.25" customHeight="1" x14ac:dyDescent="0.25">
      <c r="B9701" s="103"/>
      <c r="D9701" s="80"/>
      <c r="E9701" s="80"/>
    </row>
    <row r="9702" spans="2:5" ht="14.25" customHeight="1" x14ac:dyDescent="0.25">
      <c r="B9702" s="103"/>
      <c r="D9702" s="80"/>
      <c r="E9702" s="80"/>
    </row>
    <row r="9703" spans="2:5" ht="14.25" customHeight="1" x14ac:dyDescent="0.25">
      <c r="B9703" s="103"/>
      <c r="D9703" s="80"/>
      <c r="E9703" s="80"/>
    </row>
    <row r="9704" spans="2:5" ht="14.25" customHeight="1" x14ac:dyDescent="0.25">
      <c r="B9704" s="103"/>
      <c r="D9704" s="80"/>
      <c r="E9704" s="80"/>
    </row>
    <row r="9705" spans="2:5" ht="14.25" customHeight="1" x14ac:dyDescent="0.25">
      <c r="B9705" s="103"/>
      <c r="D9705" s="80"/>
      <c r="E9705" s="80"/>
    </row>
    <row r="9706" spans="2:5" ht="14.25" customHeight="1" x14ac:dyDescent="0.25">
      <c r="B9706" s="103"/>
      <c r="D9706" s="80"/>
      <c r="E9706" s="80"/>
    </row>
    <row r="9707" spans="2:5" ht="14.25" customHeight="1" x14ac:dyDescent="0.25">
      <c r="B9707" s="103"/>
      <c r="D9707" s="80"/>
      <c r="E9707" s="80"/>
    </row>
    <row r="9708" spans="2:5" ht="14.25" customHeight="1" x14ac:dyDescent="0.25">
      <c r="B9708" s="103"/>
      <c r="D9708" s="80"/>
      <c r="E9708" s="80"/>
    </row>
    <row r="9709" spans="2:5" ht="14.25" customHeight="1" x14ac:dyDescent="0.25">
      <c r="B9709" s="103"/>
      <c r="D9709" s="80"/>
      <c r="E9709" s="80"/>
    </row>
    <row r="9710" spans="2:5" ht="14.25" customHeight="1" x14ac:dyDescent="0.25">
      <c r="B9710" s="103"/>
      <c r="D9710" s="80"/>
      <c r="E9710" s="80"/>
    </row>
    <row r="9711" spans="2:5" ht="14.25" customHeight="1" x14ac:dyDescent="0.25">
      <c r="B9711" s="103"/>
      <c r="D9711" s="80"/>
      <c r="E9711" s="80"/>
    </row>
    <row r="9712" spans="2:5" ht="14.25" customHeight="1" x14ac:dyDescent="0.25">
      <c r="B9712" s="103"/>
      <c r="D9712" s="80"/>
      <c r="E9712" s="80"/>
    </row>
    <row r="9713" spans="2:5" ht="14.25" customHeight="1" x14ac:dyDescent="0.25">
      <c r="B9713" s="103"/>
      <c r="D9713" s="80"/>
      <c r="E9713" s="80"/>
    </row>
    <row r="9714" spans="2:5" ht="14.25" customHeight="1" x14ac:dyDescent="0.25">
      <c r="B9714" s="103"/>
      <c r="D9714" s="80"/>
      <c r="E9714" s="80"/>
    </row>
    <row r="9715" spans="2:5" ht="14.25" customHeight="1" x14ac:dyDescent="0.25">
      <c r="B9715" s="103"/>
      <c r="D9715" s="80"/>
      <c r="E9715" s="80"/>
    </row>
    <row r="9716" spans="2:5" ht="14.25" customHeight="1" x14ac:dyDescent="0.25">
      <c r="B9716" s="103"/>
      <c r="D9716" s="80"/>
      <c r="E9716" s="80"/>
    </row>
    <row r="9717" spans="2:5" ht="14.25" customHeight="1" x14ac:dyDescent="0.25">
      <c r="B9717" s="103"/>
      <c r="D9717" s="80"/>
      <c r="E9717" s="80"/>
    </row>
    <row r="9718" spans="2:5" ht="14.25" customHeight="1" x14ac:dyDescent="0.25">
      <c r="B9718" s="103"/>
      <c r="D9718" s="80"/>
      <c r="E9718" s="80"/>
    </row>
    <row r="9719" spans="2:5" ht="14.25" customHeight="1" x14ac:dyDescent="0.25">
      <c r="B9719" s="103"/>
      <c r="D9719" s="80"/>
      <c r="E9719" s="80"/>
    </row>
    <row r="9720" spans="2:5" ht="14.25" customHeight="1" x14ac:dyDescent="0.25">
      <c r="B9720" s="103"/>
      <c r="D9720" s="80"/>
      <c r="E9720" s="80"/>
    </row>
    <row r="9721" spans="2:5" ht="14.25" customHeight="1" x14ac:dyDescent="0.25">
      <c r="B9721" s="103"/>
      <c r="D9721" s="80"/>
      <c r="E9721" s="80"/>
    </row>
    <row r="9722" spans="2:5" ht="14.25" customHeight="1" x14ac:dyDescent="0.25">
      <c r="B9722" s="103"/>
      <c r="D9722" s="80"/>
      <c r="E9722" s="80"/>
    </row>
    <row r="9723" spans="2:5" ht="14.25" customHeight="1" x14ac:dyDescent="0.25">
      <c r="B9723" s="103"/>
      <c r="D9723" s="80"/>
      <c r="E9723" s="80"/>
    </row>
    <row r="9724" spans="2:5" ht="14.25" customHeight="1" x14ac:dyDescent="0.25">
      <c r="B9724" s="103"/>
      <c r="D9724" s="80"/>
      <c r="E9724" s="80"/>
    </row>
    <row r="9725" spans="2:5" ht="14.25" customHeight="1" x14ac:dyDescent="0.25">
      <c r="B9725" s="103"/>
      <c r="D9725" s="80"/>
      <c r="E9725" s="80"/>
    </row>
    <row r="9726" spans="2:5" ht="14.25" customHeight="1" x14ac:dyDescent="0.25">
      <c r="B9726" s="103"/>
      <c r="D9726" s="80"/>
      <c r="E9726" s="80"/>
    </row>
    <row r="9727" spans="2:5" ht="14.25" customHeight="1" x14ac:dyDescent="0.25">
      <c r="B9727" s="103"/>
      <c r="D9727" s="80"/>
      <c r="E9727" s="80"/>
    </row>
    <row r="9728" spans="2:5" ht="14.25" customHeight="1" x14ac:dyDescent="0.25">
      <c r="B9728" s="103"/>
      <c r="D9728" s="80"/>
      <c r="E9728" s="80"/>
    </row>
    <row r="9729" spans="2:5" ht="14.25" customHeight="1" x14ac:dyDescent="0.25">
      <c r="B9729" s="103"/>
      <c r="D9729" s="80"/>
      <c r="E9729" s="80"/>
    </row>
    <row r="9730" spans="2:5" ht="14.25" customHeight="1" x14ac:dyDescent="0.25">
      <c r="B9730" s="103"/>
      <c r="D9730" s="80"/>
      <c r="E9730" s="80"/>
    </row>
    <row r="9731" spans="2:5" ht="14.25" customHeight="1" x14ac:dyDescent="0.25">
      <c r="B9731" s="103"/>
      <c r="D9731" s="80"/>
      <c r="E9731" s="80"/>
    </row>
    <row r="9732" spans="2:5" ht="14.25" customHeight="1" x14ac:dyDescent="0.25">
      <c r="B9732" s="103"/>
      <c r="D9732" s="80"/>
      <c r="E9732" s="80"/>
    </row>
    <row r="9733" spans="2:5" ht="14.25" customHeight="1" x14ac:dyDescent="0.25">
      <c r="B9733" s="103"/>
      <c r="D9733" s="80"/>
      <c r="E9733" s="80"/>
    </row>
    <row r="9734" spans="2:5" ht="14.25" customHeight="1" x14ac:dyDescent="0.25">
      <c r="B9734" s="103"/>
      <c r="D9734" s="80"/>
      <c r="E9734" s="80"/>
    </row>
    <row r="9735" spans="2:5" ht="14.25" customHeight="1" x14ac:dyDescent="0.25">
      <c r="B9735" s="103"/>
      <c r="D9735" s="80"/>
      <c r="E9735" s="80"/>
    </row>
    <row r="9736" spans="2:5" ht="14.25" customHeight="1" x14ac:dyDescent="0.25">
      <c r="B9736" s="103"/>
      <c r="D9736" s="80"/>
      <c r="E9736" s="80"/>
    </row>
    <row r="9737" spans="2:5" ht="14.25" customHeight="1" x14ac:dyDescent="0.25">
      <c r="B9737" s="103"/>
      <c r="D9737" s="80"/>
      <c r="E9737" s="80"/>
    </row>
    <row r="9738" spans="2:5" ht="14.25" customHeight="1" x14ac:dyDescent="0.25">
      <c r="B9738" s="103"/>
      <c r="D9738" s="80"/>
      <c r="E9738" s="80"/>
    </row>
    <row r="9739" spans="2:5" ht="14.25" customHeight="1" x14ac:dyDescent="0.25">
      <c r="B9739" s="103"/>
      <c r="D9739" s="80"/>
      <c r="E9739" s="80"/>
    </row>
    <row r="9740" spans="2:5" ht="14.25" customHeight="1" x14ac:dyDescent="0.25">
      <c r="B9740" s="103"/>
      <c r="D9740" s="80"/>
      <c r="E9740" s="80"/>
    </row>
    <row r="9741" spans="2:5" ht="14.25" customHeight="1" x14ac:dyDescent="0.25">
      <c r="B9741" s="103"/>
      <c r="D9741" s="80"/>
      <c r="E9741" s="80"/>
    </row>
    <row r="9742" spans="2:5" ht="14.25" customHeight="1" x14ac:dyDescent="0.25">
      <c r="B9742" s="103"/>
      <c r="D9742" s="80"/>
      <c r="E9742" s="80"/>
    </row>
    <row r="9743" spans="2:5" ht="14.25" customHeight="1" x14ac:dyDescent="0.25">
      <c r="B9743" s="103"/>
      <c r="D9743" s="80"/>
      <c r="E9743" s="80"/>
    </row>
    <row r="9744" spans="2:5" ht="14.25" customHeight="1" x14ac:dyDescent="0.25">
      <c r="B9744" s="103"/>
      <c r="D9744" s="80"/>
      <c r="E9744" s="80"/>
    </row>
    <row r="9745" spans="2:5" ht="14.25" customHeight="1" x14ac:dyDescent="0.25">
      <c r="B9745" s="103"/>
      <c r="D9745" s="80"/>
      <c r="E9745" s="80"/>
    </row>
    <row r="9746" spans="2:5" ht="14.25" customHeight="1" x14ac:dyDescent="0.25">
      <c r="B9746" s="103"/>
      <c r="D9746" s="80"/>
      <c r="E9746" s="80"/>
    </row>
    <row r="9747" spans="2:5" ht="14.25" customHeight="1" x14ac:dyDescent="0.25">
      <c r="B9747" s="103"/>
      <c r="D9747" s="80"/>
      <c r="E9747" s="80"/>
    </row>
    <row r="9748" spans="2:5" ht="14.25" customHeight="1" x14ac:dyDescent="0.25">
      <c r="B9748" s="103"/>
      <c r="D9748" s="80"/>
      <c r="E9748" s="80"/>
    </row>
    <row r="9749" spans="2:5" ht="14.25" customHeight="1" x14ac:dyDescent="0.25">
      <c r="B9749" s="103"/>
      <c r="D9749" s="80"/>
      <c r="E9749" s="80"/>
    </row>
    <row r="9750" spans="2:5" ht="14.25" customHeight="1" x14ac:dyDescent="0.25">
      <c r="B9750" s="103"/>
      <c r="D9750" s="80"/>
      <c r="E9750" s="80"/>
    </row>
    <row r="9751" spans="2:5" ht="14.25" customHeight="1" x14ac:dyDescent="0.25">
      <c r="B9751" s="103"/>
      <c r="D9751" s="80"/>
      <c r="E9751" s="80"/>
    </row>
    <row r="9752" spans="2:5" ht="14.25" customHeight="1" x14ac:dyDescent="0.25">
      <c r="B9752" s="103"/>
      <c r="D9752" s="80"/>
      <c r="E9752" s="80"/>
    </row>
    <row r="9753" spans="2:5" ht="14.25" customHeight="1" x14ac:dyDescent="0.25">
      <c r="B9753" s="103"/>
      <c r="D9753" s="80"/>
      <c r="E9753" s="80"/>
    </row>
    <row r="9754" spans="2:5" ht="14.25" customHeight="1" x14ac:dyDescent="0.25">
      <c r="B9754" s="103"/>
      <c r="D9754" s="80"/>
      <c r="E9754" s="80"/>
    </row>
    <row r="9755" spans="2:5" ht="14.25" customHeight="1" x14ac:dyDescent="0.25">
      <c r="B9755" s="103"/>
      <c r="D9755" s="80"/>
      <c r="E9755" s="80"/>
    </row>
    <row r="9756" spans="2:5" ht="14.25" customHeight="1" x14ac:dyDescent="0.25">
      <c r="B9756" s="103"/>
      <c r="D9756" s="80"/>
      <c r="E9756" s="80"/>
    </row>
    <row r="9757" spans="2:5" ht="14.25" customHeight="1" x14ac:dyDescent="0.25">
      <c r="B9757" s="103"/>
      <c r="D9757" s="80"/>
      <c r="E9757" s="80"/>
    </row>
    <row r="9758" spans="2:5" ht="14.25" customHeight="1" x14ac:dyDescent="0.25">
      <c r="B9758" s="103"/>
      <c r="D9758" s="80"/>
      <c r="E9758" s="80"/>
    </row>
    <row r="9759" spans="2:5" ht="14.25" customHeight="1" x14ac:dyDescent="0.25">
      <c r="B9759" s="103"/>
      <c r="D9759" s="80"/>
      <c r="E9759" s="80"/>
    </row>
    <row r="9760" spans="2:5" ht="14.25" customHeight="1" x14ac:dyDescent="0.25">
      <c r="B9760" s="103"/>
      <c r="D9760" s="80"/>
      <c r="E9760" s="80"/>
    </row>
    <row r="9761" spans="2:5" ht="14.25" customHeight="1" x14ac:dyDescent="0.25">
      <c r="B9761" s="103"/>
      <c r="D9761" s="80"/>
      <c r="E9761" s="80"/>
    </row>
    <row r="9762" spans="2:5" ht="14.25" customHeight="1" x14ac:dyDescent="0.25">
      <c r="B9762" s="103"/>
      <c r="D9762" s="80"/>
      <c r="E9762" s="80"/>
    </row>
    <row r="9763" spans="2:5" ht="14.25" customHeight="1" x14ac:dyDescent="0.25">
      <c r="B9763" s="103"/>
      <c r="D9763" s="80"/>
      <c r="E9763" s="80"/>
    </row>
    <row r="9764" spans="2:5" ht="14.25" customHeight="1" x14ac:dyDescent="0.25">
      <c r="B9764" s="103"/>
      <c r="D9764" s="80"/>
      <c r="E9764" s="80"/>
    </row>
    <row r="9765" spans="2:5" ht="14.25" customHeight="1" x14ac:dyDescent="0.25">
      <c r="B9765" s="103"/>
      <c r="D9765" s="80"/>
      <c r="E9765" s="80"/>
    </row>
    <row r="9766" spans="2:5" ht="14.25" customHeight="1" x14ac:dyDescent="0.25">
      <c r="B9766" s="103"/>
      <c r="D9766" s="80"/>
      <c r="E9766" s="80"/>
    </row>
    <row r="9767" spans="2:5" ht="14.25" customHeight="1" x14ac:dyDescent="0.25">
      <c r="B9767" s="103"/>
      <c r="D9767" s="80"/>
      <c r="E9767" s="80"/>
    </row>
    <row r="9768" spans="2:5" ht="14.25" customHeight="1" x14ac:dyDescent="0.25">
      <c r="B9768" s="103"/>
      <c r="D9768" s="80"/>
      <c r="E9768" s="80"/>
    </row>
    <row r="9769" spans="2:5" ht="14.25" customHeight="1" x14ac:dyDescent="0.25">
      <c r="B9769" s="103"/>
      <c r="D9769" s="80"/>
      <c r="E9769" s="80"/>
    </row>
    <row r="9770" spans="2:5" ht="14.25" customHeight="1" x14ac:dyDescent="0.25">
      <c r="B9770" s="103"/>
      <c r="D9770" s="80"/>
      <c r="E9770" s="80"/>
    </row>
    <row r="9771" spans="2:5" ht="14.25" customHeight="1" x14ac:dyDescent="0.25">
      <c r="B9771" s="103"/>
      <c r="D9771" s="80"/>
      <c r="E9771" s="80"/>
    </row>
    <row r="9772" spans="2:5" ht="14.25" customHeight="1" x14ac:dyDescent="0.25">
      <c r="B9772" s="103"/>
      <c r="D9772" s="80"/>
      <c r="E9772" s="80"/>
    </row>
    <row r="9773" spans="2:5" ht="14.25" customHeight="1" x14ac:dyDescent="0.25">
      <c r="B9773" s="103"/>
      <c r="D9773" s="80"/>
      <c r="E9773" s="80"/>
    </row>
    <row r="9774" spans="2:5" ht="14.25" customHeight="1" x14ac:dyDescent="0.25">
      <c r="B9774" s="103"/>
      <c r="D9774" s="80"/>
      <c r="E9774" s="80"/>
    </row>
    <row r="9775" spans="2:5" ht="14.25" customHeight="1" x14ac:dyDescent="0.25">
      <c r="B9775" s="103"/>
      <c r="D9775" s="80"/>
      <c r="E9775" s="80"/>
    </row>
    <row r="9776" spans="2:5" ht="14.25" customHeight="1" x14ac:dyDescent="0.25">
      <c r="B9776" s="103"/>
      <c r="D9776" s="80"/>
      <c r="E9776" s="80"/>
    </row>
    <row r="9777" spans="2:5" ht="14.25" customHeight="1" x14ac:dyDescent="0.25">
      <c r="B9777" s="103"/>
      <c r="D9777" s="80"/>
      <c r="E9777" s="80"/>
    </row>
    <row r="9778" spans="2:5" ht="14.25" customHeight="1" x14ac:dyDescent="0.25">
      <c r="B9778" s="103"/>
      <c r="D9778" s="80"/>
      <c r="E9778" s="80"/>
    </row>
    <row r="9779" spans="2:5" ht="14.25" customHeight="1" x14ac:dyDescent="0.25">
      <c r="B9779" s="103"/>
      <c r="D9779" s="80"/>
      <c r="E9779" s="80"/>
    </row>
    <row r="9780" spans="2:5" ht="14.25" customHeight="1" x14ac:dyDescent="0.25">
      <c r="B9780" s="103"/>
      <c r="D9780" s="80"/>
      <c r="E9780" s="80"/>
    </row>
    <row r="9781" spans="2:5" ht="14.25" customHeight="1" x14ac:dyDescent="0.25">
      <c r="B9781" s="103"/>
      <c r="D9781" s="80"/>
      <c r="E9781" s="80"/>
    </row>
    <row r="9782" spans="2:5" ht="14.25" customHeight="1" x14ac:dyDescent="0.25">
      <c r="B9782" s="103"/>
      <c r="D9782" s="80"/>
      <c r="E9782" s="80"/>
    </row>
    <row r="9783" spans="2:5" ht="14.25" customHeight="1" x14ac:dyDescent="0.25">
      <c r="B9783" s="103"/>
      <c r="D9783" s="80"/>
      <c r="E9783" s="80"/>
    </row>
    <row r="9784" spans="2:5" ht="14.25" customHeight="1" x14ac:dyDescent="0.25">
      <c r="B9784" s="103"/>
      <c r="D9784" s="80"/>
      <c r="E9784" s="80"/>
    </row>
    <row r="9785" spans="2:5" ht="14.25" customHeight="1" x14ac:dyDescent="0.25">
      <c r="B9785" s="103"/>
      <c r="D9785" s="80"/>
      <c r="E9785" s="80"/>
    </row>
    <row r="9786" spans="2:5" ht="14.25" customHeight="1" x14ac:dyDescent="0.25">
      <c r="B9786" s="103"/>
      <c r="D9786" s="80"/>
      <c r="E9786" s="80"/>
    </row>
    <row r="9787" spans="2:5" ht="14.25" customHeight="1" x14ac:dyDescent="0.25">
      <c r="B9787" s="103"/>
      <c r="D9787" s="80"/>
      <c r="E9787" s="80"/>
    </row>
    <row r="9788" spans="2:5" ht="14.25" customHeight="1" x14ac:dyDescent="0.25">
      <c r="B9788" s="103"/>
      <c r="D9788" s="80"/>
      <c r="E9788" s="80"/>
    </row>
    <row r="9789" spans="2:5" ht="14.25" customHeight="1" x14ac:dyDescent="0.25">
      <c r="B9789" s="103"/>
      <c r="D9789" s="80"/>
      <c r="E9789" s="80"/>
    </row>
    <row r="9790" spans="2:5" ht="14.25" customHeight="1" x14ac:dyDescent="0.25">
      <c r="B9790" s="103"/>
      <c r="D9790" s="80"/>
      <c r="E9790" s="80"/>
    </row>
    <row r="9791" spans="2:5" ht="14.25" customHeight="1" x14ac:dyDescent="0.25">
      <c r="B9791" s="103"/>
      <c r="D9791" s="80"/>
      <c r="E9791" s="80"/>
    </row>
    <row r="9792" spans="2:5" ht="14.25" customHeight="1" x14ac:dyDescent="0.25">
      <c r="B9792" s="103"/>
      <c r="D9792" s="80"/>
      <c r="E9792" s="80"/>
    </row>
    <row r="9793" spans="2:5" ht="14.25" customHeight="1" x14ac:dyDescent="0.25">
      <c r="B9793" s="103"/>
      <c r="D9793" s="80"/>
      <c r="E9793" s="80"/>
    </row>
    <row r="9794" spans="2:5" ht="14.25" customHeight="1" x14ac:dyDescent="0.25">
      <c r="B9794" s="103"/>
      <c r="D9794" s="80"/>
      <c r="E9794" s="80"/>
    </row>
    <row r="9795" spans="2:5" ht="14.25" customHeight="1" x14ac:dyDescent="0.25">
      <c r="B9795" s="103"/>
      <c r="D9795" s="80"/>
      <c r="E9795" s="80"/>
    </row>
    <row r="9796" spans="2:5" ht="14.25" customHeight="1" x14ac:dyDescent="0.25">
      <c r="B9796" s="103"/>
      <c r="D9796" s="80"/>
      <c r="E9796" s="80"/>
    </row>
    <row r="9797" spans="2:5" ht="14.25" customHeight="1" x14ac:dyDescent="0.25">
      <c r="B9797" s="103"/>
      <c r="D9797" s="80"/>
      <c r="E9797" s="80"/>
    </row>
    <row r="9798" spans="2:5" ht="14.25" customHeight="1" x14ac:dyDescent="0.25">
      <c r="B9798" s="103"/>
      <c r="D9798" s="80"/>
      <c r="E9798" s="80"/>
    </row>
    <row r="9799" spans="2:5" ht="14.25" customHeight="1" x14ac:dyDescent="0.25">
      <c r="B9799" s="103"/>
      <c r="D9799" s="80"/>
      <c r="E9799" s="80"/>
    </row>
    <row r="9800" spans="2:5" ht="14.25" customHeight="1" x14ac:dyDescent="0.25">
      <c r="B9800" s="103"/>
      <c r="D9800" s="80"/>
      <c r="E9800" s="80"/>
    </row>
    <row r="9801" spans="2:5" ht="14.25" customHeight="1" x14ac:dyDescent="0.25">
      <c r="B9801" s="103"/>
      <c r="D9801" s="80"/>
      <c r="E9801" s="80"/>
    </row>
    <row r="9802" spans="2:5" ht="14.25" customHeight="1" x14ac:dyDescent="0.25">
      <c r="B9802" s="103"/>
      <c r="D9802" s="80"/>
      <c r="E9802" s="80"/>
    </row>
    <row r="9803" spans="2:5" ht="14.25" customHeight="1" x14ac:dyDescent="0.25">
      <c r="B9803" s="103"/>
      <c r="D9803" s="80"/>
      <c r="E9803" s="80"/>
    </row>
    <row r="9804" spans="2:5" ht="14.25" customHeight="1" x14ac:dyDescent="0.25">
      <c r="B9804" s="103"/>
      <c r="D9804" s="80"/>
      <c r="E9804" s="80"/>
    </row>
    <row r="9805" spans="2:5" ht="14.25" customHeight="1" x14ac:dyDescent="0.25">
      <c r="B9805" s="103"/>
      <c r="D9805" s="80"/>
      <c r="E9805" s="80"/>
    </row>
    <row r="9806" spans="2:5" ht="14.25" customHeight="1" x14ac:dyDescent="0.25">
      <c r="B9806" s="103"/>
      <c r="D9806" s="80"/>
      <c r="E9806" s="80"/>
    </row>
    <row r="9807" spans="2:5" ht="14.25" customHeight="1" x14ac:dyDescent="0.25">
      <c r="B9807" s="103"/>
      <c r="D9807" s="80"/>
      <c r="E9807" s="80"/>
    </row>
    <row r="9808" spans="2:5" ht="14.25" customHeight="1" x14ac:dyDescent="0.25">
      <c r="B9808" s="103"/>
      <c r="D9808" s="80"/>
      <c r="E9808" s="80"/>
    </row>
    <row r="9809" spans="2:5" ht="14.25" customHeight="1" x14ac:dyDescent="0.25">
      <c r="B9809" s="103"/>
      <c r="D9809" s="80"/>
      <c r="E9809" s="80"/>
    </row>
    <row r="9810" spans="2:5" ht="14.25" customHeight="1" x14ac:dyDescent="0.25">
      <c r="B9810" s="103"/>
      <c r="D9810" s="80"/>
      <c r="E9810" s="80"/>
    </row>
    <row r="9811" spans="2:5" ht="14.25" customHeight="1" x14ac:dyDescent="0.25">
      <c r="B9811" s="103"/>
      <c r="D9811" s="80"/>
      <c r="E9811" s="80"/>
    </row>
    <row r="9812" spans="2:5" ht="14.25" customHeight="1" x14ac:dyDescent="0.25">
      <c r="B9812" s="103"/>
      <c r="D9812" s="80"/>
      <c r="E9812" s="80"/>
    </row>
    <row r="9813" spans="2:5" ht="14.25" customHeight="1" x14ac:dyDescent="0.25">
      <c r="B9813" s="103"/>
      <c r="D9813" s="80"/>
      <c r="E9813" s="80"/>
    </row>
    <row r="9814" spans="2:5" ht="14.25" customHeight="1" x14ac:dyDescent="0.25">
      <c r="B9814" s="103"/>
      <c r="D9814" s="80"/>
      <c r="E9814" s="80"/>
    </row>
    <row r="9815" spans="2:5" ht="14.25" customHeight="1" x14ac:dyDescent="0.25">
      <c r="B9815" s="103"/>
      <c r="D9815" s="80"/>
      <c r="E9815" s="80"/>
    </row>
    <row r="9816" spans="2:5" ht="14.25" customHeight="1" x14ac:dyDescent="0.25">
      <c r="B9816" s="103"/>
      <c r="D9816" s="80"/>
      <c r="E9816" s="80"/>
    </row>
    <row r="9817" spans="2:5" ht="14.25" customHeight="1" x14ac:dyDescent="0.25">
      <c r="B9817" s="103"/>
      <c r="D9817" s="80"/>
      <c r="E9817" s="80"/>
    </row>
    <row r="9818" spans="2:5" ht="14.25" customHeight="1" x14ac:dyDescent="0.25">
      <c r="B9818" s="103"/>
      <c r="D9818" s="80"/>
      <c r="E9818" s="80"/>
    </row>
    <row r="9819" spans="2:5" ht="14.25" customHeight="1" x14ac:dyDescent="0.25">
      <c r="B9819" s="103"/>
      <c r="D9819" s="80"/>
      <c r="E9819" s="80"/>
    </row>
    <row r="9820" spans="2:5" ht="14.25" customHeight="1" x14ac:dyDescent="0.25">
      <c r="B9820" s="103"/>
      <c r="D9820" s="80"/>
      <c r="E9820" s="80"/>
    </row>
    <row r="9821" spans="2:5" ht="14.25" customHeight="1" x14ac:dyDescent="0.25">
      <c r="B9821" s="103"/>
      <c r="D9821" s="80"/>
      <c r="E9821" s="80"/>
    </row>
    <row r="9822" spans="2:5" ht="14.25" customHeight="1" x14ac:dyDescent="0.25">
      <c r="B9822" s="103"/>
      <c r="D9822" s="80"/>
      <c r="E9822" s="80"/>
    </row>
    <row r="9823" spans="2:5" ht="14.25" customHeight="1" x14ac:dyDescent="0.25">
      <c r="B9823" s="103"/>
      <c r="D9823" s="80"/>
      <c r="E9823" s="80"/>
    </row>
    <row r="9824" spans="2:5" ht="14.25" customHeight="1" x14ac:dyDescent="0.25">
      <c r="B9824" s="103"/>
      <c r="D9824" s="80"/>
      <c r="E9824" s="80"/>
    </row>
    <row r="9825" spans="2:5" ht="14.25" customHeight="1" x14ac:dyDescent="0.25">
      <c r="B9825" s="103"/>
      <c r="D9825" s="80"/>
      <c r="E9825" s="80"/>
    </row>
    <row r="9826" spans="2:5" ht="14.25" customHeight="1" x14ac:dyDescent="0.25">
      <c r="B9826" s="103"/>
      <c r="D9826" s="80"/>
      <c r="E9826" s="80"/>
    </row>
    <row r="9827" spans="2:5" ht="14.25" customHeight="1" x14ac:dyDescent="0.25">
      <c r="B9827" s="103"/>
      <c r="D9827" s="80"/>
      <c r="E9827" s="80"/>
    </row>
    <row r="9828" spans="2:5" ht="14.25" customHeight="1" x14ac:dyDescent="0.25">
      <c r="B9828" s="103"/>
      <c r="D9828" s="80"/>
      <c r="E9828" s="80"/>
    </row>
    <row r="9829" spans="2:5" ht="14.25" customHeight="1" x14ac:dyDescent="0.25">
      <c r="B9829" s="103"/>
      <c r="D9829" s="80"/>
      <c r="E9829" s="80"/>
    </row>
    <row r="9830" spans="2:5" ht="14.25" customHeight="1" x14ac:dyDescent="0.25">
      <c r="B9830" s="103"/>
      <c r="D9830" s="80"/>
      <c r="E9830" s="80"/>
    </row>
    <row r="9831" spans="2:5" ht="14.25" customHeight="1" x14ac:dyDescent="0.25">
      <c r="B9831" s="103"/>
      <c r="D9831" s="80"/>
      <c r="E9831" s="80"/>
    </row>
    <row r="9832" spans="2:5" ht="14.25" customHeight="1" x14ac:dyDescent="0.25">
      <c r="B9832" s="103"/>
      <c r="D9832" s="80"/>
      <c r="E9832" s="80"/>
    </row>
    <row r="9833" spans="2:5" ht="14.25" customHeight="1" x14ac:dyDescent="0.25">
      <c r="B9833" s="103"/>
      <c r="D9833" s="80"/>
      <c r="E9833" s="80"/>
    </row>
    <row r="9834" spans="2:5" ht="14.25" customHeight="1" x14ac:dyDescent="0.25">
      <c r="B9834" s="103"/>
      <c r="D9834" s="80"/>
      <c r="E9834" s="80"/>
    </row>
    <row r="9835" spans="2:5" ht="14.25" customHeight="1" x14ac:dyDescent="0.25">
      <c r="B9835" s="103"/>
      <c r="D9835" s="80"/>
      <c r="E9835" s="80"/>
    </row>
    <row r="9836" spans="2:5" ht="14.25" customHeight="1" x14ac:dyDescent="0.25">
      <c r="B9836" s="103"/>
      <c r="D9836" s="80"/>
      <c r="E9836" s="80"/>
    </row>
    <row r="9837" spans="2:5" ht="14.25" customHeight="1" x14ac:dyDescent="0.25">
      <c r="B9837" s="103"/>
      <c r="D9837" s="80"/>
      <c r="E9837" s="80"/>
    </row>
    <row r="9838" spans="2:5" ht="14.25" customHeight="1" x14ac:dyDescent="0.25">
      <c r="B9838" s="103"/>
      <c r="D9838" s="80"/>
      <c r="E9838" s="80"/>
    </row>
    <row r="9839" spans="2:5" ht="14.25" customHeight="1" x14ac:dyDescent="0.25">
      <c r="B9839" s="103"/>
      <c r="D9839" s="80"/>
      <c r="E9839" s="80"/>
    </row>
    <row r="9840" spans="2:5" ht="14.25" customHeight="1" x14ac:dyDescent="0.25">
      <c r="B9840" s="103"/>
      <c r="D9840" s="80"/>
      <c r="E9840" s="80"/>
    </row>
    <row r="9841" spans="2:5" ht="14.25" customHeight="1" x14ac:dyDescent="0.25">
      <c r="B9841" s="103"/>
      <c r="D9841" s="80"/>
      <c r="E9841" s="80"/>
    </row>
    <row r="9842" spans="2:5" ht="14.25" customHeight="1" x14ac:dyDescent="0.25">
      <c r="B9842" s="103"/>
      <c r="D9842" s="80"/>
      <c r="E9842" s="80"/>
    </row>
    <row r="9843" spans="2:5" ht="14.25" customHeight="1" x14ac:dyDescent="0.25">
      <c r="B9843" s="103"/>
      <c r="D9843" s="80"/>
      <c r="E9843" s="80"/>
    </row>
    <row r="9844" spans="2:5" ht="14.25" customHeight="1" x14ac:dyDescent="0.25">
      <c r="B9844" s="103"/>
      <c r="D9844" s="80"/>
      <c r="E9844" s="80"/>
    </row>
    <row r="9845" spans="2:5" ht="14.25" customHeight="1" x14ac:dyDescent="0.25">
      <c r="B9845" s="103"/>
      <c r="D9845" s="80"/>
      <c r="E9845" s="80"/>
    </row>
    <row r="9846" spans="2:5" ht="14.25" customHeight="1" x14ac:dyDescent="0.25">
      <c r="B9846" s="103"/>
      <c r="D9846" s="80"/>
      <c r="E9846" s="80"/>
    </row>
    <row r="9847" spans="2:5" ht="14.25" customHeight="1" x14ac:dyDescent="0.25">
      <c r="B9847" s="103"/>
      <c r="D9847" s="80"/>
      <c r="E9847" s="80"/>
    </row>
    <row r="9848" spans="2:5" ht="14.25" customHeight="1" x14ac:dyDescent="0.25">
      <c r="B9848" s="103"/>
      <c r="D9848" s="80"/>
      <c r="E9848" s="80"/>
    </row>
    <row r="9849" spans="2:5" ht="14.25" customHeight="1" x14ac:dyDescent="0.25">
      <c r="B9849" s="103"/>
      <c r="D9849" s="80"/>
      <c r="E9849" s="80"/>
    </row>
    <row r="9850" spans="2:5" ht="14.25" customHeight="1" x14ac:dyDescent="0.25">
      <c r="B9850" s="103"/>
      <c r="D9850" s="80"/>
      <c r="E9850" s="80"/>
    </row>
    <row r="9851" spans="2:5" ht="14.25" customHeight="1" x14ac:dyDescent="0.25">
      <c r="B9851" s="103"/>
      <c r="D9851" s="80"/>
      <c r="E9851" s="80"/>
    </row>
    <row r="9852" spans="2:5" ht="14.25" customHeight="1" x14ac:dyDescent="0.25">
      <c r="B9852" s="103"/>
      <c r="D9852" s="80"/>
      <c r="E9852" s="80"/>
    </row>
    <row r="9853" spans="2:5" ht="14.25" customHeight="1" x14ac:dyDescent="0.25">
      <c r="B9853" s="103"/>
      <c r="D9853" s="80"/>
      <c r="E9853" s="80"/>
    </row>
    <row r="9854" spans="2:5" ht="14.25" customHeight="1" x14ac:dyDescent="0.25">
      <c r="B9854" s="103"/>
      <c r="D9854" s="80"/>
      <c r="E9854" s="80"/>
    </row>
    <row r="9855" spans="2:5" ht="14.25" customHeight="1" x14ac:dyDescent="0.25">
      <c r="B9855" s="103"/>
      <c r="D9855" s="80"/>
      <c r="E9855" s="80"/>
    </row>
    <row r="9856" spans="2:5" ht="14.25" customHeight="1" x14ac:dyDescent="0.25">
      <c r="B9856" s="103"/>
      <c r="D9856" s="80"/>
      <c r="E9856" s="80"/>
    </row>
    <row r="9857" spans="2:5" ht="14.25" customHeight="1" x14ac:dyDescent="0.25">
      <c r="B9857" s="103"/>
      <c r="D9857" s="80"/>
      <c r="E9857" s="80"/>
    </row>
    <row r="9858" spans="2:5" ht="14.25" customHeight="1" x14ac:dyDescent="0.25">
      <c r="B9858" s="103"/>
      <c r="D9858" s="80"/>
      <c r="E9858" s="80"/>
    </row>
    <row r="9859" spans="2:5" ht="14.25" customHeight="1" x14ac:dyDescent="0.25">
      <c r="B9859" s="103"/>
      <c r="D9859" s="80"/>
      <c r="E9859" s="80"/>
    </row>
    <row r="9860" spans="2:5" ht="14.25" customHeight="1" x14ac:dyDescent="0.25">
      <c r="B9860" s="103"/>
      <c r="D9860" s="80"/>
      <c r="E9860" s="80"/>
    </row>
    <row r="9861" spans="2:5" ht="14.25" customHeight="1" x14ac:dyDescent="0.25">
      <c r="B9861" s="103"/>
      <c r="D9861" s="80"/>
      <c r="E9861" s="80"/>
    </row>
    <row r="9862" spans="2:5" ht="14.25" customHeight="1" x14ac:dyDescent="0.25">
      <c r="B9862" s="103"/>
      <c r="D9862" s="80"/>
      <c r="E9862" s="80"/>
    </row>
    <row r="9863" spans="2:5" ht="14.25" customHeight="1" x14ac:dyDescent="0.25">
      <c r="B9863" s="103"/>
      <c r="D9863" s="80"/>
      <c r="E9863" s="80"/>
    </row>
    <row r="9864" spans="2:5" ht="14.25" customHeight="1" x14ac:dyDescent="0.25">
      <c r="B9864" s="103"/>
      <c r="D9864" s="80"/>
      <c r="E9864" s="80"/>
    </row>
    <row r="9865" spans="2:5" ht="14.25" customHeight="1" x14ac:dyDescent="0.25">
      <c r="B9865" s="103"/>
      <c r="D9865" s="80"/>
      <c r="E9865" s="80"/>
    </row>
    <row r="9866" spans="2:5" ht="14.25" customHeight="1" x14ac:dyDescent="0.25">
      <c r="B9866" s="103"/>
      <c r="D9866" s="80"/>
      <c r="E9866" s="80"/>
    </row>
    <row r="9867" spans="2:5" ht="14.25" customHeight="1" x14ac:dyDescent="0.25">
      <c r="B9867" s="103"/>
      <c r="D9867" s="80"/>
      <c r="E9867" s="80"/>
    </row>
    <row r="9868" spans="2:5" ht="14.25" customHeight="1" x14ac:dyDescent="0.25">
      <c r="B9868" s="103"/>
      <c r="D9868" s="80"/>
      <c r="E9868" s="80"/>
    </row>
    <row r="9869" spans="2:5" ht="14.25" customHeight="1" x14ac:dyDescent="0.25">
      <c r="B9869" s="103"/>
      <c r="D9869" s="80"/>
      <c r="E9869" s="80"/>
    </row>
    <row r="9870" spans="2:5" ht="14.25" customHeight="1" x14ac:dyDescent="0.25">
      <c r="B9870" s="103"/>
      <c r="D9870" s="80"/>
      <c r="E9870" s="80"/>
    </row>
    <row r="9871" spans="2:5" ht="14.25" customHeight="1" x14ac:dyDescent="0.25">
      <c r="B9871" s="103"/>
      <c r="D9871" s="80"/>
      <c r="E9871" s="80"/>
    </row>
    <row r="9872" spans="2:5" ht="14.25" customHeight="1" x14ac:dyDescent="0.25">
      <c r="B9872" s="103"/>
      <c r="D9872" s="80"/>
      <c r="E9872" s="80"/>
    </row>
    <row r="9873" spans="2:5" ht="14.25" customHeight="1" x14ac:dyDescent="0.25">
      <c r="B9873" s="103"/>
      <c r="D9873" s="80"/>
      <c r="E9873" s="80"/>
    </row>
    <row r="9874" spans="2:5" ht="14.25" customHeight="1" x14ac:dyDescent="0.25">
      <c r="B9874" s="103"/>
      <c r="D9874" s="80"/>
      <c r="E9874" s="80"/>
    </row>
    <row r="9875" spans="2:5" ht="14.25" customHeight="1" x14ac:dyDescent="0.25">
      <c r="B9875" s="103"/>
      <c r="D9875" s="80"/>
      <c r="E9875" s="80"/>
    </row>
    <row r="9876" spans="2:5" ht="14.25" customHeight="1" x14ac:dyDescent="0.25">
      <c r="B9876" s="103"/>
      <c r="D9876" s="80"/>
      <c r="E9876" s="80"/>
    </row>
    <row r="9877" spans="2:5" ht="14.25" customHeight="1" x14ac:dyDescent="0.25">
      <c r="B9877" s="103"/>
      <c r="D9877" s="80"/>
      <c r="E9877" s="80"/>
    </row>
    <row r="9878" spans="2:5" ht="14.25" customHeight="1" x14ac:dyDescent="0.25">
      <c r="B9878" s="103"/>
      <c r="D9878" s="80"/>
      <c r="E9878" s="80"/>
    </row>
    <row r="9879" spans="2:5" ht="14.25" customHeight="1" x14ac:dyDescent="0.25">
      <c r="B9879" s="103"/>
      <c r="D9879" s="80"/>
      <c r="E9879" s="80"/>
    </row>
    <row r="9880" spans="2:5" ht="14.25" customHeight="1" x14ac:dyDescent="0.25">
      <c r="B9880" s="103"/>
      <c r="D9880" s="80"/>
      <c r="E9880" s="80"/>
    </row>
    <row r="9881" spans="2:5" ht="14.25" customHeight="1" x14ac:dyDescent="0.25">
      <c r="B9881" s="103"/>
      <c r="D9881" s="80"/>
      <c r="E9881" s="80"/>
    </row>
    <row r="9882" spans="2:5" ht="14.25" customHeight="1" x14ac:dyDescent="0.25">
      <c r="B9882" s="103"/>
      <c r="D9882" s="80"/>
      <c r="E9882" s="80"/>
    </row>
    <row r="9883" spans="2:5" ht="14.25" customHeight="1" x14ac:dyDescent="0.25">
      <c r="B9883" s="103"/>
      <c r="D9883" s="80"/>
      <c r="E9883" s="80"/>
    </row>
    <row r="9884" spans="2:5" ht="14.25" customHeight="1" x14ac:dyDescent="0.25">
      <c r="B9884" s="103"/>
      <c r="D9884" s="80"/>
      <c r="E9884" s="80"/>
    </row>
    <row r="9885" spans="2:5" ht="14.25" customHeight="1" x14ac:dyDescent="0.25">
      <c r="B9885" s="103"/>
      <c r="D9885" s="80"/>
      <c r="E9885" s="80"/>
    </row>
    <row r="9886" spans="2:5" ht="14.25" customHeight="1" x14ac:dyDescent="0.25">
      <c r="B9886" s="103"/>
      <c r="D9886" s="80"/>
      <c r="E9886" s="80"/>
    </row>
    <row r="9887" spans="2:5" ht="14.25" customHeight="1" x14ac:dyDescent="0.25">
      <c r="B9887" s="103"/>
      <c r="D9887" s="80"/>
      <c r="E9887" s="80"/>
    </row>
    <row r="9888" spans="2:5" ht="14.25" customHeight="1" x14ac:dyDescent="0.25">
      <c r="B9888" s="103"/>
      <c r="D9888" s="80"/>
      <c r="E9888" s="80"/>
    </row>
    <row r="9889" spans="2:5" ht="14.25" customHeight="1" x14ac:dyDescent="0.25">
      <c r="B9889" s="103"/>
      <c r="D9889" s="80"/>
      <c r="E9889" s="80"/>
    </row>
    <row r="9890" spans="2:5" ht="14.25" customHeight="1" x14ac:dyDescent="0.25">
      <c r="B9890" s="103"/>
      <c r="D9890" s="80"/>
      <c r="E9890" s="80"/>
    </row>
    <row r="9891" spans="2:5" ht="14.25" customHeight="1" x14ac:dyDescent="0.25">
      <c r="B9891" s="103"/>
      <c r="D9891" s="80"/>
      <c r="E9891" s="80"/>
    </row>
    <row r="9892" spans="2:5" ht="14.25" customHeight="1" x14ac:dyDescent="0.25">
      <c r="B9892" s="103"/>
      <c r="D9892" s="80"/>
      <c r="E9892" s="80"/>
    </row>
    <row r="9893" spans="2:5" ht="14.25" customHeight="1" x14ac:dyDescent="0.25">
      <c r="B9893" s="103"/>
      <c r="D9893" s="80"/>
      <c r="E9893" s="80"/>
    </row>
    <row r="9894" spans="2:5" ht="14.25" customHeight="1" x14ac:dyDescent="0.25">
      <c r="B9894" s="103"/>
      <c r="D9894" s="80"/>
      <c r="E9894" s="80"/>
    </row>
    <row r="9895" spans="2:5" ht="14.25" customHeight="1" x14ac:dyDescent="0.25">
      <c r="B9895" s="103"/>
      <c r="D9895" s="80"/>
      <c r="E9895" s="80"/>
    </row>
    <row r="9896" spans="2:5" ht="14.25" customHeight="1" x14ac:dyDescent="0.25">
      <c r="B9896" s="103"/>
      <c r="D9896" s="80"/>
      <c r="E9896" s="80"/>
    </row>
    <row r="9897" spans="2:5" ht="14.25" customHeight="1" x14ac:dyDescent="0.25">
      <c r="B9897" s="103"/>
      <c r="D9897" s="80"/>
      <c r="E9897" s="80"/>
    </row>
    <row r="9898" spans="2:5" ht="14.25" customHeight="1" x14ac:dyDescent="0.25">
      <c r="B9898" s="103"/>
      <c r="D9898" s="80"/>
      <c r="E9898" s="80"/>
    </row>
    <row r="9899" spans="2:5" ht="14.25" customHeight="1" x14ac:dyDescent="0.25">
      <c r="B9899" s="103"/>
      <c r="D9899" s="80"/>
      <c r="E9899" s="80"/>
    </row>
    <row r="9900" spans="2:5" ht="14.25" customHeight="1" x14ac:dyDescent="0.25">
      <c r="B9900" s="103"/>
      <c r="D9900" s="80"/>
      <c r="E9900" s="80"/>
    </row>
    <row r="9901" spans="2:5" ht="14.25" customHeight="1" x14ac:dyDescent="0.25">
      <c r="B9901" s="103"/>
      <c r="D9901" s="80"/>
      <c r="E9901" s="80"/>
    </row>
    <row r="9902" spans="2:5" ht="14.25" customHeight="1" x14ac:dyDescent="0.25">
      <c r="B9902" s="103"/>
      <c r="D9902" s="80"/>
      <c r="E9902" s="80"/>
    </row>
    <row r="9903" spans="2:5" ht="14.25" customHeight="1" x14ac:dyDescent="0.25">
      <c r="B9903" s="103"/>
      <c r="D9903" s="80"/>
      <c r="E9903" s="80"/>
    </row>
    <row r="9904" spans="2:5" ht="14.25" customHeight="1" x14ac:dyDescent="0.25">
      <c r="B9904" s="103"/>
      <c r="D9904" s="80"/>
      <c r="E9904" s="80"/>
    </row>
    <row r="9905" spans="2:5" ht="14.25" customHeight="1" x14ac:dyDescent="0.25">
      <c r="B9905" s="103"/>
      <c r="D9905" s="80"/>
      <c r="E9905" s="80"/>
    </row>
    <row r="9906" spans="2:5" ht="14.25" customHeight="1" x14ac:dyDescent="0.25">
      <c r="B9906" s="103"/>
      <c r="D9906" s="80"/>
      <c r="E9906" s="80"/>
    </row>
    <row r="9907" spans="2:5" ht="14.25" customHeight="1" x14ac:dyDescent="0.25">
      <c r="B9907" s="103"/>
      <c r="D9907" s="80"/>
      <c r="E9907" s="80"/>
    </row>
    <row r="9908" spans="2:5" ht="14.25" customHeight="1" x14ac:dyDescent="0.25">
      <c r="B9908" s="103"/>
      <c r="D9908" s="80"/>
      <c r="E9908" s="80"/>
    </row>
    <row r="9909" spans="2:5" ht="14.25" customHeight="1" x14ac:dyDescent="0.25">
      <c r="B9909" s="103"/>
      <c r="D9909" s="80"/>
      <c r="E9909" s="80"/>
    </row>
    <row r="9910" spans="2:5" ht="14.25" customHeight="1" x14ac:dyDescent="0.25">
      <c r="B9910" s="103"/>
      <c r="D9910" s="80"/>
      <c r="E9910" s="80"/>
    </row>
    <row r="9911" spans="2:5" ht="14.25" customHeight="1" x14ac:dyDescent="0.25">
      <c r="B9911" s="103"/>
      <c r="D9911" s="80"/>
      <c r="E9911" s="80"/>
    </row>
    <row r="9912" spans="2:5" ht="14.25" customHeight="1" x14ac:dyDescent="0.25">
      <c r="B9912" s="103"/>
      <c r="D9912" s="80"/>
      <c r="E9912" s="80"/>
    </row>
    <row r="9913" spans="2:5" ht="14.25" customHeight="1" x14ac:dyDescent="0.25">
      <c r="B9913" s="103"/>
      <c r="D9913" s="80"/>
      <c r="E9913" s="80"/>
    </row>
    <row r="9914" spans="2:5" ht="14.25" customHeight="1" x14ac:dyDescent="0.25">
      <c r="B9914" s="103"/>
      <c r="D9914" s="80"/>
      <c r="E9914" s="80"/>
    </row>
    <row r="9915" spans="2:5" ht="14.25" customHeight="1" x14ac:dyDescent="0.25">
      <c r="B9915" s="103"/>
      <c r="D9915" s="80"/>
      <c r="E9915" s="80"/>
    </row>
    <row r="9916" spans="2:5" ht="14.25" customHeight="1" x14ac:dyDescent="0.25">
      <c r="B9916" s="103"/>
      <c r="D9916" s="80"/>
      <c r="E9916" s="80"/>
    </row>
    <row r="9917" spans="2:5" ht="14.25" customHeight="1" x14ac:dyDescent="0.25">
      <c r="B9917" s="103"/>
      <c r="D9917" s="80"/>
      <c r="E9917" s="80"/>
    </row>
    <row r="9918" spans="2:5" ht="14.25" customHeight="1" x14ac:dyDescent="0.25">
      <c r="B9918" s="103"/>
      <c r="D9918" s="80"/>
      <c r="E9918" s="80"/>
    </row>
    <row r="9919" spans="2:5" ht="14.25" customHeight="1" x14ac:dyDescent="0.25">
      <c r="B9919" s="103"/>
      <c r="D9919" s="80"/>
      <c r="E9919" s="80"/>
    </row>
    <row r="9920" spans="2:5" ht="14.25" customHeight="1" x14ac:dyDescent="0.25">
      <c r="B9920" s="103"/>
      <c r="D9920" s="80"/>
      <c r="E9920" s="80"/>
    </row>
    <row r="9921" spans="2:5" ht="14.25" customHeight="1" x14ac:dyDescent="0.25">
      <c r="B9921" s="103"/>
      <c r="D9921" s="80"/>
      <c r="E9921" s="80"/>
    </row>
    <row r="9922" spans="2:5" ht="14.25" customHeight="1" x14ac:dyDescent="0.25">
      <c r="B9922" s="103"/>
      <c r="D9922" s="80"/>
      <c r="E9922" s="80"/>
    </row>
    <row r="9923" spans="2:5" ht="14.25" customHeight="1" x14ac:dyDescent="0.25">
      <c r="B9923" s="103"/>
      <c r="D9923" s="80"/>
      <c r="E9923" s="80"/>
    </row>
    <row r="9924" spans="2:5" ht="14.25" customHeight="1" x14ac:dyDescent="0.25">
      <c r="B9924" s="103"/>
      <c r="D9924" s="80"/>
      <c r="E9924" s="80"/>
    </row>
    <row r="9925" spans="2:5" ht="14.25" customHeight="1" x14ac:dyDescent="0.25">
      <c r="B9925" s="103"/>
      <c r="D9925" s="80"/>
      <c r="E9925" s="80"/>
    </row>
    <row r="9926" spans="2:5" ht="14.25" customHeight="1" x14ac:dyDescent="0.25">
      <c r="B9926" s="103"/>
      <c r="D9926" s="80"/>
      <c r="E9926" s="80"/>
    </row>
    <row r="9927" spans="2:5" ht="14.25" customHeight="1" x14ac:dyDescent="0.25">
      <c r="B9927" s="103"/>
      <c r="D9927" s="80"/>
      <c r="E9927" s="80"/>
    </row>
    <row r="9928" spans="2:5" ht="14.25" customHeight="1" x14ac:dyDescent="0.25">
      <c r="B9928" s="103"/>
      <c r="D9928" s="80"/>
      <c r="E9928" s="80"/>
    </row>
    <row r="9929" spans="2:5" ht="14.25" customHeight="1" x14ac:dyDescent="0.25">
      <c r="B9929" s="103"/>
      <c r="D9929" s="80"/>
      <c r="E9929" s="80"/>
    </row>
    <row r="9930" spans="2:5" ht="14.25" customHeight="1" x14ac:dyDescent="0.25">
      <c r="B9930" s="103"/>
      <c r="D9930" s="80"/>
      <c r="E9930" s="80"/>
    </row>
    <row r="9931" spans="2:5" ht="14.25" customHeight="1" x14ac:dyDescent="0.25">
      <c r="B9931" s="103"/>
      <c r="D9931" s="80"/>
      <c r="E9931" s="80"/>
    </row>
    <row r="9932" spans="2:5" ht="14.25" customHeight="1" x14ac:dyDescent="0.25">
      <c r="B9932" s="103"/>
      <c r="D9932" s="80"/>
      <c r="E9932" s="80"/>
    </row>
    <row r="9933" spans="2:5" ht="14.25" customHeight="1" x14ac:dyDescent="0.25">
      <c r="B9933" s="103"/>
      <c r="D9933" s="80"/>
      <c r="E9933" s="80"/>
    </row>
    <row r="9934" spans="2:5" ht="14.25" customHeight="1" x14ac:dyDescent="0.25">
      <c r="B9934" s="103"/>
      <c r="D9934" s="80"/>
      <c r="E9934" s="80"/>
    </row>
    <row r="9935" spans="2:5" ht="14.25" customHeight="1" x14ac:dyDescent="0.25">
      <c r="B9935" s="103"/>
      <c r="D9935" s="80"/>
      <c r="E9935" s="80"/>
    </row>
    <row r="9936" spans="2:5" ht="14.25" customHeight="1" x14ac:dyDescent="0.25">
      <c r="B9936" s="103"/>
      <c r="D9936" s="80"/>
      <c r="E9936" s="80"/>
    </row>
    <row r="9937" spans="2:5" ht="14.25" customHeight="1" x14ac:dyDescent="0.25">
      <c r="B9937" s="103"/>
      <c r="D9937" s="80"/>
      <c r="E9937" s="80"/>
    </row>
    <row r="9938" spans="2:5" ht="14.25" customHeight="1" x14ac:dyDescent="0.25">
      <c r="B9938" s="103"/>
      <c r="D9938" s="80"/>
      <c r="E9938" s="80"/>
    </row>
    <row r="9939" spans="2:5" ht="14.25" customHeight="1" x14ac:dyDescent="0.25">
      <c r="B9939" s="103"/>
      <c r="D9939" s="80"/>
      <c r="E9939" s="80"/>
    </row>
    <row r="9940" spans="2:5" ht="14.25" customHeight="1" x14ac:dyDescent="0.25">
      <c r="B9940" s="103"/>
      <c r="D9940" s="80"/>
      <c r="E9940" s="80"/>
    </row>
    <row r="9941" spans="2:5" ht="14.25" customHeight="1" x14ac:dyDescent="0.25">
      <c r="B9941" s="103"/>
      <c r="D9941" s="80"/>
      <c r="E9941" s="80"/>
    </row>
    <row r="9942" spans="2:5" ht="14.25" customHeight="1" x14ac:dyDescent="0.25">
      <c r="B9942" s="103"/>
      <c r="D9942" s="80"/>
      <c r="E9942" s="80"/>
    </row>
    <row r="9943" spans="2:5" ht="14.25" customHeight="1" x14ac:dyDescent="0.25">
      <c r="B9943" s="103"/>
      <c r="D9943" s="80"/>
      <c r="E9943" s="80"/>
    </row>
    <row r="9944" spans="2:5" ht="14.25" customHeight="1" x14ac:dyDescent="0.25">
      <c r="B9944" s="103"/>
      <c r="D9944" s="80"/>
      <c r="E9944" s="80"/>
    </row>
    <row r="9945" spans="2:5" ht="14.25" customHeight="1" x14ac:dyDescent="0.25">
      <c r="B9945" s="103"/>
      <c r="D9945" s="80"/>
      <c r="E9945" s="80"/>
    </row>
    <row r="9946" spans="2:5" ht="14.25" customHeight="1" x14ac:dyDescent="0.25">
      <c r="B9946" s="103"/>
      <c r="D9946" s="80"/>
      <c r="E9946" s="80"/>
    </row>
    <row r="9947" spans="2:5" ht="14.25" customHeight="1" x14ac:dyDescent="0.25">
      <c r="B9947" s="103"/>
      <c r="D9947" s="80"/>
      <c r="E9947" s="80"/>
    </row>
    <row r="9948" spans="2:5" ht="14.25" customHeight="1" x14ac:dyDescent="0.25">
      <c r="B9948" s="103"/>
      <c r="D9948" s="80"/>
      <c r="E9948" s="80"/>
    </row>
    <row r="9949" spans="2:5" ht="14.25" customHeight="1" x14ac:dyDescent="0.25">
      <c r="B9949" s="103"/>
      <c r="D9949" s="80"/>
      <c r="E9949" s="80"/>
    </row>
    <row r="9950" spans="2:5" ht="14.25" customHeight="1" x14ac:dyDescent="0.25">
      <c r="B9950" s="103"/>
      <c r="D9950" s="80"/>
      <c r="E9950" s="80"/>
    </row>
    <row r="9951" spans="2:5" ht="14.25" customHeight="1" x14ac:dyDescent="0.25">
      <c r="B9951" s="103"/>
      <c r="D9951" s="80"/>
      <c r="E9951" s="80"/>
    </row>
    <row r="9952" spans="2:5" ht="14.25" customHeight="1" x14ac:dyDescent="0.25">
      <c r="B9952" s="103"/>
      <c r="D9952" s="80"/>
      <c r="E9952" s="80"/>
    </row>
    <row r="9953" spans="2:5" ht="14.25" customHeight="1" x14ac:dyDescent="0.25">
      <c r="B9953" s="103"/>
      <c r="D9953" s="80"/>
      <c r="E9953" s="80"/>
    </row>
    <row r="9954" spans="2:5" ht="14.25" customHeight="1" x14ac:dyDescent="0.25">
      <c r="B9954" s="103"/>
      <c r="D9954" s="80"/>
      <c r="E9954" s="80"/>
    </row>
    <row r="9955" spans="2:5" ht="14.25" customHeight="1" x14ac:dyDescent="0.25">
      <c r="B9955" s="103"/>
      <c r="D9955" s="80"/>
      <c r="E9955" s="80"/>
    </row>
    <row r="9956" spans="2:5" ht="14.25" customHeight="1" x14ac:dyDescent="0.25">
      <c r="B9956" s="103"/>
      <c r="D9956" s="80"/>
      <c r="E9956" s="80"/>
    </row>
    <row r="9957" spans="2:5" ht="14.25" customHeight="1" x14ac:dyDescent="0.25">
      <c r="B9957" s="103"/>
      <c r="D9957" s="80"/>
      <c r="E9957" s="80"/>
    </row>
    <row r="9958" spans="2:5" ht="14.25" customHeight="1" x14ac:dyDescent="0.25">
      <c r="B9958" s="103"/>
      <c r="D9958" s="80"/>
      <c r="E9958" s="80"/>
    </row>
    <row r="9959" spans="2:5" ht="14.25" customHeight="1" x14ac:dyDescent="0.25">
      <c r="B9959" s="103"/>
      <c r="D9959" s="80"/>
      <c r="E9959" s="80"/>
    </row>
    <row r="9960" spans="2:5" ht="14.25" customHeight="1" x14ac:dyDescent="0.25">
      <c r="B9960" s="103"/>
      <c r="D9960" s="80"/>
      <c r="E9960" s="80"/>
    </row>
    <row r="9961" spans="2:5" ht="14.25" customHeight="1" x14ac:dyDescent="0.25">
      <c r="B9961" s="103"/>
      <c r="D9961" s="80"/>
      <c r="E9961" s="80"/>
    </row>
    <row r="9962" spans="2:5" ht="14.25" customHeight="1" x14ac:dyDescent="0.25">
      <c r="B9962" s="103"/>
      <c r="D9962" s="80"/>
      <c r="E9962" s="80"/>
    </row>
    <row r="9963" spans="2:5" ht="14.25" customHeight="1" x14ac:dyDescent="0.25">
      <c r="B9963" s="103"/>
      <c r="D9963" s="80"/>
      <c r="E9963" s="80"/>
    </row>
    <row r="9964" spans="2:5" ht="14.25" customHeight="1" x14ac:dyDescent="0.25">
      <c r="B9964" s="103"/>
      <c r="D9964" s="80"/>
      <c r="E9964" s="80"/>
    </row>
    <row r="9965" spans="2:5" ht="14.25" customHeight="1" x14ac:dyDescent="0.25">
      <c r="B9965" s="103"/>
      <c r="D9965" s="80"/>
      <c r="E9965" s="80"/>
    </row>
    <row r="9966" spans="2:5" ht="14.25" customHeight="1" x14ac:dyDescent="0.25">
      <c r="B9966" s="103"/>
      <c r="D9966" s="80"/>
      <c r="E9966" s="80"/>
    </row>
    <row r="9967" spans="2:5" ht="14.25" customHeight="1" x14ac:dyDescent="0.25">
      <c r="B9967" s="103"/>
      <c r="D9967" s="80"/>
      <c r="E9967" s="80"/>
    </row>
    <row r="9968" spans="2:5" ht="14.25" customHeight="1" x14ac:dyDescent="0.25">
      <c r="B9968" s="103"/>
      <c r="D9968" s="80"/>
      <c r="E9968" s="80"/>
    </row>
    <row r="9969" spans="2:5" ht="14.25" customHeight="1" x14ac:dyDescent="0.25">
      <c r="B9969" s="103"/>
      <c r="D9969" s="80"/>
      <c r="E9969" s="80"/>
    </row>
    <row r="9970" spans="2:5" ht="14.25" customHeight="1" x14ac:dyDescent="0.25">
      <c r="B9970" s="103"/>
      <c r="D9970" s="80"/>
      <c r="E9970" s="80"/>
    </row>
    <row r="9971" spans="2:5" ht="14.25" customHeight="1" x14ac:dyDescent="0.25">
      <c r="B9971" s="103"/>
      <c r="D9971" s="80"/>
      <c r="E9971" s="80"/>
    </row>
    <row r="9972" spans="2:5" ht="14.25" customHeight="1" x14ac:dyDescent="0.25">
      <c r="B9972" s="103"/>
      <c r="D9972" s="80"/>
      <c r="E9972" s="80"/>
    </row>
    <row r="9973" spans="2:5" ht="14.25" customHeight="1" x14ac:dyDescent="0.25">
      <c r="B9973" s="103"/>
      <c r="D9973" s="80"/>
      <c r="E9973" s="80"/>
    </row>
    <row r="9974" spans="2:5" ht="14.25" customHeight="1" x14ac:dyDescent="0.25">
      <c r="B9974" s="103"/>
      <c r="D9974" s="80"/>
      <c r="E9974" s="80"/>
    </row>
    <row r="9975" spans="2:5" ht="14.25" customHeight="1" x14ac:dyDescent="0.25">
      <c r="B9975" s="103"/>
      <c r="D9975" s="80"/>
      <c r="E9975" s="80"/>
    </row>
    <row r="9976" spans="2:5" ht="14.25" customHeight="1" x14ac:dyDescent="0.25">
      <c r="B9976" s="103"/>
      <c r="D9976" s="80"/>
      <c r="E9976" s="80"/>
    </row>
    <row r="9977" spans="2:5" ht="14.25" customHeight="1" x14ac:dyDescent="0.25">
      <c r="B9977" s="103"/>
      <c r="D9977" s="80"/>
      <c r="E9977" s="80"/>
    </row>
    <row r="9978" spans="2:5" ht="14.25" customHeight="1" x14ac:dyDescent="0.25">
      <c r="B9978" s="103"/>
      <c r="D9978" s="80"/>
      <c r="E9978" s="80"/>
    </row>
    <row r="9979" spans="2:5" ht="14.25" customHeight="1" x14ac:dyDescent="0.25">
      <c r="B9979" s="103"/>
      <c r="D9979" s="80"/>
      <c r="E9979" s="80"/>
    </row>
    <row r="9980" spans="2:5" ht="14.25" customHeight="1" x14ac:dyDescent="0.25">
      <c r="B9980" s="103"/>
      <c r="D9980" s="80"/>
      <c r="E9980" s="80"/>
    </row>
    <row r="9981" spans="2:5" ht="14.25" customHeight="1" x14ac:dyDescent="0.25">
      <c r="B9981" s="103"/>
      <c r="D9981" s="80"/>
      <c r="E9981" s="80"/>
    </row>
    <row r="9982" spans="2:5" ht="14.25" customHeight="1" x14ac:dyDescent="0.25">
      <c r="B9982" s="103"/>
      <c r="D9982" s="80"/>
      <c r="E9982" s="80"/>
    </row>
    <row r="9983" spans="2:5" ht="14.25" customHeight="1" x14ac:dyDescent="0.25">
      <c r="B9983" s="103"/>
      <c r="D9983" s="80"/>
      <c r="E9983" s="80"/>
    </row>
    <row r="9984" spans="2:5" ht="14.25" customHeight="1" x14ac:dyDescent="0.25">
      <c r="B9984" s="103"/>
      <c r="D9984" s="80"/>
      <c r="E9984" s="80"/>
    </row>
    <row r="9985" spans="2:5" ht="14.25" customHeight="1" x14ac:dyDescent="0.25">
      <c r="B9985" s="103"/>
      <c r="D9985" s="80"/>
      <c r="E9985" s="80"/>
    </row>
    <row r="9986" spans="2:5" ht="14.25" customHeight="1" x14ac:dyDescent="0.25">
      <c r="B9986" s="103"/>
      <c r="D9986" s="80"/>
      <c r="E9986" s="80"/>
    </row>
    <row r="9987" spans="2:5" ht="14.25" customHeight="1" x14ac:dyDescent="0.25">
      <c r="B9987" s="103"/>
      <c r="D9987" s="80"/>
      <c r="E9987" s="80"/>
    </row>
    <row r="9988" spans="2:5" ht="14.25" customHeight="1" x14ac:dyDescent="0.25">
      <c r="B9988" s="103"/>
      <c r="D9988" s="80"/>
      <c r="E9988" s="80"/>
    </row>
    <row r="9989" spans="2:5" ht="14.25" customHeight="1" x14ac:dyDescent="0.25">
      <c r="B9989" s="103"/>
      <c r="D9989" s="80"/>
      <c r="E9989" s="80"/>
    </row>
    <row r="9990" spans="2:5" ht="14.25" customHeight="1" x14ac:dyDescent="0.25">
      <c r="B9990" s="103"/>
      <c r="D9990" s="80"/>
      <c r="E9990" s="80"/>
    </row>
    <row r="9991" spans="2:5" ht="14.25" customHeight="1" x14ac:dyDescent="0.25">
      <c r="B9991" s="103"/>
      <c r="D9991" s="80"/>
      <c r="E9991" s="80"/>
    </row>
    <row r="9992" spans="2:5" ht="14.25" customHeight="1" x14ac:dyDescent="0.25">
      <c r="B9992" s="103"/>
      <c r="D9992" s="80"/>
      <c r="E9992" s="80"/>
    </row>
    <row r="9993" spans="2:5" ht="14.25" customHeight="1" x14ac:dyDescent="0.25">
      <c r="B9993" s="103"/>
      <c r="D9993" s="80"/>
      <c r="E9993" s="80"/>
    </row>
    <row r="9994" spans="2:5" ht="14.25" customHeight="1" x14ac:dyDescent="0.25">
      <c r="B9994" s="103"/>
      <c r="D9994" s="80"/>
      <c r="E9994" s="80"/>
    </row>
    <row r="9995" spans="2:5" ht="14.25" customHeight="1" x14ac:dyDescent="0.25">
      <c r="B9995" s="103"/>
      <c r="D9995" s="80"/>
      <c r="E9995" s="80"/>
    </row>
    <row r="9996" spans="2:5" ht="14.25" customHeight="1" x14ac:dyDescent="0.25">
      <c r="B9996" s="103"/>
      <c r="D9996" s="80"/>
      <c r="E9996" s="80"/>
    </row>
    <row r="9997" spans="2:5" ht="14.25" customHeight="1" x14ac:dyDescent="0.25">
      <c r="B9997" s="103"/>
      <c r="D9997" s="80"/>
      <c r="E9997" s="80"/>
    </row>
    <row r="9998" spans="2:5" ht="14.25" customHeight="1" x14ac:dyDescent="0.25"/>
  </sheetData>
  <mergeCells count="16">
    <mergeCell ref="AD14:AE14"/>
    <mergeCell ref="AD9:AF9"/>
    <mergeCell ref="G10:H10"/>
    <mergeCell ref="D8:E8"/>
    <mergeCell ref="G8:H8"/>
    <mergeCell ref="D9:E9"/>
    <mergeCell ref="G9:H9"/>
    <mergeCell ref="J8:AB8"/>
    <mergeCell ref="L14:M15"/>
    <mergeCell ref="N14:X14"/>
    <mergeCell ref="Z14:AB14"/>
    <mergeCell ref="N15:P15"/>
    <mergeCell ref="Q15:S15"/>
    <mergeCell ref="T15:U15"/>
    <mergeCell ref="V15:X15"/>
    <mergeCell ref="AD8:AF8"/>
  </mergeCells>
  <dataValidations count="1">
    <dataValidation type="list" allowBlank="1" showInputMessage="1" showErrorMessage="1" sqref="E5" xr:uid="{00000000-0002-0000-1300-000000000000}">
      <formula1>"no nonlife risk, simulations, cumulative distribution function, lognormal parameters,captive"</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Tabelle6">
    <tabColor rgb="FFD4ECF9"/>
  </sheetPr>
  <dimension ref="A1:J16"/>
  <sheetViews>
    <sheetView showGridLines="0" zoomScale="90" zoomScaleNormal="90" workbookViewId="0"/>
  </sheetViews>
  <sheetFormatPr baseColWidth="10" defaultColWidth="8.5703125" defaultRowHeight="12.75" customHeight="1" x14ac:dyDescent="0.25"/>
  <cols>
    <col min="1" max="1" width="5.5703125" customWidth="1"/>
    <col min="2" max="2" width="23.42578125" customWidth="1"/>
    <col min="3" max="3" width="38.5703125" customWidth="1"/>
    <col min="4" max="4" width="56.42578125" customWidth="1"/>
    <col min="5" max="5" width="15.5703125" bestFit="1" customWidth="1"/>
    <col min="7" max="7" width="17.42578125" customWidth="1"/>
    <col min="8" max="9" width="21.42578125" customWidth="1"/>
    <col min="10" max="10" width="62.42578125" customWidth="1"/>
  </cols>
  <sheetData>
    <row r="1" spans="1:10" ht="20.100000000000001" customHeight="1" x14ac:dyDescent="0.25">
      <c r="A1" s="21">
        <v>21</v>
      </c>
      <c r="B1" s="680" t="str">
        <f>VLOOKUP("T.21.01",Translation,LanguageNo+1,FALSE)</f>
        <v>Sensitivitäten des Risikofaktors aus der Krankenversicherung</v>
      </c>
      <c r="C1" s="22"/>
      <c r="D1" s="1"/>
    </row>
    <row r="2" spans="1:10" ht="14.25" customHeight="1" x14ac:dyDescent="0.25">
      <c r="A2" s="67"/>
      <c r="B2" s="67"/>
      <c r="C2" s="67"/>
      <c r="D2" s="67"/>
      <c r="E2" s="67"/>
      <c r="F2" s="67"/>
      <c r="G2" s="67"/>
    </row>
    <row r="3" spans="1:10" ht="14.25" customHeight="1" x14ac:dyDescent="0.25">
      <c r="A3" s="67"/>
      <c r="B3" s="67"/>
      <c r="C3" s="67"/>
      <c r="D3" s="67"/>
      <c r="E3" s="67"/>
      <c r="F3" s="67"/>
      <c r="G3" s="67"/>
    </row>
    <row r="4" spans="1:10" ht="14.25" customHeight="1" x14ac:dyDescent="0.25">
      <c r="A4" s="67"/>
      <c r="B4" s="67"/>
      <c r="C4" s="67"/>
      <c r="D4" s="67"/>
      <c r="E4" s="67"/>
      <c r="F4" s="67"/>
      <c r="G4" s="67"/>
    </row>
    <row r="5" spans="1:10" ht="25.35" customHeight="1" x14ac:dyDescent="0.25">
      <c r="A5" s="67"/>
      <c r="B5" s="581" t="s">
        <v>1594</v>
      </c>
      <c r="C5" s="74" t="str">
        <f>VLOOKUP("T.21.02",Translation,LanguageNo+1,FALSE)</f>
        <v>Risikofaktor</v>
      </c>
      <c r="D5" s="74" t="s">
        <v>585</v>
      </c>
      <c r="E5" s="174" t="str">
        <f>VLOOKUP("T.21.03",Translation,LanguageNo+1,FALSE)</f>
        <v>Sensitivität</v>
      </c>
      <c r="F5" s="67"/>
      <c r="G5" s="67"/>
    </row>
    <row r="6" spans="1:10" ht="40.35" customHeight="1" x14ac:dyDescent="0.25">
      <c r="A6" s="67"/>
      <c r="B6" s="74"/>
      <c r="C6" s="74"/>
      <c r="D6" s="88"/>
      <c r="E6" s="91" t="str">
        <f>Unit &amp; SST_Currency</f>
        <v>in Mio. CHF</v>
      </c>
      <c r="F6" s="67"/>
      <c r="G6" s="886" t="str">
        <f>VLOOKUP("T.21.08",Translation,LanguageNo+1,FALSE)</f>
        <v>Szenarioname</v>
      </c>
      <c r="H6" s="886" t="str">
        <f>VLOOKUP("T.21.09",Translation,LanguageNo+1,FALSE) &amp; " " &amp; Unit &amp; SST_Currency</f>
        <v>Auswirkung (Verlust) aufgrund des Szenarios in Mio. CHF</v>
      </c>
      <c r="I6" s="886" t="str">
        <f>VLOOKUP("T.21.10",Translation,LanguageNo+1,FALSE)</f>
        <v>Wahrscheinlichkeit des Szenarios in %</v>
      </c>
      <c r="J6" s="886" t="str">
        <f>VLOOKUP("T.21.11",Translation,LanguageNo+1,FALSE)</f>
        <v>Erklärungen / Kommentare</v>
      </c>
    </row>
    <row r="7" spans="1:10" ht="57.75" customHeight="1" x14ac:dyDescent="0.25">
      <c r="A7" s="67"/>
      <c r="B7" s="647" t="s">
        <v>2028</v>
      </c>
      <c r="C7" s="92" t="str">
        <f>VLOOKUP("T.21.04",Translation,LanguageNo+1,FALSE)</f>
        <v>Einzelkranken</v>
      </c>
      <c r="D7" s="753" t="str">
        <f>VLOOKUP("T.21.06",Translation,LanguageNo+1,FALSE)</f>
        <v>Zu berechnen ist die Standardabweichung (positiver Wert) gemäss dem Dokument Technische Beschreibung für das SST-Standardmodell Krankenversicherung, Kapitel 5.</v>
      </c>
      <c r="E7" s="531"/>
      <c r="F7" s="67"/>
      <c r="G7" s="884" t="s">
        <v>3105</v>
      </c>
      <c r="H7" s="882">
        <v>0</v>
      </c>
      <c r="I7" s="883">
        <v>5.0000000000000001E-3</v>
      </c>
      <c r="J7" s="885" t="str">
        <f>VLOOKUP("T.21.12",Translation,LanguageNo+1,FALSE)</f>
        <v>Die Auswirkung wird durch die Änderung des RTK aufgrund des Szenarios definiert. Auswirkung = min(0;LZV - LZV_AS)
Gemäss Dokument Technische Beschreibung für das SST-Standardmodell Krankenversicherung, Abschnitt 5.3.</v>
      </c>
    </row>
    <row r="8" spans="1:10" ht="50.1" customHeight="1" x14ac:dyDescent="0.25">
      <c r="A8" s="67"/>
      <c r="B8" s="561" t="s">
        <v>1969</v>
      </c>
      <c r="C8" s="94" t="str">
        <f>VLOOKUP("T.21.05",Translation,LanguageNo+1,FALSE)</f>
        <v>Kollektivtaggeld</v>
      </c>
      <c r="D8" s="754" t="str">
        <f>VLOOKUP("T.21.07",Translation,LanguageNo+1,FALSE)</f>
        <v>Zu berechnen ist die Standardabweichung (positiver Wert) gemäss dem Dokument Technische Beschreibung für das SST-Standardmodell Krankenversicherung, Kapitel 6.</v>
      </c>
      <c r="E8" s="530"/>
      <c r="F8" s="67"/>
      <c r="G8" s="887" t="s">
        <v>3106</v>
      </c>
      <c r="H8" s="888">
        <v>0</v>
      </c>
      <c r="I8" s="889">
        <v>5.0000000000000001E-3</v>
      </c>
      <c r="J8" s="890"/>
    </row>
    <row r="9" spans="1:10" ht="12.75" customHeight="1" x14ac:dyDescent="0.25">
      <c r="A9" s="67"/>
      <c r="B9" s="79"/>
      <c r="C9" s="79"/>
      <c r="D9" s="79"/>
      <c r="E9" s="96"/>
      <c r="F9" s="67"/>
      <c r="G9" s="67"/>
    </row>
    <row r="10" spans="1:10" ht="12.75" customHeight="1" x14ac:dyDescent="0.25">
      <c r="A10" s="67"/>
      <c r="B10" s="79"/>
      <c r="C10" s="79"/>
      <c r="D10" s="79"/>
      <c r="E10" s="96"/>
      <c r="F10" s="67"/>
      <c r="G10" s="67"/>
    </row>
    <row r="11" spans="1:10" ht="12.75" customHeight="1" x14ac:dyDescent="0.25">
      <c r="A11" s="67"/>
      <c r="B11" s="79"/>
      <c r="C11" s="79"/>
      <c r="D11" s="79"/>
      <c r="E11" s="96"/>
      <c r="F11" s="67"/>
      <c r="G11" s="67"/>
    </row>
    <row r="12" spans="1:10" ht="12.75" customHeight="1" x14ac:dyDescent="0.25">
      <c r="A12" s="67"/>
      <c r="B12" s="97"/>
      <c r="C12" s="97"/>
      <c r="D12" s="97"/>
      <c r="E12" s="97"/>
      <c r="F12" s="67"/>
      <c r="G12" s="67"/>
    </row>
    <row r="13" spans="1:10" ht="12.75" customHeight="1" x14ac:dyDescent="0.25">
      <c r="A13" s="67"/>
      <c r="B13" s="97"/>
      <c r="C13" s="97"/>
      <c r="D13" s="97"/>
      <c r="E13" s="97"/>
      <c r="F13" s="67"/>
      <c r="G13" s="67"/>
    </row>
    <row r="14" spans="1:10" ht="12.75" customHeight="1" x14ac:dyDescent="0.25">
      <c r="A14" s="67"/>
      <c r="B14" s="97"/>
      <c r="C14" s="97"/>
      <c r="D14" s="97"/>
      <c r="E14" s="97"/>
      <c r="F14" s="67"/>
    </row>
    <row r="15" spans="1:10" ht="12.75" customHeight="1" x14ac:dyDescent="0.25">
      <c r="A15" s="67"/>
      <c r="B15" s="98"/>
      <c r="C15" s="98"/>
      <c r="D15" s="98"/>
      <c r="E15" s="98"/>
      <c r="F15" s="67"/>
    </row>
    <row r="16" spans="1:10" ht="12.75" customHeight="1" x14ac:dyDescent="0.25">
      <c r="A16" s="67"/>
      <c r="B16" s="67"/>
      <c r="C16" s="67"/>
      <c r="D16" s="67"/>
      <c r="E16" s="67"/>
      <c r="F16" s="67"/>
    </row>
  </sheetData>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3">
    <tabColor rgb="FFD4ECF9"/>
  </sheetPr>
  <dimension ref="A1:K40"/>
  <sheetViews>
    <sheetView showGridLines="0" zoomScale="90" zoomScaleNormal="90" workbookViewId="0"/>
  </sheetViews>
  <sheetFormatPr baseColWidth="10" defaultColWidth="8.5703125" defaultRowHeight="12.75" customHeight="1" x14ac:dyDescent="0.25"/>
  <cols>
    <col min="1" max="2" width="5.5703125" customWidth="1"/>
    <col min="3" max="3" width="106.5703125" customWidth="1"/>
    <col min="4" max="4" width="32.5703125" customWidth="1"/>
    <col min="5" max="5" width="15.5703125" bestFit="1" customWidth="1"/>
  </cols>
  <sheetData>
    <row r="1" spans="1:9" ht="20.100000000000001" customHeight="1" x14ac:dyDescent="0.25">
      <c r="A1" s="21">
        <v>22</v>
      </c>
      <c r="B1" s="680" t="str">
        <f>VLOOKUP("T.22.01",Translation,LanguageNo+1,FALSE)</f>
        <v>Weitere Informationen aus den spartenspezifischen Templates (Schaden-, Kranken- und Rückversicherungen, Captives)</v>
      </c>
      <c r="D1" s="1"/>
    </row>
    <row r="2" spans="1:9" ht="15" customHeight="1" x14ac:dyDescent="0.25">
      <c r="A2" s="67"/>
      <c r="B2" s="67"/>
      <c r="C2" s="67"/>
      <c r="D2" s="67"/>
      <c r="E2" s="67"/>
      <c r="F2" s="67"/>
      <c r="G2" s="67"/>
      <c r="H2" s="67"/>
      <c r="I2" s="67"/>
    </row>
    <row r="3" spans="1:9" ht="15" customHeight="1" x14ac:dyDescent="0.25">
      <c r="A3" s="67"/>
      <c r="B3" s="67"/>
      <c r="C3" s="67"/>
      <c r="D3" s="67"/>
      <c r="E3" s="67"/>
      <c r="F3" s="67"/>
      <c r="G3" s="67"/>
      <c r="H3" s="67"/>
      <c r="I3" s="67"/>
    </row>
    <row r="4" spans="1:9" ht="15" customHeight="1" x14ac:dyDescent="0.25">
      <c r="A4" s="67"/>
      <c r="B4" s="67"/>
      <c r="C4" s="67"/>
      <c r="D4" s="67"/>
      <c r="E4" s="67"/>
      <c r="F4" s="67"/>
      <c r="G4" s="67"/>
      <c r="H4" s="67"/>
      <c r="I4" s="67"/>
    </row>
    <row r="5" spans="1:9" ht="15" customHeight="1" x14ac:dyDescent="0.25">
      <c r="A5" s="67"/>
      <c r="B5" s="67"/>
      <c r="C5" s="67"/>
      <c r="D5" s="67"/>
      <c r="E5" s="67"/>
      <c r="F5" s="67"/>
      <c r="G5" s="67"/>
      <c r="H5" s="67"/>
      <c r="I5" s="67"/>
    </row>
    <row r="6" spans="1:9" ht="15" customHeight="1" x14ac:dyDescent="0.25">
      <c r="A6" s="67"/>
      <c r="B6" s="547" t="s">
        <v>259</v>
      </c>
      <c r="C6" s="486" t="str">
        <f>VLOOKUP("T.22.02",Translation,LanguageNo+1,FALSE)</f>
        <v>Erwartete Werte (alle Sparten)</v>
      </c>
      <c r="D6" s="478" t="s">
        <v>585</v>
      </c>
      <c r="E6" s="487" t="str">
        <f>Unit &amp; SST_Currency</f>
        <v>in Mio. CHF</v>
      </c>
      <c r="F6" s="67"/>
      <c r="G6" s="67"/>
      <c r="H6" s="67"/>
      <c r="I6" s="67"/>
    </row>
    <row r="7" spans="1:9" ht="15" customHeight="1" x14ac:dyDescent="0.25">
      <c r="A7" s="67"/>
      <c r="B7" s="544" t="s">
        <v>849</v>
      </c>
      <c r="C7" s="92" t="str">
        <f>VLOOKUP("T.22.03",Translation,LanguageNo+1,FALSE)</f>
        <v>Erwartete brutto Prämien (vor Rückversicherung)</v>
      </c>
      <c r="D7" s="93"/>
      <c r="E7" s="423"/>
      <c r="F7" s="67"/>
      <c r="G7" s="67"/>
      <c r="H7" s="67"/>
      <c r="I7" s="67"/>
    </row>
    <row r="8" spans="1:9" ht="15" customHeight="1" x14ac:dyDescent="0.25">
      <c r="A8" s="67"/>
      <c r="B8" s="544" t="s">
        <v>852</v>
      </c>
      <c r="C8" s="92" t="str">
        <f>VLOOKUP("T.22.04",Translation,LanguageNo+1,FALSE)</f>
        <v>Erwartete netto Prämien (nach Rückversicherung)</v>
      </c>
      <c r="D8" s="93"/>
      <c r="E8" s="423"/>
      <c r="F8" s="67"/>
      <c r="G8" s="67"/>
      <c r="H8" s="67"/>
      <c r="I8" s="67"/>
    </row>
    <row r="9" spans="1:9" ht="15" customHeight="1" x14ac:dyDescent="0.25">
      <c r="A9" s="67"/>
      <c r="B9" s="544" t="s">
        <v>855</v>
      </c>
      <c r="C9" s="92" t="str">
        <f>VLOOKUP("T.22.05",Translation,LanguageNo+1,FALSE)</f>
        <v>Erwartete brutto Jahresschäden (vor Rückversicherung)</v>
      </c>
      <c r="D9" s="93"/>
      <c r="E9" s="423"/>
      <c r="F9" s="67"/>
      <c r="G9" s="67"/>
      <c r="H9" s="67"/>
      <c r="I9" s="67"/>
    </row>
    <row r="10" spans="1:9" ht="15" customHeight="1" x14ac:dyDescent="0.25">
      <c r="A10" s="67"/>
      <c r="B10" s="544" t="s">
        <v>859</v>
      </c>
      <c r="C10" s="92" t="str">
        <f>VLOOKUP("T.22.06",Translation,LanguageNo+1,FALSE)</f>
        <v>Erwartete netto Jahresschäden (nach Rückversicherung)</v>
      </c>
      <c r="D10" s="93"/>
      <c r="E10" s="423"/>
      <c r="F10" s="67"/>
      <c r="G10" s="67"/>
      <c r="H10" s="67"/>
      <c r="I10" s="67"/>
    </row>
    <row r="11" spans="1:9" ht="15" customHeight="1" x14ac:dyDescent="0.25">
      <c r="A11" s="67"/>
      <c r="B11" s="545" t="s">
        <v>863</v>
      </c>
      <c r="C11" s="94" t="str">
        <f>VLOOKUP("T.22.07",Translation,LanguageNo+1,FALSE)</f>
        <v>Erwartete Kosten</v>
      </c>
      <c r="D11" s="481"/>
      <c r="E11" s="422"/>
      <c r="F11" s="67"/>
      <c r="G11" s="67"/>
      <c r="H11" s="67"/>
      <c r="I11" s="67"/>
    </row>
    <row r="12" spans="1:9" ht="15" customHeight="1" x14ac:dyDescent="0.25">
      <c r="A12" s="67"/>
      <c r="B12" s="426"/>
      <c r="C12" s="426"/>
      <c r="D12" s="482"/>
      <c r="E12" s="483"/>
      <c r="F12" s="67"/>
      <c r="G12" s="67"/>
      <c r="H12" s="67"/>
      <c r="I12" s="67"/>
    </row>
    <row r="13" spans="1:9" ht="15" customHeight="1" x14ac:dyDescent="0.25">
      <c r="A13" s="67"/>
      <c r="B13" s="426"/>
      <c r="C13" s="426"/>
      <c r="D13" s="482"/>
      <c r="E13" s="483"/>
      <c r="F13" s="67"/>
      <c r="G13" s="67"/>
      <c r="H13" s="67"/>
      <c r="I13" s="67"/>
    </row>
    <row r="14" spans="1:9" ht="15" customHeight="1" x14ac:dyDescent="0.25">
      <c r="A14" s="67"/>
      <c r="B14" s="546" t="s">
        <v>259</v>
      </c>
      <c r="C14" s="484" t="str">
        <f>VLOOKUP("T.22.08",Translation,LanguageNo+1,FALSE)</f>
        <v xml:space="preserve">Versicherungstechnisches Risiko Schadengeschäft </v>
      </c>
      <c r="D14" s="478" t="s">
        <v>585</v>
      </c>
      <c r="E14" s="485" t="str">
        <f>Unit &amp; SST_Currency</f>
        <v>in Mio. CHF</v>
      </c>
      <c r="F14" s="67"/>
      <c r="G14" s="67"/>
      <c r="H14" s="67"/>
      <c r="I14" s="67"/>
    </row>
    <row r="15" spans="1:9" ht="15" customHeight="1" x14ac:dyDescent="0.25">
      <c r="A15" s="67"/>
      <c r="B15" s="554" t="s">
        <v>849</v>
      </c>
      <c r="C15" s="92" t="str">
        <f>VLOOKUP("T.22.09",Translation,LanguageNo+1,FALSE)</f>
        <v>Rückstellungsrisiko (netto)</v>
      </c>
      <c r="D15" s="93"/>
      <c r="E15" s="423"/>
      <c r="F15" s="67"/>
      <c r="G15" s="67"/>
      <c r="H15" s="67"/>
      <c r="I15" s="67"/>
    </row>
    <row r="16" spans="1:9" ht="15" customHeight="1" x14ac:dyDescent="0.25">
      <c r="A16" s="67"/>
      <c r="B16" s="554" t="s">
        <v>852</v>
      </c>
      <c r="C16" s="92" t="str">
        <f>VLOOKUP("T.22.10",Translation,LanguageNo+1,FALSE)</f>
        <v>Diskontierter erwarteter Schadenaufwand Normalschäden (netto; netgross für StandRe-Anwender)</v>
      </c>
      <c r="D16" s="93"/>
      <c r="E16" s="423"/>
      <c r="F16" s="67"/>
      <c r="G16" s="67"/>
      <c r="H16" s="67"/>
      <c r="I16" s="67"/>
    </row>
    <row r="17" spans="1:11" ht="15" customHeight="1" x14ac:dyDescent="0.25">
      <c r="A17" s="67"/>
      <c r="B17" s="554" t="s">
        <v>855</v>
      </c>
      <c r="C17" s="92" t="str">
        <f>VLOOKUP("T.22.11",Translation,LanguageNo+1,FALSE)</f>
        <v>Diskontierter erwarteter Schadenaufwand Grossschäden exkl. Naturkatastrophen (netto; netgross für StandRe-Anwender)</v>
      </c>
      <c r="D17" s="93"/>
      <c r="E17" s="423"/>
      <c r="F17" s="67"/>
      <c r="G17" s="67"/>
      <c r="H17" s="67"/>
      <c r="I17" s="67"/>
    </row>
    <row r="18" spans="1:11" ht="15" customHeight="1" x14ac:dyDescent="0.25">
      <c r="A18" s="67"/>
      <c r="B18" s="554" t="s">
        <v>859</v>
      </c>
      <c r="C18" s="92" t="str">
        <f>VLOOKUP("T.22.12",Translation,LanguageNo+1,FALSE)</f>
        <v>Diskontierter erwarteter Schadenaufwand Naturkatastrophen (netto; netgross für StandRe-Anwender)</v>
      </c>
      <c r="D18" s="93"/>
      <c r="E18" s="423"/>
      <c r="F18" s="67"/>
      <c r="G18" s="67"/>
      <c r="H18" s="67"/>
      <c r="I18" s="67"/>
    </row>
    <row r="19" spans="1:11" ht="15" customHeight="1" x14ac:dyDescent="0.25">
      <c r="B19" s="554" t="s">
        <v>863</v>
      </c>
      <c r="C19" s="92" t="str">
        <f>VLOOKUP("T.22.13",Translation,LanguageNo+1,FALSE)</f>
        <v>Zentriertes Neuschadenrisiko (netto)</v>
      </c>
      <c r="D19" s="93"/>
      <c r="E19" s="423"/>
    </row>
    <row r="20" spans="1:11" ht="15" customHeight="1" x14ac:dyDescent="0.25">
      <c r="B20" s="488" t="s">
        <v>867</v>
      </c>
      <c r="C20" s="488" t="str">
        <f>VLOOKUP("T.22.14",Translation,LanguageNo+1,FALSE)</f>
        <v>davon zentriertes Neuschadenrisiko Normalschäden (netto; netgross für StandRe-Anwender)</v>
      </c>
      <c r="D20" s="93"/>
      <c r="E20" s="423"/>
    </row>
    <row r="21" spans="1:11" ht="15" customHeight="1" x14ac:dyDescent="0.25">
      <c r="B21" s="488" t="s">
        <v>871</v>
      </c>
      <c r="C21" s="488" t="str">
        <f>VLOOKUP("T.22.15",Translation,LanguageNo+1,FALSE)</f>
        <v>davon zentriertes Neuschadenrisiko Grossschäden exkl. Naturkatastrophen (netto; netgross für StandRe-Anwender)</v>
      </c>
      <c r="D21" s="93"/>
      <c r="E21" s="423"/>
      <c r="K21" s="4"/>
    </row>
    <row r="22" spans="1:11" ht="15" customHeight="1" x14ac:dyDescent="0.25">
      <c r="B22" s="488" t="s">
        <v>874</v>
      </c>
      <c r="C22" s="488" t="str">
        <f>VLOOKUP("T.22.16",Translation,LanguageNo+1,FALSE)</f>
        <v>davon zentriertes Neuschadenrisiko Naturkatastrophen (netto; netgross für StandRe-Anwender)</v>
      </c>
      <c r="D22" s="93"/>
      <c r="E22" s="423"/>
    </row>
    <row r="23" spans="1:11" ht="15" customHeight="1" x14ac:dyDescent="0.25">
      <c r="B23" s="554" t="s">
        <v>878</v>
      </c>
      <c r="C23" s="92" t="str">
        <f>VLOOKUP("T.22.17",Translation,LanguageNo+1,FALSE)</f>
        <v>Weitere versicherungstechnische Risiken aus dem Schadengeschäft (zentriert) (netto)</v>
      </c>
      <c r="D23" s="93"/>
      <c r="E23" s="423"/>
    </row>
    <row r="24" spans="1:11" ht="15" customHeight="1" x14ac:dyDescent="0.25">
      <c r="B24" s="554" t="s">
        <v>882</v>
      </c>
      <c r="C24" s="92" t="str">
        <f>VLOOKUP("T.22.18",Translation,LanguageNo+1,FALSE)</f>
        <v>Variationskoeffizient der Rückstellungsrisiken (netto)</v>
      </c>
      <c r="D24" s="93"/>
      <c r="E24" s="423"/>
    </row>
    <row r="25" spans="1:11" ht="15" customHeight="1" x14ac:dyDescent="0.25">
      <c r="B25" s="553" t="s">
        <v>887</v>
      </c>
      <c r="C25" s="94" t="str">
        <f>VLOOKUP("T.22.19",Translation,LanguageNo+1,FALSE)</f>
        <v>Variationskoeffizient der Neuschadenrisiken Normalschäden (netto; netgross für StandRe-Anwender)</v>
      </c>
      <c r="D25" s="481"/>
      <c r="E25" s="422"/>
    </row>
    <row r="26" spans="1:11" ht="15" customHeight="1" x14ac:dyDescent="0.25"/>
    <row r="27" spans="1:11" ht="15" customHeight="1" x14ac:dyDescent="0.25"/>
    <row r="28" spans="1:11" ht="15" customHeight="1" x14ac:dyDescent="0.25">
      <c r="B28" s="546" t="s">
        <v>259</v>
      </c>
      <c r="C28" s="484" t="str">
        <f>VLOOKUP("T.22.20",Translation,LanguageNo+1,FALSE)</f>
        <v>Krankenversicherung</v>
      </c>
      <c r="D28" s="478" t="s">
        <v>585</v>
      </c>
      <c r="E28" s="485" t="str">
        <f>Unit &amp; SST_Currency</f>
        <v>in Mio. CHF</v>
      </c>
    </row>
    <row r="29" spans="1:11" ht="15" customHeight="1" x14ac:dyDescent="0.25">
      <c r="B29" s="898" t="s">
        <v>849</v>
      </c>
      <c r="C29" s="92" t="str">
        <f>VLOOKUP("T.22.29",Translation,LanguageNo+1,FALSE)</f>
        <v>Versicherungsrisiko Einzelkranken: LZV-Risiko (Expected Shortfall)</v>
      </c>
      <c r="D29" s="93"/>
      <c r="E29" s="423"/>
    </row>
    <row r="30" spans="1:11" ht="15" customHeight="1" x14ac:dyDescent="0.25">
      <c r="B30" s="898" t="s">
        <v>852</v>
      </c>
      <c r="C30" s="488" t="str">
        <f>VLOOKUP("T.22.30",Translation,LanguageNo+1,FALSE)</f>
        <v>davon Sterblichkeit (Expected Shortfall)</v>
      </c>
      <c r="D30" s="93"/>
      <c r="E30" s="423"/>
    </row>
    <row r="31" spans="1:11" ht="15" customHeight="1" x14ac:dyDescent="0.25">
      <c r="B31" s="898" t="s">
        <v>855</v>
      </c>
      <c r="C31" s="488" t="str">
        <f>VLOOKUP("T.22.31",Translation,LanguageNo+1,FALSE)</f>
        <v>davon Storno (Expected Shortfall)</v>
      </c>
      <c r="D31" s="93"/>
      <c r="E31" s="423"/>
    </row>
    <row r="32" spans="1:11" ht="15" customHeight="1" x14ac:dyDescent="0.25">
      <c r="B32" s="898" t="s">
        <v>859</v>
      </c>
      <c r="C32" s="900" t="str">
        <f>VLOOKUP("T.22.32",Translation,LanguageNo+1,FALSE)</f>
        <v>davon Verwaltungskosten (Expected Shortfall)</v>
      </c>
      <c r="D32" s="129"/>
      <c r="E32" s="423"/>
    </row>
    <row r="33" spans="2:5" ht="15" customHeight="1" x14ac:dyDescent="0.25">
      <c r="B33" s="898" t="s">
        <v>863</v>
      </c>
      <c r="C33" s="488" t="str">
        <f>VLOOKUP("T.22.33",Translation,LanguageNo+1,FALSE)</f>
        <v>davon Leistungen (Expected Shortfall)</v>
      </c>
      <c r="D33" s="93"/>
      <c r="E33" s="423"/>
    </row>
    <row r="34" spans="2:5" ht="15" customHeight="1" x14ac:dyDescent="0.25">
      <c r="B34" s="554" t="s">
        <v>867</v>
      </c>
      <c r="C34" s="92" t="str">
        <f>VLOOKUP("T.22.34",Translation,LanguageNo+1,FALSE)</f>
        <v>Versicherungsrisiko Einzelkranken: CY-Risiko (Expected Shortfall)</v>
      </c>
      <c r="D34" s="93"/>
      <c r="E34" s="423"/>
    </row>
    <row r="35" spans="2:5" ht="15" customHeight="1" x14ac:dyDescent="0.25">
      <c r="B35" s="554" t="s">
        <v>871</v>
      </c>
      <c r="C35" s="92" t="str">
        <f>VLOOKUP("T.22.35",Translation,LanguageNo+1,FALSE)</f>
        <v xml:space="preserve">Einzelkranken: Anzahl Versicherte (Kopfzählung)  </v>
      </c>
      <c r="D35" s="93"/>
      <c r="E35" s="423"/>
    </row>
    <row r="36" spans="2:5" ht="15" customHeight="1" x14ac:dyDescent="0.25">
      <c r="B36" s="554" t="s">
        <v>874</v>
      </c>
      <c r="C36" s="92" t="str">
        <f>VLOOKUP("T.22.36",Translation,LanguageNo+1,FALSE)</f>
        <v>Kollektivtaggeld: Erwartete Prämien (vor Rückversicherung)</v>
      </c>
      <c r="D36" s="93"/>
      <c r="E36" s="423"/>
    </row>
    <row r="37" spans="2:5" ht="15" customHeight="1" x14ac:dyDescent="0.25">
      <c r="B37" s="553" t="s">
        <v>878</v>
      </c>
      <c r="C37" s="94" t="str">
        <f>VLOOKUP("T.22.37",Translation,LanguageNo+1,FALSE)</f>
        <v>Kollektivtaggeld: Erwartete Leistungen (vor Rückversicherung)</v>
      </c>
      <c r="D37" s="95"/>
      <c r="E37" s="555"/>
    </row>
    <row r="38" spans="2:5" ht="15" customHeight="1" x14ac:dyDescent="0.25"/>
    <row r="39" spans="2:5" ht="15" customHeight="1" x14ac:dyDescent="0.25"/>
    <row r="40" spans="2:5" ht="15" customHeight="1" x14ac:dyDescent="0.25"/>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Feuil5">
    <tabColor rgb="FF00539E"/>
  </sheetPr>
  <dimension ref="A1:BD47"/>
  <sheetViews>
    <sheetView showGridLines="0" zoomScale="90" zoomScaleNormal="90" workbookViewId="0"/>
  </sheetViews>
  <sheetFormatPr baseColWidth="10" defaultColWidth="8.5703125" defaultRowHeight="12.75" customHeight="1" x14ac:dyDescent="0.25"/>
  <cols>
    <col min="1" max="1" width="5.5703125" customWidth="1"/>
    <col min="2" max="3" width="13.5703125" customWidth="1"/>
    <col min="4" max="4" width="13.42578125" bestFit="1" customWidth="1"/>
    <col min="5" max="5" width="14.5703125" customWidth="1"/>
    <col min="6" max="6" width="15.5703125" customWidth="1"/>
    <col min="7" max="7" width="8.5703125" customWidth="1"/>
  </cols>
  <sheetData>
    <row r="1" spans="1:56" ht="20.100000000000001" customHeight="1" x14ac:dyDescent="0.25">
      <c r="A1" s="21">
        <v>23</v>
      </c>
      <c r="B1" s="680" t="str">
        <f>VLOOKUP("T.23.01",Translation,LanguageNo+1,FALSE)</f>
        <v>Marktwerte für das Marktrisiko</v>
      </c>
      <c r="C1" s="21"/>
      <c r="D1" s="21"/>
      <c r="E1" s="21"/>
    </row>
    <row r="2" spans="1:56" ht="14.25" customHeight="1" x14ac:dyDescent="0.25">
      <c r="A2" s="21"/>
      <c r="B2" s="1180"/>
      <c r="C2" s="21"/>
      <c r="D2" s="21"/>
      <c r="E2" s="21"/>
    </row>
    <row r="3" spans="1:56" ht="20.25" customHeight="1" x14ac:dyDescent="0.25">
      <c r="A3" s="128"/>
      <c r="B3" s="536" t="s">
        <v>1912</v>
      </c>
      <c r="C3" s="128"/>
      <c r="D3" s="128"/>
      <c r="E3" s="128"/>
      <c r="F3" s="536" t="s">
        <v>2284</v>
      </c>
    </row>
    <row r="4" spans="1:56" ht="14.25" customHeight="1" x14ac:dyDescent="0.25">
      <c r="A4" s="67"/>
      <c r="B4" s="1329" t="s">
        <v>2089</v>
      </c>
      <c r="C4" s="1329" t="s">
        <v>2090</v>
      </c>
      <c r="D4" s="1330" t="s">
        <v>92</v>
      </c>
      <c r="E4" s="67"/>
      <c r="F4" s="602"/>
      <c r="G4" s="1332" t="s">
        <v>93</v>
      </c>
      <c r="H4" s="1333"/>
      <c r="I4" s="1333"/>
      <c r="J4" s="1333"/>
      <c r="K4" s="1333"/>
      <c r="L4" s="1333"/>
      <c r="M4" s="1333"/>
      <c r="N4" s="1333"/>
      <c r="O4" s="1333"/>
      <c r="P4" s="1333"/>
      <c r="Q4" s="1333"/>
      <c r="R4" s="1333"/>
      <c r="S4" s="1333"/>
      <c r="T4" s="1333"/>
      <c r="U4" s="1333"/>
      <c r="V4" s="1333"/>
      <c r="W4" s="1333"/>
      <c r="X4" s="1333"/>
      <c r="Y4" s="1333"/>
      <c r="Z4" s="1333"/>
      <c r="AA4" s="1333"/>
      <c r="AB4" s="1333"/>
      <c r="AC4" s="1333"/>
      <c r="AD4" s="1333"/>
      <c r="AE4" s="1333"/>
      <c r="AF4" s="1333"/>
      <c r="AG4" s="1333"/>
      <c r="AH4" s="1333"/>
      <c r="AI4" s="1333"/>
      <c r="AJ4" s="1333"/>
      <c r="AK4" s="1333"/>
      <c r="AL4" s="1333"/>
      <c r="AM4" s="1333"/>
      <c r="AN4" s="1333"/>
      <c r="AO4" s="1333"/>
      <c r="AP4" s="1333"/>
      <c r="AQ4" s="1333"/>
      <c r="AR4" s="1333"/>
      <c r="AS4" s="1333"/>
      <c r="AT4" s="1333"/>
      <c r="AU4" s="1333"/>
      <c r="AV4" s="1333"/>
      <c r="AW4" s="1333"/>
      <c r="AX4" s="1333"/>
      <c r="AY4" s="1333"/>
      <c r="AZ4" s="1333"/>
      <c r="BA4" s="1333"/>
      <c r="BB4" s="1333"/>
      <c r="BC4" s="1333"/>
      <c r="BD4" s="1333"/>
    </row>
    <row r="5" spans="1:56" ht="14.25" customHeight="1" x14ac:dyDescent="0.25">
      <c r="A5" s="67"/>
      <c r="B5" s="1330"/>
      <c r="C5" s="1330"/>
      <c r="D5" s="1330"/>
      <c r="E5" s="67"/>
      <c r="F5" s="602" t="s">
        <v>23</v>
      </c>
      <c r="G5" s="83">
        <v>1</v>
      </c>
      <c r="H5" s="83">
        <v>2</v>
      </c>
      <c r="I5" s="83">
        <v>3</v>
      </c>
      <c r="J5" s="83">
        <v>4</v>
      </c>
      <c r="K5" s="83">
        <v>5</v>
      </c>
      <c r="L5" s="83">
        <v>6</v>
      </c>
      <c r="M5" s="83">
        <v>7</v>
      </c>
      <c r="N5" s="83">
        <v>8</v>
      </c>
      <c r="O5" s="83">
        <v>9</v>
      </c>
      <c r="P5" s="83">
        <v>10</v>
      </c>
      <c r="Q5" s="83">
        <v>11</v>
      </c>
      <c r="R5" s="83">
        <v>12</v>
      </c>
      <c r="S5" s="83">
        <v>13</v>
      </c>
      <c r="T5" s="83">
        <v>14</v>
      </c>
      <c r="U5" s="83">
        <v>15</v>
      </c>
      <c r="V5" s="83">
        <v>16</v>
      </c>
      <c r="W5" s="83">
        <v>17</v>
      </c>
      <c r="X5" s="83">
        <v>18</v>
      </c>
      <c r="Y5" s="83">
        <v>19</v>
      </c>
      <c r="Z5" s="83">
        <v>20</v>
      </c>
      <c r="AA5" s="83">
        <v>21</v>
      </c>
      <c r="AB5" s="83">
        <v>22</v>
      </c>
      <c r="AC5" s="83">
        <v>23</v>
      </c>
      <c r="AD5" s="83">
        <v>24</v>
      </c>
      <c r="AE5" s="83">
        <v>25</v>
      </c>
      <c r="AF5" s="83">
        <v>26</v>
      </c>
      <c r="AG5" s="83">
        <v>27</v>
      </c>
      <c r="AH5" s="83">
        <v>28</v>
      </c>
      <c r="AI5" s="83">
        <v>29</v>
      </c>
      <c r="AJ5" s="83">
        <v>30</v>
      </c>
      <c r="AK5" s="83">
        <v>31</v>
      </c>
      <c r="AL5" s="83">
        <v>32</v>
      </c>
      <c r="AM5" s="83">
        <v>33</v>
      </c>
      <c r="AN5" s="83">
        <v>34</v>
      </c>
      <c r="AO5" s="83">
        <v>35</v>
      </c>
      <c r="AP5" s="83">
        <v>36</v>
      </c>
      <c r="AQ5" s="83">
        <v>37</v>
      </c>
      <c r="AR5" s="83">
        <v>38</v>
      </c>
      <c r="AS5" s="83">
        <v>39</v>
      </c>
      <c r="AT5" s="83">
        <v>40</v>
      </c>
      <c r="AU5" s="83">
        <v>41</v>
      </c>
      <c r="AV5" s="83">
        <v>42</v>
      </c>
      <c r="AW5" s="83">
        <v>43</v>
      </c>
      <c r="AX5" s="83">
        <v>44</v>
      </c>
      <c r="AY5" s="83">
        <v>45</v>
      </c>
      <c r="AZ5" s="83">
        <v>46</v>
      </c>
      <c r="BA5" s="83">
        <v>47</v>
      </c>
      <c r="BB5" s="83">
        <v>48</v>
      </c>
      <c r="BC5" s="83">
        <v>49</v>
      </c>
      <c r="BD5" s="75">
        <v>50</v>
      </c>
    </row>
    <row r="6" spans="1:56" ht="14.25" customHeight="1" x14ac:dyDescent="0.25">
      <c r="A6" s="67"/>
      <c r="B6" s="1331"/>
      <c r="C6" s="1331"/>
      <c r="D6" s="1331"/>
      <c r="E6" s="67"/>
      <c r="F6" s="478" t="s">
        <v>30</v>
      </c>
      <c r="G6" s="600">
        <v>1.2474772138529423E-2</v>
      </c>
      <c r="H6" s="600">
        <v>9.875478987896676E-3</v>
      </c>
      <c r="I6" s="600">
        <v>8.3940922804964999E-3</v>
      </c>
      <c r="J6" s="600">
        <v>7.5724504921941002E-3</v>
      </c>
      <c r="K6" s="600">
        <v>7.1194062301923374E-3</v>
      </c>
      <c r="L6" s="600">
        <v>6.8679128870452431E-3</v>
      </c>
      <c r="M6" s="600">
        <v>6.725000531515429E-3</v>
      </c>
      <c r="N6" s="600">
        <v>6.639059053271599E-3</v>
      </c>
      <c r="O6" s="600">
        <v>6.5812277030556114E-3</v>
      </c>
      <c r="P6" s="600">
        <v>6.5352606475980691E-3</v>
      </c>
      <c r="Q6" s="600">
        <v>6.4671758363168633E-3</v>
      </c>
      <c r="R6" s="600">
        <v>6.3907226599062769E-3</v>
      </c>
      <c r="S6" s="600">
        <v>6.3252769450137403E-3</v>
      </c>
      <c r="T6" s="600">
        <v>6.2841970044258668E-3</v>
      </c>
      <c r="U6" s="600">
        <v>6.2769977358064395E-3</v>
      </c>
      <c r="V6" s="600">
        <v>6.3077658278308394E-3</v>
      </c>
      <c r="W6" s="600">
        <v>6.3686494566197538E-3</v>
      </c>
      <c r="X6" s="600">
        <v>6.4513006963598293E-3</v>
      </c>
      <c r="Y6" s="600">
        <v>6.5494834953583221E-3</v>
      </c>
      <c r="Z6" s="600">
        <v>6.6585034370221117E-3</v>
      </c>
      <c r="AA6" s="600">
        <v>6.7748062537785507E-3</v>
      </c>
      <c r="AB6" s="600">
        <v>6.8956904631962031E-3</v>
      </c>
      <c r="AC6" s="600">
        <v>7.0190986703689371E-3</v>
      </c>
      <c r="AD6" s="600">
        <v>7.1434640291577704E-3</v>
      </c>
      <c r="AE6" s="600">
        <v>7.267595975759978E-3</v>
      </c>
      <c r="AF6" s="600">
        <v>7.390594311578561E-3</v>
      </c>
      <c r="AG6" s="600">
        <v>7.511784006905161E-3</v>
      </c>
      <c r="AH6" s="600">
        <v>7.6306653216215315E-3</v>
      </c>
      <c r="AI6" s="600">
        <v>7.7468753651355297E-3</v>
      </c>
      <c r="AJ6" s="600">
        <v>7.86015827966134E-3</v>
      </c>
      <c r="AK6" s="600">
        <v>7.9703419796964877E-3</v>
      </c>
      <c r="AL6" s="600">
        <v>8.0773199149389956E-3</v>
      </c>
      <c r="AM6" s="600">
        <v>8.1810367096010021E-3</v>
      </c>
      <c r="AN6" s="600">
        <v>8.2814768123794739E-3</v>
      </c>
      <c r="AO6" s="600">
        <v>8.3786554984957764E-3</v>
      </c>
      <c r="AP6" s="600">
        <v>8.4726117191331728E-3</v>
      </c>
      <c r="AQ6" s="600">
        <v>8.5634024089262621E-3</v>
      </c>
      <c r="AR6" s="600">
        <v>8.6510979492418431E-3</v>
      </c>
      <c r="AS6" s="600">
        <v>8.7357785512324152E-3</v>
      </c>
      <c r="AT6" s="600">
        <v>8.8175313733762778E-3</v>
      </c>
      <c r="AU6" s="600">
        <v>8.8964482273203825E-3</v>
      </c>
      <c r="AV6" s="600">
        <v>8.9726237561624147E-3</v>
      </c>
      <c r="AW6" s="600">
        <v>9.0461539929507246E-3</v>
      </c>
      <c r="AX6" s="600">
        <v>9.1171352257125738E-3</v>
      </c>
      <c r="AY6" s="600">
        <v>9.1856631099200697E-3</v>
      </c>
      <c r="AZ6" s="600">
        <v>9.2518319808558708E-3</v>
      </c>
      <c r="BA6" s="600">
        <v>9.3157343275230581E-3</v>
      </c>
      <c r="BB6" s="600">
        <v>9.3774603970717043E-3</v>
      </c>
      <c r="BC6" s="600">
        <v>9.4370979045842775E-3</v>
      </c>
      <c r="BD6" s="600">
        <v>9.4947318277808519E-3</v>
      </c>
    </row>
    <row r="7" spans="1:56" ht="14.25" customHeight="1" x14ac:dyDescent="0.25">
      <c r="A7" s="87"/>
      <c r="B7" s="1188" t="s">
        <v>31</v>
      </c>
      <c r="C7" s="456" t="s">
        <v>30</v>
      </c>
      <c r="D7" s="457">
        <v>0.92886999999999997</v>
      </c>
      <c r="E7" s="87"/>
      <c r="F7" s="478" t="s">
        <v>31</v>
      </c>
      <c r="G7" s="600">
        <v>3.1149768992212147E-2</v>
      </c>
      <c r="H7" s="600">
        <v>2.4702368640337782E-2</v>
      </c>
      <c r="I7" s="600">
        <v>2.2201707983682584E-2</v>
      </c>
      <c r="J7" s="600">
        <v>2.1281924752826767E-2</v>
      </c>
      <c r="K7" s="600">
        <v>2.1017575222466098E-2</v>
      </c>
      <c r="L7" s="600">
        <v>2.1007783156977145E-2</v>
      </c>
      <c r="M7" s="600">
        <v>2.1095908294729852E-2</v>
      </c>
      <c r="N7" s="600">
        <v>2.1272135275536869E-2</v>
      </c>
      <c r="O7" s="600">
        <v>2.1458118958452128E-2</v>
      </c>
      <c r="P7" s="600">
        <v>2.169299628506224E-2</v>
      </c>
      <c r="Q7" s="600">
        <v>2.192409071682979E-2</v>
      </c>
      <c r="R7" s="600">
        <v>2.2124716316308139E-2</v>
      </c>
      <c r="S7" s="600">
        <v>2.2284790665200522E-2</v>
      </c>
      <c r="T7" s="600">
        <v>2.2397043691969872E-2</v>
      </c>
      <c r="U7" s="600">
        <v>2.2455966820548824E-2</v>
      </c>
      <c r="V7" s="600">
        <v>2.2458664901614574E-2</v>
      </c>
      <c r="W7" s="600">
        <v>2.2408203005034502E-2</v>
      </c>
      <c r="X7" s="600">
        <v>2.230796966267758E-2</v>
      </c>
      <c r="Y7" s="600">
        <v>2.2160343156476511E-2</v>
      </c>
      <c r="Z7" s="600">
        <v>2.1966950125554767E-2</v>
      </c>
      <c r="AA7" s="600">
        <v>2.1732024678481024E-2</v>
      </c>
      <c r="AB7" s="600">
        <v>2.1470731339173977E-2</v>
      </c>
      <c r="AC7" s="600">
        <v>2.1197836812590388E-2</v>
      </c>
      <c r="AD7" s="600">
        <v>2.0925005848345113E-2</v>
      </c>
      <c r="AE7" s="600">
        <v>2.0661467860349215E-2</v>
      </c>
      <c r="AF7" s="600">
        <v>2.0414548413185588E-2</v>
      </c>
      <c r="AG7" s="600">
        <v>2.0190096985198511E-2</v>
      </c>
      <c r="AH7" s="600">
        <v>1.9992834423670471E-2</v>
      </c>
      <c r="AI7" s="600">
        <v>1.982663802478735E-2</v>
      </c>
      <c r="AJ7" s="600">
        <v>1.9694778343434458E-2</v>
      </c>
      <c r="AK7" s="600">
        <v>1.9598537239037133E-2</v>
      </c>
      <c r="AL7" s="600">
        <v>1.9533095363473661E-2</v>
      </c>
      <c r="AM7" s="600">
        <v>1.9493062681149163E-2</v>
      </c>
      <c r="AN7" s="600">
        <v>1.9473980602609655E-2</v>
      </c>
      <c r="AO7" s="600">
        <v>1.9472149917188056E-2</v>
      </c>
      <c r="AP7" s="600">
        <v>1.9484493395931599E-2</v>
      </c>
      <c r="AQ7" s="600">
        <v>1.9508445430952859E-2</v>
      </c>
      <c r="AR7" s="600">
        <v>1.9541862904367015E-2</v>
      </c>
      <c r="AS7" s="600">
        <v>1.9582952835283381E-2</v>
      </c>
      <c r="AT7" s="600">
        <v>1.9630213367311446E-2</v>
      </c>
      <c r="AU7" s="600">
        <v>1.9682385423795488E-2</v>
      </c>
      <c r="AV7" s="600">
        <v>1.9738412939135464E-2</v>
      </c>
      <c r="AW7" s="600">
        <v>1.9797410019336045E-2</v>
      </c>
      <c r="AX7" s="600">
        <v>1.9858633727641437E-2</v>
      </c>
      <c r="AY7" s="600">
        <v>1.9921461456876455E-2</v>
      </c>
      <c r="AZ7" s="600">
        <v>1.9985372057450761E-2</v>
      </c>
      <c r="BA7" s="600">
        <v>2.004993005266752E-2</v>
      </c>
      <c r="BB7" s="600">
        <v>2.0114772401328623E-2</v>
      </c>
      <c r="BC7" s="600">
        <v>2.0179597369409927E-2</v>
      </c>
      <c r="BD7" s="600">
        <v>2.0244155153702193E-2</v>
      </c>
    </row>
    <row r="8" spans="1:56" ht="14.25" customHeight="1" x14ac:dyDescent="0.25">
      <c r="A8" s="87"/>
      <c r="B8" s="1188" t="s">
        <v>33</v>
      </c>
      <c r="C8" s="456" t="s">
        <v>30</v>
      </c>
      <c r="D8" s="457">
        <v>0.84140000000000004</v>
      </c>
      <c r="E8" s="87"/>
      <c r="F8" s="20" t="s">
        <v>33</v>
      </c>
      <c r="G8" s="600">
        <v>4.6462695810314383E-2</v>
      </c>
      <c r="H8" s="600">
        <v>3.9718325021452443E-2</v>
      </c>
      <c r="I8" s="600">
        <v>3.6599196545129754E-2</v>
      </c>
      <c r="J8" s="600">
        <v>3.5153744249046569E-2</v>
      </c>
      <c r="K8" s="600">
        <v>3.4459950548799981E-2</v>
      </c>
      <c r="L8" s="600">
        <v>3.4150080724453476E-2</v>
      </c>
      <c r="M8" s="600">
        <v>3.3988453454753105E-2</v>
      </c>
      <c r="N8" s="600">
        <v>3.3932059658672013E-2</v>
      </c>
      <c r="O8" s="600">
        <v>3.3952537689445693E-2</v>
      </c>
      <c r="P8" s="600">
        <v>3.4008353196002386E-2</v>
      </c>
      <c r="Q8" s="600">
        <v>3.4096240414559442E-2</v>
      </c>
      <c r="R8" s="600">
        <v>3.4197723943161819E-2</v>
      </c>
      <c r="S8" s="600">
        <v>3.4293894843316651E-2</v>
      </c>
      <c r="T8" s="600">
        <v>3.4370690041014527E-2</v>
      </c>
      <c r="U8" s="600">
        <v>3.4417115694532797E-2</v>
      </c>
      <c r="V8" s="600">
        <v>3.4426470935853236E-2</v>
      </c>
      <c r="W8" s="600">
        <v>3.440168900621482E-2</v>
      </c>
      <c r="X8" s="600">
        <v>3.4346728058108081E-2</v>
      </c>
      <c r="Y8" s="600">
        <v>3.4264375418012048E-2</v>
      </c>
      <c r="Z8" s="600">
        <v>3.4156526443664112E-2</v>
      </c>
      <c r="AA8" s="600">
        <v>3.4024506896640161E-2</v>
      </c>
      <c r="AB8" s="600">
        <v>3.386954929315926E-2</v>
      </c>
      <c r="AC8" s="600">
        <v>3.3692475393353676E-2</v>
      </c>
      <c r="AD8" s="600">
        <v>3.3493667002206857E-2</v>
      </c>
      <c r="AE8" s="600">
        <v>3.3273147212263016E-2</v>
      </c>
      <c r="AF8" s="600">
        <v>3.3030644550169345E-2</v>
      </c>
      <c r="AG8" s="600">
        <v>3.2765645095425726E-2</v>
      </c>
      <c r="AH8" s="600">
        <v>3.2477436276710202E-2</v>
      </c>
      <c r="AI8" s="600">
        <v>3.2165145102231729E-2</v>
      </c>
      <c r="AJ8" s="600">
        <v>3.1827772900264326E-2</v>
      </c>
      <c r="AK8" s="600">
        <v>3.1465897820635635E-2</v>
      </c>
      <c r="AL8" s="600">
        <v>3.1086234869257542E-2</v>
      </c>
      <c r="AM8" s="600">
        <v>3.0695899059699636E-2</v>
      </c>
      <c r="AN8" s="600">
        <v>3.0300806743712022E-2</v>
      </c>
      <c r="AO8" s="600">
        <v>2.9905852390747802E-2</v>
      </c>
      <c r="AP8" s="600">
        <v>2.9515063531157675E-2</v>
      </c>
      <c r="AQ8" s="600">
        <v>2.9131736235912718E-2</v>
      </c>
      <c r="AR8" s="600">
        <v>2.8758553255057343E-2</v>
      </c>
      <c r="AS8" s="600">
        <v>2.8397686755456161E-2</v>
      </c>
      <c r="AT8" s="600">
        <v>2.8050887451151946E-2</v>
      </c>
      <c r="AU8" s="600">
        <v>2.7719561788080299E-2</v>
      </c>
      <c r="AV8" s="600">
        <v>2.7404838720231091E-2</v>
      </c>
      <c r="AW8" s="600">
        <v>2.7107627493773937E-2</v>
      </c>
      <c r="AX8" s="600">
        <v>2.6828667739548374E-2</v>
      </c>
      <c r="AY8" s="600">
        <v>2.6568573064610065E-2</v>
      </c>
      <c r="AZ8" s="600">
        <v>2.6327869232777093E-2</v>
      </c>
      <c r="BA8" s="600">
        <v>2.610702793501038E-2</v>
      </c>
      <c r="BB8" s="600">
        <v>2.5906497075647669E-2</v>
      </c>
      <c r="BC8" s="600">
        <v>2.5726728442674759E-2</v>
      </c>
      <c r="BD8" s="600">
        <v>2.5568203592263826E-2</v>
      </c>
    </row>
    <row r="9" spans="1:56" ht="14.25" customHeight="1" x14ac:dyDescent="0.25">
      <c r="A9" s="87"/>
      <c r="B9" s="455" t="s">
        <v>32</v>
      </c>
      <c r="C9" s="456" t="s">
        <v>30</v>
      </c>
      <c r="D9" s="457">
        <v>1.0716000000000001</v>
      </c>
      <c r="E9" s="87"/>
      <c r="F9" s="20" t="s">
        <v>32</v>
      </c>
      <c r="G9" s="600">
        <v>4.6182003969930718E-2</v>
      </c>
      <c r="H9" s="600">
        <v>3.9350711022995435E-2</v>
      </c>
      <c r="I9" s="600">
        <v>3.6020001398266534E-2</v>
      </c>
      <c r="J9" s="600">
        <v>3.4109157094038112E-2</v>
      </c>
      <c r="K9" s="600">
        <v>3.2936392163475978E-2</v>
      </c>
      <c r="L9" s="600">
        <v>3.2271094926491155E-2</v>
      </c>
      <c r="M9" s="600">
        <v>3.1970249552504097E-2</v>
      </c>
      <c r="N9" s="600">
        <v>3.190632818776936E-2</v>
      </c>
      <c r="O9" s="600">
        <v>3.2001587471861964E-2</v>
      </c>
      <c r="P9" s="600">
        <v>3.2204484618894219E-2</v>
      </c>
      <c r="Q9" s="600">
        <v>3.2442753701835449E-2</v>
      </c>
      <c r="R9" s="600">
        <v>3.2683595964694716E-2</v>
      </c>
      <c r="S9" s="600">
        <v>3.2910409633048351E-2</v>
      </c>
      <c r="T9" s="600">
        <v>3.3111124830461906E-2</v>
      </c>
      <c r="U9" s="600">
        <v>3.3276519057873939E-2</v>
      </c>
      <c r="V9" s="600">
        <v>3.3401890100569563E-2</v>
      </c>
      <c r="W9" s="600">
        <v>3.3493405614691135E-2</v>
      </c>
      <c r="X9" s="600">
        <v>3.3558088928780497E-2</v>
      </c>
      <c r="Y9" s="600">
        <v>3.3601355430289158E-2</v>
      </c>
      <c r="Z9" s="600">
        <v>3.3627420807570155E-2</v>
      </c>
      <c r="AA9" s="600">
        <v>3.3638889209299569E-2</v>
      </c>
      <c r="AB9" s="600">
        <v>3.3635076405934911E-2</v>
      </c>
      <c r="AC9" s="600">
        <v>3.3614583329481237E-2</v>
      </c>
      <c r="AD9" s="600">
        <v>3.3576030241767939E-2</v>
      </c>
      <c r="AE9" s="600">
        <v>3.3518031738480419E-2</v>
      </c>
      <c r="AF9" s="600">
        <v>3.3439179262583017E-2</v>
      </c>
      <c r="AG9" s="600">
        <v>3.333802977901585E-2</v>
      </c>
      <c r="AH9" s="600">
        <v>3.3213099775097489E-2</v>
      </c>
      <c r="AI9" s="600">
        <v>3.3062864104659702E-2</v>
      </c>
      <c r="AJ9" s="600">
        <v>3.2885759434348273E-2</v>
      </c>
      <c r="AK9" s="600">
        <v>3.2681720357972142E-2</v>
      </c>
      <c r="AL9" s="600">
        <v>3.245637238281103E-2</v>
      </c>
      <c r="AM9" s="600">
        <v>3.2215831252073918E-2</v>
      </c>
      <c r="AN9" s="600">
        <v>3.1965234646791851E-2</v>
      </c>
      <c r="AO9" s="600">
        <v>3.170888866327809E-2</v>
      </c>
      <c r="AP9" s="600">
        <v>3.1450394119784807E-2</v>
      </c>
      <c r="AQ9" s="600">
        <v>3.1192755570143327E-2</v>
      </c>
      <c r="AR9" s="600">
        <v>3.0938475433097631E-2</v>
      </c>
      <c r="AS9" s="600">
        <v>3.0689635287379745E-2</v>
      </c>
      <c r="AT9" s="600">
        <v>3.0447966099986071E-2</v>
      </c>
      <c r="AU9" s="600">
        <v>3.0214908926096452E-2</v>
      </c>
      <c r="AV9" s="600">
        <v>2.9991667429025232E-2</v>
      </c>
      <c r="AW9" s="600">
        <v>2.9779253408142768E-2</v>
      </c>
      <c r="AX9" s="600">
        <v>2.9578526385880412E-2</v>
      </c>
      <c r="AY9" s="600">
        <v>2.9390228187977138E-2</v>
      </c>
      <c r="AZ9" s="600">
        <v>2.9215013351683413E-2</v>
      </c>
      <c r="BA9" s="600">
        <v>2.9053476113329049E-2</v>
      </c>
      <c r="BB9" s="600">
        <v>2.8906174658750131E-2</v>
      </c>
      <c r="BC9" s="600">
        <v>2.8773653267391012E-2</v>
      </c>
      <c r="BD9" s="617">
        <v>2.8656462943807096E-2</v>
      </c>
    </row>
    <row r="10" spans="1:56" ht="14.25" customHeight="1" x14ac:dyDescent="0.25">
      <c r="A10" s="87"/>
      <c r="B10" s="453" t="s">
        <v>87</v>
      </c>
      <c r="C10" s="72" t="s">
        <v>30</v>
      </c>
      <c r="D10" s="454">
        <v>5.9650000000000007E-3</v>
      </c>
      <c r="E10" s="87"/>
      <c r="F10" s="618" t="s">
        <v>87</v>
      </c>
      <c r="G10" s="601">
        <v>4.6462695810314383E-2</v>
      </c>
      <c r="H10" s="601">
        <v>3.9718325021452443E-2</v>
      </c>
      <c r="I10" s="601">
        <v>3.6599196545129754E-2</v>
      </c>
      <c r="J10" s="601">
        <v>3.5153744249046569E-2</v>
      </c>
      <c r="K10" s="601">
        <v>3.4459950548799981E-2</v>
      </c>
      <c r="L10" s="601">
        <v>3.4150080724453476E-2</v>
      </c>
      <c r="M10" s="601">
        <v>3.3988453454753105E-2</v>
      </c>
      <c r="N10" s="601">
        <v>3.3932059658672013E-2</v>
      </c>
      <c r="O10" s="601">
        <v>3.3952537689445693E-2</v>
      </c>
      <c r="P10" s="601">
        <v>3.4008353196002386E-2</v>
      </c>
      <c r="Q10" s="601">
        <v>3.4096240414559442E-2</v>
      </c>
      <c r="R10" s="601">
        <v>3.4197723943161819E-2</v>
      </c>
      <c r="S10" s="601">
        <v>3.4293894843316651E-2</v>
      </c>
      <c r="T10" s="601">
        <v>3.4370690041014527E-2</v>
      </c>
      <c r="U10" s="601">
        <v>3.4417115694532797E-2</v>
      </c>
      <c r="V10" s="601">
        <v>3.4426470935853236E-2</v>
      </c>
      <c r="W10" s="601">
        <v>3.440168900621482E-2</v>
      </c>
      <c r="X10" s="601">
        <v>3.4346728058108081E-2</v>
      </c>
      <c r="Y10" s="601">
        <v>3.4264375418012048E-2</v>
      </c>
      <c r="Z10" s="601">
        <v>3.4156526443664112E-2</v>
      </c>
      <c r="AA10" s="601">
        <v>3.4024506896640161E-2</v>
      </c>
      <c r="AB10" s="601">
        <v>3.386954929315926E-2</v>
      </c>
      <c r="AC10" s="601">
        <v>3.3692475393353676E-2</v>
      </c>
      <c r="AD10" s="601">
        <v>3.3493667002206857E-2</v>
      </c>
      <c r="AE10" s="601">
        <v>3.3273147212263016E-2</v>
      </c>
      <c r="AF10" s="601">
        <v>3.3030644550169345E-2</v>
      </c>
      <c r="AG10" s="601">
        <v>3.2765645095425726E-2</v>
      </c>
      <c r="AH10" s="601">
        <v>3.2477436276710202E-2</v>
      </c>
      <c r="AI10" s="601">
        <v>3.2165145102231729E-2</v>
      </c>
      <c r="AJ10" s="601">
        <v>3.1827772900264326E-2</v>
      </c>
      <c r="AK10" s="601">
        <v>3.1465897820635635E-2</v>
      </c>
      <c r="AL10" s="601">
        <v>3.1086234869257542E-2</v>
      </c>
      <c r="AM10" s="601">
        <v>3.0695899059699636E-2</v>
      </c>
      <c r="AN10" s="601">
        <v>3.0300806743712022E-2</v>
      </c>
      <c r="AO10" s="601">
        <v>2.9905852390747802E-2</v>
      </c>
      <c r="AP10" s="601">
        <v>2.9515063531157675E-2</v>
      </c>
      <c r="AQ10" s="601">
        <v>2.9131736235912718E-2</v>
      </c>
      <c r="AR10" s="601">
        <v>2.8758553255057343E-2</v>
      </c>
      <c r="AS10" s="601">
        <v>2.8397686755456161E-2</v>
      </c>
      <c r="AT10" s="601">
        <v>2.8050887451151946E-2</v>
      </c>
      <c r="AU10" s="601">
        <v>2.7719561788080299E-2</v>
      </c>
      <c r="AV10" s="601">
        <v>2.7404838720231091E-2</v>
      </c>
      <c r="AW10" s="601">
        <v>2.7107627493773937E-2</v>
      </c>
      <c r="AX10" s="601">
        <v>2.6828667739548374E-2</v>
      </c>
      <c r="AY10" s="601">
        <v>2.6568573064610065E-2</v>
      </c>
      <c r="AZ10" s="601">
        <v>2.6327869232777093E-2</v>
      </c>
      <c r="BA10" s="601">
        <v>2.610702793501038E-2</v>
      </c>
      <c r="BB10" s="601">
        <v>2.5906497075647669E-2</v>
      </c>
      <c r="BC10" s="601">
        <v>2.5726728442674759E-2</v>
      </c>
      <c r="BD10" s="463">
        <v>2.5568203592263826E-2</v>
      </c>
    </row>
    <row r="11" spans="1:56" ht="14.25" customHeight="1" x14ac:dyDescent="0.25">
      <c r="A11" s="87"/>
      <c r="E11" s="87"/>
      <c r="F11" s="616"/>
      <c r="G11" s="617"/>
      <c r="H11" s="617"/>
      <c r="I11" s="617"/>
      <c r="J11" s="617"/>
    </row>
    <row r="12" spans="1:56" ht="14.25" customHeight="1" x14ac:dyDescent="0.25">
      <c r="A12" s="87"/>
      <c r="E12" s="87"/>
    </row>
    <row r="13" spans="1:56" ht="14.25" customHeight="1" x14ac:dyDescent="0.25">
      <c r="A13" s="87"/>
      <c r="E13" s="87"/>
    </row>
    <row r="14" spans="1:56" ht="14.25" customHeight="1" x14ac:dyDescent="0.25">
      <c r="A14" s="87"/>
      <c r="E14" s="87"/>
      <c r="G14" s="726"/>
      <c r="H14" s="726"/>
      <c r="I14" s="726"/>
      <c r="J14" s="726"/>
      <c r="K14" s="726"/>
      <c r="L14" s="726"/>
      <c r="M14" s="726"/>
      <c r="N14" s="726"/>
      <c r="O14" s="726"/>
      <c r="P14" s="726"/>
      <c r="Q14" s="726"/>
      <c r="R14" s="726"/>
      <c r="S14" s="726"/>
      <c r="T14" s="726"/>
      <c r="U14" s="726"/>
      <c r="V14" s="726"/>
      <c r="W14" s="726"/>
      <c r="X14" s="726"/>
      <c r="Y14" s="726"/>
      <c r="Z14" s="726"/>
      <c r="AA14" s="726"/>
      <c r="AB14" s="726"/>
      <c r="AC14" s="726"/>
      <c r="AD14" s="726"/>
      <c r="AE14" s="726"/>
      <c r="AF14" s="726"/>
      <c r="AG14" s="726"/>
      <c r="AH14" s="726"/>
      <c r="AI14" s="726"/>
      <c r="AJ14" s="726"/>
      <c r="AK14" s="726"/>
      <c r="AL14" s="726"/>
      <c r="AM14" s="726"/>
      <c r="AN14" s="726"/>
      <c r="AO14" s="726"/>
      <c r="AP14" s="726"/>
      <c r="AQ14" s="726"/>
      <c r="AR14" s="726"/>
      <c r="AS14" s="726"/>
      <c r="AT14" s="726"/>
      <c r="AU14" s="726"/>
      <c r="AV14" s="726"/>
      <c r="AW14" s="726"/>
      <c r="AX14" s="726"/>
      <c r="AY14" s="726"/>
      <c r="AZ14" s="726"/>
      <c r="BA14" s="726"/>
      <c r="BB14" s="726"/>
      <c r="BC14" s="726"/>
      <c r="BD14" s="726"/>
    </row>
    <row r="15" spans="1:56" ht="14.25" customHeight="1" x14ac:dyDescent="0.25">
      <c r="A15" s="87"/>
      <c r="E15" s="87"/>
      <c r="G15" s="726"/>
      <c r="H15" s="726"/>
      <c r="I15" s="726"/>
      <c r="J15" s="726"/>
      <c r="K15" s="726"/>
      <c r="L15" s="726"/>
      <c r="M15" s="726"/>
      <c r="N15" s="726"/>
      <c r="O15" s="726"/>
      <c r="P15" s="726"/>
      <c r="Q15" s="726"/>
      <c r="R15" s="726"/>
      <c r="S15" s="726"/>
      <c r="T15" s="726"/>
      <c r="U15" s="726"/>
      <c r="V15" s="726"/>
      <c r="W15" s="726"/>
      <c r="X15" s="726"/>
      <c r="Y15" s="726"/>
      <c r="Z15" s="726"/>
      <c r="AA15" s="726"/>
      <c r="AB15" s="726"/>
      <c r="AC15" s="726"/>
      <c r="AD15" s="726"/>
      <c r="AE15" s="726"/>
      <c r="AF15" s="726"/>
      <c r="AG15" s="726"/>
      <c r="AH15" s="726"/>
      <c r="AI15" s="726"/>
      <c r="AJ15" s="726"/>
      <c r="AK15" s="726"/>
      <c r="AL15" s="726"/>
      <c r="AM15" s="726"/>
      <c r="AN15" s="726"/>
      <c r="AO15" s="726"/>
      <c r="AP15" s="726"/>
      <c r="AQ15" s="726"/>
      <c r="AR15" s="726"/>
      <c r="AS15" s="726"/>
      <c r="AT15" s="726"/>
      <c r="AU15" s="726"/>
      <c r="AV15" s="726"/>
      <c r="AW15" s="726"/>
      <c r="AX15" s="726"/>
      <c r="AY15" s="726"/>
      <c r="AZ15" s="726"/>
      <c r="BA15" s="726"/>
      <c r="BB15" s="726"/>
      <c r="BC15" s="726"/>
      <c r="BD15" s="726"/>
    </row>
    <row r="16" spans="1:56" ht="14.25" customHeight="1" x14ac:dyDescent="0.25">
      <c r="A16" s="87"/>
      <c r="E16" s="87"/>
      <c r="G16" s="726"/>
      <c r="H16" s="726"/>
      <c r="I16" s="726"/>
      <c r="J16" s="726"/>
      <c r="K16" s="726"/>
      <c r="L16" s="726"/>
      <c r="M16" s="726"/>
      <c r="N16" s="726"/>
      <c r="O16" s="726"/>
      <c r="P16" s="726"/>
      <c r="Q16" s="726"/>
      <c r="R16" s="726"/>
      <c r="S16" s="726"/>
      <c r="T16" s="726"/>
      <c r="U16" s="726"/>
      <c r="V16" s="726"/>
      <c r="W16" s="726"/>
      <c r="X16" s="726"/>
      <c r="Y16" s="726"/>
      <c r="Z16" s="726"/>
      <c r="AA16" s="726"/>
      <c r="AB16" s="726"/>
      <c r="AC16" s="726"/>
      <c r="AD16" s="726"/>
      <c r="AE16" s="726"/>
      <c r="AF16" s="726"/>
      <c r="AG16" s="726"/>
      <c r="AH16" s="726"/>
      <c r="AI16" s="726"/>
      <c r="AJ16" s="726"/>
      <c r="AK16" s="726"/>
      <c r="AL16" s="726"/>
      <c r="AM16" s="726"/>
      <c r="AN16" s="726"/>
      <c r="AO16" s="726"/>
      <c r="AP16" s="726"/>
      <c r="AQ16" s="726"/>
      <c r="AR16" s="726"/>
      <c r="AS16" s="726"/>
      <c r="AT16" s="726"/>
      <c r="AU16" s="726"/>
      <c r="AV16" s="726"/>
      <c r="AW16" s="726"/>
      <c r="AX16" s="726"/>
      <c r="AY16" s="726"/>
      <c r="AZ16" s="726"/>
      <c r="BA16" s="726"/>
      <c r="BB16" s="726"/>
      <c r="BC16" s="726"/>
      <c r="BD16" s="726"/>
    </row>
    <row r="17" spans="1:56" ht="14.25" customHeight="1" x14ac:dyDescent="0.25">
      <c r="A17" s="87"/>
      <c r="E17" s="87"/>
      <c r="G17" s="726"/>
      <c r="H17" s="726"/>
      <c r="I17" s="726"/>
      <c r="J17" s="726"/>
      <c r="K17" s="726"/>
      <c r="L17" s="726"/>
      <c r="M17" s="726"/>
      <c r="N17" s="726"/>
      <c r="O17" s="726"/>
      <c r="P17" s="726"/>
      <c r="Q17" s="726"/>
      <c r="R17" s="726"/>
      <c r="S17" s="726"/>
      <c r="T17" s="726"/>
      <c r="U17" s="726"/>
      <c r="V17" s="726"/>
      <c r="W17" s="726"/>
      <c r="X17" s="726"/>
      <c r="Y17" s="726"/>
      <c r="Z17" s="726"/>
      <c r="AA17" s="726"/>
      <c r="AB17" s="726"/>
      <c r="AC17" s="726"/>
      <c r="AD17" s="726"/>
      <c r="AE17" s="726"/>
      <c r="AF17" s="726"/>
      <c r="AG17" s="726"/>
      <c r="AH17" s="726"/>
      <c r="AI17" s="726"/>
      <c r="AJ17" s="726"/>
      <c r="AK17" s="726"/>
      <c r="AL17" s="726"/>
      <c r="AM17" s="726"/>
      <c r="AN17" s="726"/>
      <c r="AO17" s="726"/>
      <c r="AP17" s="726"/>
      <c r="AQ17" s="726"/>
      <c r="AR17" s="726"/>
      <c r="AS17" s="726"/>
      <c r="AT17" s="726"/>
      <c r="AU17" s="726"/>
      <c r="AV17" s="726"/>
      <c r="AW17" s="726"/>
      <c r="AX17" s="726"/>
      <c r="AY17" s="726"/>
      <c r="AZ17" s="726"/>
      <c r="BA17" s="726"/>
      <c r="BB17" s="726"/>
      <c r="BC17" s="726"/>
      <c r="BD17" s="726"/>
    </row>
    <row r="18" spans="1:56" ht="14.25" customHeight="1" x14ac:dyDescent="0.25">
      <c r="A18" s="87"/>
      <c r="E18" s="87"/>
      <c r="G18" s="726"/>
      <c r="H18" s="726"/>
      <c r="I18" s="726"/>
      <c r="J18" s="726"/>
      <c r="K18" s="726"/>
      <c r="L18" s="726"/>
      <c r="M18" s="726"/>
      <c r="N18" s="726"/>
      <c r="O18" s="726"/>
      <c r="P18" s="726"/>
      <c r="Q18" s="726"/>
      <c r="R18" s="726"/>
      <c r="S18" s="726"/>
      <c r="T18" s="726"/>
      <c r="U18" s="726"/>
      <c r="V18" s="726"/>
      <c r="W18" s="726"/>
      <c r="X18" s="726"/>
      <c r="Y18" s="726"/>
      <c r="Z18" s="726"/>
      <c r="AA18" s="726"/>
      <c r="AB18" s="726"/>
      <c r="AC18" s="726"/>
      <c r="AD18" s="726"/>
      <c r="AE18" s="726"/>
      <c r="AF18" s="726"/>
      <c r="AG18" s="726"/>
      <c r="AH18" s="726"/>
      <c r="AI18" s="726"/>
      <c r="AJ18" s="726"/>
      <c r="AK18" s="726"/>
      <c r="AL18" s="726"/>
      <c r="AM18" s="726"/>
      <c r="AN18" s="726"/>
      <c r="AO18" s="726"/>
      <c r="AP18" s="726"/>
      <c r="AQ18" s="726"/>
      <c r="AR18" s="726"/>
      <c r="AS18" s="726"/>
      <c r="AT18" s="726"/>
      <c r="AU18" s="726"/>
      <c r="AV18" s="726"/>
      <c r="AW18" s="726"/>
      <c r="AX18" s="726"/>
      <c r="AY18" s="726"/>
      <c r="AZ18" s="726"/>
      <c r="BA18" s="726"/>
      <c r="BB18" s="726"/>
      <c r="BC18" s="726"/>
      <c r="BD18" s="726"/>
    </row>
    <row r="19" spans="1:56" ht="14.25" customHeight="1" x14ac:dyDescent="0.25">
      <c r="A19" s="87"/>
      <c r="E19" s="87"/>
      <c r="G19" s="726"/>
      <c r="H19" s="726"/>
      <c r="I19" s="726"/>
      <c r="J19" s="726"/>
      <c r="K19" s="726"/>
      <c r="L19" s="726"/>
      <c r="M19" s="726"/>
      <c r="N19" s="726"/>
      <c r="O19" s="726"/>
      <c r="P19" s="726"/>
      <c r="Q19" s="726"/>
      <c r="R19" s="726"/>
      <c r="S19" s="726"/>
      <c r="T19" s="726"/>
      <c r="U19" s="726"/>
      <c r="V19" s="726"/>
      <c r="W19" s="726"/>
      <c r="X19" s="726"/>
      <c r="Y19" s="726"/>
      <c r="Z19" s="726"/>
      <c r="AA19" s="726"/>
      <c r="AB19" s="726"/>
      <c r="AC19" s="726"/>
      <c r="AD19" s="726"/>
      <c r="AE19" s="726"/>
      <c r="AF19" s="726"/>
      <c r="AG19" s="726"/>
      <c r="AH19" s="726"/>
      <c r="AI19" s="726"/>
      <c r="AJ19" s="726"/>
      <c r="AK19" s="726"/>
      <c r="AL19" s="726"/>
      <c r="AM19" s="726"/>
      <c r="AN19" s="726"/>
      <c r="AO19" s="726"/>
      <c r="AP19" s="726"/>
      <c r="AQ19" s="726"/>
      <c r="AR19" s="726"/>
      <c r="AS19" s="726"/>
      <c r="AT19" s="726"/>
      <c r="AU19" s="726"/>
      <c r="AV19" s="726"/>
      <c r="AW19" s="726"/>
      <c r="AX19" s="726"/>
      <c r="AY19" s="726"/>
      <c r="AZ19" s="726"/>
      <c r="BA19" s="726"/>
      <c r="BB19" s="726"/>
      <c r="BC19" s="726"/>
      <c r="BD19" s="726"/>
    </row>
    <row r="20" spans="1:56" ht="14.25" customHeight="1" x14ac:dyDescent="0.25">
      <c r="A20" s="87"/>
      <c r="E20" s="87"/>
      <c r="G20" s="726"/>
      <c r="H20" s="726"/>
      <c r="I20" s="726"/>
      <c r="J20" s="726"/>
      <c r="K20" s="726"/>
      <c r="L20" s="726"/>
      <c r="M20" s="726"/>
      <c r="N20" s="726"/>
      <c r="O20" s="726"/>
      <c r="P20" s="726"/>
      <c r="Q20" s="726"/>
      <c r="R20" s="726"/>
      <c r="S20" s="726"/>
      <c r="T20" s="726"/>
      <c r="U20" s="726"/>
      <c r="V20" s="726"/>
      <c r="W20" s="726"/>
      <c r="X20" s="726"/>
      <c r="Y20" s="726"/>
      <c r="Z20" s="726"/>
      <c r="AA20" s="726"/>
      <c r="AB20" s="726"/>
      <c r="AC20" s="726"/>
      <c r="AD20" s="726"/>
      <c r="AE20" s="726"/>
      <c r="AF20" s="726"/>
      <c r="AG20" s="726"/>
      <c r="AH20" s="726"/>
      <c r="AI20" s="726"/>
      <c r="AJ20" s="726"/>
      <c r="AK20" s="726"/>
      <c r="AL20" s="726"/>
      <c r="AM20" s="726"/>
      <c r="AN20" s="726"/>
      <c r="AO20" s="726"/>
      <c r="AP20" s="726"/>
      <c r="AQ20" s="726"/>
      <c r="AR20" s="726"/>
      <c r="AS20" s="726"/>
      <c r="AT20" s="726"/>
      <c r="AU20" s="726"/>
      <c r="AV20" s="726"/>
      <c r="AW20" s="726"/>
      <c r="AX20" s="726"/>
      <c r="AY20" s="726"/>
      <c r="AZ20" s="726"/>
      <c r="BA20" s="726"/>
      <c r="BB20" s="726"/>
      <c r="BC20" s="726"/>
      <c r="BD20" s="726"/>
    </row>
    <row r="21" spans="1:56" ht="14.25" customHeight="1" x14ac:dyDescent="0.25">
      <c r="A21" s="87"/>
      <c r="E21" s="87"/>
      <c r="G21" s="726"/>
      <c r="H21" s="726"/>
      <c r="I21" s="726"/>
      <c r="J21" s="726"/>
      <c r="K21" s="726"/>
      <c r="L21" s="726"/>
      <c r="M21" s="726"/>
      <c r="N21" s="726"/>
      <c r="O21" s="726"/>
      <c r="P21" s="726"/>
      <c r="Q21" s="726"/>
      <c r="R21" s="726"/>
      <c r="S21" s="726"/>
      <c r="T21" s="726"/>
      <c r="U21" s="726"/>
      <c r="V21" s="726"/>
      <c r="W21" s="726"/>
      <c r="X21" s="726"/>
      <c r="Y21" s="726"/>
      <c r="Z21" s="726"/>
      <c r="AA21" s="726"/>
      <c r="AB21" s="726"/>
      <c r="AC21" s="726"/>
      <c r="AD21" s="726"/>
      <c r="AE21" s="726"/>
      <c r="AF21" s="726"/>
      <c r="AG21" s="726"/>
      <c r="AH21" s="726"/>
      <c r="AI21" s="726"/>
      <c r="AJ21" s="726"/>
      <c r="AK21" s="726"/>
      <c r="AL21" s="726"/>
      <c r="AM21" s="726"/>
      <c r="AN21" s="726"/>
      <c r="AO21" s="726"/>
      <c r="AP21" s="726"/>
      <c r="AQ21" s="726"/>
      <c r="AR21" s="726"/>
      <c r="AS21" s="726"/>
      <c r="AT21" s="726"/>
      <c r="AU21" s="726"/>
      <c r="AV21" s="726"/>
      <c r="AW21" s="726"/>
      <c r="AX21" s="726"/>
      <c r="AY21" s="726"/>
      <c r="AZ21" s="726"/>
      <c r="BA21" s="726"/>
      <c r="BB21" s="726"/>
      <c r="BC21" s="726"/>
      <c r="BD21" s="726"/>
    </row>
    <row r="22" spans="1:56" ht="14.25" customHeight="1" x14ac:dyDescent="0.25">
      <c r="A22" s="87"/>
      <c r="E22" s="87"/>
      <c r="G22" s="726"/>
      <c r="H22" s="726"/>
      <c r="I22" s="726"/>
      <c r="J22" s="726"/>
      <c r="K22" s="726"/>
      <c r="L22" s="726"/>
      <c r="M22" s="726"/>
      <c r="N22" s="726"/>
      <c r="O22" s="726"/>
      <c r="P22" s="726"/>
      <c r="Q22" s="726"/>
      <c r="R22" s="726"/>
      <c r="S22" s="726"/>
      <c r="T22" s="726"/>
      <c r="U22" s="726"/>
      <c r="V22" s="726"/>
      <c r="W22" s="726"/>
      <c r="X22" s="726"/>
      <c r="Y22" s="726"/>
      <c r="Z22" s="726"/>
      <c r="AA22" s="726"/>
      <c r="AB22" s="726"/>
      <c r="AC22" s="726"/>
      <c r="AD22" s="726"/>
      <c r="AE22" s="726"/>
      <c r="AF22" s="726"/>
      <c r="AG22" s="726"/>
      <c r="AH22" s="726"/>
      <c r="AI22" s="726"/>
      <c r="AJ22" s="726"/>
      <c r="AK22" s="726"/>
      <c r="AL22" s="726"/>
      <c r="AM22" s="726"/>
      <c r="AN22" s="726"/>
      <c r="AO22" s="726"/>
      <c r="AP22" s="726"/>
      <c r="AQ22" s="726"/>
      <c r="AR22" s="726"/>
      <c r="AS22" s="726"/>
      <c r="AT22" s="726"/>
      <c r="AU22" s="726"/>
      <c r="AV22" s="726"/>
      <c r="AW22" s="726"/>
      <c r="AX22" s="726"/>
      <c r="AY22" s="726"/>
      <c r="AZ22" s="726"/>
      <c r="BA22" s="726"/>
      <c r="BB22" s="726"/>
      <c r="BC22" s="726"/>
      <c r="BD22" s="726"/>
    </row>
    <row r="23" spans="1:56" ht="14.25" customHeight="1" x14ac:dyDescent="0.25">
      <c r="A23" s="87"/>
      <c r="E23" s="87"/>
      <c r="G23" s="726"/>
      <c r="H23" s="726"/>
      <c r="I23" s="726"/>
      <c r="J23" s="726"/>
      <c r="K23" s="726"/>
      <c r="L23" s="726"/>
      <c r="M23" s="726"/>
      <c r="N23" s="726"/>
      <c r="O23" s="726"/>
      <c r="P23" s="726"/>
      <c r="Q23" s="726"/>
      <c r="R23" s="726"/>
      <c r="S23" s="726"/>
      <c r="T23" s="726"/>
      <c r="U23" s="726"/>
      <c r="V23" s="726"/>
      <c r="W23" s="726"/>
      <c r="X23" s="726"/>
      <c r="Y23" s="726"/>
      <c r="Z23" s="726"/>
      <c r="AA23" s="726"/>
      <c r="AB23" s="726"/>
      <c r="AC23" s="726"/>
      <c r="AD23" s="726"/>
      <c r="AE23" s="726"/>
      <c r="AF23" s="726"/>
      <c r="AG23" s="726"/>
      <c r="AH23" s="726"/>
      <c r="AI23" s="726"/>
      <c r="AJ23" s="726"/>
      <c r="AK23" s="726"/>
      <c r="AL23" s="726"/>
      <c r="AM23" s="726"/>
      <c r="AN23" s="726"/>
      <c r="AO23" s="726"/>
      <c r="AP23" s="726"/>
      <c r="AQ23" s="726"/>
      <c r="AR23" s="726"/>
      <c r="AS23" s="726"/>
      <c r="AT23" s="726"/>
      <c r="AU23" s="726"/>
      <c r="AV23" s="726"/>
      <c r="AW23" s="726"/>
      <c r="AX23" s="726"/>
      <c r="AY23" s="726"/>
      <c r="AZ23" s="726"/>
      <c r="BA23" s="726"/>
      <c r="BB23" s="726"/>
      <c r="BC23" s="726"/>
      <c r="BD23" s="726"/>
    </row>
    <row r="24" spans="1:56" ht="14.25" customHeight="1" x14ac:dyDescent="0.25">
      <c r="A24" s="87"/>
      <c r="E24" s="87"/>
    </row>
    <row r="25" spans="1:56" ht="14.25" customHeight="1" x14ac:dyDescent="0.25">
      <c r="A25" s="87"/>
      <c r="E25" s="87"/>
    </row>
    <row r="26" spans="1:56" ht="14.25" customHeight="1" x14ac:dyDescent="0.25">
      <c r="A26" s="87"/>
      <c r="E26" s="87"/>
    </row>
    <row r="27" spans="1:56" ht="12.75" customHeight="1" x14ac:dyDescent="0.25">
      <c r="A27" s="87"/>
      <c r="B27" s="605"/>
      <c r="C27" s="605"/>
      <c r="D27" s="87"/>
      <c r="E27" s="87"/>
    </row>
    <row r="28" spans="1:56" ht="12.75" customHeight="1" x14ac:dyDescent="0.25">
      <c r="A28" s="87"/>
      <c r="B28" s="87"/>
      <c r="C28" s="87"/>
      <c r="D28" s="87"/>
      <c r="E28" s="87"/>
    </row>
    <row r="29" spans="1:56" ht="12.75" customHeight="1" x14ac:dyDescent="0.25">
      <c r="A29" s="87"/>
      <c r="B29" s="87"/>
      <c r="C29" s="87"/>
      <c r="D29" s="87"/>
      <c r="E29" s="87"/>
    </row>
    <row r="30" spans="1:56" ht="12.75" customHeight="1" x14ac:dyDescent="0.25">
      <c r="A30" s="87"/>
      <c r="B30" s="87"/>
      <c r="C30" s="87"/>
      <c r="D30" s="87"/>
      <c r="E30" s="87"/>
    </row>
    <row r="31" spans="1:56" ht="12.75" customHeight="1" x14ac:dyDescent="0.25">
      <c r="A31" s="87"/>
      <c r="B31" s="87"/>
      <c r="C31" s="87"/>
      <c r="D31" s="87"/>
      <c r="E31" s="87"/>
    </row>
    <row r="32" spans="1:56" ht="12.75" customHeight="1" x14ac:dyDescent="0.25">
      <c r="A32" s="87"/>
      <c r="B32" s="87"/>
      <c r="C32" s="87"/>
      <c r="D32" s="87"/>
      <c r="E32" s="87"/>
    </row>
    <row r="33" spans="1:5" ht="12.75" customHeight="1" x14ac:dyDescent="0.25">
      <c r="A33" s="87"/>
      <c r="B33" s="87"/>
      <c r="C33" s="87"/>
      <c r="D33" s="87"/>
      <c r="E33" s="87"/>
    </row>
    <row r="34" spans="1:5" ht="12.75" customHeight="1" x14ac:dyDescent="0.25">
      <c r="A34" s="87"/>
      <c r="B34" s="87"/>
      <c r="C34" s="87"/>
      <c r="D34" s="87"/>
      <c r="E34" s="87"/>
    </row>
    <row r="35" spans="1:5" ht="12.75" customHeight="1" x14ac:dyDescent="0.25">
      <c r="A35" s="87"/>
      <c r="B35" s="87"/>
      <c r="C35" s="87"/>
      <c r="D35" s="87"/>
      <c r="E35" s="87"/>
    </row>
    <row r="36" spans="1:5" ht="12.75" customHeight="1" x14ac:dyDescent="0.25">
      <c r="A36" s="87"/>
      <c r="B36" s="87"/>
      <c r="C36" s="87"/>
      <c r="D36" s="87"/>
      <c r="E36" s="87"/>
    </row>
    <row r="37" spans="1:5" ht="12.75" customHeight="1" x14ac:dyDescent="0.25">
      <c r="A37" s="87"/>
      <c r="B37" s="87"/>
      <c r="C37" s="87"/>
      <c r="D37" s="87"/>
      <c r="E37" s="87"/>
    </row>
    <row r="38" spans="1:5" ht="12.75" customHeight="1" x14ac:dyDescent="0.25">
      <c r="A38" s="87"/>
      <c r="B38" s="87"/>
      <c r="C38" s="87"/>
      <c r="D38" s="87"/>
      <c r="E38" s="87"/>
    </row>
    <row r="39" spans="1:5" ht="12.75" customHeight="1" x14ac:dyDescent="0.25">
      <c r="A39" s="87"/>
      <c r="B39" s="87"/>
      <c r="C39" s="87"/>
      <c r="D39" s="87"/>
      <c r="E39" s="87"/>
    </row>
    <row r="40" spans="1:5" ht="12.75" customHeight="1" x14ac:dyDescent="0.25">
      <c r="A40" s="87"/>
      <c r="B40" s="87"/>
      <c r="C40" s="87"/>
      <c r="D40" s="87"/>
      <c r="E40" s="87"/>
    </row>
    <row r="41" spans="1:5" ht="12.75" customHeight="1" x14ac:dyDescent="0.25">
      <c r="A41" s="87"/>
      <c r="B41" s="87"/>
      <c r="C41" s="87"/>
      <c r="D41" s="87"/>
      <c r="E41" s="87"/>
    </row>
    <row r="42" spans="1:5" ht="12.75" customHeight="1" x14ac:dyDescent="0.25">
      <c r="A42" s="87"/>
      <c r="B42" s="87"/>
      <c r="C42" s="87"/>
      <c r="D42" s="87"/>
      <c r="E42" s="87"/>
    </row>
    <row r="43" spans="1:5" ht="12.75" customHeight="1" x14ac:dyDescent="0.25">
      <c r="A43" s="87"/>
      <c r="B43" s="87"/>
      <c r="C43" s="87"/>
      <c r="D43" s="87"/>
      <c r="E43" s="87"/>
    </row>
    <row r="44" spans="1:5" ht="12.75" customHeight="1" x14ac:dyDescent="0.25">
      <c r="A44" s="87"/>
      <c r="B44" s="87"/>
      <c r="C44" s="87"/>
      <c r="D44" s="87"/>
      <c r="E44" s="87"/>
    </row>
    <row r="45" spans="1:5" ht="12.75" customHeight="1" x14ac:dyDescent="0.25">
      <c r="A45" s="67"/>
      <c r="B45" s="67"/>
      <c r="C45" s="67"/>
      <c r="D45" s="67"/>
      <c r="E45" s="67"/>
    </row>
    <row r="46" spans="1:5" ht="12.75" customHeight="1" x14ac:dyDescent="0.25">
      <c r="A46" s="67"/>
      <c r="B46" s="67"/>
      <c r="C46" s="67"/>
      <c r="D46" s="67"/>
      <c r="E46" s="67"/>
    </row>
    <row r="47" spans="1:5" ht="12.75" customHeight="1" x14ac:dyDescent="0.25">
      <c r="A47" s="67"/>
      <c r="B47" s="67"/>
      <c r="C47" s="67"/>
      <c r="D47" s="67"/>
      <c r="E47" s="67"/>
    </row>
  </sheetData>
  <mergeCells count="4">
    <mergeCell ref="B4:B6"/>
    <mergeCell ref="C4:C6"/>
    <mergeCell ref="D4:D6"/>
    <mergeCell ref="G4:BD4"/>
  </mergeCells>
  <conditionalFormatting sqref="B7:D10">
    <cfRule type="expression" dxfId="31" priority="4">
      <formula>MOD(ROW(),2)=0</formula>
    </cfRule>
  </conditionalFormatting>
  <conditionalFormatting sqref="G6:BD10">
    <cfRule type="expression" dxfId="30" priority="2">
      <formula>MOD(ROW(),2)&lt;&gt;0</formula>
    </cfRule>
  </conditionalFormatting>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Tabelle11">
    <tabColor rgb="FF00539E"/>
  </sheetPr>
  <dimension ref="A1:AV49"/>
  <sheetViews>
    <sheetView showGridLines="0" zoomScale="90" zoomScaleNormal="90" workbookViewId="0"/>
  </sheetViews>
  <sheetFormatPr baseColWidth="10" defaultColWidth="8.5703125" defaultRowHeight="12.75" customHeight="1" x14ac:dyDescent="0.25"/>
  <cols>
    <col min="1" max="1" width="5.5703125" customWidth="1"/>
    <col min="2" max="2" width="23.42578125" customWidth="1"/>
    <col min="3" max="3" width="53.42578125" bestFit="1" customWidth="1"/>
    <col min="4" max="4" width="10.5703125" customWidth="1"/>
    <col min="5" max="5" width="18" customWidth="1"/>
    <col min="6" max="6" width="10.5703125" style="3" customWidth="1"/>
    <col min="7" max="45" width="8.5703125" customWidth="1"/>
  </cols>
  <sheetData>
    <row r="1" spans="1:48" ht="20.100000000000001" customHeight="1" x14ac:dyDescent="0.25">
      <c r="A1" s="21">
        <v>24</v>
      </c>
      <c r="B1" s="680" t="str">
        <f>VLOOKUP("T.24.01",Translation,LanguageNo+1,FALSE)</f>
        <v>Parameter für das Marktrisiko</v>
      </c>
    </row>
    <row r="2" spans="1:48" ht="14.25" customHeight="1" x14ac:dyDescent="0.25">
      <c r="B2" s="1180"/>
    </row>
    <row r="3" spans="1:48" s="11" customFormat="1" ht="21.75" customHeight="1" x14ac:dyDescent="0.25">
      <c r="A3" s="128"/>
      <c r="B3" s="536" t="s">
        <v>1913</v>
      </c>
      <c r="D3" s="128"/>
      <c r="E3" s="160"/>
      <c r="F3" s="537" t="s">
        <v>1914</v>
      </c>
      <c r="G3" s="128"/>
      <c r="H3" s="128"/>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28"/>
      <c r="AJ3" s="128"/>
      <c r="AK3" s="128"/>
      <c r="AL3" s="128"/>
      <c r="AM3" s="128"/>
      <c r="AN3" s="128"/>
      <c r="AO3" s="128"/>
      <c r="AP3" s="128"/>
      <c r="AQ3" s="128"/>
      <c r="AR3" s="128"/>
      <c r="AS3" s="128"/>
      <c r="AT3" s="128"/>
      <c r="AU3" s="128"/>
      <c r="AV3" s="128"/>
    </row>
    <row r="4" spans="1:48" ht="14.25" customHeight="1" x14ac:dyDescent="0.25">
      <c r="A4" s="67"/>
      <c r="B4" s="1337" t="s">
        <v>1594</v>
      </c>
      <c r="C4" s="1282" t="s">
        <v>579</v>
      </c>
      <c r="D4" s="1338" t="s">
        <v>80</v>
      </c>
      <c r="E4" s="447"/>
      <c r="F4" s="1339" t="s">
        <v>1594</v>
      </c>
      <c r="G4" s="1334"/>
      <c r="H4" s="1335"/>
      <c r="I4" s="1335"/>
      <c r="J4" s="1335"/>
      <c r="K4" s="1335"/>
      <c r="L4" s="1335"/>
      <c r="M4" s="1335"/>
      <c r="N4" s="1335"/>
      <c r="O4" s="1335"/>
      <c r="P4" s="1335"/>
      <c r="Q4" s="1335"/>
      <c r="R4" s="1335"/>
      <c r="S4" s="1335"/>
      <c r="T4" s="1335"/>
      <c r="U4" s="1335"/>
      <c r="V4" s="1335"/>
      <c r="W4" s="1335"/>
      <c r="X4" s="1335"/>
      <c r="Y4" s="1335"/>
      <c r="Z4" s="1335"/>
      <c r="AA4" s="1335"/>
      <c r="AB4" s="1335"/>
      <c r="AC4" s="1335"/>
      <c r="AD4" s="1335"/>
      <c r="AE4" s="1335"/>
      <c r="AF4" s="1335"/>
      <c r="AG4" s="1335"/>
      <c r="AH4" s="1335"/>
      <c r="AI4" s="1335"/>
      <c r="AJ4" s="1335"/>
      <c r="AK4" s="1335"/>
      <c r="AL4" s="1335"/>
      <c r="AM4" s="1335"/>
      <c r="AN4" s="1335"/>
      <c r="AO4" s="1335"/>
      <c r="AP4" s="1335"/>
      <c r="AQ4" s="1335"/>
      <c r="AR4" s="1335"/>
      <c r="AS4" s="1335"/>
      <c r="AT4" s="67"/>
      <c r="AU4" s="67"/>
      <c r="AV4" s="67"/>
    </row>
    <row r="5" spans="1:48" ht="14.25" customHeight="1" x14ac:dyDescent="0.25">
      <c r="A5" s="67"/>
      <c r="B5" s="1337"/>
      <c r="C5" s="1282"/>
      <c r="D5" s="1338"/>
      <c r="E5" s="448"/>
      <c r="F5" s="1340"/>
      <c r="G5" s="133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67"/>
      <c r="AU5" s="67"/>
      <c r="AV5" s="67"/>
    </row>
    <row r="6" spans="1:48" ht="14.25" customHeight="1" x14ac:dyDescent="0.25">
      <c r="A6" s="67"/>
      <c r="B6" s="1337"/>
      <c r="C6" s="1282"/>
      <c r="D6" s="1338"/>
      <c r="E6" s="449"/>
      <c r="F6" s="1341"/>
      <c r="G6" s="75" t="s">
        <v>1566</v>
      </c>
      <c r="H6" s="75" t="s">
        <v>1567</v>
      </c>
      <c r="I6" s="75" t="s">
        <v>1568</v>
      </c>
      <c r="J6" s="75" t="s">
        <v>1569</v>
      </c>
      <c r="K6" s="75" t="s">
        <v>1570</v>
      </c>
      <c r="L6" s="75" t="s">
        <v>1571</v>
      </c>
      <c r="M6" s="75" t="s">
        <v>1572</v>
      </c>
      <c r="N6" s="75" t="s">
        <v>1573</v>
      </c>
      <c r="O6" s="75" t="s">
        <v>1574</v>
      </c>
      <c r="P6" s="75" t="s">
        <v>1575</v>
      </c>
      <c r="Q6" s="75" t="s">
        <v>1576</v>
      </c>
      <c r="R6" s="75" t="s">
        <v>1577</v>
      </c>
      <c r="S6" s="75" t="s">
        <v>57</v>
      </c>
      <c r="T6" s="75" t="s">
        <v>1578</v>
      </c>
      <c r="U6" s="75" t="s">
        <v>1579</v>
      </c>
      <c r="V6" s="75" t="s">
        <v>1580</v>
      </c>
      <c r="W6" s="75" t="s">
        <v>1581</v>
      </c>
      <c r="X6" s="75" t="s">
        <v>1582</v>
      </c>
      <c r="Y6" s="75" t="s">
        <v>1599</v>
      </c>
      <c r="Z6" s="75" t="s">
        <v>1601</v>
      </c>
      <c r="AA6" s="75" t="s">
        <v>1600</v>
      </c>
      <c r="AB6" s="75" t="s">
        <v>1583</v>
      </c>
      <c r="AC6" s="75" t="s">
        <v>1584</v>
      </c>
      <c r="AD6" s="75" t="s">
        <v>1585</v>
      </c>
      <c r="AE6" s="75" t="s">
        <v>1586</v>
      </c>
      <c r="AF6" s="75" t="s">
        <v>58</v>
      </c>
      <c r="AG6" s="75" t="s">
        <v>59</v>
      </c>
      <c r="AH6" s="75" t="s">
        <v>60</v>
      </c>
      <c r="AI6" s="75" t="s">
        <v>61</v>
      </c>
      <c r="AJ6" s="75" t="s">
        <v>1587</v>
      </c>
      <c r="AK6" s="75" t="s">
        <v>1588</v>
      </c>
      <c r="AL6" s="75" t="s">
        <v>1589</v>
      </c>
      <c r="AM6" s="75" t="s">
        <v>1590</v>
      </c>
      <c r="AN6" s="75" t="s">
        <v>1591</v>
      </c>
      <c r="AO6" s="75" t="s">
        <v>1592</v>
      </c>
      <c r="AP6" s="75" t="s">
        <v>62</v>
      </c>
      <c r="AQ6" s="75" t="s">
        <v>63</v>
      </c>
      <c r="AR6" s="75" t="s">
        <v>64</v>
      </c>
      <c r="AS6" s="75" t="s">
        <v>1593</v>
      </c>
      <c r="AT6" s="67"/>
      <c r="AU6" s="67"/>
      <c r="AV6" s="67"/>
    </row>
    <row r="7" spans="1:48" s="3" customFormat="1" ht="14.25" customHeight="1" x14ac:dyDescent="0.25">
      <c r="A7" s="87"/>
      <c r="B7" s="451" t="s">
        <v>1566</v>
      </c>
      <c r="C7" s="451" t="str">
        <f>VLOOKUP("T.24.02",Translation,LanguageNo+1,FALSE)</f>
        <v>CHF kurzfristiger Zinssatz</v>
      </c>
      <c r="D7" s="1139">
        <v>4.8759661409555335E-3</v>
      </c>
      <c r="E7" s="1139"/>
      <c r="F7" s="81" t="s">
        <v>1566</v>
      </c>
      <c r="G7" s="459">
        <v>1</v>
      </c>
      <c r="H7" s="460">
        <v>0.59758198450470401</v>
      </c>
      <c r="I7" s="460">
        <v>0.43994031387007798</v>
      </c>
      <c r="J7" s="460">
        <v>0.69988181299034802</v>
      </c>
      <c r="K7" s="460">
        <v>0.519167148299299</v>
      </c>
      <c r="L7" s="460">
        <v>0.36919919690738501</v>
      </c>
      <c r="M7" s="460">
        <v>0.49316899893525701</v>
      </c>
      <c r="N7" s="460">
        <v>0.40038749524342199</v>
      </c>
      <c r="O7" s="460">
        <v>0.31017284358473801</v>
      </c>
      <c r="P7" s="460">
        <v>0.58105409903492</v>
      </c>
      <c r="Q7" s="460">
        <v>0.40913572865903602</v>
      </c>
      <c r="R7" s="460">
        <v>0.27895644743771603</v>
      </c>
      <c r="S7" s="460">
        <v>6.7687970230208394E-2</v>
      </c>
      <c r="T7" s="460">
        <v>-0.16392857021513699</v>
      </c>
      <c r="U7" s="460">
        <v>-0.172474630818271</v>
      </c>
      <c r="V7" s="460">
        <v>-0.145773682135663</v>
      </c>
      <c r="W7" s="460">
        <v>-0.15175289851274301</v>
      </c>
      <c r="X7" s="460">
        <v>-0.200830673203338</v>
      </c>
      <c r="Y7" s="460">
        <v>-4.9592020928139899E-2</v>
      </c>
      <c r="Z7" s="460">
        <v>-9.2171691426117405E-2</v>
      </c>
      <c r="AA7" s="460">
        <v>-0.14025194241056299</v>
      </c>
      <c r="AB7" s="460">
        <v>-0.113062230257244</v>
      </c>
      <c r="AC7" s="460">
        <v>-0.23702130869677199</v>
      </c>
      <c r="AD7" s="460">
        <v>-0.22318077067380701</v>
      </c>
      <c r="AE7" s="460">
        <v>0.187796125114743</v>
      </c>
      <c r="AF7" s="460">
        <v>0.28414107746874201</v>
      </c>
      <c r="AG7" s="460">
        <v>7.5720415801542998E-2</v>
      </c>
      <c r="AH7" s="460">
        <v>0.191186825505828</v>
      </c>
      <c r="AI7" s="460">
        <v>-0.20518215075080001</v>
      </c>
      <c r="AJ7" s="460">
        <v>-0.25547603852921102</v>
      </c>
      <c r="AK7" s="460">
        <v>0.19355695744156501</v>
      </c>
      <c r="AL7" s="460">
        <v>0.120983346511956</v>
      </c>
      <c r="AM7" s="460">
        <v>8.8995708248070002E-2</v>
      </c>
      <c r="AN7" s="460">
        <v>0.19071426940701899</v>
      </c>
      <c r="AO7" s="460">
        <v>0.23748834871892199</v>
      </c>
      <c r="AP7" s="460">
        <v>-0.13062419758211199</v>
      </c>
      <c r="AQ7" s="460">
        <v>0.221749375127858</v>
      </c>
      <c r="AR7" s="460">
        <v>9.5769895264690999E-2</v>
      </c>
      <c r="AS7" s="461">
        <v>-0.108198044800127</v>
      </c>
      <c r="AT7" s="87"/>
      <c r="AU7" s="87"/>
      <c r="AV7" s="87"/>
    </row>
    <row r="8" spans="1:48" s="3" customFormat="1" ht="14.25" customHeight="1" x14ac:dyDescent="0.25">
      <c r="A8" s="87"/>
      <c r="B8" s="81" t="s">
        <v>1567</v>
      </c>
      <c r="C8" s="81" t="str">
        <f>VLOOKUP("T.24.03",Translation,LanguageNo+1,FALSE)</f>
        <v>CHF mittelfristiger Zinssatz</v>
      </c>
      <c r="D8" s="1139">
        <v>5.5735771274461358E-3</v>
      </c>
      <c r="E8" s="1139"/>
      <c r="F8" s="81" t="s">
        <v>1567</v>
      </c>
      <c r="G8" s="459">
        <v>0.59758198450470401</v>
      </c>
      <c r="H8" s="460">
        <v>1</v>
      </c>
      <c r="I8" s="460">
        <v>0.88034259738581999</v>
      </c>
      <c r="J8" s="460">
        <v>0.60911223906899803</v>
      </c>
      <c r="K8" s="460">
        <v>0.82222508150448204</v>
      </c>
      <c r="L8" s="460">
        <v>0.73911788666648304</v>
      </c>
      <c r="M8" s="460">
        <v>0.46378864190392</v>
      </c>
      <c r="N8" s="460">
        <v>0.674245793911879</v>
      </c>
      <c r="O8" s="460">
        <v>0.60316482859536902</v>
      </c>
      <c r="P8" s="460">
        <v>0.46812070213804902</v>
      </c>
      <c r="Q8" s="460">
        <v>0.65803210175081805</v>
      </c>
      <c r="R8" s="460">
        <v>0.55326451329378701</v>
      </c>
      <c r="S8" s="460">
        <v>6.18216981781207E-2</v>
      </c>
      <c r="T8" s="460">
        <v>-0.14619348929451301</v>
      </c>
      <c r="U8" s="460">
        <v>-9.3969644935338603E-2</v>
      </c>
      <c r="V8" s="460">
        <v>-8.3355548777797495E-2</v>
      </c>
      <c r="W8" s="460">
        <v>-8.6516616186772796E-2</v>
      </c>
      <c r="X8" s="460">
        <v>-0.111374718857082</v>
      </c>
      <c r="Y8" s="460">
        <v>7.5871369298816202E-2</v>
      </c>
      <c r="Z8" s="460">
        <v>1.07173101146989E-2</v>
      </c>
      <c r="AA8" s="460">
        <v>8.5735244899845797E-3</v>
      </c>
      <c r="AB8" s="460">
        <v>-0.107667115888701</v>
      </c>
      <c r="AC8" s="460">
        <v>-0.21504289002659499</v>
      </c>
      <c r="AD8" s="460">
        <v>-0.15505176382015201</v>
      </c>
      <c r="AE8" s="460">
        <v>0.18963648869302899</v>
      </c>
      <c r="AF8" s="460">
        <v>0.22647405601722501</v>
      </c>
      <c r="AG8" s="460">
        <v>-2.6458897755592299E-2</v>
      </c>
      <c r="AH8" s="460">
        <v>0.12150249996073501</v>
      </c>
      <c r="AI8" s="460">
        <v>-0.27987987453214003</v>
      </c>
      <c r="AJ8" s="460">
        <v>-8.3946395804855897E-2</v>
      </c>
      <c r="AK8" s="460">
        <v>3.0990003767205999E-2</v>
      </c>
      <c r="AL8" s="460">
        <v>6.5172911852516497E-3</v>
      </c>
      <c r="AM8" s="460">
        <v>-1.1475334835323101E-2</v>
      </c>
      <c r="AN8" s="460">
        <v>4.3705406755948403E-2</v>
      </c>
      <c r="AO8" s="460">
        <v>0.18823332061999001</v>
      </c>
      <c r="AP8" s="460">
        <v>-7.7814909094349904E-2</v>
      </c>
      <c r="AQ8" s="460">
        <v>5.3025398605984701E-2</v>
      </c>
      <c r="AR8" s="460">
        <v>-2.6100766137666001E-2</v>
      </c>
      <c r="AS8" s="461">
        <v>-0.18437446978512401</v>
      </c>
      <c r="AT8" s="87"/>
      <c r="AU8" s="87"/>
      <c r="AV8" s="87"/>
    </row>
    <row r="9" spans="1:48" s="3" customFormat="1" ht="14.25" customHeight="1" x14ac:dyDescent="0.25">
      <c r="A9" s="87"/>
      <c r="B9" s="81" t="s">
        <v>1568</v>
      </c>
      <c r="C9" s="451" t="str">
        <f>VLOOKUP("T.24.04",Translation,LanguageNo+1,FALSE)</f>
        <v>CHF langfristiger Zinssatz</v>
      </c>
      <c r="D9" s="1139">
        <v>5.5380325446760291E-3</v>
      </c>
      <c r="E9" s="1139"/>
      <c r="F9" s="81" t="s">
        <v>1568</v>
      </c>
      <c r="G9" s="459">
        <v>0.43994031387007798</v>
      </c>
      <c r="H9" s="460">
        <v>0.88034259738581999</v>
      </c>
      <c r="I9" s="460">
        <v>1</v>
      </c>
      <c r="J9" s="460">
        <v>0.48787859139546502</v>
      </c>
      <c r="K9" s="460">
        <v>0.76195953469710698</v>
      </c>
      <c r="L9" s="460">
        <v>0.75020641593677895</v>
      </c>
      <c r="M9" s="460">
        <v>0.38137041940875899</v>
      </c>
      <c r="N9" s="460">
        <v>0.665099387171873</v>
      </c>
      <c r="O9" s="460">
        <v>0.64057199912907703</v>
      </c>
      <c r="P9" s="460">
        <v>0.32884942596</v>
      </c>
      <c r="Q9" s="460">
        <v>0.60361967102749103</v>
      </c>
      <c r="R9" s="460">
        <v>0.57394697397780503</v>
      </c>
      <c r="S9" s="460">
        <v>4.2400860622615097E-2</v>
      </c>
      <c r="T9" s="460">
        <v>-0.15155556681928201</v>
      </c>
      <c r="U9" s="460">
        <v>-0.124587943403509</v>
      </c>
      <c r="V9" s="460">
        <v>-0.12023415489017</v>
      </c>
      <c r="W9" s="460">
        <v>-0.12233626861581599</v>
      </c>
      <c r="X9" s="460">
        <v>-0.140399963084058</v>
      </c>
      <c r="Y9" s="460">
        <v>1.63103189689657E-2</v>
      </c>
      <c r="Z9" s="460">
        <v>-2.4803691675282898E-2</v>
      </c>
      <c r="AA9" s="460">
        <v>-1.9305238174044899E-2</v>
      </c>
      <c r="AB9" s="460">
        <v>-0.120748371792152</v>
      </c>
      <c r="AC9" s="460">
        <v>-0.107364222108195</v>
      </c>
      <c r="AD9" s="460">
        <v>-7.8037669249531996E-2</v>
      </c>
      <c r="AE9" s="460">
        <v>0.131420990040615</v>
      </c>
      <c r="AF9" s="460">
        <v>0.18002602336832399</v>
      </c>
      <c r="AG9" s="460">
        <v>-5.4537660767218499E-2</v>
      </c>
      <c r="AH9" s="460">
        <v>0.131834746655211</v>
      </c>
      <c r="AI9" s="460">
        <v>-0.28255220325670299</v>
      </c>
      <c r="AJ9" s="460">
        <v>-0.101028676270426</v>
      </c>
      <c r="AK9" s="460">
        <v>3.9154722419897396E-3</v>
      </c>
      <c r="AL9" s="460">
        <v>4.1510519939377502E-2</v>
      </c>
      <c r="AM9" s="460">
        <v>1.91796024604367E-2</v>
      </c>
      <c r="AN9" s="460">
        <v>5.7811100018067503E-2</v>
      </c>
      <c r="AO9" s="460">
        <v>0.181750244449045</v>
      </c>
      <c r="AP9" s="460">
        <v>-8.2028872120790103E-2</v>
      </c>
      <c r="AQ9" s="460">
        <v>4.9276196291135901E-2</v>
      </c>
      <c r="AR9" s="460">
        <v>2.05994116551067E-2</v>
      </c>
      <c r="AS9" s="461">
        <v>-0.20349904866322599</v>
      </c>
      <c r="AT9" s="87"/>
      <c r="AU9" s="87"/>
      <c r="AV9" s="87"/>
    </row>
    <row r="10" spans="1:48" s="3" customFormat="1" ht="14.25" customHeight="1" x14ac:dyDescent="0.25">
      <c r="A10" s="87"/>
      <c r="B10" s="81" t="s">
        <v>1569</v>
      </c>
      <c r="C10" s="81" t="str">
        <f>VLOOKUP("T.24.05",Translation,LanguageNo+1,FALSE)</f>
        <v>EUR kurzfristiger Zinssatz</v>
      </c>
      <c r="D10" s="1139">
        <v>6.6575315576943243E-3</v>
      </c>
      <c r="E10" s="1139"/>
      <c r="F10" s="81" t="s">
        <v>1569</v>
      </c>
      <c r="G10" s="459">
        <v>0.69988181299034802</v>
      </c>
      <c r="H10" s="460">
        <v>0.60911223906899803</v>
      </c>
      <c r="I10" s="460">
        <v>0.48787859139546502</v>
      </c>
      <c r="J10" s="460">
        <v>1</v>
      </c>
      <c r="K10" s="460">
        <v>0.72923414579836798</v>
      </c>
      <c r="L10" s="460">
        <v>0.57253468803464902</v>
      </c>
      <c r="M10" s="460">
        <v>0.64198813181880998</v>
      </c>
      <c r="N10" s="460">
        <v>0.54448036417245105</v>
      </c>
      <c r="O10" s="460">
        <v>0.44062410353995501</v>
      </c>
      <c r="P10" s="460">
        <v>0.703008989859916</v>
      </c>
      <c r="Q10" s="460">
        <v>0.58061033866718903</v>
      </c>
      <c r="R10" s="460">
        <v>0.45459097959453798</v>
      </c>
      <c r="S10" s="460">
        <v>7.2382506437769001E-2</v>
      </c>
      <c r="T10" s="460">
        <v>-0.209910897587504</v>
      </c>
      <c r="U10" s="460">
        <v>-0.23971981438915399</v>
      </c>
      <c r="V10" s="460">
        <v>-0.24694086234586299</v>
      </c>
      <c r="W10" s="460">
        <v>-0.28397550536246402</v>
      </c>
      <c r="X10" s="460">
        <v>-0.30386038262062698</v>
      </c>
      <c r="Y10" s="460">
        <v>-9.1190300759600301E-2</v>
      </c>
      <c r="Z10" s="460">
        <v>-0.20697622848533101</v>
      </c>
      <c r="AA10" s="460">
        <v>-0.25642866110811902</v>
      </c>
      <c r="AB10" s="460">
        <v>-0.21672949719727699</v>
      </c>
      <c r="AC10" s="460">
        <v>-0.143519995561462</v>
      </c>
      <c r="AD10" s="460">
        <v>-0.24916737007323</v>
      </c>
      <c r="AE10" s="460">
        <v>0.176369742872132</v>
      </c>
      <c r="AF10" s="460">
        <v>0.307449390440453</v>
      </c>
      <c r="AG10" s="460">
        <v>-1.0054663945821799E-2</v>
      </c>
      <c r="AH10" s="460">
        <v>0.15842487087594201</v>
      </c>
      <c r="AI10" s="460">
        <v>-0.36019886999787598</v>
      </c>
      <c r="AJ10" s="460">
        <v>-0.21823250888041301</v>
      </c>
      <c r="AK10" s="460">
        <v>0.190353125047282</v>
      </c>
      <c r="AL10" s="460">
        <v>0.26949024842838998</v>
      </c>
      <c r="AM10" s="460">
        <v>0.17266986763515499</v>
      </c>
      <c r="AN10" s="460">
        <v>0.26335653063972198</v>
      </c>
      <c r="AO10" s="460">
        <v>0.34007680734297302</v>
      </c>
      <c r="AP10" s="460">
        <v>-0.17063420869433199</v>
      </c>
      <c r="AQ10" s="460">
        <v>0.243729594054684</v>
      </c>
      <c r="AR10" s="460">
        <v>0.193243877902778</v>
      </c>
      <c r="AS10" s="461">
        <v>-3.4658674529725597E-2</v>
      </c>
      <c r="AT10" s="87"/>
      <c r="AU10" s="87"/>
      <c r="AV10" s="87"/>
    </row>
    <row r="11" spans="1:48" s="3" customFormat="1" ht="14.25" customHeight="1" x14ac:dyDescent="0.25">
      <c r="A11" s="87"/>
      <c r="B11" s="81" t="s">
        <v>1570</v>
      </c>
      <c r="C11" s="451" t="str">
        <f>VLOOKUP("T.24.06",Translation,LanguageNo+1,FALSE)</f>
        <v>EUR mittelfristiger Zinssatz</v>
      </c>
      <c r="D11" s="1139">
        <v>7.0227139018476251E-3</v>
      </c>
      <c r="E11" s="1139"/>
      <c r="F11" s="81" t="s">
        <v>1570</v>
      </c>
      <c r="G11" s="459">
        <v>0.519167148299299</v>
      </c>
      <c r="H11" s="460">
        <v>0.82222508150448204</v>
      </c>
      <c r="I11" s="460">
        <v>0.76195953469710698</v>
      </c>
      <c r="J11" s="460">
        <v>0.72923414579836798</v>
      </c>
      <c r="K11" s="460">
        <v>1</v>
      </c>
      <c r="L11" s="460">
        <v>0.91977425571398896</v>
      </c>
      <c r="M11" s="460">
        <v>0.57645639381998803</v>
      </c>
      <c r="N11" s="460">
        <v>0.80832579656233605</v>
      </c>
      <c r="O11" s="460">
        <v>0.74274413177426901</v>
      </c>
      <c r="P11" s="460">
        <v>0.58388950164067199</v>
      </c>
      <c r="Q11" s="460">
        <v>0.83816044667077805</v>
      </c>
      <c r="R11" s="460">
        <v>0.72067139311099104</v>
      </c>
      <c r="S11" s="460">
        <v>0.10004062067814</v>
      </c>
      <c r="T11" s="460">
        <v>-0.20054001428801699</v>
      </c>
      <c r="U11" s="460">
        <v>-0.190577513030356</v>
      </c>
      <c r="V11" s="460">
        <v>-0.18469541957552699</v>
      </c>
      <c r="W11" s="460">
        <v>-0.20615102524402101</v>
      </c>
      <c r="X11" s="460">
        <v>-0.24395114390748901</v>
      </c>
      <c r="Y11" s="460">
        <v>-6.8750171855737993E-2</v>
      </c>
      <c r="Z11" s="460">
        <v>-0.12382922364912601</v>
      </c>
      <c r="AA11" s="460">
        <v>-0.12959455936588199</v>
      </c>
      <c r="AB11" s="460">
        <v>-0.23747535605637701</v>
      </c>
      <c r="AC11" s="460">
        <v>-7.5630482551850994E-2</v>
      </c>
      <c r="AD11" s="460">
        <v>-0.11644691583614</v>
      </c>
      <c r="AE11" s="460">
        <v>0.10426775140160099</v>
      </c>
      <c r="AF11" s="460">
        <v>0.23261628173311999</v>
      </c>
      <c r="AG11" s="460">
        <v>6.8783227453706004E-3</v>
      </c>
      <c r="AH11" s="460">
        <v>0.144931763588771</v>
      </c>
      <c r="AI11" s="460">
        <v>-0.32018544447026298</v>
      </c>
      <c r="AJ11" s="460">
        <v>-0.14883269355682899</v>
      </c>
      <c r="AK11" s="460">
        <v>5.0900725797929702E-2</v>
      </c>
      <c r="AL11" s="460">
        <v>0.10712562272144401</v>
      </c>
      <c r="AM11" s="460">
        <v>4.02541787526947E-2</v>
      </c>
      <c r="AN11" s="460">
        <v>0.128227593941313</v>
      </c>
      <c r="AO11" s="460">
        <v>0.233092720382129</v>
      </c>
      <c r="AP11" s="460">
        <v>-6.7788969399179902E-2</v>
      </c>
      <c r="AQ11" s="460">
        <v>0.100635295835109</v>
      </c>
      <c r="AR11" s="460">
        <v>8.2307386840600599E-2</v>
      </c>
      <c r="AS11" s="461">
        <v>-0.16759021133487001</v>
      </c>
      <c r="AT11" s="87"/>
      <c r="AU11" s="87"/>
      <c r="AV11" s="87"/>
    </row>
    <row r="12" spans="1:48" s="3" customFormat="1" ht="14.25" customHeight="1" x14ac:dyDescent="0.25">
      <c r="A12" s="87"/>
      <c r="B12" s="81" t="s">
        <v>1571</v>
      </c>
      <c r="C12" s="81" t="str">
        <f>VLOOKUP("T.24.07",Translation,LanguageNo+1,FALSE)</f>
        <v>EUR langfristiger Zinssatz</v>
      </c>
      <c r="D12" s="1139">
        <v>7.4532173891911965E-3</v>
      </c>
      <c r="E12" s="1139"/>
      <c r="F12" s="81" t="s">
        <v>1571</v>
      </c>
      <c r="G12" s="459">
        <v>0.36919919690738501</v>
      </c>
      <c r="H12" s="460">
        <v>0.73911788666648304</v>
      </c>
      <c r="I12" s="460">
        <v>0.75020641593677895</v>
      </c>
      <c r="J12" s="460">
        <v>0.57253468803464902</v>
      </c>
      <c r="K12" s="460">
        <v>0.91977425571398896</v>
      </c>
      <c r="L12" s="460">
        <v>1</v>
      </c>
      <c r="M12" s="460">
        <v>0.43750077158122602</v>
      </c>
      <c r="N12" s="460">
        <v>0.72908407609109305</v>
      </c>
      <c r="O12" s="460">
        <v>0.73330014310084801</v>
      </c>
      <c r="P12" s="460">
        <v>0.46738992966005799</v>
      </c>
      <c r="Q12" s="460">
        <v>0.76525515389966403</v>
      </c>
      <c r="R12" s="460">
        <v>0.74344612410377398</v>
      </c>
      <c r="S12" s="460">
        <v>8.01178930874024E-2</v>
      </c>
      <c r="T12" s="460">
        <v>-0.16287236203713601</v>
      </c>
      <c r="U12" s="460">
        <v>-0.16264662383966499</v>
      </c>
      <c r="V12" s="460">
        <v>-0.16350949728359501</v>
      </c>
      <c r="W12" s="460">
        <v>-0.18105797056303799</v>
      </c>
      <c r="X12" s="460">
        <v>-0.19546586325488799</v>
      </c>
      <c r="Y12" s="460">
        <v>-3.9478686512308597E-2</v>
      </c>
      <c r="Z12" s="460">
        <v>-0.103568959901038</v>
      </c>
      <c r="AA12" s="460">
        <v>-9.1920798547903096E-2</v>
      </c>
      <c r="AB12" s="460">
        <v>-0.24022449002252999</v>
      </c>
      <c r="AC12" s="460">
        <v>-2.5473797205221201E-2</v>
      </c>
      <c r="AD12" s="460">
        <v>-3.2298894277391299E-2</v>
      </c>
      <c r="AE12" s="460">
        <v>8.6722823937695995E-2</v>
      </c>
      <c r="AF12" s="460">
        <v>0.246881366955568</v>
      </c>
      <c r="AG12" s="460">
        <v>-3.9068586305753598E-2</v>
      </c>
      <c r="AH12" s="460">
        <v>0.118907982783188</v>
      </c>
      <c r="AI12" s="460">
        <v>-0.31453889362964699</v>
      </c>
      <c r="AJ12" s="460">
        <v>-0.15597657323988201</v>
      </c>
      <c r="AK12" s="460">
        <v>1.34641489590495E-2</v>
      </c>
      <c r="AL12" s="460">
        <v>6.5565351513295705E-2</v>
      </c>
      <c r="AM12" s="460">
        <v>2.5217727038087799E-2</v>
      </c>
      <c r="AN12" s="460">
        <v>9.2023796312270006E-2</v>
      </c>
      <c r="AO12" s="460">
        <v>0.19658153743538001</v>
      </c>
      <c r="AP12" s="460">
        <v>-4.2181861859047903E-2</v>
      </c>
      <c r="AQ12" s="460">
        <v>3.6190884549407797E-2</v>
      </c>
      <c r="AR12" s="460">
        <v>5.6966553787359597E-2</v>
      </c>
      <c r="AS12" s="461">
        <v>-0.132946014860575</v>
      </c>
      <c r="AT12" s="87"/>
      <c r="AU12" s="87"/>
      <c r="AV12" s="87"/>
    </row>
    <row r="13" spans="1:48" s="3" customFormat="1" ht="14.25" customHeight="1" x14ac:dyDescent="0.25">
      <c r="A13" s="87"/>
      <c r="B13" s="81" t="s">
        <v>1572</v>
      </c>
      <c r="C13" s="451" t="str">
        <f>VLOOKUP("T.24.08",Translation,LanguageNo+1,FALSE)</f>
        <v>USD kurzfristiger Zinssatz</v>
      </c>
      <c r="D13" s="1139">
        <v>7.6408726310302991E-3</v>
      </c>
      <c r="E13" s="1139"/>
      <c r="F13" s="81" t="s">
        <v>1572</v>
      </c>
      <c r="G13" s="459">
        <v>0.49316899893525701</v>
      </c>
      <c r="H13" s="460">
        <v>0.46378864190392</v>
      </c>
      <c r="I13" s="460">
        <v>0.38137041940875899</v>
      </c>
      <c r="J13" s="460">
        <v>0.64198813181880998</v>
      </c>
      <c r="K13" s="460">
        <v>0.57645639381998803</v>
      </c>
      <c r="L13" s="460">
        <v>0.43750077158122602</v>
      </c>
      <c r="M13" s="460">
        <v>1</v>
      </c>
      <c r="N13" s="460">
        <v>0.72283301042631698</v>
      </c>
      <c r="O13" s="460">
        <v>0.52319385282096997</v>
      </c>
      <c r="P13" s="460">
        <v>0.63925054528700298</v>
      </c>
      <c r="Q13" s="460">
        <v>0.54745928376116904</v>
      </c>
      <c r="R13" s="460">
        <v>0.41782705689484001</v>
      </c>
      <c r="S13" s="460">
        <v>5.4829484442093498E-2</v>
      </c>
      <c r="T13" s="460">
        <v>-0.25904926277017598</v>
      </c>
      <c r="U13" s="460">
        <v>-0.310413863530694</v>
      </c>
      <c r="V13" s="460">
        <v>-0.30775302825966</v>
      </c>
      <c r="W13" s="460">
        <v>-0.32549456767463297</v>
      </c>
      <c r="X13" s="460">
        <v>-0.36515418846896402</v>
      </c>
      <c r="Y13" s="460">
        <v>-0.206615817082243</v>
      </c>
      <c r="Z13" s="460">
        <v>-0.20426151512721399</v>
      </c>
      <c r="AA13" s="460">
        <v>-0.24180498429980099</v>
      </c>
      <c r="AB13" s="460">
        <v>-0.118605315449752</v>
      </c>
      <c r="AC13" s="460">
        <v>-7.8453606055572805E-2</v>
      </c>
      <c r="AD13" s="460">
        <v>-0.203335502475228</v>
      </c>
      <c r="AE13" s="460">
        <v>0.20555711969948201</v>
      </c>
      <c r="AF13" s="460">
        <v>0.18531710749966801</v>
      </c>
      <c r="AG13" s="460">
        <v>0.28448887555329</v>
      </c>
      <c r="AH13" s="460">
        <v>0.28412001705924</v>
      </c>
      <c r="AI13" s="460">
        <v>-0.23825840935617701</v>
      </c>
      <c r="AJ13" s="460">
        <v>-0.201563399131826</v>
      </c>
      <c r="AK13" s="460">
        <v>0.20691325863679999</v>
      </c>
      <c r="AL13" s="460">
        <v>0.221757046052492</v>
      </c>
      <c r="AM13" s="460">
        <v>0.15661964040811899</v>
      </c>
      <c r="AN13" s="460">
        <v>0.24359930811776301</v>
      </c>
      <c r="AO13" s="460">
        <v>0.36194916954310002</v>
      </c>
      <c r="AP13" s="460">
        <v>-0.123430422066513</v>
      </c>
      <c r="AQ13" s="460">
        <v>0.213615293765722</v>
      </c>
      <c r="AR13" s="460">
        <v>0.271882743693873</v>
      </c>
      <c r="AS13" s="461">
        <v>7.5884409999590697E-3</v>
      </c>
      <c r="AT13" s="87"/>
      <c r="AU13" s="87"/>
      <c r="AV13" s="87"/>
    </row>
    <row r="14" spans="1:48" s="3" customFormat="1" ht="14.25" customHeight="1" x14ac:dyDescent="0.25">
      <c r="A14" s="87"/>
      <c r="B14" s="81" t="s">
        <v>1573</v>
      </c>
      <c r="C14" s="81" t="str">
        <f>VLOOKUP("T.24.09",Translation,LanguageNo+1,FALSE)</f>
        <v>USD mittelfristiger Zinssatz</v>
      </c>
      <c r="D14" s="1139">
        <v>8.570314368862136E-3</v>
      </c>
      <c r="E14" s="1139"/>
      <c r="F14" s="81" t="s">
        <v>1573</v>
      </c>
      <c r="G14" s="459">
        <v>0.40038749524342199</v>
      </c>
      <c r="H14" s="460">
        <v>0.674245793911879</v>
      </c>
      <c r="I14" s="460">
        <v>0.665099387171873</v>
      </c>
      <c r="J14" s="460">
        <v>0.54448036417245105</v>
      </c>
      <c r="K14" s="460">
        <v>0.80832579656233605</v>
      </c>
      <c r="L14" s="460">
        <v>0.72908407609109305</v>
      </c>
      <c r="M14" s="460">
        <v>0.72283301042631698</v>
      </c>
      <c r="N14" s="460">
        <v>1</v>
      </c>
      <c r="O14" s="460">
        <v>0.91024540709000001</v>
      </c>
      <c r="P14" s="460">
        <v>0.51931252263709304</v>
      </c>
      <c r="Q14" s="460">
        <v>0.79759767681343496</v>
      </c>
      <c r="R14" s="460">
        <v>0.67085405285706401</v>
      </c>
      <c r="S14" s="460">
        <v>0.112714962786419</v>
      </c>
      <c r="T14" s="460">
        <v>-0.32168964431008601</v>
      </c>
      <c r="U14" s="460">
        <v>-0.330143230565417</v>
      </c>
      <c r="V14" s="460">
        <v>-0.30782690644221</v>
      </c>
      <c r="W14" s="460">
        <v>-0.33805562103978698</v>
      </c>
      <c r="X14" s="460">
        <v>-0.424208965418023</v>
      </c>
      <c r="Y14" s="460">
        <v>-0.23468835856487799</v>
      </c>
      <c r="Z14" s="460">
        <v>-0.240976685848521</v>
      </c>
      <c r="AA14" s="460">
        <v>-0.237148917193444</v>
      </c>
      <c r="AB14" s="460">
        <v>-0.21169041189971399</v>
      </c>
      <c r="AC14" s="460">
        <v>-0.11902177447611501</v>
      </c>
      <c r="AD14" s="460">
        <v>-0.187728107004204</v>
      </c>
      <c r="AE14" s="460">
        <v>1.56762105039693E-2</v>
      </c>
      <c r="AF14" s="460">
        <v>0.18730565618605899</v>
      </c>
      <c r="AG14" s="460">
        <v>0.214348732946744</v>
      </c>
      <c r="AH14" s="460">
        <v>0.31740590690732201</v>
      </c>
      <c r="AI14" s="460">
        <v>-0.25505148362709401</v>
      </c>
      <c r="AJ14" s="460">
        <v>-0.22034556106144201</v>
      </c>
      <c r="AK14" s="460">
        <v>0.14113545906896499</v>
      </c>
      <c r="AL14" s="460">
        <v>0.17867201256495499</v>
      </c>
      <c r="AM14" s="460">
        <v>0.10984404105272499</v>
      </c>
      <c r="AN14" s="460">
        <v>0.15635606088291501</v>
      </c>
      <c r="AO14" s="460">
        <v>0.30997965042236902</v>
      </c>
      <c r="AP14" s="460">
        <v>-7.5325340926836307E-2</v>
      </c>
      <c r="AQ14" s="460">
        <v>0.17229436137401299</v>
      </c>
      <c r="AR14" s="460">
        <v>0.23545837134395101</v>
      </c>
      <c r="AS14" s="461">
        <v>-7.6213917760981006E-2</v>
      </c>
      <c r="AT14" s="87"/>
      <c r="AU14" s="87"/>
      <c r="AV14" s="87"/>
    </row>
    <row r="15" spans="1:48" s="3" customFormat="1" ht="14.25" customHeight="1" x14ac:dyDescent="0.25">
      <c r="A15" s="87"/>
      <c r="B15" s="81" t="s">
        <v>1574</v>
      </c>
      <c r="C15" s="451" t="str">
        <f>VLOOKUP("T.24.10",Translation,LanguageNo+1,FALSE)</f>
        <v>USD langfristiger Zinssatz</v>
      </c>
      <c r="D15" s="1139">
        <v>8.1627427466444986E-3</v>
      </c>
      <c r="E15" s="1139"/>
      <c r="F15" s="81" t="s">
        <v>1574</v>
      </c>
      <c r="G15" s="459">
        <v>0.31017284358473801</v>
      </c>
      <c r="H15" s="460">
        <v>0.60316482859536902</v>
      </c>
      <c r="I15" s="460">
        <v>0.64057199912907703</v>
      </c>
      <c r="J15" s="460">
        <v>0.44062410353995501</v>
      </c>
      <c r="K15" s="460">
        <v>0.74274413177426901</v>
      </c>
      <c r="L15" s="460">
        <v>0.73330014310084801</v>
      </c>
      <c r="M15" s="460">
        <v>0.52319385282096997</v>
      </c>
      <c r="N15" s="460">
        <v>0.91024540709000001</v>
      </c>
      <c r="O15" s="460">
        <v>1</v>
      </c>
      <c r="P15" s="460">
        <v>0.384073145745016</v>
      </c>
      <c r="Q15" s="460">
        <v>0.74835872595196296</v>
      </c>
      <c r="R15" s="460">
        <v>0.71718078960362297</v>
      </c>
      <c r="S15" s="460">
        <v>9.7234024364001095E-2</v>
      </c>
      <c r="T15" s="460">
        <v>-0.370748904503024</v>
      </c>
      <c r="U15" s="460">
        <v>-0.35750851519819099</v>
      </c>
      <c r="V15" s="460">
        <v>-0.35171390517234202</v>
      </c>
      <c r="W15" s="460">
        <v>-0.37219341425734898</v>
      </c>
      <c r="X15" s="460">
        <v>-0.40961259893817997</v>
      </c>
      <c r="Y15" s="460">
        <v>-0.25297381645570799</v>
      </c>
      <c r="Z15" s="460">
        <v>-0.28181490872232101</v>
      </c>
      <c r="AA15" s="460">
        <v>-0.25651476185210198</v>
      </c>
      <c r="AB15" s="460">
        <v>-0.22792292559826999</v>
      </c>
      <c r="AC15" s="460">
        <v>-0.154476682212421</v>
      </c>
      <c r="AD15" s="460">
        <v>-0.15618726697631899</v>
      </c>
      <c r="AE15" s="460">
        <v>-7.9687697498718998E-2</v>
      </c>
      <c r="AF15" s="460">
        <v>0.19108640068466001</v>
      </c>
      <c r="AG15" s="460">
        <v>0.14161277415190399</v>
      </c>
      <c r="AH15" s="460">
        <v>0.31252812525025198</v>
      </c>
      <c r="AI15" s="460">
        <v>-0.23177920189224999</v>
      </c>
      <c r="AJ15" s="460">
        <v>-0.27216272980656497</v>
      </c>
      <c r="AK15" s="460">
        <v>0.138347741617659</v>
      </c>
      <c r="AL15" s="460">
        <v>0.18298931720589201</v>
      </c>
      <c r="AM15" s="460">
        <v>0.13534612585859501</v>
      </c>
      <c r="AN15" s="460">
        <v>0.15486329386049399</v>
      </c>
      <c r="AO15" s="460">
        <v>0.27617424934496099</v>
      </c>
      <c r="AP15" s="460">
        <v>-9.1570767930647695E-2</v>
      </c>
      <c r="AQ15" s="460">
        <v>0.179300526059118</v>
      </c>
      <c r="AR15" s="460">
        <v>0.238089977926907</v>
      </c>
      <c r="AS15" s="461">
        <v>-9.5299637221394201E-2</v>
      </c>
      <c r="AT15" s="87"/>
      <c r="AU15" s="87"/>
      <c r="AV15" s="87"/>
    </row>
    <row r="16" spans="1:48" s="3" customFormat="1" ht="14.25" customHeight="1" x14ac:dyDescent="0.25">
      <c r="A16" s="87"/>
      <c r="B16" s="81" t="s">
        <v>1575</v>
      </c>
      <c r="C16" s="81" t="str">
        <f>VLOOKUP("T.24.11",Translation,LanguageNo+1,FALSE)</f>
        <v>GBP kurzfristiger Zinssatz</v>
      </c>
      <c r="D16" s="1139">
        <v>8.2993012708519383E-3</v>
      </c>
      <c r="E16" s="1139"/>
      <c r="F16" s="81" t="s">
        <v>1575</v>
      </c>
      <c r="G16" s="459">
        <v>0.58105409903492</v>
      </c>
      <c r="H16" s="460">
        <v>0.46812070213804902</v>
      </c>
      <c r="I16" s="460">
        <v>0.32884942596</v>
      </c>
      <c r="J16" s="460">
        <v>0.703008989859916</v>
      </c>
      <c r="K16" s="460">
        <v>0.58388950164067199</v>
      </c>
      <c r="L16" s="460">
        <v>0.46738992966005799</v>
      </c>
      <c r="M16" s="460">
        <v>0.63925054528700298</v>
      </c>
      <c r="N16" s="460">
        <v>0.51931252263709304</v>
      </c>
      <c r="O16" s="460">
        <v>0.384073145745016</v>
      </c>
      <c r="P16" s="460">
        <v>1</v>
      </c>
      <c r="Q16" s="460">
        <v>0.723855609974276</v>
      </c>
      <c r="R16" s="460">
        <v>0.51214477555493099</v>
      </c>
      <c r="S16" s="460">
        <v>0.15561635638615501</v>
      </c>
      <c r="T16" s="460">
        <v>-0.11917986305335899</v>
      </c>
      <c r="U16" s="460">
        <v>-0.188696425097752</v>
      </c>
      <c r="V16" s="460">
        <v>-0.189710573555634</v>
      </c>
      <c r="W16" s="460">
        <v>-0.230760403069668</v>
      </c>
      <c r="X16" s="460">
        <v>-0.26775996671784702</v>
      </c>
      <c r="Y16" s="460">
        <v>-7.1265784016428593E-2</v>
      </c>
      <c r="Z16" s="460">
        <v>-0.12968180079452099</v>
      </c>
      <c r="AA16" s="460">
        <v>-0.188704815043438</v>
      </c>
      <c r="AB16" s="460">
        <v>-0.13673629628644399</v>
      </c>
      <c r="AC16" s="460">
        <v>-6.5929707509946395E-2</v>
      </c>
      <c r="AD16" s="460">
        <v>-9.0931980744705002E-2</v>
      </c>
      <c r="AE16" s="460">
        <v>0.24503202894860801</v>
      </c>
      <c r="AF16" s="460">
        <v>0.18857086935595099</v>
      </c>
      <c r="AG16" s="460">
        <v>9.2684946449495403E-2</v>
      </c>
      <c r="AH16" s="460">
        <v>0.270646587134102</v>
      </c>
      <c r="AI16" s="460">
        <v>-0.28604949678973901</v>
      </c>
      <c r="AJ16" s="460">
        <v>-0.20151622968809299</v>
      </c>
      <c r="AK16" s="460">
        <v>7.7982207398621703E-2</v>
      </c>
      <c r="AL16" s="460">
        <v>0.10298621653848999</v>
      </c>
      <c r="AM16" s="460">
        <v>6.7226687887120204E-2</v>
      </c>
      <c r="AN16" s="460">
        <v>5.2392438071949599E-2</v>
      </c>
      <c r="AO16" s="460">
        <v>0.28579683515681498</v>
      </c>
      <c r="AP16" s="460">
        <v>-6.3982170344556499E-2</v>
      </c>
      <c r="AQ16" s="460">
        <v>0.14806087357374501</v>
      </c>
      <c r="AR16" s="460">
        <v>0.13971014857641401</v>
      </c>
      <c r="AS16" s="461">
        <v>-4.2711292250662503E-2</v>
      </c>
      <c r="AT16" s="87"/>
      <c r="AU16" s="87"/>
      <c r="AV16" s="87"/>
    </row>
    <row r="17" spans="1:48" s="3" customFormat="1" ht="14.25" customHeight="1" x14ac:dyDescent="0.25">
      <c r="A17" s="87"/>
      <c r="B17" s="81" t="s">
        <v>1576</v>
      </c>
      <c r="C17" s="451" t="str">
        <f>VLOOKUP("T.24.12",Translation,LanguageNo+1,FALSE)</f>
        <v>GBP mittelfristiger Zinssatz</v>
      </c>
      <c r="D17" s="1139">
        <v>8.4572521619203818E-3</v>
      </c>
      <c r="E17" s="1139"/>
      <c r="F17" s="81" t="s">
        <v>1576</v>
      </c>
      <c r="G17" s="459">
        <v>0.40913572865903602</v>
      </c>
      <c r="H17" s="460">
        <v>0.65803210175081805</v>
      </c>
      <c r="I17" s="460">
        <v>0.60361967102749103</v>
      </c>
      <c r="J17" s="460">
        <v>0.58061033866718903</v>
      </c>
      <c r="K17" s="460">
        <v>0.83816044667077805</v>
      </c>
      <c r="L17" s="460">
        <v>0.76525515389966403</v>
      </c>
      <c r="M17" s="460">
        <v>0.54745928376116904</v>
      </c>
      <c r="N17" s="460">
        <v>0.79759767681343496</v>
      </c>
      <c r="O17" s="460">
        <v>0.74835872595196296</v>
      </c>
      <c r="P17" s="460">
        <v>0.723855609974276</v>
      </c>
      <c r="Q17" s="460">
        <v>1</v>
      </c>
      <c r="R17" s="460">
        <v>0.85848445021127995</v>
      </c>
      <c r="S17" s="460">
        <v>0.181877827204038</v>
      </c>
      <c r="T17" s="460">
        <v>-0.18472132635038699</v>
      </c>
      <c r="U17" s="460">
        <v>-0.195089650247773</v>
      </c>
      <c r="V17" s="460">
        <v>-0.182922646000656</v>
      </c>
      <c r="W17" s="460">
        <v>-0.21500612660648899</v>
      </c>
      <c r="X17" s="460">
        <v>-0.25393561093860201</v>
      </c>
      <c r="Y17" s="460">
        <v>-9.6548427791386796E-2</v>
      </c>
      <c r="Z17" s="460">
        <v>-0.11896036799036901</v>
      </c>
      <c r="AA17" s="460">
        <v>-0.12295084212617501</v>
      </c>
      <c r="AB17" s="460">
        <v>-0.21338792675757301</v>
      </c>
      <c r="AC17" s="460">
        <v>-8.5880478029710994E-2</v>
      </c>
      <c r="AD17" s="460">
        <v>-6.6250883510260705E-2</v>
      </c>
      <c r="AE17" s="460">
        <v>7.4779947340287797E-2</v>
      </c>
      <c r="AF17" s="460">
        <v>0.18247793181672101</v>
      </c>
      <c r="AG17" s="460">
        <v>0.12490805770307301</v>
      </c>
      <c r="AH17" s="460">
        <v>0.26571906682246699</v>
      </c>
      <c r="AI17" s="460">
        <v>-0.196173573644702</v>
      </c>
      <c r="AJ17" s="460">
        <v>-0.20788947323204801</v>
      </c>
      <c r="AK17" s="460">
        <v>3.0321326693082498E-4</v>
      </c>
      <c r="AL17" s="460">
        <v>4.3119152358016298E-2</v>
      </c>
      <c r="AM17" s="460">
        <v>-2.4788615052306499E-2</v>
      </c>
      <c r="AN17" s="460">
        <v>5.1164803976188802E-3</v>
      </c>
      <c r="AO17" s="460">
        <v>0.19837537793384999</v>
      </c>
      <c r="AP17" s="460">
        <v>-1.7418577951267701E-2</v>
      </c>
      <c r="AQ17" s="460">
        <v>5.6733406331167101E-2</v>
      </c>
      <c r="AR17" s="460">
        <v>7.1759212630931699E-2</v>
      </c>
      <c r="AS17" s="461">
        <v>-0.14479632361713399</v>
      </c>
      <c r="AT17" s="87"/>
      <c r="AU17" s="87"/>
      <c r="AV17" s="87"/>
    </row>
    <row r="18" spans="1:48" s="3" customFormat="1" ht="14.25" customHeight="1" x14ac:dyDescent="0.25">
      <c r="A18" s="87"/>
      <c r="B18" s="81" t="s">
        <v>1577</v>
      </c>
      <c r="C18" s="81" t="str">
        <f>VLOOKUP("T.24.13",Translation,LanguageNo+1,FALSE)</f>
        <v>GBP langfristiger Zinssatz</v>
      </c>
      <c r="D18" s="1139">
        <v>6.8567500244729176E-3</v>
      </c>
      <c r="E18" s="1139"/>
      <c r="F18" s="81" t="s">
        <v>1577</v>
      </c>
      <c r="G18" s="459">
        <v>0.27895644743771603</v>
      </c>
      <c r="H18" s="460">
        <v>0.55326451329378701</v>
      </c>
      <c r="I18" s="460">
        <v>0.57394697397780503</v>
      </c>
      <c r="J18" s="460">
        <v>0.45459097959453798</v>
      </c>
      <c r="K18" s="460">
        <v>0.72067139311099104</v>
      </c>
      <c r="L18" s="460">
        <v>0.74344612410377398</v>
      </c>
      <c r="M18" s="460">
        <v>0.41782705689484001</v>
      </c>
      <c r="N18" s="460">
        <v>0.67085405285706401</v>
      </c>
      <c r="O18" s="460">
        <v>0.71718078960362297</v>
      </c>
      <c r="P18" s="460">
        <v>0.51214477555493099</v>
      </c>
      <c r="Q18" s="460">
        <v>0.85848445021127995</v>
      </c>
      <c r="R18" s="460">
        <v>1</v>
      </c>
      <c r="S18" s="460">
        <v>0.13726042743762801</v>
      </c>
      <c r="T18" s="460">
        <v>-0.16162634425884401</v>
      </c>
      <c r="U18" s="460">
        <v>-0.154731124413653</v>
      </c>
      <c r="V18" s="460">
        <v>-0.16217666662713201</v>
      </c>
      <c r="W18" s="460">
        <v>-0.17287787749519101</v>
      </c>
      <c r="X18" s="460">
        <v>-0.203370683884152</v>
      </c>
      <c r="Y18" s="460">
        <v>-7.7077213210147294E-2</v>
      </c>
      <c r="Z18" s="460">
        <v>-8.3137615406622803E-2</v>
      </c>
      <c r="AA18" s="460">
        <v>-6.3004116029254598E-2</v>
      </c>
      <c r="AB18" s="460">
        <v>-0.16958841754353501</v>
      </c>
      <c r="AC18" s="460">
        <v>-5.4460769409744397E-2</v>
      </c>
      <c r="AD18" s="460">
        <v>4.6279427291094797E-3</v>
      </c>
      <c r="AE18" s="460">
        <v>6.9551742332384396E-4</v>
      </c>
      <c r="AF18" s="460">
        <v>0.232282188791752</v>
      </c>
      <c r="AG18" s="460">
        <v>0.12532674137448499</v>
      </c>
      <c r="AH18" s="460">
        <v>0.24141162253135801</v>
      </c>
      <c r="AI18" s="460">
        <v>-0.13624122981065401</v>
      </c>
      <c r="AJ18" s="460">
        <v>-0.18778060752589901</v>
      </c>
      <c r="AK18" s="460">
        <v>-5.4001447294887497E-2</v>
      </c>
      <c r="AL18" s="460">
        <v>-2.2100430366938099E-2</v>
      </c>
      <c r="AM18" s="460">
        <v>-6.6255230891561698E-2</v>
      </c>
      <c r="AN18" s="460">
        <v>-2.9028883398741601E-2</v>
      </c>
      <c r="AO18" s="460">
        <v>0.14504261700354701</v>
      </c>
      <c r="AP18" s="460">
        <v>-1.35812635422566E-2</v>
      </c>
      <c r="AQ18" s="460">
        <v>-4.9503406757952003E-3</v>
      </c>
      <c r="AR18" s="460">
        <v>-5.3813903436612397E-4</v>
      </c>
      <c r="AS18" s="461">
        <v>-0.10900649356476901</v>
      </c>
      <c r="AT18" s="87"/>
      <c r="AU18" s="87"/>
      <c r="AV18" s="87"/>
    </row>
    <row r="19" spans="1:48" s="3" customFormat="1" ht="14.25" customHeight="1" x14ac:dyDescent="0.25">
      <c r="A19" s="87"/>
      <c r="B19" s="81" t="s">
        <v>57</v>
      </c>
      <c r="C19" s="451" t="str">
        <f>VLOOKUP("T.24.14",Translation,LanguageNo+1,FALSE)</f>
        <v>Implizite Zinsvolatilität</v>
      </c>
      <c r="D19" s="1139">
        <v>0.14560001899945349</v>
      </c>
      <c r="E19" s="1139"/>
      <c r="F19" s="81" t="s">
        <v>57</v>
      </c>
      <c r="G19" s="459">
        <v>6.7687970230208394E-2</v>
      </c>
      <c r="H19" s="460">
        <v>6.18216981781207E-2</v>
      </c>
      <c r="I19" s="460">
        <v>4.2400860622615097E-2</v>
      </c>
      <c r="J19" s="460">
        <v>7.2382506437769001E-2</v>
      </c>
      <c r="K19" s="460">
        <v>0.10004062067814</v>
      </c>
      <c r="L19" s="460">
        <v>8.01178930874024E-2</v>
      </c>
      <c r="M19" s="460">
        <v>5.4829484442093498E-2</v>
      </c>
      <c r="N19" s="460">
        <v>0.112714962786419</v>
      </c>
      <c r="O19" s="460">
        <v>9.7234024364001095E-2</v>
      </c>
      <c r="P19" s="460">
        <v>0.15561635638615501</v>
      </c>
      <c r="Q19" s="460">
        <v>0.181877827204038</v>
      </c>
      <c r="R19" s="460">
        <v>0.13726042743762801</v>
      </c>
      <c r="S19" s="460">
        <v>1</v>
      </c>
      <c r="T19" s="460">
        <v>9.8847905247947898E-2</v>
      </c>
      <c r="U19" s="460">
        <v>1.8649380929582099E-2</v>
      </c>
      <c r="V19" s="460">
        <v>3.9006705888558597E-2</v>
      </c>
      <c r="W19" s="460">
        <v>2.6848274688770601E-2</v>
      </c>
      <c r="X19" s="460">
        <v>8.2256737576905006E-2</v>
      </c>
      <c r="Y19" s="460">
        <v>0.13569364332462799</v>
      </c>
      <c r="Z19" s="460">
        <v>0.13828695677594499</v>
      </c>
      <c r="AA19" s="460">
        <v>0.10783429720410299</v>
      </c>
      <c r="AB19" s="460">
        <v>9.2820465573180397E-2</v>
      </c>
      <c r="AC19" s="460">
        <v>-0.103650876746853</v>
      </c>
      <c r="AD19" s="460">
        <v>8.3174946163502794E-2</v>
      </c>
      <c r="AE19" s="460">
        <v>-5.7555398052714098E-2</v>
      </c>
      <c r="AF19" s="460">
        <v>-2.7359467391418198E-2</v>
      </c>
      <c r="AG19" s="460">
        <v>0.179556559643967</v>
      </c>
      <c r="AH19" s="460">
        <v>0.106702002132081</v>
      </c>
      <c r="AI19" s="460">
        <v>0.100363209354509</v>
      </c>
      <c r="AJ19" s="460">
        <v>7.7664575122011498E-2</v>
      </c>
      <c r="AK19" s="460">
        <v>-0.298206973981886</v>
      </c>
      <c r="AL19" s="460">
        <v>-0.29928248634785198</v>
      </c>
      <c r="AM19" s="460">
        <v>-0.32173424236779602</v>
      </c>
      <c r="AN19" s="460">
        <v>-0.26527516964860198</v>
      </c>
      <c r="AO19" s="460">
        <v>-0.19635699397581299</v>
      </c>
      <c r="AP19" s="460">
        <v>0.26923649652108</v>
      </c>
      <c r="AQ19" s="460">
        <v>-0.15497934454516701</v>
      </c>
      <c r="AR19" s="460">
        <v>-0.239892573261269</v>
      </c>
      <c r="AS19" s="461">
        <v>-0.144528557873698</v>
      </c>
      <c r="AT19" s="87"/>
      <c r="AU19" s="87"/>
      <c r="AV19" s="87"/>
    </row>
    <row r="20" spans="1:48" s="3" customFormat="1" ht="14.25" customHeight="1" x14ac:dyDescent="0.25">
      <c r="A20" s="87"/>
      <c r="B20" s="81" t="s">
        <v>1578</v>
      </c>
      <c r="C20" s="81" t="str">
        <f>VLOOKUP("T.24.15",Translation,LanguageNo+1,FALSE)</f>
        <v>Credit Spread USA AAA</v>
      </c>
      <c r="D20" s="1139">
        <v>4.0352038661614483E-3</v>
      </c>
      <c r="E20" s="1139"/>
      <c r="F20" s="81" t="s">
        <v>1578</v>
      </c>
      <c r="G20" s="459">
        <v>-0.16392857021513699</v>
      </c>
      <c r="H20" s="460">
        <v>-0.14619348929451301</v>
      </c>
      <c r="I20" s="460">
        <v>-0.15155556681928201</v>
      </c>
      <c r="J20" s="460">
        <v>-0.209910897587504</v>
      </c>
      <c r="K20" s="460">
        <v>-0.20054001428801699</v>
      </c>
      <c r="L20" s="460">
        <v>-0.16287236203713601</v>
      </c>
      <c r="M20" s="460">
        <v>-0.25904926277017598</v>
      </c>
      <c r="N20" s="460">
        <v>-0.32168964431008601</v>
      </c>
      <c r="O20" s="460">
        <v>-0.370748904503024</v>
      </c>
      <c r="P20" s="460">
        <v>-0.11917986305335899</v>
      </c>
      <c r="Q20" s="460">
        <v>-0.18472132635038699</v>
      </c>
      <c r="R20" s="460">
        <v>-0.16162634425884401</v>
      </c>
      <c r="S20" s="460">
        <v>9.8847905247947898E-2</v>
      </c>
      <c r="T20" s="460">
        <v>1</v>
      </c>
      <c r="U20" s="460">
        <v>0.84619087067919696</v>
      </c>
      <c r="V20" s="460">
        <v>0.827554046944461</v>
      </c>
      <c r="W20" s="460">
        <v>0.789903763109567</v>
      </c>
      <c r="X20" s="460">
        <v>0.62394059909397803</v>
      </c>
      <c r="Y20" s="460">
        <v>0.56379269396547804</v>
      </c>
      <c r="Z20" s="460">
        <v>0.67236476281730195</v>
      </c>
      <c r="AA20" s="460">
        <v>0.648773243550818</v>
      </c>
      <c r="AB20" s="460">
        <v>0.22957620016100599</v>
      </c>
      <c r="AC20" s="460">
        <v>0.23263979259065101</v>
      </c>
      <c r="AD20" s="460">
        <v>0.47075345711691702</v>
      </c>
      <c r="AE20" s="460">
        <v>4.5512814233625298E-2</v>
      </c>
      <c r="AF20" s="460">
        <v>-6.3094202523469603E-2</v>
      </c>
      <c r="AG20" s="460">
        <v>0.19669522713958601</v>
      </c>
      <c r="AH20" s="460">
        <v>-0.17742590253812901</v>
      </c>
      <c r="AI20" s="460">
        <v>0.26122167432091697</v>
      </c>
      <c r="AJ20" s="460">
        <v>0.36259807044155801</v>
      </c>
      <c r="AK20" s="460">
        <v>-0.39548871821853498</v>
      </c>
      <c r="AL20" s="460">
        <v>-0.53388333530501098</v>
      </c>
      <c r="AM20" s="460">
        <v>-0.55184216345549297</v>
      </c>
      <c r="AN20" s="460">
        <v>-0.48326568646022999</v>
      </c>
      <c r="AO20" s="460">
        <v>-0.48271474029222999</v>
      </c>
      <c r="AP20" s="460">
        <v>0.47186509446675501</v>
      </c>
      <c r="AQ20" s="460">
        <v>-0.59817109162483995</v>
      </c>
      <c r="AR20" s="460">
        <v>-0.48908238260950498</v>
      </c>
      <c r="AS20" s="461">
        <v>-0.25984261667002101</v>
      </c>
      <c r="AT20" s="87"/>
      <c r="AU20" s="87"/>
      <c r="AV20" s="87"/>
    </row>
    <row r="21" spans="1:48" s="3" customFormat="1" ht="14.25" customHeight="1" x14ac:dyDescent="0.25">
      <c r="A21" s="87"/>
      <c r="B21" s="81" t="s">
        <v>1579</v>
      </c>
      <c r="C21" s="451" t="str">
        <f>VLOOKUP("T.24.16",Translation,LanguageNo+1,FALSE)</f>
        <v>Credit Spread USA AA</v>
      </c>
      <c r="D21" s="1139">
        <v>4.3925425201294934E-3</v>
      </c>
      <c r="E21" s="1139"/>
      <c r="F21" s="81" t="s">
        <v>1579</v>
      </c>
      <c r="G21" s="459">
        <v>-0.172474630818271</v>
      </c>
      <c r="H21" s="460">
        <v>-9.3969644935338603E-2</v>
      </c>
      <c r="I21" s="460">
        <v>-0.124587943403509</v>
      </c>
      <c r="J21" s="460">
        <v>-0.23971981438915399</v>
      </c>
      <c r="K21" s="460">
        <v>-0.190577513030356</v>
      </c>
      <c r="L21" s="460">
        <v>-0.16264662383966499</v>
      </c>
      <c r="M21" s="460">
        <v>-0.310413863530694</v>
      </c>
      <c r="N21" s="460">
        <v>-0.330143230565417</v>
      </c>
      <c r="O21" s="460">
        <v>-0.35750851519819099</v>
      </c>
      <c r="P21" s="460">
        <v>-0.188696425097752</v>
      </c>
      <c r="Q21" s="460">
        <v>-0.195089650247773</v>
      </c>
      <c r="R21" s="460">
        <v>-0.154731124413653</v>
      </c>
      <c r="S21" s="460">
        <v>1.8649380929582099E-2</v>
      </c>
      <c r="T21" s="460">
        <v>0.84619087067919696</v>
      </c>
      <c r="U21" s="460">
        <v>1</v>
      </c>
      <c r="V21" s="460">
        <v>0.95409743094778698</v>
      </c>
      <c r="W21" s="460">
        <v>0.93180394974513303</v>
      </c>
      <c r="X21" s="460">
        <v>0.72696548581074405</v>
      </c>
      <c r="Y21" s="460">
        <v>0.72132907121495304</v>
      </c>
      <c r="Z21" s="460">
        <v>0.78327129476178403</v>
      </c>
      <c r="AA21" s="460">
        <v>0.78841682452758399</v>
      </c>
      <c r="AB21" s="460">
        <v>0.274902798976778</v>
      </c>
      <c r="AC21" s="460">
        <v>0.22191235010160601</v>
      </c>
      <c r="AD21" s="460">
        <v>0.54969766950813204</v>
      </c>
      <c r="AE21" s="460">
        <v>-2.7223385831321601E-2</v>
      </c>
      <c r="AF21" s="460">
        <v>-0.14331631873564901</v>
      </c>
      <c r="AG21" s="460">
        <v>0.167686316050567</v>
      </c>
      <c r="AH21" s="460">
        <v>-0.26302751817848702</v>
      </c>
      <c r="AI21" s="460">
        <v>0.27425776721720901</v>
      </c>
      <c r="AJ21" s="460">
        <v>0.42694587795241401</v>
      </c>
      <c r="AK21" s="460">
        <v>-0.419745411574175</v>
      </c>
      <c r="AL21" s="460">
        <v>-0.560381805385476</v>
      </c>
      <c r="AM21" s="460">
        <v>-0.58669462842258302</v>
      </c>
      <c r="AN21" s="460">
        <v>-0.52418011491942196</v>
      </c>
      <c r="AO21" s="460">
        <v>-0.47466308694673198</v>
      </c>
      <c r="AP21" s="460">
        <v>0.45912323403723598</v>
      </c>
      <c r="AQ21" s="460">
        <v>-0.67001436260939295</v>
      </c>
      <c r="AR21" s="460">
        <v>-0.56359077819869197</v>
      </c>
      <c r="AS21" s="461">
        <v>-0.33406696884279602</v>
      </c>
      <c r="AT21" s="87"/>
      <c r="AU21" s="87"/>
      <c r="AV21" s="87"/>
    </row>
    <row r="22" spans="1:48" s="3" customFormat="1" ht="14.25" customHeight="1" x14ac:dyDescent="0.25">
      <c r="A22" s="87"/>
      <c r="B22" s="81" t="s">
        <v>1580</v>
      </c>
      <c r="C22" s="81" t="str">
        <f>VLOOKUP("T.24.17",Translation,LanguageNo+1,FALSE)</f>
        <v>Credit Spread USA A</v>
      </c>
      <c r="D22" s="1139">
        <v>5.3008586154497748E-3</v>
      </c>
      <c r="E22" s="1139"/>
      <c r="F22" s="81" t="s">
        <v>1580</v>
      </c>
      <c r="G22" s="459">
        <v>-0.145773682135663</v>
      </c>
      <c r="H22" s="460">
        <v>-8.3355548777797495E-2</v>
      </c>
      <c r="I22" s="460">
        <v>-0.12023415489017</v>
      </c>
      <c r="J22" s="460">
        <v>-0.24694086234586299</v>
      </c>
      <c r="K22" s="460">
        <v>-0.18469541957552699</v>
      </c>
      <c r="L22" s="460">
        <v>-0.16350949728359501</v>
      </c>
      <c r="M22" s="460">
        <v>-0.30775302825966</v>
      </c>
      <c r="N22" s="460">
        <v>-0.30782690644221</v>
      </c>
      <c r="O22" s="460">
        <v>-0.35171390517234202</v>
      </c>
      <c r="P22" s="460">
        <v>-0.189710573555634</v>
      </c>
      <c r="Q22" s="460">
        <v>-0.182922646000656</v>
      </c>
      <c r="R22" s="460">
        <v>-0.16217666662713201</v>
      </c>
      <c r="S22" s="460">
        <v>3.9006705888558597E-2</v>
      </c>
      <c r="T22" s="460">
        <v>0.827554046944461</v>
      </c>
      <c r="U22" s="460">
        <v>0.95409743094778698</v>
      </c>
      <c r="V22" s="460">
        <v>1</v>
      </c>
      <c r="W22" s="460">
        <v>0.97297452392455097</v>
      </c>
      <c r="X22" s="460">
        <v>0.71221366337965397</v>
      </c>
      <c r="Y22" s="460">
        <v>0.70335503531696897</v>
      </c>
      <c r="Z22" s="460">
        <v>0.78279472062540101</v>
      </c>
      <c r="AA22" s="460">
        <v>0.79363954069446596</v>
      </c>
      <c r="AB22" s="460">
        <v>0.268423169814486</v>
      </c>
      <c r="AC22" s="460">
        <v>0.194730120418071</v>
      </c>
      <c r="AD22" s="460">
        <v>0.54351466167715401</v>
      </c>
      <c r="AE22" s="460">
        <v>-7.3362219899165401E-2</v>
      </c>
      <c r="AF22" s="460">
        <v>-0.14432124863814799</v>
      </c>
      <c r="AG22" s="460">
        <v>0.17664821444961901</v>
      </c>
      <c r="AH22" s="460">
        <v>-0.23563262182484601</v>
      </c>
      <c r="AI22" s="460">
        <v>0.27989992039991801</v>
      </c>
      <c r="AJ22" s="460">
        <v>0.40769055534974202</v>
      </c>
      <c r="AK22" s="460">
        <v>-0.40005727379046502</v>
      </c>
      <c r="AL22" s="460">
        <v>-0.55804878029762195</v>
      </c>
      <c r="AM22" s="460">
        <v>-0.57851564550943901</v>
      </c>
      <c r="AN22" s="460">
        <v>-0.52078873116904001</v>
      </c>
      <c r="AO22" s="460">
        <v>-0.484882942784988</v>
      </c>
      <c r="AP22" s="460">
        <v>0.43616009699769298</v>
      </c>
      <c r="AQ22" s="460">
        <v>-0.68437655333018299</v>
      </c>
      <c r="AR22" s="460">
        <v>-0.57181793859869001</v>
      </c>
      <c r="AS22" s="461">
        <v>-0.32960281608832298</v>
      </c>
      <c r="AT22" s="87"/>
      <c r="AU22" s="87"/>
      <c r="AV22" s="87"/>
    </row>
    <row r="23" spans="1:48" s="3" customFormat="1" ht="14.25" customHeight="1" x14ac:dyDescent="0.25">
      <c r="A23" s="87"/>
      <c r="B23" s="81" t="s">
        <v>1581</v>
      </c>
      <c r="C23" s="451" t="str">
        <f>VLOOKUP("T.24.18",Translation,LanguageNo+1,FALSE)</f>
        <v>Credit Spread USA BBB</v>
      </c>
      <c r="D23" s="1139">
        <v>7.7627708244447577E-3</v>
      </c>
      <c r="E23" s="1139"/>
      <c r="F23" s="81" t="s">
        <v>1581</v>
      </c>
      <c r="G23" s="459">
        <v>-0.15175289851274301</v>
      </c>
      <c r="H23" s="460">
        <v>-8.6516616186772796E-2</v>
      </c>
      <c r="I23" s="460">
        <v>-0.12233626861581599</v>
      </c>
      <c r="J23" s="460">
        <v>-0.28397550536246402</v>
      </c>
      <c r="K23" s="460">
        <v>-0.20615102524402101</v>
      </c>
      <c r="L23" s="460">
        <v>-0.18105797056303799</v>
      </c>
      <c r="M23" s="460">
        <v>-0.32549456767463297</v>
      </c>
      <c r="N23" s="460">
        <v>-0.33805562103978698</v>
      </c>
      <c r="O23" s="460">
        <v>-0.37219341425734898</v>
      </c>
      <c r="P23" s="460">
        <v>-0.230760403069668</v>
      </c>
      <c r="Q23" s="460">
        <v>-0.21500612660648899</v>
      </c>
      <c r="R23" s="460">
        <v>-0.17287787749519101</v>
      </c>
      <c r="S23" s="460">
        <v>2.6848274688770601E-2</v>
      </c>
      <c r="T23" s="460">
        <v>0.789903763109567</v>
      </c>
      <c r="U23" s="460">
        <v>0.93180394974513303</v>
      </c>
      <c r="V23" s="460">
        <v>0.97297452392455097</v>
      </c>
      <c r="W23" s="460">
        <v>1</v>
      </c>
      <c r="X23" s="460">
        <v>0.76561393661172195</v>
      </c>
      <c r="Y23" s="460">
        <v>0.72362018780491999</v>
      </c>
      <c r="Z23" s="460">
        <v>0.80980751027702302</v>
      </c>
      <c r="AA23" s="460">
        <v>0.82130984975256804</v>
      </c>
      <c r="AB23" s="460">
        <v>0.30867369778519199</v>
      </c>
      <c r="AC23" s="460">
        <v>0.19044422032147701</v>
      </c>
      <c r="AD23" s="460">
        <v>0.55747000545719205</v>
      </c>
      <c r="AE23" s="460">
        <v>-7.8854113279926294E-2</v>
      </c>
      <c r="AF23" s="460">
        <v>-0.17307694408904201</v>
      </c>
      <c r="AG23" s="460">
        <v>0.17252404850873501</v>
      </c>
      <c r="AH23" s="460">
        <v>-0.25266048358552201</v>
      </c>
      <c r="AI23" s="460">
        <v>0.28877239906063801</v>
      </c>
      <c r="AJ23" s="460">
        <v>0.42946103190523699</v>
      </c>
      <c r="AK23" s="460">
        <v>-0.434216391456826</v>
      </c>
      <c r="AL23" s="460">
        <v>-0.60306707247806701</v>
      </c>
      <c r="AM23" s="460">
        <v>-0.61605060228254105</v>
      </c>
      <c r="AN23" s="460">
        <v>-0.55861033403455995</v>
      </c>
      <c r="AO23" s="460">
        <v>-0.52084125247503199</v>
      </c>
      <c r="AP23" s="460">
        <v>0.43358278699452801</v>
      </c>
      <c r="AQ23" s="460">
        <v>-0.71469910108565204</v>
      </c>
      <c r="AR23" s="460">
        <v>-0.63597064396597602</v>
      </c>
      <c r="AS23" s="461">
        <v>-0.34852598134096302</v>
      </c>
      <c r="AT23" s="87"/>
      <c r="AU23" s="87"/>
      <c r="AV23" s="87"/>
    </row>
    <row r="24" spans="1:48" s="3" customFormat="1" ht="14.25" customHeight="1" x14ac:dyDescent="0.25">
      <c r="A24" s="87"/>
      <c r="B24" s="81" t="s">
        <v>1582</v>
      </c>
      <c r="C24" s="81" t="str">
        <f>VLOOKUP("T.24.19",Translation,LanguageNo+1,FALSE)</f>
        <v>Credit Spread USA BB</v>
      </c>
      <c r="D24" s="1139">
        <v>1.2471478714765824E-2</v>
      </c>
      <c r="E24" s="1139"/>
      <c r="F24" s="81" t="s">
        <v>1582</v>
      </c>
      <c r="G24" s="459">
        <v>-0.200830673203338</v>
      </c>
      <c r="H24" s="460">
        <v>-0.111374718857082</v>
      </c>
      <c r="I24" s="460">
        <v>-0.140399963084058</v>
      </c>
      <c r="J24" s="460">
        <v>-0.30386038262062698</v>
      </c>
      <c r="K24" s="460">
        <v>-0.24395114390748901</v>
      </c>
      <c r="L24" s="460">
        <v>-0.19546586325488799</v>
      </c>
      <c r="M24" s="460">
        <v>-0.36515418846896402</v>
      </c>
      <c r="N24" s="460">
        <v>-0.424208965418023</v>
      </c>
      <c r="O24" s="460">
        <v>-0.40961259893817997</v>
      </c>
      <c r="P24" s="460">
        <v>-0.26775996671784702</v>
      </c>
      <c r="Q24" s="460">
        <v>-0.25393561093860201</v>
      </c>
      <c r="R24" s="460">
        <v>-0.203370683884152</v>
      </c>
      <c r="S24" s="460">
        <v>8.2256737576905006E-2</v>
      </c>
      <c r="T24" s="460">
        <v>0.62394059909397803</v>
      </c>
      <c r="U24" s="460">
        <v>0.72696548581074405</v>
      </c>
      <c r="V24" s="460">
        <v>0.71221366337965397</v>
      </c>
      <c r="W24" s="460">
        <v>0.76561393661172195</v>
      </c>
      <c r="X24" s="460">
        <v>1</v>
      </c>
      <c r="Y24" s="460">
        <v>0.70231192555149702</v>
      </c>
      <c r="Z24" s="460">
        <v>0.73485137469079198</v>
      </c>
      <c r="AA24" s="460">
        <v>0.75326161457488505</v>
      </c>
      <c r="AB24" s="460">
        <v>0.27834788305429697</v>
      </c>
      <c r="AC24" s="460">
        <v>0.16429320510211901</v>
      </c>
      <c r="AD24" s="460">
        <v>0.46527017615971</v>
      </c>
      <c r="AE24" s="460">
        <v>4.2640677861040897E-3</v>
      </c>
      <c r="AF24" s="460">
        <v>-0.222782703890573</v>
      </c>
      <c r="AG24" s="460">
        <v>2.6346575212700601E-2</v>
      </c>
      <c r="AH24" s="460">
        <v>-0.418429626192657</v>
      </c>
      <c r="AI24" s="460">
        <v>0.22315677322522501</v>
      </c>
      <c r="AJ24" s="460">
        <v>0.397092683533049</v>
      </c>
      <c r="AK24" s="460">
        <v>-0.55757710980295805</v>
      </c>
      <c r="AL24" s="460">
        <v>-0.64517739394302498</v>
      </c>
      <c r="AM24" s="460">
        <v>-0.66808452518375105</v>
      </c>
      <c r="AN24" s="460">
        <v>-0.52581701632053601</v>
      </c>
      <c r="AO24" s="460">
        <v>-0.55786200192526902</v>
      </c>
      <c r="AP24" s="460">
        <v>0.44187010713305602</v>
      </c>
      <c r="AQ24" s="460">
        <v>-0.71929893340336903</v>
      </c>
      <c r="AR24" s="460">
        <v>-0.69612206757842299</v>
      </c>
      <c r="AS24" s="461">
        <v>-0.36709144349313899</v>
      </c>
      <c r="AT24" s="87"/>
      <c r="AU24" s="87"/>
      <c r="AV24" s="87"/>
    </row>
    <row r="25" spans="1:48" s="3" customFormat="1" ht="14.25" customHeight="1" x14ac:dyDescent="0.25">
      <c r="A25" s="87"/>
      <c r="B25" s="452" t="s">
        <v>1599</v>
      </c>
      <c r="C25" s="451" t="str">
        <f>VLOOKUP("T.24.20",Translation,LanguageNo+1,FALSE)</f>
        <v>Credit Spread EU AA</v>
      </c>
      <c r="D25" s="1139">
        <v>4.4803063960854837E-3</v>
      </c>
      <c r="E25" s="1139"/>
      <c r="F25" s="452" t="s">
        <v>1599</v>
      </c>
      <c r="G25" s="459">
        <v>-4.9592020928139899E-2</v>
      </c>
      <c r="H25" s="460">
        <v>7.5871369298816202E-2</v>
      </c>
      <c r="I25" s="460">
        <v>1.63103189689657E-2</v>
      </c>
      <c r="J25" s="460">
        <v>-9.1190300759600301E-2</v>
      </c>
      <c r="K25" s="460">
        <v>-6.8750171855737993E-2</v>
      </c>
      <c r="L25" s="460">
        <v>-3.9478686512308597E-2</v>
      </c>
      <c r="M25" s="460">
        <v>-0.206615817082243</v>
      </c>
      <c r="N25" s="460">
        <v>-0.23468835856487799</v>
      </c>
      <c r="O25" s="460">
        <v>-0.25297381645570799</v>
      </c>
      <c r="P25" s="460">
        <v>-7.1265784016428593E-2</v>
      </c>
      <c r="Q25" s="460">
        <v>-9.6548427791386796E-2</v>
      </c>
      <c r="R25" s="460">
        <v>-7.7077213210147294E-2</v>
      </c>
      <c r="S25" s="460">
        <v>0.13569364332462799</v>
      </c>
      <c r="T25" s="460">
        <v>0.56379269396547804</v>
      </c>
      <c r="U25" s="460">
        <v>0.72132907121495304</v>
      </c>
      <c r="V25" s="460">
        <v>0.70335503531696897</v>
      </c>
      <c r="W25" s="460">
        <v>0.72362018780491999</v>
      </c>
      <c r="X25" s="460">
        <v>0.70231192555149702</v>
      </c>
      <c r="Y25" s="460">
        <v>1</v>
      </c>
      <c r="Z25" s="460">
        <v>0.87150984980229296</v>
      </c>
      <c r="AA25" s="460">
        <v>0.82107326146767901</v>
      </c>
      <c r="AB25" s="460">
        <v>0.37523183257309201</v>
      </c>
      <c r="AC25" s="460">
        <v>0.16698081414869201</v>
      </c>
      <c r="AD25" s="460">
        <v>0.529754296334492</v>
      </c>
      <c r="AE25" s="460">
        <v>2.04713443323612E-2</v>
      </c>
      <c r="AF25" s="460">
        <v>-0.14220643379881001</v>
      </c>
      <c r="AG25" s="460">
        <v>5.7028534009143303E-2</v>
      </c>
      <c r="AH25" s="460">
        <v>-0.27199525538369101</v>
      </c>
      <c r="AI25" s="460">
        <v>0.122625614308008</v>
      </c>
      <c r="AJ25" s="460">
        <v>0.34157937210391398</v>
      </c>
      <c r="AK25" s="460">
        <v>-0.46465570924097599</v>
      </c>
      <c r="AL25" s="460">
        <v>-0.57836744850090804</v>
      </c>
      <c r="AM25" s="460">
        <v>-0.57414045994446605</v>
      </c>
      <c r="AN25" s="460">
        <v>-0.50482080547302399</v>
      </c>
      <c r="AO25" s="460">
        <v>-0.42032174439234199</v>
      </c>
      <c r="AP25" s="460">
        <v>0.40123400575484902</v>
      </c>
      <c r="AQ25" s="460">
        <v>-0.64153519830834804</v>
      </c>
      <c r="AR25" s="460">
        <v>-0.61931426179836402</v>
      </c>
      <c r="AS25" s="461">
        <v>-0.35195960706087198</v>
      </c>
      <c r="AT25" s="87"/>
      <c r="AU25" s="87"/>
      <c r="AV25" s="87"/>
    </row>
    <row r="26" spans="1:48" s="3" customFormat="1" ht="14.25" customHeight="1" x14ac:dyDescent="0.25">
      <c r="A26" s="87"/>
      <c r="B26" s="452" t="s">
        <v>1601</v>
      </c>
      <c r="C26" s="81" t="str">
        <f>VLOOKUP("T.24.21",Translation,LanguageNo+1,FALSE)</f>
        <v>Credit Spread EU A</v>
      </c>
      <c r="D26" s="1139">
        <v>5.5244920606263596E-3</v>
      </c>
      <c r="E26" s="1139"/>
      <c r="F26" s="452" t="s">
        <v>1601</v>
      </c>
      <c r="G26" s="459">
        <v>-9.2171691426117405E-2</v>
      </c>
      <c r="H26" s="460">
        <v>1.07173101146989E-2</v>
      </c>
      <c r="I26" s="460">
        <v>-2.4803691675282898E-2</v>
      </c>
      <c r="J26" s="460">
        <v>-0.20697622848533101</v>
      </c>
      <c r="K26" s="460">
        <v>-0.12382922364912601</v>
      </c>
      <c r="L26" s="460">
        <v>-0.103568959901038</v>
      </c>
      <c r="M26" s="460">
        <v>-0.20426151512721399</v>
      </c>
      <c r="N26" s="460">
        <v>-0.240976685848521</v>
      </c>
      <c r="O26" s="460">
        <v>-0.28181490872232101</v>
      </c>
      <c r="P26" s="460">
        <v>-0.12968180079452099</v>
      </c>
      <c r="Q26" s="460">
        <v>-0.11896036799036901</v>
      </c>
      <c r="R26" s="460">
        <v>-8.3137615406622803E-2</v>
      </c>
      <c r="S26" s="460">
        <v>0.13828695677594499</v>
      </c>
      <c r="T26" s="460">
        <v>0.67236476281730195</v>
      </c>
      <c r="U26" s="460">
        <v>0.78327129476178403</v>
      </c>
      <c r="V26" s="460">
        <v>0.78279472062540101</v>
      </c>
      <c r="W26" s="460">
        <v>0.80980751027702302</v>
      </c>
      <c r="X26" s="460">
        <v>0.73485137469079198</v>
      </c>
      <c r="Y26" s="460">
        <v>0.87150984980229296</v>
      </c>
      <c r="Z26" s="460">
        <v>1</v>
      </c>
      <c r="AA26" s="460">
        <v>0.94653147092621104</v>
      </c>
      <c r="AB26" s="460">
        <v>0.42276792720206402</v>
      </c>
      <c r="AC26" s="460">
        <v>0.215815790075778</v>
      </c>
      <c r="AD26" s="460">
        <v>0.56355286965290396</v>
      </c>
      <c r="AE26" s="460">
        <v>1.21711428729034E-2</v>
      </c>
      <c r="AF26" s="460">
        <v>-0.15542716280511201</v>
      </c>
      <c r="AG26" s="460">
        <v>0.186813759960162</v>
      </c>
      <c r="AH26" s="460">
        <v>-0.21321026261199899</v>
      </c>
      <c r="AI26" s="460">
        <v>0.26004419364646297</v>
      </c>
      <c r="AJ26" s="460">
        <v>0.41646325563539999</v>
      </c>
      <c r="AK26" s="460">
        <v>-0.51282109308352097</v>
      </c>
      <c r="AL26" s="460">
        <v>-0.66825635187121901</v>
      </c>
      <c r="AM26" s="460">
        <v>-0.64337465477748301</v>
      </c>
      <c r="AN26" s="460">
        <v>-0.57515592497829904</v>
      </c>
      <c r="AO26" s="460">
        <v>-0.501786276617462</v>
      </c>
      <c r="AP26" s="460">
        <v>0.427380271983896</v>
      </c>
      <c r="AQ26" s="460">
        <v>-0.67184840465975604</v>
      </c>
      <c r="AR26" s="460">
        <v>-0.67604348099630795</v>
      </c>
      <c r="AS26" s="461">
        <v>-0.36467437688945198</v>
      </c>
      <c r="AT26" s="87"/>
      <c r="AU26" s="87"/>
      <c r="AV26" s="87"/>
    </row>
    <row r="27" spans="1:48" s="3" customFormat="1" ht="14.25" customHeight="1" x14ac:dyDescent="0.25">
      <c r="A27" s="87"/>
      <c r="B27" s="452" t="s">
        <v>1600</v>
      </c>
      <c r="C27" s="451" t="str">
        <f>VLOOKUP("T.24.22",Translation,LanguageNo+1,FALSE)</f>
        <v>Credit Spread EU BBB</v>
      </c>
      <c r="D27" s="1139">
        <v>7.2399161299380663E-3</v>
      </c>
      <c r="E27" s="1139"/>
      <c r="F27" s="452" t="s">
        <v>1600</v>
      </c>
      <c r="G27" s="459">
        <v>-0.14025194241056299</v>
      </c>
      <c r="H27" s="460">
        <v>8.5735244899845797E-3</v>
      </c>
      <c r="I27" s="460">
        <v>-1.9305238174044899E-2</v>
      </c>
      <c r="J27" s="460">
        <v>-0.25642866110811902</v>
      </c>
      <c r="K27" s="460">
        <v>-0.12959455936588199</v>
      </c>
      <c r="L27" s="460">
        <v>-9.1920798547903096E-2</v>
      </c>
      <c r="M27" s="460">
        <v>-0.24180498429980099</v>
      </c>
      <c r="N27" s="460">
        <v>-0.237148917193444</v>
      </c>
      <c r="O27" s="460">
        <v>-0.25651476185210198</v>
      </c>
      <c r="P27" s="460">
        <v>-0.188704815043438</v>
      </c>
      <c r="Q27" s="460">
        <v>-0.12295084212617501</v>
      </c>
      <c r="R27" s="460">
        <v>-6.3004116029254598E-2</v>
      </c>
      <c r="S27" s="460">
        <v>0.10783429720410299</v>
      </c>
      <c r="T27" s="460">
        <v>0.648773243550818</v>
      </c>
      <c r="U27" s="460">
        <v>0.78841682452758399</v>
      </c>
      <c r="V27" s="460">
        <v>0.79363954069446596</v>
      </c>
      <c r="W27" s="460">
        <v>0.82130984975256804</v>
      </c>
      <c r="X27" s="460">
        <v>0.75326161457488505</v>
      </c>
      <c r="Y27" s="460">
        <v>0.82107326146767901</v>
      </c>
      <c r="Z27" s="460">
        <v>0.94653147092621104</v>
      </c>
      <c r="AA27" s="460">
        <v>1</v>
      </c>
      <c r="AB27" s="460">
        <v>0.33204546550886199</v>
      </c>
      <c r="AC27" s="460">
        <v>0.23325577145974799</v>
      </c>
      <c r="AD27" s="460">
        <v>0.58059394781482598</v>
      </c>
      <c r="AE27" s="460">
        <v>2.7576226038707801E-3</v>
      </c>
      <c r="AF27" s="460">
        <v>-0.161098830543419</v>
      </c>
      <c r="AG27" s="460">
        <v>0.163853114853938</v>
      </c>
      <c r="AH27" s="460">
        <v>-0.24620777614377601</v>
      </c>
      <c r="AI27" s="460">
        <v>0.24587219597634499</v>
      </c>
      <c r="AJ27" s="460">
        <v>0.37656327558678299</v>
      </c>
      <c r="AK27" s="460">
        <v>-0.52662688471038999</v>
      </c>
      <c r="AL27" s="460">
        <v>-0.67037980078836801</v>
      </c>
      <c r="AM27" s="460">
        <v>-0.633150854995854</v>
      </c>
      <c r="AN27" s="460">
        <v>-0.59293937888168002</v>
      </c>
      <c r="AO27" s="460">
        <v>-0.490753171852576</v>
      </c>
      <c r="AP27" s="460">
        <v>0.38815641288386998</v>
      </c>
      <c r="AQ27" s="460">
        <v>-0.688101823662705</v>
      </c>
      <c r="AR27" s="460">
        <v>-0.67108646306220499</v>
      </c>
      <c r="AS27" s="461">
        <v>-0.366017497949649</v>
      </c>
      <c r="AT27" s="87"/>
      <c r="AU27" s="87"/>
      <c r="AV27" s="87"/>
    </row>
    <row r="28" spans="1:48" s="3" customFormat="1" ht="14.25" customHeight="1" x14ac:dyDescent="0.25">
      <c r="A28" s="87"/>
      <c r="B28" s="81" t="s">
        <v>1583</v>
      </c>
      <c r="C28" s="81" t="str">
        <f>VLOOKUP("T.24.23",Translation,LanguageNo+1,FALSE)</f>
        <v>Credit Spread EU Govi unter AAA</v>
      </c>
      <c r="D28" s="1139">
        <v>3.3886271835009444E-3</v>
      </c>
      <c r="E28" s="1139"/>
      <c r="F28" s="81" t="s">
        <v>1583</v>
      </c>
      <c r="G28" s="459">
        <v>-0.113062230257244</v>
      </c>
      <c r="H28" s="460">
        <v>-0.107667115888701</v>
      </c>
      <c r="I28" s="460">
        <v>-0.120748371792152</v>
      </c>
      <c r="J28" s="460">
        <v>-0.21672949719727699</v>
      </c>
      <c r="K28" s="460">
        <v>-0.23747535605637701</v>
      </c>
      <c r="L28" s="460">
        <v>-0.24022449002252999</v>
      </c>
      <c r="M28" s="460">
        <v>-0.118605315449752</v>
      </c>
      <c r="N28" s="460">
        <v>-0.21169041189971399</v>
      </c>
      <c r="O28" s="460">
        <v>-0.22792292559826999</v>
      </c>
      <c r="P28" s="460">
        <v>-0.13673629628644399</v>
      </c>
      <c r="Q28" s="460">
        <v>-0.21338792675757301</v>
      </c>
      <c r="R28" s="460">
        <v>-0.16958841754353501</v>
      </c>
      <c r="S28" s="460">
        <v>9.2820465573180397E-2</v>
      </c>
      <c r="T28" s="460">
        <v>0.22957620016100599</v>
      </c>
      <c r="U28" s="460">
        <v>0.274902798976778</v>
      </c>
      <c r="V28" s="460">
        <v>0.268423169814486</v>
      </c>
      <c r="W28" s="460">
        <v>0.30867369778519199</v>
      </c>
      <c r="X28" s="460">
        <v>0.27834788305429697</v>
      </c>
      <c r="Y28" s="460">
        <v>0.37523183257309201</v>
      </c>
      <c r="Z28" s="460">
        <v>0.42276792720206402</v>
      </c>
      <c r="AA28" s="460">
        <v>0.33204546550886199</v>
      </c>
      <c r="AB28" s="460">
        <v>1</v>
      </c>
      <c r="AC28" s="460">
        <v>0.103195833099354</v>
      </c>
      <c r="AD28" s="460">
        <v>0.19731358757422901</v>
      </c>
      <c r="AE28" s="460">
        <v>3.5292763586737497E-2</v>
      </c>
      <c r="AF28" s="460">
        <v>-0.26345990858569002</v>
      </c>
      <c r="AG28" s="460">
        <v>0.145329929562796</v>
      </c>
      <c r="AH28" s="460">
        <v>-0.112560083896754</v>
      </c>
      <c r="AI28" s="460">
        <v>0.28528068905722498</v>
      </c>
      <c r="AJ28" s="460">
        <v>0.28282729416388402</v>
      </c>
      <c r="AK28" s="460">
        <v>-0.31734615013202799</v>
      </c>
      <c r="AL28" s="460">
        <v>-0.39220611906777397</v>
      </c>
      <c r="AM28" s="460">
        <v>-0.32987697558470802</v>
      </c>
      <c r="AN28" s="460">
        <v>-0.306796581590773</v>
      </c>
      <c r="AO28" s="460">
        <v>-0.35211729009791798</v>
      </c>
      <c r="AP28" s="460">
        <v>0.29696023020545398</v>
      </c>
      <c r="AQ28" s="460">
        <v>-0.29916423348700599</v>
      </c>
      <c r="AR28" s="460">
        <v>-0.272469785673086</v>
      </c>
      <c r="AS28" s="461">
        <v>-0.141633275490546</v>
      </c>
      <c r="AT28" s="87"/>
      <c r="AU28" s="87"/>
      <c r="AV28" s="87"/>
    </row>
    <row r="29" spans="1:48" s="3" customFormat="1" ht="14.25" customHeight="1" x14ac:dyDescent="0.25">
      <c r="A29" s="87"/>
      <c r="B29" s="81" t="s">
        <v>1584</v>
      </c>
      <c r="C29" s="451" t="str">
        <f>VLOOKUP("T.24.24",Translation,LanguageNo+1,FALSE)</f>
        <v>Credit Spread CH Pfandbriefe und Govi-related</v>
      </c>
      <c r="D29" s="1139">
        <v>2.1153959769888778E-3</v>
      </c>
      <c r="E29" s="1139"/>
      <c r="F29" s="81" t="s">
        <v>1584</v>
      </c>
      <c r="G29" s="459">
        <v>-0.23702130869677199</v>
      </c>
      <c r="H29" s="460">
        <v>-0.21504289002659499</v>
      </c>
      <c r="I29" s="460">
        <v>-0.107364222108195</v>
      </c>
      <c r="J29" s="460">
        <v>-0.143519995561462</v>
      </c>
      <c r="K29" s="460">
        <v>-7.5630482551850994E-2</v>
      </c>
      <c r="L29" s="460">
        <v>-2.5473797205221201E-2</v>
      </c>
      <c r="M29" s="460">
        <v>-7.8453606055572805E-2</v>
      </c>
      <c r="N29" s="460">
        <v>-0.11902177447611501</v>
      </c>
      <c r="O29" s="460">
        <v>-0.154476682212421</v>
      </c>
      <c r="P29" s="460">
        <v>-6.5929707509946395E-2</v>
      </c>
      <c r="Q29" s="460">
        <v>-8.5880478029710994E-2</v>
      </c>
      <c r="R29" s="460">
        <v>-5.4460769409744397E-2</v>
      </c>
      <c r="S29" s="460">
        <v>-0.103650876746853</v>
      </c>
      <c r="T29" s="460">
        <v>0.23263979259065101</v>
      </c>
      <c r="U29" s="460">
        <v>0.22191235010160601</v>
      </c>
      <c r="V29" s="460">
        <v>0.194730120418071</v>
      </c>
      <c r="W29" s="460">
        <v>0.19044422032147701</v>
      </c>
      <c r="X29" s="460">
        <v>0.16429320510211901</v>
      </c>
      <c r="Y29" s="460">
        <v>0.16698081414869201</v>
      </c>
      <c r="Z29" s="460">
        <v>0.215815790075778</v>
      </c>
      <c r="AA29" s="460">
        <v>0.23325577145974799</v>
      </c>
      <c r="AB29" s="460">
        <v>0.103195833099354</v>
      </c>
      <c r="AC29" s="460">
        <v>1</v>
      </c>
      <c r="AD29" s="460">
        <v>0.59632689726847998</v>
      </c>
      <c r="AE29" s="460">
        <v>0.230243941672478</v>
      </c>
      <c r="AF29" s="460">
        <v>-0.30417881425793902</v>
      </c>
      <c r="AG29" s="460">
        <v>-0.126512920729518</v>
      </c>
      <c r="AH29" s="460">
        <v>-0.29488212941116099</v>
      </c>
      <c r="AI29" s="460">
        <v>-0.126796126688866</v>
      </c>
      <c r="AJ29" s="460">
        <v>0.22049977813483401</v>
      </c>
      <c r="AK29" s="460">
        <v>-0.18239175110179401</v>
      </c>
      <c r="AL29" s="460">
        <v>-0.15347783723623601</v>
      </c>
      <c r="AM29" s="460">
        <v>-0.114812487536535</v>
      </c>
      <c r="AN29" s="460">
        <v>-0.12931645504595499</v>
      </c>
      <c r="AO29" s="460">
        <v>-8.8456485965790005E-2</v>
      </c>
      <c r="AP29" s="460">
        <v>0.10929037371883001</v>
      </c>
      <c r="AQ29" s="460">
        <v>-0.17963955331342801</v>
      </c>
      <c r="AR29" s="460">
        <v>-0.10111278339168001</v>
      </c>
      <c r="AS29" s="461">
        <v>-4.19669045790661E-2</v>
      </c>
      <c r="AT29" s="87"/>
      <c r="AU29" s="87"/>
      <c r="AV29" s="87"/>
    </row>
    <row r="30" spans="1:48" s="3" customFormat="1" ht="14.25" customHeight="1" x14ac:dyDescent="0.25">
      <c r="A30" s="87"/>
      <c r="B30" s="81" t="s">
        <v>1585</v>
      </c>
      <c r="C30" s="81" t="str">
        <f>VLOOKUP("T.24.25",Translation,LanguageNo+1,FALSE)</f>
        <v>Credit Spread CH Corporates</v>
      </c>
      <c r="D30" s="1139">
        <v>3.3607604356575356E-3</v>
      </c>
      <c r="E30" s="1139"/>
      <c r="F30" s="81" t="s">
        <v>1585</v>
      </c>
      <c r="G30" s="459">
        <v>-0.22318077067380701</v>
      </c>
      <c r="H30" s="460">
        <v>-0.15505176382015201</v>
      </c>
      <c r="I30" s="460">
        <v>-7.8037669249531996E-2</v>
      </c>
      <c r="J30" s="460">
        <v>-0.24916737007323</v>
      </c>
      <c r="K30" s="460">
        <v>-0.11644691583614</v>
      </c>
      <c r="L30" s="460">
        <v>-3.2298894277391299E-2</v>
      </c>
      <c r="M30" s="460">
        <v>-0.203335502475228</v>
      </c>
      <c r="N30" s="460">
        <v>-0.187728107004204</v>
      </c>
      <c r="O30" s="460">
        <v>-0.15618726697631899</v>
      </c>
      <c r="P30" s="460">
        <v>-9.0931980744705002E-2</v>
      </c>
      <c r="Q30" s="460">
        <v>-6.6250883510260705E-2</v>
      </c>
      <c r="R30" s="460">
        <v>4.6279427291094797E-3</v>
      </c>
      <c r="S30" s="460">
        <v>8.3174946163502794E-2</v>
      </c>
      <c r="T30" s="460">
        <v>0.47075345711691702</v>
      </c>
      <c r="U30" s="460">
        <v>0.54969766950813204</v>
      </c>
      <c r="V30" s="460">
        <v>0.54351466167715401</v>
      </c>
      <c r="W30" s="460">
        <v>0.55747000545719205</v>
      </c>
      <c r="X30" s="460">
        <v>0.46527017615971</v>
      </c>
      <c r="Y30" s="460">
        <v>0.529754296334492</v>
      </c>
      <c r="Z30" s="460">
        <v>0.56355286965290396</v>
      </c>
      <c r="AA30" s="460">
        <v>0.58059394781482598</v>
      </c>
      <c r="AB30" s="460">
        <v>0.19731358757422901</v>
      </c>
      <c r="AC30" s="460">
        <v>0.59632689726847998</v>
      </c>
      <c r="AD30" s="460">
        <v>1</v>
      </c>
      <c r="AE30" s="460">
        <v>6.8805151920816293E-2</v>
      </c>
      <c r="AF30" s="460">
        <v>-0.19918959554607199</v>
      </c>
      <c r="AG30" s="460">
        <v>7.8103727672554593E-2</v>
      </c>
      <c r="AH30" s="460">
        <v>-0.17468938218552399</v>
      </c>
      <c r="AI30" s="460">
        <v>8.1971180030554397E-2</v>
      </c>
      <c r="AJ30" s="460">
        <v>0.31203563618000801</v>
      </c>
      <c r="AK30" s="460">
        <v>-0.40900941501617999</v>
      </c>
      <c r="AL30" s="460">
        <v>-0.52286862528713296</v>
      </c>
      <c r="AM30" s="460">
        <v>-0.440884719725809</v>
      </c>
      <c r="AN30" s="460">
        <v>-0.47405411151346699</v>
      </c>
      <c r="AO30" s="460">
        <v>-0.352806954413378</v>
      </c>
      <c r="AP30" s="460">
        <v>0.30646875846854799</v>
      </c>
      <c r="AQ30" s="460">
        <v>-0.56436789503562601</v>
      </c>
      <c r="AR30" s="460">
        <v>-0.46316812402781399</v>
      </c>
      <c r="AS30" s="461">
        <v>-0.27803490302413503</v>
      </c>
      <c r="AT30" s="87"/>
      <c r="AU30" s="87"/>
      <c r="AV30" s="87"/>
    </row>
    <row r="31" spans="1:48" s="3" customFormat="1" ht="14.25" customHeight="1" x14ac:dyDescent="0.25">
      <c r="A31" s="87"/>
      <c r="B31" s="81" t="s">
        <v>1586</v>
      </c>
      <c r="C31" s="451" t="str">
        <f>VLOOKUP("T.24.26",Translation,LanguageNo+1,FALSE)</f>
        <v>Swap-Government Spread</v>
      </c>
      <c r="D31" s="1139">
        <v>1.966994686166131E-3</v>
      </c>
      <c r="E31" s="1139"/>
      <c r="F31" s="81" t="s">
        <v>1586</v>
      </c>
      <c r="G31" s="459">
        <v>0.187796125114743</v>
      </c>
      <c r="H31" s="460">
        <v>0.18963648869302899</v>
      </c>
      <c r="I31" s="460">
        <v>0.131420990040615</v>
      </c>
      <c r="J31" s="460">
        <v>0.176369742872132</v>
      </c>
      <c r="K31" s="460">
        <v>0.10426775140160099</v>
      </c>
      <c r="L31" s="460">
        <v>8.6722823937695995E-2</v>
      </c>
      <c r="M31" s="460">
        <v>0.20555711969948201</v>
      </c>
      <c r="N31" s="460">
        <v>1.56762105039693E-2</v>
      </c>
      <c r="O31" s="460">
        <v>-7.9687697498718998E-2</v>
      </c>
      <c r="P31" s="460">
        <v>0.24503202894860801</v>
      </c>
      <c r="Q31" s="460">
        <v>7.4779947340287797E-2</v>
      </c>
      <c r="R31" s="460">
        <v>6.9551742332384396E-4</v>
      </c>
      <c r="S31" s="460">
        <v>-5.7555398052714098E-2</v>
      </c>
      <c r="T31" s="460">
        <v>4.5512814233625298E-2</v>
      </c>
      <c r="U31" s="460">
        <v>-2.7223385831321601E-2</v>
      </c>
      <c r="V31" s="460">
        <v>-7.3362219899165401E-2</v>
      </c>
      <c r="W31" s="460">
        <v>-7.8854113279926294E-2</v>
      </c>
      <c r="X31" s="460">
        <v>4.2640677861040897E-3</v>
      </c>
      <c r="Y31" s="460">
        <v>2.04713443323612E-2</v>
      </c>
      <c r="Z31" s="460">
        <v>1.21711428729034E-2</v>
      </c>
      <c r="AA31" s="460">
        <v>2.7576226038707801E-3</v>
      </c>
      <c r="AB31" s="460">
        <v>3.5292763586737497E-2</v>
      </c>
      <c r="AC31" s="460">
        <v>0.230243941672478</v>
      </c>
      <c r="AD31" s="460">
        <v>6.8805151920816293E-2</v>
      </c>
      <c r="AE31" s="460">
        <v>1</v>
      </c>
      <c r="AF31" s="460">
        <v>-9.2527804533728802E-2</v>
      </c>
      <c r="AG31" s="460">
        <v>-0.108352433906414</v>
      </c>
      <c r="AH31" s="460">
        <v>-7.1015308652634598E-2</v>
      </c>
      <c r="AI31" s="460">
        <v>-0.255318503769422</v>
      </c>
      <c r="AJ31" s="460">
        <v>0.109732101081929</v>
      </c>
      <c r="AK31" s="460">
        <v>-2.8945778907813701E-2</v>
      </c>
      <c r="AL31" s="460">
        <v>-2.6464779769458501E-2</v>
      </c>
      <c r="AM31" s="460">
        <v>-2.2694579721324201E-2</v>
      </c>
      <c r="AN31" s="460">
        <v>-8.5384588623875005E-3</v>
      </c>
      <c r="AO31" s="460">
        <v>0.13965590607790601</v>
      </c>
      <c r="AP31" s="460">
        <v>4.3615730388215097E-2</v>
      </c>
      <c r="AQ31" s="460">
        <v>9.0751105611685298E-2</v>
      </c>
      <c r="AR31" s="460">
        <v>2.8805989836923802E-2</v>
      </c>
      <c r="AS31" s="462">
        <v>-7.0468352810051302E-3</v>
      </c>
      <c r="AT31" s="87"/>
      <c r="AU31" s="87"/>
      <c r="AV31" s="87"/>
    </row>
    <row r="32" spans="1:48" s="3" customFormat="1" ht="14.25" customHeight="1" x14ac:dyDescent="0.25">
      <c r="A32" s="87"/>
      <c r="B32" s="558" t="s">
        <v>58</v>
      </c>
      <c r="C32" s="81" t="str">
        <f>VLOOKUP("T.24.27",Translation,LanguageNo+1,FALSE)</f>
        <v>Wechselkurs EUR/CHF</v>
      </c>
      <c r="D32" s="1139">
        <v>6.6717891592001546E-2</v>
      </c>
      <c r="E32" s="1139"/>
      <c r="F32" s="81" t="s">
        <v>58</v>
      </c>
      <c r="G32" s="459">
        <v>0.28414107746874201</v>
      </c>
      <c r="H32" s="460">
        <v>0.22647405601722501</v>
      </c>
      <c r="I32" s="460">
        <v>0.18002602336832399</v>
      </c>
      <c r="J32" s="460">
        <v>0.307449390440453</v>
      </c>
      <c r="K32" s="460">
        <v>0.23261628173311999</v>
      </c>
      <c r="L32" s="460">
        <v>0.246881366955568</v>
      </c>
      <c r="M32" s="460">
        <v>0.18531710749966801</v>
      </c>
      <c r="N32" s="460">
        <v>0.18730565618605899</v>
      </c>
      <c r="O32" s="460">
        <v>0.19108640068466001</v>
      </c>
      <c r="P32" s="460">
        <v>0.18857086935595099</v>
      </c>
      <c r="Q32" s="460">
        <v>0.18247793181672101</v>
      </c>
      <c r="R32" s="460">
        <v>0.232282188791752</v>
      </c>
      <c r="S32" s="460">
        <v>-2.7359467391418198E-2</v>
      </c>
      <c r="T32" s="460">
        <v>-6.3094202523469603E-2</v>
      </c>
      <c r="U32" s="460">
        <v>-0.14331631873564901</v>
      </c>
      <c r="V32" s="460">
        <v>-0.14432124863814799</v>
      </c>
      <c r="W32" s="460">
        <v>-0.17307694408904201</v>
      </c>
      <c r="X32" s="460">
        <v>-0.222782703890573</v>
      </c>
      <c r="Y32" s="460">
        <v>-0.14220643379881001</v>
      </c>
      <c r="Z32" s="460">
        <v>-0.15542716280511201</v>
      </c>
      <c r="AA32" s="460">
        <v>-0.161098830543419</v>
      </c>
      <c r="AB32" s="460">
        <v>-0.26345990858569002</v>
      </c>
      <c r="AC32" s="460">
        <v>-0.30417881425793902</v>
      </c>
      <c r="AD32" s="460">
        <v>-0.19918959554607199</v>
      </c>
      <c r="AE32" s="460">
        <v>-9.2527804533728802E-2</v>
      </c>
      <c r="AF32" s="460">
        <v>1</v>
      </c>
      <c r="AG32" s="460">
        <v>0.41119548649323001</v>
      </c>
      <c r="AH32" s="460">
        <v>0.59579193243137596</v>
      </c>
      <c r="AI32" s="460">
        <v>0.17048089357414001</v>
      </c>
      <c r="AJ32" s="460">
        <v>-0.29710756787421699</v>
      </c>
      <c r="AK32" s="460">
        <v>0.31378801476044199</v>
      </c>
      <c r="AL32" s="460">
        <v>0.16599542127407599</v>
      </c>
      <c r="AM32" s="460">
        <v>0.20023782341225899</v>
      </c>
      <c r="AN32" s="460">
        <v>0.160412135752942</v>
      </c>
      <c r="AO32" s="460">
        <v>0.203541589292871</v>
      </c>
      <c r="AP32" s="460">
        <v>-0.16902469844993201</v>
      </c>
      <c r="AQ32" s="460">
        <v>0.13895042524423201</v>
      </c>
      <c r="AR32" s="460">
        <v>5.9859754006581598E-2</v>
      </c>
      <c r="AS32" s="461">
        <v>3.5003559514675202E-2</v>
      </c>
      <c r="AT32" s="87"/>
      <c r="AU32" s="87"/>
      <c r="AV32" s="87"/>
    </row>
    <row r="33" spans="1:48" s="3" customFormat="1" ht="14.25" customHeight="1" x14ac:dyDescent="0.25">
      <c r="A33" s="87"/>
      <c r="B33" s="559" t="s">
        <v>59</v>
      </c>
      <c r="C33" s="451" t="str">
        <f>VLOOKUP("T.24.28",Translation,LanguageNo+1,FALSE)</f>
        <v>Wechselkurs USD/CHF</v>
      </c>
      <c r="D33" s="1139">
        <v>9.7735677893528328E-2</v>
      </c>
      <c r="E33" s="1139"/>
      <c r="F33" s="81" t="s">
        <v>59</v>
      </c>
      <c r="G33" s="459">
        <v>7.5720415801542998E-2</v>
      </c>
      <c r="H33" s="460">
        <v>-2.6458897755592299E-2</v>
      </c>
      <c r="I33" s="460">
        <v>-5.4537660767218499E-2</v>
      </c>
      <c r="J33" s="460">
        <v>-1.0054663945821799E-2</v>
      </c>
      <c r="K33" s="460">
        <v>6.8783227453706004E-3</v>
      </c>
      <c r="L33" s="460">
        <v>-3.9068586305753598E-2</v>
      </c>
      <c r="M33" s="460">
        <v>0.28448887555329</v>
      </c>
      <c r="N33" s="460">
        <v>0.214348732946744</v>
      </c>
      <c r="O33" s="460">
        <v>0.14161277415190399</v>
      </c>
      <c r="P33" s="460">
        <v>9.2684946449495403E-2</v>
      </c>
      <c r="Q33" s="460">
        <v>0.12490805770307301</v>
      </c>
      <c r="R33" s="460">
        <v>0.12532674137448499</v>
      </c>
      <c r="S33" s="460">
        <v>0.179556559643967</v>
      </c>
      <c r="T33" s="460">
        <v>0.19669522713958601</v>
      </c>
      <c r="U33" s="460">
        <v>0.167686316050567</v>
      </c>
      <c r="V33" s="460">
        <v>0.17664821444961901</v>
      </c>
      <c r="W33" s="460">
        <v>0.17252404850873501</v>
      </c>
      <c r="X33" s="460">
        <v>2.6346575212700601E-2</v>
      </c>
      <c r="Y33" s="460">
        <v>5.7028534009143303E-2</v>
      </c>
      <c r="Z33" s="460">
        <v>0.186813759960162</v>
      </c>
      <c r="AA33" s="460">
        <v>0.163853114853938</v>
      </c>
      <c r="AB33" s="460">
        <v>0.145329929562796</v>
      </c>
      <c r="AC33" s="460">
        <v>-0.126512920729518</v>
      </c>
      <c r="AD33" s="460">
        <v>7.8103727672554593E-2</v>
      </c>
      <c r="AE33" s="460">
        <v>-0.108352433906414</v>
      </c>
      <c r="AF33" s="460">
        <v>0.41119548649323001</v>
      </c>
      <c r="AG33" s="460">
        <v>1</v>
      </c>
      <c r="AH33" s="460">
        <v>0.58429378760210304</v>
      </c>
      <c r="AI33" s="460">
        <v>0.56742414910569505</v>
      </c>
      <c r="AJ33" s="460">
        <v>-6.5148651942725899E-2</v>
      </c>
      <c r="AK33" s="460">
        <v>6.2299424088925803E-2</v>
      </c>
      <c r="AL33" s="460">
        <v>-0.157890773860932</v>
      </c>
      <c r="AM33" s="460">
        <v>-0.27931787186937501</v>
      </c>
      <c r="AN33" s="460">
        <v>-0.19440944259301501</v>
      </c>
      <c r="AO33" s="460">
        <v>-6.8026854376164805E-2</v>
      </c>
      <c r="AP33" s="460">
        <v>0.18428086777969399</v>
      </c>
      <c r="AQ33" s="460">
        <v>-0.25319111575430803</v>
      </c>
      <c r="AR33" s="460">
        <v>-8.7267096952121995E-2</v>
      </c>
      <c r="AS33" s="461">
        <v>-6.7876906303219894E-2</v>
      </c>
      <c r="AT33" s="87"/>
      <c r="AU33" s="87"/>
      <c r="AV33" s="87"/>
    </row>
    <row r="34" spans="1:48" s="3" customFormat="1" ht="14.25" customHeight="1" x14ac:dyDescent="0.25">
      <c r="A34" s="87"/>
      <c r="B34" s="558" t="s">
        <v>60</v>
      </c>
      <c r="C34" s="81" t="str">
        <f>VLOOKUP("T.24.29",Translation,LanguageNo+1,FALSE)</f>
        <v>Wechselkurs GBP/CHF</v>
      </c>
      <c r="D34" s="1139">
        <v>9.6623221917390895E-2</v>
      </c>
      <c r="E34" s="1139"/>
      <c r="F34" s="81" t="s">
        <v>60</v>
      </c>
      <c r="G34" s="459">
        <v>0.191186825505828</v>
      </c>
      <c r="H34" s="460">
        <v>0.12150249996073501</v>
      </c>
      <c r="I34" s="460">
        <v>0.131834746655211</v>
      </c>
      <c r="J34" s="460">
        <v>0.15842487087594201</v>
      </c>
      <c r="K34" s="460">
        <v>0.144931763588771</v>
      </c>
      <c r="L34" s="460">
        <v>0.118907982783188</v>
      </c>
      <c r="M34" s="460">
        <v>0.28412001705924</v>
      </c>
      <c r="N34" s="460">
        <v>0.31740590690732201</v>
      </c>
      <c r="O34" s="460">
        <v>0.31252812525025198</v>
      </c>
      <c r="P34" s="460">
        <v>0.270646587134102</v>
      </c>
      <c r="Q34" s="460">
        <v>0.26571906682246699</v>
      </c>
      <c r="R34" s="460">
        <v>0.24141162253135801</v>
      </c>
      <c r="S34" s="460">
        <v>0.106702002132081</v>
      </c>
      <c r="T34" s="460">
        <v>-0.17742590253812901</v>
      </c>
      <c r="U34" s="460">
        <v>-0.26302751817848702</v>
      </c>
      <c r="V34" s="460">
        <v>-0.23563262182484601</v>
      </c>
      <c r="W34" s="460">
        <v>-0.25266048358552201</v>
      </c>
      <c r="X34" s="460">
        <v>-0.418429626192657</v>
      </c>
      <c r="Y34" s="460">
        <v>-0.27199525538369101</v>
      </c>
      <c r="Z34" s="460">
        <v>-0.21321026261199899</v>
      </c>
      <c r="AA34" s="460">
        <v>-0.24620777614377601</v>
      </c>
      <c r="AB34" s="460">
        <v>-0.112560083896754</v>
      </c>
      <c r="AC34" s="460">
        <v>-0.29488212941116099</v>
      </c>
      <c r="AD34" s="460">
        <v>-0.17468938218552399</v>
      </c>
      <c r="AE34" s="460">
        <v>-7.1015308652634598E-2</v>
      </c>
      <c r="AF34" s="460">
        <v>0.59579193243137596</v>
      </c>
      <c r="AG34" s="460">
        <v>0.58429378760210304</v>
      </c>
      <c r="AH34" s="460">
        <v>1</v>
      </c>
      <c r="AI34" s="460">
        <v>0.23825350214507199</v>
      </c>
      <c r="AJ34" s="460">
        <v>-0.30810340416619703</v>
      </c>
      <c r="AK34" s="460">
        <v>0.35960227399329803</v>
      </c>
      <c r="AL34" s="460">
        <v>0.22139172217976499</v>
      </c>
      <c r="AM34" s="460">
        <v>0.176160149564145</v>
      </c>
      <c r="AN34" s="460">
        <v>-1.7391115489253E-3</v>
      </c>
      <c r="AO34" s="460">
        <v>0.27904074883796098</v>
      </c>
      <c r="AP34" s="460">
        <v>-0.118741653516449</v>
      </c>
      <c r="AQ34" s="460">
        <v>0.209917735114165</v>
      </c>
      <c r="AR34" s="460">
        <v>0.24075709746807999</v>
      </c>
      <c r="AS34" s="461">
        <v>0.11829239860664099</v>
      </c>
      <c r="AT34" s="87"/>
      <c r="AU34" s="87"/>
      <c r="AV34" s="87"/>
    </row>
    <row r="35" spans="1:48" s="3" customFormat="1" ht="14.25" customHeight="1" x14ac:dyDescent="0.25">
      <c r="A35" s="87"/>
      <c r="B35" s="559" t="s">
        <v>61</v>
      </c>
      <c r="C35" s="451" t="str">
        <f>VLOOKUP("T.24.30",Translation,LanguageNo+1,FALSE)</f>
        <v>Wechselkurs JPY/CHF</v>
      </c>
      <c r="D35" s="1139">
        <v>0.10420042112929051</v>
      </c>
      <c r="E35" s="1139"/>
      <c r="F35" s="81" t="s">
        <v>61</v>
      </c>
      <c r="G35" s="459">
        <v>-0.20518215075080001</v>
      </c>
      <c r="H35" s="460">
        <v>-0.27987987453214003</v>
      </c>
      <c r="I35" s="460">
        <v>-0.28255220325670299</v>
      </c>
      <c r="J35" s="460">
        <v>-0.36019886999787598</v>
      </c>
      <c r="K35" s="460">
        <v>-0.32018544447026298</v>
      </c>
      <c r="L35" s="460">
        <v>-0.31453889362964699</v>
      </c>
      <c r="M35" s="460">
        <v>-0.23825840935617701</v>
      </c>
      <c r="N35" s="460">
        <v>-0.25505148362709401</v>
      </c>
      <c r="O35" s="460">
        <v>-0.23177920189224999</v>
      </c>
      <c r="P35" s="460">
        <v>-0.28604949678973901</v>
      </c>
      <c r="Q35" s="460">
        <v>-0.196173573644702</v>
      </c>
      <c r="R35" s="460">
        <v>-0.13624122981065401</v>
      </c>
      <c r="S35" s="460">
        <v>0.100363209354509</v>
      </c>
      <c r="T35" s="460">
        <v>0.26122167432091697</v>
      </c>
      <c r="U35" s="460">
        <v>0.27425776721720901</v>
      </c>
      <c r="V35" s="460">
        <v>0.27989992039991801</v>
      </c>
      <c r="W35" s="460">
        <v>0.28877239906063801</v>
      </c>
      <c r="X35" s="460">
        <v>0.22315677322522501</v>
      </c>
      <c r="Y35" s="460">
        <v>0.122625614308008</v>
      </c>
      <c r="Z35" s="460">
        <v>0.26004419364646297</v>
      </c>
      <c r="AA35" s="460">
        <v>0.24587219597634499</v>
      </c>
      <c r="AB35" s="460">
        <v>0.28528068905722498</v>
      </c>
      <c r="AC35" s="460">
        <v>-0.126796126688866</v>
      </c>
      <c r="AD35" s="460">
        <v>8.1971180030554397E-2</v>
      </c>
      <c r="AE35" s="460">
        <v>-0.255318503769422</v>
      </c>
      <c r="AF35" s="460">
        <v>0.17048089357414001</v>
      </c>
      <c r="AG35" s="460">
        <v>0.56742414910569505</v>
      </c>
      <c r="AH35" s="460">
        <v>0.23825350214507199</v>
      </c>
      <c r="AI35" s="460">
        <v>1</v>
      </c>
      <c r="AJ35" s="460">
        <v>5.5038545750397801E-2</v>
      </c>
      <c r="AK35" s="460">
        <v>-0.163632469094941</v>
      </c>
      <c r="AL35" s="460">
        <v>-0.30972389376126902</v>
      </c>
      <c r="AM35" s="460">
        <v>-0.35416840935585497</v>
      </c>
      <c r="AN35" s="460">
        <v>-0.28265325186489598</v>
      </c>
      <c r="AO35" s="460">
        <v>-0.51869060834312497</v>
      </c>
      <c r="AP35" s="460">
        <v>0.30397974676989598</v>
      </c>
      <c r="AQ35" s="460">
        <v>-0.32252503858463399</v>
      </c>
      <c r="AR35" s="460">
        <v>-0.23199294656070699</v>
      </c>
      <c r="AS35" s="462">
        <v>2.01952653526416E-2</v>
      </c>
      <c r="AT35" s="87"/>
      <c r="AU35" s="87"/>
      <c r="AV35" s="87"/>
    </row>
    <row r="36" spans="1:48" s="3" customFormat="1" ht="14.25" customHeight="1" x14ac:dyDescent="0.25">
      <c r="A36" s="87"/>
      <c r="B36" s="81" t="s">
        <v>1587</v>
      </c>
      <c r="C36" s="81" t="str">
        <f>VLOOKUP("T.24.31",Translation,LanguageNo+1,FALSE)</f>
        <v xml:space="preserve">Implizite FX-Volatilität </v>
      </c>
      <c r="D36" s="1139">
        <v>0.40848899927634469</v>
      </c>
      <c r="E36" s="1139"/>
      <c r="F36" s="81" t="s">
        <v>1587</v>
      </c>
      <c r="G36" s="459">
        <v>-0.25547603852921102</v>
      </c>
      <c r="H36" s="460">
        <v>-8.3946395804855897E-2</v>
      </c>
      <c r="I36" s="460">
        <v>-0.101028676270426</v>
      </c>
      <c r="J36" s="460">
        <v>-0.21823250888041301</v>
      </c>
      <c r="K36" s="460">
        <v>-0.14883269355682899</v>
      </c>
      <c r="L36" s="460">
        <v>-0.15597657323988201</v>
      </c>
      <c r="M36" s="460">
        <v>-0.201563399131826</v>
      </c>
      <c r="N36" s="460">
        <v>-0.22034556106144201</v>
      </c>
      <c r="O36" s="460">
        <v>-0.27216272980656497</v>
      </c>
      <c r="P36" s="460">
        <v>-0.20151622968809299</v>
      </c>
      <c r="Q36" s="460">
        <v>-0.20788947323204801</v>
      </c>
      <c r="R36" s="460">
        <v>-0.18778060752589901</v>
      </c>
      <c r="S36" s="460">
        <v>7.7664575122011498E-2</v>
      </c>
      <c r="T36" s="460">
        <v>0.36259807044155801</v>
      </c>
      <c r="U36" s="460">
        <v>0.42694587795241401</v>
      </c>
      <c r="V36" s="460">
        <v>0.40769055534974202</v>
      </c>
      <c r="W36" s="460">
        <v>0.42946103190523699</v>
      </c>
      <c r="X36" s="460">
        <v>0.397092683533049</v>
      </c>
      <c r="Y36" s="460">
        <v>0.34157937210391398</v>
      </c>
      <c r="Z36" s="460">
        <v>0.41646325563539999</v>
      </c>
      <c r="AA36" s="460">
        <v>0.37656327558678299</v>
      </c>
      <c r="AB36" s="460">
        <v>0.28282729416388402</v>
      </c>
      <c r="AC36" s="460">
        <v>0.22049977813483401</v>
      </c>
      <c r="AD36" s="460">
        <v>0.31203563618000801</v>
      </c>
      <c r="AE36" s="460">
        <v>0.109732101081929</v>
      </c>
      <c r="AF36" s="460">
        <v>-0.29710756787421699</v>
      </c>
      <c r="AG36" s="460">
        <v>-6.5148651942725899E-2</v>
      </c>
      <c r="AH36" s="460">
        <v>-0.30810340416619703</v>
      </c>
      <c r="AI36" s="460">
        <v>5.5038545750397801E-2</v>
      </c>
      <c r="AJ36" s="460">
        <v>1</v>
      </c>
      <c r="AK36" s="460">
        <v>-0.38205672479445801</v>
      </c>
      <c r="AL36" s="460">
        <v>-0.35070240604460501</v>
      </c>
      <c r="AM36" s="460">
        <v>-0.35805983627154803</v>
      </c>
      <c r="AN36" s="460">
        <v>-0.322315903980263</v>
      </c>
      <c r="AO36" s="460">
        <v>-0.36555867843844397</v>
      </c>
      <c r="AP36" s="460">
        <v>0.440313498419306</v>
      </c>
      <c r="AQ36" s="460">
        <v>-0.29440937765686798</v>
      </c>
      <c r="AR36" s="460">
        <v>-0.32152663748258797</v>
      </c>
      <c r="AS36" s="461">
        <v>-0.14452004610792199</v>
      </c>
      <c r="AT36" s="87"/>
      <c r="AU36" s="87"/>
      <c r="AV36" s="87"/>
    </row>
    <row r="37" spans="1:48" s="3" customFormat="1" ht="14.25" customHeight="1" x14ac:dyDescent="0.25">
      <c r="A37" s="87"/>
      <c r="B37" s="81" t="s">
        <v>1588</v>
      </c>
      <c r="C37" s="451" t="str">
        <f>VLOOKUP("T.24.32",Translation,LanguageNo+1,FALSE)</f>
        <v>Aktien Schweiz</v>
      </c>
      <c r="D37" s="1139">
        <v>0.12788891056316548</v>
      </c>
      <c r="E37" s="1139"/>
      <c r="F37" s="81" t="s">
        <v>1588</v>
      </c>
      <c r="G37" s="459">
        <v>0.19355695744156501</v>
      </c>
      <c r="H37" s="460">
        <v>3.0990003767205999E-2</v>
      </c>
      <c r="I37" s="460">
        <v>3.9154722419897396E-3</v>
      </c>
      <c r="J37" s="460">
        <v>0.190353125047282</v>
      </c>
      <c r="K37" s="460">
        <v>5.0900725797929702E-2</v>
      </c>
      <c r="L37" s="460">
        <v>1.34641489590495E-2</v>
      </c>
      <c r="M37" s="460">
        <v>0.20691325863679999</v>
      </c>
      <c r="N37" s="460">
        <v>0.14113545906896499</v>
      </c>
      <c r="O37" s="460">
        <v>0.138347741617659</v>
      </c>
      <c r="P37" s="460">
        <v>7.7982207398621703E-2</v>
      </c>
      <c r="Q37" s="460">
        <v>3.0321326693082498E-4</v>
      </c>
      <c r="R37" s="460">
        <v>-5.4001447294887497E-2</v>
      </c>
      <c r="S37" s="460">
        <v>-0.298206973981886</v>
      </c>
      <c r="T37" s="460">
        <v>-0.39548871821853498</v>
      </c>
      <c r="U37" s="460">
        <v>-0.419745411574175</v>
      </c>
      <c r="V37" s="460">
        <v>-0.40005727379046502</v>
      </c>
      <c r="W37" s="460">
        <v>-0.434216391456826</v>
      </c>
      <c r="X37" s="460">
        <v>-0.55757710980295805</v>
      </c>
      <c r="Y37" s="460">
        <v>-0.46465570924097599</v>
      </c>
      <c r="Z37" s="460">
        <v>-0.51282109308352097</v>
      </c>
      <c r="AA37" s="460">
        <v>-0.52662688471038999</v>
      </c>
      <c r="AB37" s="460">
        <v>-0.31734615013202799</v>
      </c>
      <c r="AC37" s="460">
        <v>-0.18239175110179401</v>
      </c>
      <c r="AD37" s="460">
        <v>-0.40900941501617999</v>
      </c>
      <c r="AE37" s="460">
        <v>-2.8945778907813701E-2</v>
      </c>
      <c r="AF37" s="460">
        <v>0.31378801476044199</v>
      </c>
      <c r="AG37" s="460">
        <v>6.2299424088925803E-2</v>
      </c>
      <c r="AH37" s="460">
        <v>0.35960227399329803</v>
      </c>
      <c r="AI37" s="460">
        <v>-0.163632469094941</v>
      </c>
      <c r="AJ37" s="460">
        <v>-0.38205672479445801</v>
      </c>
      <c r="AK37" s="460">
        <v>1</v>
      </c>
      <c r="AL37" s="460">
        <v>0.80533755077748104</v>
      </c>
      <c r="AM37" s="460">
        <v>0.75667244439344195</v>
      </c>
      <c r="AN37" s="460">
        <v>0.71258598003930695</v>
      </c>
      <c r="AO37" s="460">
        <v>0.64260791445582699</v>
      </c>
      <c r="AP37" s="460">
        <v>-0.62656165076626102</v>
      </c>
      <c r="AQ37" s="460">
        <v>0.62802390566709998</v>
      </c>
      <c r="AR37" s="460">
        <v>0.71803281409574005</v>
      </c>
      <c r="AS37" s="461">
        <v>0.30997641010127303</v>
      </c>
      <c r="AT37" s="87"/>
      <c r="AU37" s="87"/>
      <c r="AV37" s="87"/>
    </row>
    <row r="38" spans="1:48" s="3" customFormat="1" ht="14.25" customHeight="1" x14ac:dyDescent="0.25">
      <c r="A38" s="87"/>
      <c r="B38" s="81" t="s">
        <v>1589</v>
      </c>
      <c r="C38" s="81" t="str">
        <f>VLOOKUP("T.24.33",Translation,LanguageNo+1,FALSE)</f>
        <v>Aktien European Economic and Monetary Union (EMU)</v>
      </c>
      <c r="D38" s="1139">
        <v>0.17032231230256875</v>
      </c>
      <c r="E38" s="1139"/>
      <c r="F38" s="81" t="s">
        <v>1589</v>
      </c>
      <c r="G38" s="459">
        <v>0.120983346511956</v>
      </c>
      <c r="H38" s="460">
        <v>6.5172911852516497E-3</v>
      </c>
      <c r="I38" s="460">
        <v>4.1510519939377502E-2</v>
      </c>
      <c r="J38" s="460">
        <v>0.26949024842838998</v>
      </c>
      <c r="K38" s="460">
        <v>0.10712562272144401</v>
      </c>
      <c r="L38" s="460">
        <v>6.5565351513295705E-2</v>
      </c>
      <c r="M38" s="460">
        <v>0.221757046052492</v>
      </c>
      <c r="N38" s="460">
        <v>0.17867201256495499</v>
      </c>
      <c r="O38" s="460">
        <v>0.18298931720589201</v>
      </c>
      <c r="P38" s="460">
        <v>0.10298621653848999</v>
      </c>
      <c r="Q38" s="460">
        <v>4.3119152358016298E-2</v>
      </c>
      <c r="R38" s="460">
        <v>-2.2100430366938099E-2</v>
      </c>
      <c r="S38" s="460">
        <v>-0.29928248634785198</v>
      </c>
      <c r="T38" s="460">
        <v>-0.53388333530501098</v>
      </c>
      <c r="U38" s="460">
        <v>-0.560381805385476</v>
      </c>
      <c r="V38" s="460">
        <v>-0.55804878029762195</v>
      </c>
      <c r="W38" s="460">
        <v>-0.60306707247806701</v>
      </c>
      <c r="X38" s="460">
        <v>-0.64517739394302498</v>
      </c>
      <c r="Y38" s="460">
        <v>-0.57836744850090804</v>
      </c>
      <c r="Z38" s="460">
        <v>-0.66825635187121901</v>
      </c>
      <c r="AA38" s="460">
        <v>-0.67037980078836801</v>
      </c>
      <c r="AB38" s="460">
        <v>-0.39220611906777397</v>
      </c>
      <c r="AC38" s="460">
        <v>-0.15347783723623601</v>
      </c>
      <c r="AD38" s="460">
        <v>-0.52286862528713296</v>
      </c>
      <c r="AE38" s="460">
        <v>-2.6464779769458501E-2</v>
      </c>
      <c r="AF38" s="460">
        <v>0.16599542127407599</v>
      </c>
      <c r="AG38" s="460">
        <v>-0.157890773860932</v>
      </c>
      <c r="AH38" s="460">
        <v>0.22139172217976499</v>
      </c>
      <c r="AI38" s="460">
        <v>-0.30972389376126902</v>
      </c>
      <c r="AJ38" s="460">
        <v>-0.35070240604460501</v>
      </c>
      <c r="AK38" s="460">
        <v>0.80533755077748104</v>
      </c>
      <c r="AL38" s="460">
        <v>1</v>
      </c>
      <c r="AM38" s="460">
        <v>0.84474929993207204</v>
      </c>
      <c r="AN38" s="460">
        <v>0.84682572382852195</v>
      </c>
      <c r="AO38" s="460">
        <v>0.71344692030104895</v>
      </c>
      <c r="AP38" s="460">
        <v>-0.65753246815419697</v>
      </c>
      <c r="AQ38" s="460">
        <v>0.77518976626824598</v>
      </c>
      <c r="AR38" s="460">
        <v>0.84410414259544797</v>
      </c>
      <c r="AS38" s="461">
        <v>0.34548499289448198</v>
      </c>
      <c r="AT38" s="87"/>
      <c r="AU38" s="87"/>
      <c r="AV38" s="87"/>
    </row>
    <row r="39" spans="1:48" s="3" customFormat="1" ht="14.25" customHeight="1" x14ac:dyDescent="0.25">
      <c r="A39" s="87"/>
      <c r="B39" s="81" t="s">
        <v>1590</v>
      </c>
      <c r="C39" s="451" t="str">
        <f>VLOOKUP("T.24.34",Translation,LanguageNo+1,FALSE)</f>
        <v>Aktien USA</v>
      </c>
      <c r="D39" s="1139">
        <v>0.15557810707174149</v>
      </c>
      <c r="E39" s="1139"/>
      <c r="F39" s="81" t="s">
        <v>1590</v>
      </c>
      <c r="G39" s="459">
        <v>8.8995708248070002E-2</v>
      </c>
      <c r="H39" s="460">
        <v>-1.1475334835323101E-2</v>
      </c>
      <c r="I39" s="460">
        <v>1.91796024604367E-2</v>
      </c>
      <c r="J39" s="460">
        <v>0.17266986763515499</v>
      </c>
      <c r="K39" s="460">
        <v>4.02541787526947E-2</v>
      </c>
      <c r="L39" s="460">
        <v>2.5217727038087799E-2</v>
      </c>
      <c r="M39" s="460">
        <v>0.15661964040811899</v>
      </c>
      <c r="N39" s="460">
        <v>0.10984404105272499</v>
      </c>
      <c r="O39" s="460">
        <v>0.13534612585859501</v>
      </c>
      <c r="P39" s="460">
        <v>6.7226687887120204E-2</v>
      </c>
      <c r="Q39" s="460">
        <v>-2.4788615052306499E-2</v>
      </c>
      <c r="R39" s="460">
        <v>-6.6255230891561698E-2</v>
      </c>
      <c r="S39" s="460">
        <v>-0.32173424236779602</v>
      </c>
      <c r="T39" s="460">
        <v>-0.55184216345549297</v>
      </c>
      <c r="U39" s="460">
        <v>-0.58669462842258302</v>
      </c>
      <c r="V39" s="460">
        <v>-0.57851564550943901</v>
      </c>
      <c r="W39" s="460">
        <v>-0.61605060228254105</v>
      </c>
      <c r="X39" s="460">
        <v>-0.66808452518375105</v>
      </c>
      <c r="Y39" s="460">
        <v>-0.57414045994446605</v>
      </c>
      <c r="Z39" s="460">
        <v>-0.64337465477748301</v>
      </c>
      <c r="AA39" s="460">
        <v>-0.633150854995854</v>
      </c>
      <c r="AB39" s="460">
        <v>-0.32987697558470802</v>
      </c>
      <c r="AC39" s="460">
        <v>-0.114812487536535</v>
      </c>
      <c r="AD39" s="460">
        <v>-0.440884719725809</v>
      </c>
      <c r="AE39" s="460">
        <v>-2.2694579721324201E-2</v>
      </c>
      <c r="AF39" s="460">
        <v>0.20023782341225899</v>
      </c>
      <c r="AG39" s="460">
        <v>-0.27931787186937501</v>
      </c>
      <c r="AH39" s="460">
        <v>0.176160149564145</v>
      </c>
      <c r="AI39" s="460">
        <v>-0.35416840935585497</v>
      </c>
      <c r="AJ39" s="460">
        <v>-0.35805983627154803</v>
      </c>
      <c r="AK39" s="460">
        <v>0.75667244439344195</v>
      </c>
      <c r="AL39" s="460">
        <v>0.84474929993207204</v>
      </c>
      <c r="AM39" s="460">
        <v>1</v>
      </c>
      <c r="AN39" s="460">
        <v>0.75694448727130703</v>
      </c>
      <c r="AO39" s="460">
        <v>0.67317124960385999</v>
      </c>
      <c r="AP39" s="460">
        <v>-0.72407343074598896</v>
      </c>
      <c r="AQ39" s="460">
        <v>0.80388616342086805</v>
      </c>
      <c r="AR39" s="460">
        <v>0.80029609890507902</v>
      </c>
      <c r="AS39" s="461">
        <v>0.312089245274772</v>
      </c>
      <c r="AT39" s="87"/>
      <c r="AU39" s="87"/>
      <c r="AV39" s="87"/>
    </row>
    <row r="40" spans="1:48" s="3" customFormat="1" ht="14.25" customHeight="1" x14ac:dyDescent="0.25">
      <c r="A40" s="87"/>
      <c r="B40" s="81" t="s">
        <v>1591</v>
      </c>
      <c r="C40" s="81" t="str">
        <f>VLOOKUP("T.24.35",Translation,LanguageNo+1,FALSE)</f>
        <v>Aktien Grossbritannien</v>
      </c>
      <c r="D40" s="1139">
        <v>0.13336674802990112</v>
      </c>
      <c r="E40" s="1139"/>
      <c r="F40" s="81" t="s">
        <v>1591</v>
      </c>
      <c r="G40" s="459">
        <v>0.19071426940701899</v>
      </c>
      <c r="H40" s="460">
        <v>4.3705406755948403E-2</v>
      </c>
      <c r="I40" s="460">
        <v>5.7811100018067503E-2</v>
      </c>
      <c r="J40" s="460">
        <v>0.26335653063972198</v>
      </c>
      <c r="K40" s="460">
        <v>0.128227593941313</v>
      </c>
      <c r="L40" s="460">
        <v>9.2023796312270006E-2</v>
      </c>
      <c r="M40" s="460">
        <v>0.24359930811776301</v>
      </c>
      <c r="N40" s="460">
        <v>0.15635606088291501</v>
      </c>
      <c r="O40" s="460">
        <v>0.15486329386049399</v>
      </c>
      <c r="P40" s="460">
        <v>5.2392438071949599E-2</v>
      </c>
      <c r="Q40" s="460">
        <v>5.1164803976188802E-3</v>
      </c>
      <c r="R40" s="460">
        <v>-2.9028883398741601E-2</v>
      </c>
      <c r="S40" s="460">
        <v>-0.26527516964860198</v>
      </c>
      <c r="T40" s="460">
        <v>-0.48326568646022999</v>
      </c>
      <c r="U40" s="460">
        <v>-0.52418011491942196</v>
      </c>
      <c r="V40" s="460">
        <v>-0.52078873116904001</v>
      </c>
      <c r="W40" s="460">
        <v>-0.55861033403455995</v>
      </c>
      <c r="X40" s="460">
        <v>-0.52581701632053601</v>
      </c>
      <c r="Y40" s="460">
        <v>-0.50482080547302399</v>
      </c>
      <c r="Z40" s="460">
        <v>-0.57515592497829904</v>
      </c>
      <c r="AA40" s="460">
        <v>-0.59293937888168002</v>
      </c>
      <c r="AB40" s="460">
        <v>-0.306796581590773</v>
      </c>
      <c r="AC40" s="460">
        <v>-0.12931645504595499</v>
      </c>
      <c r="AD40" s="460">
        <v>-0.47405411151346699</v>
      </c>
      <c r="AE40" s="460">
        <v>-8.5384588623875005E-3</v>
      </c>
      <c r="AF40" s="460">
        <v>0.160412135752942</v>
      </c>
      <c r="AG40" s="460">
        <v>-0.19440944259301501</v>
      </c>
      <c r="AH40" s="460">
        <v>-1.7391115489253E-3</v>
      </c>
      <c r="AI40" s="460">
        <v>-0.28265325186489598</v>
      </c>
      <c r="AJ40" s="460">
        <v>-0.322315903980263</v>
      </c>
      <c r="AK40" s="460">
        <v>0.71258598003930695</v>
      </c>
      <c r="AL40" s="460">
        <v>0.84682572382852195</v>
      </c>
      <c r="AM40" s="460">
        <v>0.75694448727130703</v>
      </c>
      <c r="AN40" s="460">
        <v>1</v>
      </c>
      <c r="AO40" s="460">
        <v>0.61214238661642495</v>
      </c>
      <c r="AP40" s="460">
        <v>-0.64056243871911001</v>
      </c>
      <c r="AQ40" s="460">
        <v>0.72209198419384302</v>
      </c>
      <c r="AR40" s="460">
        <v>0.72163978424120001</v>
      </c>
      <c r="AS40" s="461">
        <v>0.32244565599061498</v>
      </c>
      <c r="AT40" s="87"/>
      <c r="AU40" s="87"/>
      <c r="AV40" s="87"/>
    </row>
    <row r="41" spans="1:48" s="3" customFormat="1" ht="14.25" customHeight="1" x14ac:dyDescent="0.25">
      <c r="A41" s="87"/>
      <c r="B41" s="81" t="s">
        <v>1592</v>
      </c>
      <c r="C41" s="451" t="str">
        <f>VLOOKUP("T.24.36",Translation,LanguageNo+1,FALSE)</f>
        <v>Aktien Japan</v>
      </c>
      <c r="D41" s="1139">
        <v>0.17732333296581906</v>
      </c>
      <c r="E41" s="1139"/>
      <c r="F41" s="81" t="s">
        <v>1592</v>
      </c>
      <c r="G41" s="459">
        <v>0.23748834871892199</v>
      </c>
      <c r="H41" s="460">
        <v>0.18823332061999001</v>
      </c>
      <c r="I41" s="460">
        <v>0.181750244449045</v>
      </c>
      <c r="J41" s="460">
        <v>0.34007680734297302</v>
      </c>
      <c r="K41" s="460">
        <v>0.233092720382129</v>
      </c>
      <c r="L41" s="460">
        <v>0.19658153743538001</v>
      </c>
      <c r="M41" s="460">
        <v>0.36194916954310002</v>
      </c>
      <c r="N41" s="460">
        <v>0.30997965042236902</v>
      </c>
      <c r="O41" s="460">
        <v>0.27617424934496099</v>
      </c>
      <c r="P41" s="460">
        <v>0.28579683515681498</v>
      </c>
      <c r="Q41" s="460">
        <v>0.19837537793384999</v>
      </c>
      <c r="R41" s="460">
        <v>0.14504261700354701</v>
      </c>
      <c r="S41" s="460">
        <v>-0.19635699397581299</v>
      </c>
      <c r="T41" s="460">
        <v>-0.48271474029222999</v>
      </c>
      <c r="U41" s="460">
        <v>-0.47466308694673198</v>
      </c>
      <c r="V41" s="460">
        <v>-0.484882942784988</v>
      </c>
      <c r="W41" s="460">
        <v>-0.52084125247503199</v>
      </c>
      <c r="X41" s="460">
        <v>-0.55786200192526902</v>
      </c>
      <c r="Y41" s="460">
        <v>-0.42032174439234199</v>
      </c>
      <c r="Z41" s="460">
        <v>-0.501786276617462</v>
      </c>
      <c r="AA41" s="460">
        <v>-0.490753171852576</v>
      </c>
      <c r="AB41" s="460">
        <v>-0.35211729009791798</v>
      </c>
      <c r="AC41" s="460">
        <v>-8.8456485965790005E-2</v>
      </c>
      <c r="AD41" s="460">
        <v>-0.352806954413378</v>
      </c>
      <c r="AE41" s="460">
        <v>0.13965590607790601</v>
      </c>
      <c r="AF41" s="460">
        <v>0.203541589292871</v>
      </c>
      <c r="AG41" s="460">
        <v>-6.8026854376164805E-2</v>
      </c>
      <c r="AH41" s="460">
        <v>0.27904074883796098</v>
      </c>
      <c r="AI41" s="460">
        <v>-0.51869060834312497</v>
      </c>
      <c r="AJ41" s="460">
        <v>-0.36555867843844397</v>
      </c>
      <c r="AK41" s="460">
        <v>0.64260791445582699</v>
      </c>
      <c r="AL41" s="460">
        <v>0.71344692030104895</v>
      </c>
      <c r="AM41" s="460">
        <v>0.67317124960385999</v>
      </c>
      <c r="AN41" s="460">
        <v>0.61214238661642495</v>
      </c>
      <c r="AO41" s="460">
        <v>1</v>
      </c>
      <c r="AP41" s="460">
        <v>-0.53675862857835099</v>
      </c>
      <c r="AQ41" s="460">
        <v>0.65046255161006805</v>
      </c>
      <c r="AR41" s="460">
        <v>0.62800630387216105</v>
      </c>
      <c r="AS41" s="461">
        <v>0.22063320763402</v>
      </c>
      <c r="AT41" s="87"/>
      <c r="AU41" s="87"/>
      <c r="AV41" s="87"/>
    </row>
    <row r="42" spans="1:48" s="3" customFormat="1" ht="14.25" customHeight="1" x14ac:dyDescent="0.25">
      <c r="A42" s="87"/>
      <c r="B42" s="81" t="s">
        <v>62</v>
      </c>
      <c r="C42" s="81" t="str">
        <f>VLOOKUP("T.24.37",Translation,LanguageNo+1,FALSE)</f>
        <v>Implizite Aktienvolatilität</v>
      </c>
      <c r="D42" s="1139">
        <v>0.79046343814374675</v>
      </c>
      <c r="E42" s="1139"/>
      <c r="F42" s="81" t="s">
        <v>62</v>
      </c>
      <c r="G42" s="459">
        <v>-0.13062419758211199</v>
      </c>
      <c r="H42" s="460">
        <v>-7.7814909094349904E-2</v>
      </c>
      <c r="I42" s="460">
        <v>-8.2028872120790103E-2</v>
      </c>
      <c r="J42" s="460">
        <v>-0.17063420869433199</v>
      </c>
      <c r="K42" s="460">
        <v>-6.7788969399179902E-2</v>
      </c>
      <c r="L42" s="460">
        <v>-4.2181861859047903E-2</v>
      </c>
      <c r="M42" s="460">
        <v>-0.123430422066513</v>
      </c>
      <c r="N42" s="460">
        <v>-7.5325340926836307E-2</v>
      </c>
      <c r="O42" s="460">
        <v>-9.1570767930647695E-2</v>
      </c>
      <c r="P42" s="460">
        <v>-6.3982170344556499E-2</v>
      </c>
      <c r="Q42" s="460">
        <v>-1.7418577951267701E-2</v>
      </c>
      <c r="R42" s="460">
        <v>-1.35812635422566E-2</v>
      </c>
      <c r="S42" s="460">
        <v>0.26923649652108</v>
      </c>
      <c r="T42" s="460">
        <v>0.47186509446675501</v>
      </c>
      <c r="U42" s="460">
        <v>0.45912323403723598</v>
      </c>
      <c r="V42" s="460">
        <v>0.43616009699769298</v>
      </c>
      <c r="W42" s="460">
        <v>0.43358278699452801</v>
      </c>
      <c r="X42" s="460">
        <v>0.44187010713305602</v>
      </c>
      <c r="Y42" s="460">
        <v>0.40123400575484902</v>
      </c>
      <c r="Z42" s="460">
        <v>0.427380271983896</v>
      </c>
      <c r="AA42" s="460">
        <v>0.38815641288386998</v>
      </c>
      <c r="AB42" s="460">
        <v>0.29696023020545398</v>
      </c>
      <c r="AC42" s="460">
        <v>0.10929037371883001</v>
      </c>
      <c r="AD42" s="460">
        <v>0.30646875846854799</v>
      </c>
      <c r="AE42" s="460">
        <v>4.3615730388215097E-2</v>
      </c>
      <c r="AF42" s="460">
        <v>-0.16902469844993201</v>
      </c>
      <c r="AG42" s="460">
        <v>0.18428086777969399</v>
      </c>
      <c r="AH42" s="460">
        <v>-0.118741653516449</v>
      </c>
      <c r="AI42" s="460">
        <v>0.30397974676989598</v>
      </c>
      <c r="AJ42" s="460">
        <v>0.440313498419306</v>
      </c>
      <c r="AK42" s="460">
        <v>-0.62656165076626102</v>
      </c>
      <c r="AL42" s="460">
        <v>-0.65753246815419697</v>
      </c>
      <c r="AM42" s="460">
        <v>-0.72407343074598896</v>
      </c>
      <c r="AN42" s="460">
        <v>-0.64056243871911001</v>
      </c>
      <c r="AO42" s="460">
        <v>-0.53675862857835099</v>
      </c>
      <c r="AP42" s="460">
        <v>1</v>
      </c>
      <c r="AQ42" s="460">
        <v>-0.57158912043875199</v>
      </c>
      <c r="AR42" s="460">
        <v>-0.49041626520260101</v>
      </c>
      <c r="AS42" s="461">
        <v>-0.20347027313793301</v>
      </c>
      <c r="AT42" s="87"/>
      <c r="AU42" s="87"/>
      <c r="AV42" s="87"/>
    </row>
    <row r="43" spans="1:48" s="3" customFormat="1" ht="14.25" customHeight="1" x14ac:dyDescent="0.25">
      <c r="A43" s="87"/>
      <c r="B43" s="81" t="s">
        <v>63</v>
      </c>
      <c r="C43" s="451" t="str">
        <f>VLOOKUP("T.24.38",Translation,LanguageNo+1,FALSE)</f>
        <v>Hedgefonds</v>
      </c>
      <c r="D43" s="1139">
        <v>0.1190936713874317</v>
      </c>
      <c r="E43" s="1139"/>
      <c r="F43" s="81" t="s">
        <v>63</v>
      </c>
      <c r="G43" s="459">
        <v>0.221749375127858</v>
      </c>
      <c r="H43" s="460">
        <v>5.3025398605984701E-2</v>
      </c>
      <c r="I43" s="460">
        <v>4.9276196291135901E-2</v>
      </c>
      <c r="J43" s="460">
        <v>0.243729594054684</v>
      </c>
      <c r="K43" s="460">
        <v>0.100635295835109</v>
      </c>
      <c r="L43" s="460">
        <v>3.6190884549407797E-2</v>
      </c>
      <c r="M43" s="460">
        <v>0.213615293765722</v>
      </c>
      <c r="N43" s="460">
        <v>0.17229436137401299</v>
      </c>
      <c r="O43" s="460">
        <v>0.179300526059118</v>
      </c>
      <c r="P43" s="460">
        <v>0.14806087357374501</v>
      </c>
      <c r="Q43" s="460">
        <v>5.6733406331167101E-2</v>
      </c>
      <c r="R43" s="460">
        <v>-4.9503406757952003E-3</v>
      </c>
      <c r="S43" s="460">
        <v>-0.15497934454516701</v>
      </c>
      <c r="T43" s="460">
        <v>-0.59817109162483995</v>
      </c>
      <c r="U43" s="460">
        <v>-0.67001436260939295</v>
      </c>
      <c r="V43" s="460">
        <v>-0.68437655333018299</v>
      </c>
      <c r="W43" s="460">
        <v>-0.71469910108565204</v>
      </c>
      <c r="X43" s="460">
        <v>-0.71929893340336903</v>
      </c>
      <c r="Y43" s="460">
        <v>-0.64153519830834804</v>
      </c>
      <c r="Z43" s="460">
        <v>-0.67184840465975604</v>
      </c>
      <c r="AA43" s="460">
        <v>-0.688101823662705</v>
      </c>
      <c r="AB43" s="460">
        <v>-0.29916423348700599</v>
      </c>
      <c r="AC43" s="460">
        <v>-0.17963955331342801</v>
      </c>
      <c r="AD43" s="460">
        <v>-0.56436789503562601</v>
      </c>
      <c r="AE43" s="460">
        <v>9.0751105611685298E-2</v>
      </c>
      <c r="AF43" s="460">
        <v>0.13895042524423201</v>
      </c>
      <c r="AG43" s="460">
        <v>-0.25319111575430803</v>
      </c>
      <c r="AH43" s="460">
        <v>0.209917735114165</v>
      </c>
      <c r="AI43" s="460">
        <v>-0.32252503858463399</v>
      </c>
      <c r="AJ43" s="460">
        <v>-0.29440937765686798</v>
      </c>
      <c r="AK43" s="460">
        <v>0.62802390566709998</v>
      </c>
      <c r="AL43" s="460">
        <v>0.77518976626824598</v>
      </c>
      <c r="AM43" s="460">
        <v>0.80388616342086805</v>
      </c>
      <c r="AN43" s="460">
        <v>0.72209198419384302</v>
      </c>
      <c r="AO43" s="460">
        <v>0.65046255161006805</v>
      </c>
      <c r="AP43" s="460">
        <v>-0.57158912043875199</v>
      </c>
      <c r="AQ43" s="460">
        <v>1</v>
      </c>
      <c r="AR43" s="460">
        <v>0.72525945706939599</v>
      </c>
      <c r="AS43" s="461">
        <v>0.38360747219772601</v>
      </c>
      <c r="AT43" s="87"/>
      <c r="AU43" s="87"/>
      <c r="AV43" s="87"/>
    </row>
    <row r="44" spans="1:48" s="3" customFormat="1" ht="14.25" customHeight="1" x14ac:dyDescent="0.25">
      <c r="A44" s="87"/>
      <c r="B44" s="81" t="s">
        <v>64</v>
      </c>
      <c r="C44" s="81" t="str">
        <f>VLOOKUP("T.24.39",Translation,LanguageNo+1,FALSE)</f>
        <v>Private Equity</v>
      </c>
      <c r="D44" s="1139">
        <v>0.23234144254682157</v>
      </c>
      <c r="E44" s="1139"/>
      <c r="F44" s="81" t="s">
        <v>64</v>
      </c>
      <c r="G44" s="459">
        <v>9.5769895264690999E-2</v>
      </c>
      <c r="H44" s="460">
        <v>-2.6100766137666001E-2</v>
      </c>
      <c r="I44" s="460">
        <v>2.05994116551067E-2</v>
      </c>
      <c r="J44" s="460">
        <v>0.193243877902778</v>
      </c>
      <c r="K44" s="460">
        <v>8.2307386840600599E-2</v>
      </c>
      <c r="L44" s="460">
        <v>5.6966553787359597E-2</v>
      </c>
      <c r="M44" s="460">
        <v>0.271882743693873</v>
      </c>
      <c r="N44" s="460">
        <v>0.23545837134395101</v>
      </c>
      <c r="O44" s="460">
        <v>0.238089977926907</v>
      </c>
      <c r="P44" s="460">
        <v>0.13971014857641401</v>
      </c>
      <c r="Q44" s="460">
        <v>7.1759212630931699E-2</v>
      </c>
      <c r="R44" s="460">
        <v>-5.3813903436612397E-4</v>
      </c>
      <c r="S44" s="460">
        <v>-0.239892573261269</v>
      </c>
      <c r="T44" s="460">
        <v>-0.48908238260950498</v>
      </c>
      <c r="U44" s="460">
        <v>-0.56359077819869197</v>
      </c>
      <c r="V44" s="460">
        <v>-0.57181793859869001</v>
      </c>
      <c r="W44" s="460">
        <v>-0.63597064396597602</v>
      </c>
      <c r="X44" s="460">
        <v>-0.69612206757842299</v>
      </c>
      <c r="Y44" s="460">
        <v>-0.61931426179836402</v>
      </c>
      <c r="Z44" s="460">
        <v>-0.67604348099630795</v>
      </c>
      <c r="AA44" s="460">
        <v>-0.67108646306220499</v>
      </c>
      <c r="AB44" s="460">
        <v>-0.272469785673086</v>
      </c>
      <c r="AC44" s="460">
        <v>-0.10111278339168001</v>
      </c>
      <c r="AD44" s="460">
        <v>-0.46316812402781399</v>
      </c>
      <c r="AE44" s="460">
        <v>2.8805989836923802E-2</v>
      </c>
      <c r="AF44" s="460">
        <v>5.9859754006581598E-2</v>
      </c>
      <c r="AG44" s="460">
        <v>-8.7267096952121995E-2</v>
      </c>
      <c r="AH44" s="460">
        <v>0.24075709746807999</v>
      </c>
      <c r="AI44" s="460">
        <v>-0.23199294656070699</v>
      </c>
      <c r="AJ44" s="460">
        <v>-0.32152663748258797</v>
      </c>
      <c r="AK44" s="460">
        <v>0.71803281409574005</v>
      </c>
      <c r="AL44" s="460">
        <v>0.84410414259544797</v>
      </c>
      <c r="AM44" s="460">
        <v>0.80029609890507902</v>
      </c>
      <c r="AN44" s="460">
        <v>0.72163978424120001</v>
      </c>
      <c r="AO44" s="460">
        <v>0.62800630387216105</v>
      </c>
      <c r="AP44" s="460">
        <v>-0.49041626520260101</v>
      </c>
      <c r="AQ44" s="460">
        <v>0.72525945706939599</v>
      </c>
      <c r="AR44" s="460">
        <v>1</v>
      </c>
      <c r="AS44" s="461">
        <v>0.33745950022033699</v>
      </c>
      <c r="AT44" s="87"/>
      <c r="AU44" s="87"/>
      <c r="AV44" s="87"/>
    </row>
    <row r="45" spans="1:48" ht="14.25" customHeight="1" x14ac:dyDescent="0.25">
      <c r="A45" s="67"/>
      <c r="B45" s="450" t="s">
        <v>1593</v>
      </c>
      <c r="C45" s="557" t="str">
        <f>VLOOKUP("T.24.40",Translation,LanguageNo+1,FALSE)</f>
        <v>Immobilienfonds Schweiz</v>
      </c>
      <c r="D45" s="1140">
        <v>8.0468124171021518E-2</v>
      </c>
      <c r="E45" s="1139"/>
      <c r="F45" s="450" t="s">
        <v>1593</v>
      </c>
      <c r="G45" s="450">
        <v>-0.108198044800127</v>
      </c>
      <c r="H45" s="72">
        <v>-0.18437446978512401</v>
      </c>
      <c r="I45" s="72">
        <v>-0.20349904866322599</v>
      </c>
      <c r="J45" s="72">
        <v>-3.4658674529725597E-2</v>
      </c>
      <c r="K45" s="72">
        <v>-0.16759021133487001</v>
      </c>
      <c r="L45" s="72">
        <v>-0.132946014860575</v>
      </c>
      <c r="M45" s="72">
        <v>7.5884409999590697E-3</v>
      </c>
      <c r="N45" s="72">
        <v>-7.6213917760981006E-2</v>
      </c>
      <c r="O45" s="72">
        <v>-9.5299637221394201E-2</v>
      </c>
      <c r="P45" s="72">
        <v>-4.2711292250662503E-2</v>
      </c>
      <c r="Q45" s="72">
        <v>-0.14479632361713399</v>
      </c>
      <c r="R45" s="72">
        <v>-0.10900649356476901</v>
      </c>
      <c r="S45" s="72">
        <v>-0.144528557873698</v>
      </c>
      <c r="T45" s="72">
        <v>-0.25984261667002101</v>
      </c>
      <c r="U45" s="72">
        <v>-0.33406696884279602</v>
      </c>
      <c r="V45" s="72">
        <v>-0.32960281608832298</v>
      </c>
      <c r="W45" s="72">
        <v>-0.34852598134096302</v>
      </c>
      <c r="X45" s="72">
        <v>-0.36709144349313899</v>
      </c>
      <c r="Y45" s="72">
        <v>-0.35195960706087198</v>
      </c>
      <c r="Z45" s="72">
        <v>-0.36467437688945198</v>
      </c>
      <c r="AA45" s="72">
        <v>-0.366017497949649</v>
      </c>
      <c r="AB45" s="72">
        <v>-0.141633275490546</v>
      </c>
      <c r="AC45" s="72">
        <v>-4.19669045790661E-2</v>
      </c>
      <c r="AD45" s="72">
        <v>-0.27803490302413503</v>
      </c>
      <c r="AE45" s="458">
        <v>-7.0468352810051302E-3</v>
      </c>
      <c r="AF45" s="72">
        <v>3.5003559514675202E-2</v>
      </c>
      <c r="AG45" s="72">
        <v>-6.7876906303219894E-2</v>
      </c>
      <c r="AH45" s="72">
        <v>0.11829239860664099</v>
      </c>
      <c r="AI45" s="72">
        <v>2.01952653526416E-2</v>
      </c>
      <c r="AJ45" s="72">
        <v>-0.14452004610792199</v>
      </c>
      <c r="AK45" s="72">
        <v>0.30997641010127303</v>
      </c>
      <c r="AL45" s="72">
        <v>0.34548499289448198</v>
      </c>
      <c r="AM45" s="72">
        <v>0.312089245274772</v>
      </c>
      <c r="AN45" s="72">
        <v>0.32244565599061498</v>
      </c>
      <c r="AO45" s="72">
        <v>0.22063320763402</v>
      </c>
      <c r="AP45" s="72">
        <v>-0.20347027313793301</v>
      </c>
      <c r="AQ45" s="72">
        <v>0.38360747219772601</v>
      </c>
      <c r="AR45" s="72">
        <v>0.33745950022033699</v>
      </c>
      <c r="AS45" s="72">
        <v>1</v>
      </c>
      <c r="AT45" s="67"/>
      <c r="AU45" s="67"/>
      <c r="AV45" s="67"/>
    </row>
    <row r="46" spans="1:48" ht="12.75" customHeight="1" x14ac:dyDescent="0.25">
      <c r="A46" s="67"/>
      <c r="B46" s="67"/>
      <c r="C46" s="67"/>
      <c r="D46" s="67"/>
      <c r="E46" s="67"/>
      <c r="F46" s="87"/>
      <c r="G46" s="67"/>
      <c r="H46" s="67"/>
      <c r="I46" s="67"/>
      <c r="J46" s="67"/>
      <c r="K46" s="67"/>
      <c r="L46" s="67"/>
      <c r="M46" s="67"/>
      <c r="N46" s="67"/>
      <c r="O46" s="67"/>
      <c r="P46" s="67"/>
      <c r="Q46" s="67"/>
      <c r="R46" s="67"/>
      <c r="S46" s="67"/>
      <c r="T46" s="67"/>
      <c r="U46" s="67"/>
      <c r="V46" s="67"/>
      <c r="W46" s="67"/>
      <c r="X46" s="67"/>
      <c r="Y46" s="67"/>
      <c r="Z46" s="67"/>
      <c r="AA46" s="67"/>
      <c r="AB46" s="67"/>
      <c r="AC46" s="67"/>
      <c r="AD46" s="67"/>
      <c r="AE46" s="67"/>
      <c r="AF46" s="67"/>
      <c r="AG46" s="67"/>
      <c r="AH46" s="67"/>
      <c r="AI46" s="67"/>
      <c r="AJ46" s="67"/>
      <c r="AK46" s="67"/>
      <c r="AL46" s="67"/>
      <c r="AM46" s="67"/>
      <c r="AN46" s="67"/>
      <c r="AO46" s="67"/>
      <c r="AP46" s="67"/>
      <c r="AQ46" s="67"/>
      <c r="AR46" s="67"/>
      <c r="AS46" s="67"/>
      <c r="AT46" s="67"/>
      <c r="AU46" s="67"/>
      <c r="AV46" s="67"/>
    </row>
    <row r="47" spans="1:48" ht="12.75" customHeight="1" x14ac:dyDescent="0.25">
      <c r="A47" s="67"/>
      <c r="B47" s="67"/>
      <c r="C47" s="67"/>
      <c r="D47" s="67"/>
      <c r="E47" s="67"/>
      <c r="F47" s="87"/>
      <c r="G47" s="67"/>
      <c r="H47" s="67"/>
      <c r="I47" s="67"/>
      <c r="J47" s="67"/>
      <c r="K47" s="67"/>
      <c r="L47" s="67"/>
      <c r="M47" s="67"/>
      <c r="N47" s="67"/>
      <c r="O47" s="67"/>
      <c r="P47" s="67"/>
      <c r="Q47" s="67"/>
      <c r="R47" s="67"/>
      <c r="S47" s="67"/>
      <c r="T47" s="67"/>
      <c r="U47" s="67"/>
      <c r="V47" s="67"/>
      <c r="W47" s="67"/>
      <c r="X47" s="67"/>
      <c r="Y47" s="67"/>
      <c r="Z47" s="67"/>
      <c r="AA47" s="67"/>
      <c r="AB47" s="67"/>
      <c r="AC47" s="67"/>
      <c r="AD47" s="67"/>
      <c r="AE47" s="67"/>
      <c r="AF47" s="67"/>
      <c r="AG47" s="67"/>
      <c r="AH47" s="67"/>
      <c r="AI47" s="67"/>
      <c r="AJ47" s="67"/>
      <c r="AK47" s="67"/>
      <c r="AL47" s="67"/>
      <c r="AM47" s="67"/>
      <c r="AN47" s="67"/>
      <c r="AO47" s="67"/>
      <c r="AP47" s="67"/>
      <c r="AQ47" s="67"/>
      <c r="AR47" s="67"/>
      <c r="AS47" s="67"/>
      <c r="AT47" s="67"/>
      <c r="AU47" s="67"/>
      <c r="AV47" s="67"/>
    </row>
    <row r="49" spans="31:31" ht="12.75" customHeight="1" x14ac:dyDescent="0.25">
      <c r="AE49" s="9"/>
    </row>
  </sheetData>
  <mergeCells count="6">
    <mergeCell ref="G4:AS4"/>
    <mergeCell ref="G5:AS5"/>
    <mergeCell ref="B4:B6"/>
    <mergeCell ref="C4:C6"/>
    <mergeCell ref="D4:D6"/>
    <mergeCell ref="F4:F6"/>
  </mergeCells>
  <conditionalFormatting sqref="F7:AS45">
    <cfRule type="expression" dxfId="29" priority="7">
      <formula>MOD(ROW(),2)=0</formula>
    </cfRule>
  </conditionalFormatting>
  <conditionalFormatting sqref="B7:D45">
    <cfRule type="expression" dxfId="28" priority="1">
      <formula>MOD(ROW(),2)=0</formula>
    </cfRule>
  </conditionalFormatting>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Tabelle12">
    <tabColor rgb="FF00539E"/>
  </sheetPr>
  <dimension ref="A1:R78"/>
  <sheetViews>
    <sheetView showGridLines="0" zoomScale="90" zoomScaleNormal="90" workbookViewId="0"/>
  </sheetViews>
  <sheetFormatPr baseColWidth="10" defaultColWidth="8.5703125" defaultRowHeight="12.75" customHeight="1" x14ac:dyDescent="0.25"/>
  <cols>
    <col min="1" max="1" width="5.5703125" style="18" customWidth="1"/>
    <col min="2" max="13" width="20.5703125" style="18" customWidth="1"/>
    <col min="15" max="17" width="8.5703125" style="18"/>
    <col min="18" max="18" width="20.5703125" style="18" customWidth="1"/>
    <col min="19" max="16384" width="8.5703125" style="18"/>
  </cols>
  <sheetData>
    <row r="1" spans="1:18" ht="20.100000000000001" customHeight="1" x14ac:dyDescent="0.25">
      <c r="A1" s="21">
        <v>25</v>
      </c>
      <c r="B1" s="680" t="str">
        <f>VLOOKUP("T.25.01",Translation,LanguageNo+1,FALSE)</f>
        <v>Zuordnungstabelle für die Marktrisikofaktoren</v>
      </c>
      <c r="C1" s="1"/>
    </row>
    <row r="2" spans="1:18" ht="14.25" customHeight="1" x14ac:dyDescent="0.25">
      <c r="A2" s="427"/>
      <c r="B2" s="1180"/>
      <c r="C2" s="427"/>
      <c r="D2" s="427"/>
      <c r="F2" s="427"/>
      <c r="G2" s="427"/>
      <c r="H2" s="427"/>
      <c r="I2" s="427"/>
      <c r="J2" s="427"/>
    </row>
    <row r="3" spans="1:18" ht="14.25" customHeight="1" x14ac:dyDescent="0.25">
      <c r="A3" s="427"/>
      <c r="B3" s="427"/>
      <c r="C3" s="427"/>
      <c r="D3" s="427"/>
      <c r="F3" s="427"/>
      <c r="G3" s="427"/>
      <c r="H3" s="427"/>
      <c r="I3" s="427"/>
      <c r="J3" s="427"/>
    </row>
    <row r="4" spans="1:18" ht="14.25" customHeight="1" x14ac:dyDescent="0.25">
      <c r="A4" s="427"/>
      <c r="B4" s="427"/>
      <c r="C4" s="427"/>
      <c r="D4" s="427"/>
      <c r="F4" s="427"/>
      <c r="G4" s="427"/>
      <c r="H4" s="427"/>
      <c r="I4" s="427"/>
      <c r="J4" s="427"/>
    </row>
    <row r="5" spans="1:18" ht="33" customHeight="1" x14ac:dyDescent="0.25">
      <c r="A5" s="427"/>
      <c r="B5" s="608" t="s">
        <v>1611</v>
      </c>
      <c r="C5" s="609" t="s">
        <v>22</v>
      </c>
      <c r="D5" s="610" t="s">
        <v>23</v>
      </c>
      <c r="E5" s="610" t="s">
        <v>1686</v>
      </c>
      <c r="F5" s="611" t="s">
        <v>1974</v>
      </c>
      <c r="G5" s="610" t="s">
        <v>86</v>
      </c>
      <c r="H5" s="608" t="s">
        <v>44</v>
      </c>
      <c r="I5" s="612" t="s">
        <v>24</v>
      </c>
      <c r="J5" s="613" t="s">
        <v>2054</v>
      </c>
      <c r="K5" s="614" t="s">
        <v>2053</v>
      </c>
      <c r="L5" s="615" t="s">
        <v>2055</v>
      </c>
      <c r="M5" s="609" t="s">
        <v>253</v>
      </c>
      <c r="O5" s="1342" t="s">
        <v>2452</v>
      </c>
      <c r="P5" s="1343" t="s">
        <v>2453</v>
      </c>
      <c r="R5" s="609" t="s">
        <v>253</v>
      </c>
    </row>
    <row r="6" spans="1:18" ht="50.25" customHeight="1" x14ac:dyDescent="0.25">
      <c r="B6" s="607" t="s">
        <v>2047</v>
      </c>
      <c r="C6" s="465"/>
      <c r="D6" s="465"/>
      <c r="E6" s="603" t="s">
        <v>2048</v>
      </c>
      <c r="F6" s="603" t="s">
        <v>2049</v>
      </c>
      <c r="G6" s="603" t="s">
        <v>2050</v>
      </c>
      <c r="H6" s="607" t="s">
        <v>2051</v>
      </c>
      <c r="I6" s="607" t="s">
        <v>2052</v>
      </c>
      <c r="J6" s="603" t="s">
        <v>2057</v>
      </c>
      <c r="K6" s="603"/>
      <c r="L6" s="607" t="s">
        <v>2056</v>
      </c>
      <c r="M6" s="603" t="s">
        <v>2058</v>
      </c>
      <c r="O6" s="1342"/>
      <c r="P6" s="1343"/>
      <c r="R6" s="942" t="s">
        <v>3256</v>
      </c>
    </row>
    <row r="7" spans="1:18" ht="14.25" customHeight="1" x14ac:dyDescent="0.25">
      <c r="B7" s="466" t="s">
        <v>1612</v>
      </c>
      <c r="C7" s="466" t="s">
        <v>1613</v>
      </c>
      <c r="D7" s="467" t="s">
        <v>30</v>
      </c>
      <c r="E7" s="468" t="s">
        <v>27</v>
      </c>
      <c r="F7" s="578"/>
      <c r="G7" s="468"/>
      <c r="H7" s="468"/>
      <c r="I7" s="468"/>
      <c r="J7" s="560" t="s">
        <v>1588</v>
      </c>
      <c r="K7" s="468">
        <v>1</v>
      </c>
      <c r="L7" s="468" t="s">
        <v>1602</v>
      </c>
      <c r="M7" s="468" t="s">
        <v>27</v>
      </c>
      <c r="O7" s="468">
        <v>1</v>
      </c>
      <c r="P7" s="732" t="s">
        <v>88</v>
      </c>
      <c r="R7" s="468" t="s">
        <v>27</v>
      </c>
    </row>
    <row r="8" spans="1:18" ht="14.25" customHeight="1" x14ac:dyDescent="0.25">
      <c r="B8" s="468" t="s">
        <v>1614</v>
      </c>
      <c r="C8" s="468" t="s">
        <v>1613</v>
      </c>
      <c r="D8" s="468" t="s">
        <v>31</v>
      </c>
      <c r="E8" s="468" t="s">
        <v>27</v>
      </c>
      <c r="F8" s="468"/>
      <c r="G8" s="468"/>
      <c r="H8" s="468"/>
      <c r="I8" s="468"/>
      <c r="J8" s="560" t="s">
        <v>1589</v>
      </c>
      <c r="K8" s="468">
        <v>1</v>
      </c>
      <c r="L8" s="468" t="s">
        <v>1602</v>
      </c>
      <c r="M8" s="468" t="s">
        <v>27</v>
      </c>
      <c r="O8" s="468">
        <v>2</v>
      </c>
      <c r="P8" s="732" t="s">
        <v>88</v>
      </c>
      <c r="R8" s="468" t="s">
        <v>28</v>
      </c>
    </row>
    <row r="9" spans="1:18" ht="14.25" customHeight="1" x14ac:dyDescent="0.25">
      <c r="B9" s="468" t="s">
        <v>1615</v>
      </c>
      <c r="C9" s="468" t="s">
        <v>1613</v>
      </c>
      <c r="D9" s="468" t="s">
        <v>32</v>
      </c>
      <c r="E9" s="468" t="s">
        <v>27</v>
      </c>
      <c r="F9" s="468"/>
      <c r="G9" s="468"/>
      <c r="H9" s="468"/>
      <c r="I9" s="468"/>
      <c r="J9" s="560" t="s">
        <v>1591</v>
      </c>
      <c r="K9" s="468">
        <v>1</v>
      </c>
      <c r="L9" s="468" t="s">
        <v>1602</v>
      </c>
      <c r="M9" s="468" t="s">
        <v>27</v>
      </c>
      <c r="O9" s="468">
        <v>3</v>
      </c>
      <c r="P9" s="732" t="s">
        <v>88</v>
      </c>
      <c r="R9" s="468" t="s">
        <v>91</v>
      </c>
    </row>
    <row r="10" spans="1:18" ht="14.25" customHeight="1" x14ac:dyDescent="0.25">
      <c r="B10" s="468" t="s">
        <v>1616</v>
      </c>
      <c r="C10" s="468" t="s">
        <v>1613</v>
      </c>
      <c r="D10" s="468" t="s">
        <v>87</v>
      </c>
      <c r="E10" s="468" t="s">
        <v>27</v>
      </c>
      <c r="F10" s="468"/>
      <c r="G10" s="468"/>
      <c r="H10" s="468"/>
      <c r="I10" s="468"/>
      <c r="J10" s="560" t="s">
        <v>1592</v>
      </c>
      <c r="K10" s="468">
        <v>1</v>
      </c>
      <c r="L10" s="468" t="s">
        <v>1602</v>
      </c>
      <c r="M10" s="468" t="s">
        <v>27</v>
      </c>
      <c r="O10" s="468">
        <v>4</v>
      </c>
      <c r="P10" s="732" t="s">
        <v>88</v>
      </c>
      <c r="R10" s="468" t="s">
        <v>178</v>
      </c>
    </row>
    <row r="11" spans="1:18" ht="14.25" customHeight="1" x14ac:dyDescent="0.25">
      <c r="B11" s="468" t="s">
        <v>1617</v>
      </c>
      <c r="C11" s="468" t="s">
        <v>1613</v>
      </c>
      <c r="D11" s="468" t="s">
        <v>33</v>
      </c>
      <c r="E11" s="468" t="s">
        <v>27</v>
      </c>
      <c r="F11" s="468"/>
      <c r="G11" s="468"/>
      <c r="H11" s="468"/>
      <c r="I11" s="468"/>
      <c r="J11" s="560" t="s">
        <v>1590</v>
      </c>
      <c r="K11" s="468">
        <v>1</v>
      </c>
      <c r="L11" s="468" t="s">
        <v>1602</v>
      </c>
      <c r="M11" s="468" t="s">
        <v>27</v>
      </c>
      <c r="O11" s="468">
        <v>5</v>
      </c>
      <c r="P11" s="732" t="s">
        <v>88</v>
      </c>
      <c r="R11" s="468" t="s">
        <v>34</v>
      </c>
    </row>
    <row r="12" spans="1:18" ht="14.25" customHeight="1" x14ac:dyDescent="0.25">
      <c r="B12" s="468" t="s">
        <v>1618</v>
      </c>
      <c r="C12" s="468" t="s">
        <v>1613</v>
      </c>
      <c r="D12" s="468" t="s">
        <v>30</v>
      </c>
      <c r="E12" s="468" t="s">
        <v>28</v>
      </c>
      <c r="F12" s="468"/>
      <c r="G12" s="468"/>
      <c r="H12" s="468"/>
      <c r="I12" s="468"/>
      <c r="J12" s="468" t="s">
        <v>63</v>
      </c>
      <c r="K12" s="468">
        <v>1</v>
      </c>
      <c r="L12" s="468" t="s">
        <v>1610</v>
      </c>
      <c r="M12" s="468" t="s">
        <v>28</v>
      </c>
      <c r="O12" s="468">
        <v>6</v>
      </c>
      <c r="P12" s="732" t="s">
        <v>90</v>
      </c>
      <c r="R12" s="468" t="s">
        <v>250</v>
      </c>
    </row>
    <row r="13" spans="1:18" ht="14.25" customHeight="1" x14ac:dyDescent="0.25">
      <c r="B13" s="468" t="s">
        <v>1619</v>
      </c>
      <c r="C13" s="468" t="s">
        <v>1613</v>
      </c>
      <c r="D13" s="468" t="s">
        <v>31</v>
      </c>
      <c r="E13" s="468" t="s">
        <v>28</v>
      </c>
      <c r="F13" s="468"/>
      <c r="G13" s="468"/>
      <c r="H13" s="468"/>
      <c r="I13" s="468"/>
      <c r="J13" s="468" t="s">
        <v>63</v>
      </c>
      <c r="K13" s="468">
        <v>1</v>
      </c>
      <c r="L13" s="468" t="s">
        <v>1610</v>
      </c>
      <c r="M13" s="468" t="s">
        <v>28</v>
      </c>
      <c r="O13" s="468">
        <v>7</v>
      </c>
      <c r="P13" s="732" t="s">
        <v>90</v>
      </c>
      <c r="R13" s="468" t="s">
        <v>251</v>
      </c>
    </row>
    <row r="14" spans="1:18" ht="14.25" customHeight="1" x14ac:dyDescent="0.25">
      <c r="B14" s="468" t="s">
        <v>1620</v>
      </c>
      <c r="C14" s="468" t="s">
        <v>1613</v>
      </c>
      <c r="D14" s="468" t="s">
        <v>32</v>
      </c>
      <c r="E14" s="468" t="s">
        <v>28</v>
      </c>
      <c r="F14" s="468"/>
      <c r="G14" s="468"/>
      <c r="H14" s="468"/>
      <c r="I14" s="468"/>
      <c r="J14" s="468" t="s">
        <v>63</v>
      </c>
      <c r="K14" s="468">
        <v>1</v>
      </c>
      <c r="L14" s="468" t="s">
        <v>1610</v>
      </c>
      <c r="M14" s="468" t="s">
        <v>28</v>
      </c>
      <c r="O14" s="468">
        <v>8</v>
      </c>
      <c r="P14" s="732" t="s">
        <v>90</v>
      </c>
      <c r="R14" s="468" t="s">
        <v>252</v>
      </c>
    </row>
    <row r="15" spans="1:18" ht="14.25" customHeight="1" x14ac:dyDescent="0.25">
      <c r="B15" s="468" t="s">
        <v>1621</v>
      </c>
      <c r="C15" s="468" t="s">
        <v>1613</v>
      </c>
      <c r="D15" s="468" t="s">
        <v>87</v>
      </c>
      <c r="E15" s="468" t="s">
        <v>28</v>
      </c>
      <c r="F15" s="468"/>
      <c r="G15" s="468"/>
      <c r="H15" s="468"/>
      <c r="I15" s="468"/>
      <c r="J15" s="468" t="s">
        <v>63</v>
      </c>
      <c r="K15" s="468">
        <v>1</v>
      </c>
      <c r="L15" s="468" t="s">
        <v>1610</v>
      </c>
      <c r="M15" s="468" t="s">
        <v>28</v>
      </c>
      <c r="O15" s="468">
        <v>9</v>
      </c>
      <c r="P15" s="732" t="s">
        <v>90</v>
      </c>
      <c r="R15" s="468" t="s">
        <v>256</v>
      </c>
    </row>
    <row r="16" spans="1:18" ht="14.25" customHeight="1" x14ac:dyDescent="0.25">
      <c r="B16" s="468" t="s">
        <v>1622</v>
      </c>
      <c r="C16" s="468" t="s">
        <v>1613</v>
      </c>
      <c r="D16" s="468" t="s">
        <v>33</v>
      </c>
      <c r="E16" s="468" t="s">
        <v>28</v>
      </c>
      <c r="F16" s="468"/>
      <c r="G16" s="579"/>
      <c r="H16" s="468"/>
      <c r="I16" s="468"/>
      <c r="J16" s="468" t="s">
        <v>63</v>
      </c>
      <c r="K16" s="468">
        <v>1</v>
      </c>
      <c r="L16" s="468" t="s">
        <v>1602</v>
      </c>
      <c r="M16" s="468" t="s">
        <v>28</v>
      </c>
      <c r="O16" s="468">
        <v>10</v>
      </c>
      <c r="P16" s="732" t="s">
        <v>90</v>
      </c>
      <c r="R16" s="468" t="s">
        <v>254</v>
      </c>
    </row>
    <row r="17" spans="2:18" ht="14.25" customHeight="1" x14ac:dyDescent="0.25">
      <c r="B17" s="468" t="s">
        <v>1623</v>
      </c>
      <c r="C17" s="468" t="s">
        <v>1613</v>
      </c>
      <c r="D17" s="468" t="s">
        <v>30</v>
      </c>
      <c r="E17" s="468" t="s">
        <v>91</v>
      </c>
      <c r="F17" s="468"/>
      <c r="G17" s="468"/>
      <c r="H17" s="468"/>
      <c r="I17" s="468"/>
      <c r="J17" s="468" t="s">
        <v>64</v>
      </c>
      <c r="K17" s="468">
        <v>1</v>
      </c>
      <c r="L17" s="468" t="s">
        <v>1610</v>
      </c>
      <c r="M17" s="468" t="s">
        <v>91</v>
      </c>
      <c r="O17" s="468">
        <v>11</v>
      </c>
      <c r="P17" s="732" t="s">
        <v>90</v>
      </c>
      <c r="R17" s="468" t="s">
        <v>48</v>
      </c>
    </row>
    <row r="18" spans="2:18" ht="14.25" customHeight="1" x14ac:dyDescent="0.25">
      <c r="B18" s="468" t="s">
        <v>1624</v>
      </c>
      <c r="C18" s="468" t="s">
        <v>1613</v>
      </c>
      <c r="D18" s="468" t="s">
        <v>31</v>
      </c>
      <c r="E18" s="468" t="s">
        <v>91</v>
      </c>
      <c r="F18" s="468"/>
      <c r="G18" s="468"/>
      <c r="H18" s="468"/>
      <c r="I18" s="468"/>
      <c r="J18" s="468" t="s">
        <v>64</v>
      </c>
      <c r="K18" s="468">
        <v>1</v>
      </c>
      <c r="L18" s="468" t="s">
        <v>1610</v>
      </c>
      <c r="M18" s="468" t="s">
        <v>91</v>
      </c>
      <c r="O18" s="468">
        <v>12</v>
      </c>
      <c r="P18" s="732" t="s">
        <v>90</v>
      </c>
      <c r="R18" s="468" t="s">
        <v>1682</v>
      </c>
    </row>
    <row r="19" spans="2:18" ht="14.25" customHeight="1" x14ac:dyDescent="0.25">
      <c r="B19" s="468" t="s">
        <v>1625</v>
      </c>
      <c r="C19" s="468" t="s">
        <v>1613</v>
      </c>
      <c r="D19" s="468" t="s">
        <v>32</v>
      </c>
      <c r="E19" s="468" t="s">
        <v>91</v>
      </c>
      <c r="F19" s="468"/>
      <c r="G19" s="468"/>
      <c r="H19" s="468"/>
      <c r="I19" s="468"/>
      <c r="J19" s="468" t="s">
        <v>64</v>
      </c>
      <c r="K19" s="468">
        <v>1</v>
      </c>
      <c r="L19" s="468" t="s">
        <v>1610</v>
      </c>
      <c r="M19" s="468" t="s">
        <v>91</v>
      </c>
      <c r="O19" s="468">
        <v>13</v>
      </c>
      <c r="P19" s="732" t="s">
        <v>90</v>
      </c>
      <c r="R19" s="943" t="s">
        <v>3257</v>
      </c>
    </row>
    <row r="20" spans="2:18" ht="14.25" customHeight="1" x14ac:dyDescent="0.25">
      <c r="B20" s="468" t="s">
        <v>1626</v>
      </c>
      <c r="C20" s="468" t="s">
        <v>1613</v>
      </c>
      <c r="D20" s="468" t="s">
        <v>87</v>
      </c>
      <c r="E20" s="468" t="s">
        <v>91</v>
      </c>
      <c r="F20" s="468"/>
      <c r="G20" s="468"/>
      <c r="H20" s="468"/>
      <c r="I20" s="468"/>
      <c r="J20" s="468" t="s">
        <v>64</v>
      </c>
      <c r="K20" s="468">
        <v>1</v>
      </c>
      <c r="L20" s="468" t="s">
        <v>1610</v>
      </c>
      <c r="M20" s="468" t="s">
        <v>91</v>
      </c>
      <c r="O20" s="468">
        <v>14</v>
      </c>
      <c r="P20" s="732" t="s">
        <v>90</v>
      </c>
      <c r="R20" s="943" t="s">
        <v>3258</v>
      </c>
    </row>
    <row r="21" spans="2:18" ht="14.25" customHeight="1" x14ac:dyDescent="0.25">
      <c r="B21" s="468" t="s">
        <v>1627</v>
      </c>
      <c r="C21" s="468" t="s">
        <v>1613</v>
      </c>
      <c r="D21" s="468" t="s">
        <v>33</v>
      </c>
      <c r="E21" s="468" t="s">
        <v>91</v>
      </c>
      <c r="F21" s="468"/>
      <c r="G21" s="468"/>
      <c r="H21" s="468"/>
      <c r="I21" s="468"/>
      <c r="J21" s="468" t="s">
        <v>64</v>
      </c>
      <c r="K21" s="468">
        <v>1</v>
      </c>
      <c r="L21" s="468" t="s">
        <v>1602</v>
      </c>
      <c r="M21" s="468" t="s">
        <v>91</v>
      </c>
      <c r="O21" s="468">
        <v>15</v>
      </c>
      <c r="P21" s="732" t="s">
        <v>90</v>
      </c>
    </row>
    <row r="22" spans="2:18" ht="14.25" customHeight="1" x14ac:dyDescent="0.25">
      <c r="B22" s="468" t="s">
        <v>1628</v>
      </c>
      <c r="C22" s="468" t="s">
        <v>1613</v>
      </c>
      <c r="D22" s="468" t="s">
        <v>30</v>
      </c>
      <c r="E22" s="468" t="s">
        <v>255</v>
      </c>
      <c r="F22" s="468"/>
      <c r="G22" s="468"/>
      <c r="H22" s="468"/>
      <c r="I22" s="468"/>
      <c r="J22" s="489" t="s">
        <v>1593</v>
      </c>
      <c r="K22" s="468">
        <v>1</v>
      </c>
      <c r="L22" s="468" t="s">
        <v>1602</v>
      </c>
      <c r="M22" s="468" t="s">
        <v>178</v>
      </c>
      <c r="O22" s="468">
        <v>16</v>
      </c>
      <c r="P22" s="732" t="s">
        <v>90</v>
      </c>
    </row>
    <row r="23" spans="2:18" ht="14.25" customHeight="1" x14ac:dyDescent="0.25">
      <c r="B23" s="468" t="s">
        <v>1629</v>
      </c>
      <c r="C23" s="468" t="s">
        <v>1613</v>
      </c>
      <c r="D23" s="468" t="s">
        <v>30</v>
      </c>
      <c r="E23" s="468" t="s">
        <v>29</v>
      </c>
      <c r="F23" s="468"/>
      <c r="G23" s="468"/>
      <c r="H23" s="468"/>
      <c r="I23" s="468"/>
      <c r="J23" s="489" t="s">
        <v>1593</v>
      </c>
      <c r="K23" s="468">
        <v>0.35639999999999999</v>
      </c>
      <c r="L23" s="468" t="s">
        <v>1610</v>
      </c>
      <c r="M23" s="468" t="s">
        <v>178</v>
      </c>
      <c r="O23" s="468">
        <v>17</v>
      </c>
      <c r="P23" s="732" t="s">
        <v>90</v>
      </c>
    </row>
    <row r="24" spans="2:18" ht="14.25" customHeight="1" x14ac:dyDescent="0.25">
      <c r="B24" s="468" t="s">
        <v>1630</v>
      </c>
      <c r="C24" s="468" t="s">
        <v>34</v>
      </c>
      <c r="D24" s="468" t="s">
        <v>31</v>
      </c>
      <c r="E24" s="468"/>
      <c r="F24" s="579" t="s">
        <v>30</v>
      </c>
      <c r="G24" s="468"/>
      <c r="H24" s="468"/>
      <c r="I24" s="468"/>
      <c r="J24" s="468" t="s">
        <v>58</v>
      </c>
      <c r="K24" s="468">
        <v>1</v>
      </c>
      <c r="L24" s="468" t="s">
        <v>1602</v>
      </c>
      <c r="M24" s="468" t="s">
        <v>34</v>
      </c>
      <c r="O24" s="468">
        <v>18</v>
      </c>
      <c r="P24" s="732" t="s">
        <v>90</v>
      </c>
    </row>
    <row r="25" spans="2:18" ht="14.25" customHeight="1" x14ac:dyDescent="0.25">
      <c r="B25" s="468" t="s">
        <v>1631</v>
      </c>
      <c r="C25" s="468" t="s">
        <v>34</v>
      </c>
      <c r="D25" s="468" t="s">
        <v>33</v>
      </c>
      <c r="E25" s="468"/>
      <c r="F25" s="579" t="s">
        <v>30</v>
      </c>
      <c r="G25" s="468"/>
      <c r="H25" s="468"/>
      <c r="I25" s="468"/>
      <c r="J25" s="468" t="s">
        <v>59</v>
      </c>
      <c r="K25" s="468">
        <v>1</v>
      </c>
      <c r="L25" s="468" t="s">
        <v>1602</v>
      </c>
      <c r="M25" s="468" t="s">
        <v>34</v>
      </c>
      <c r="O25" s="468">
        <v>19</v>
      </c>
      <c r="P25" s="732" t="s">
        <v>90</v>
      </c>
    </row>
    <row r="26" spans="2:18" ht="14.25" customHeight="1" x14ac:dyDescent="0.25">
      <c r="B26" s="468" t="s">
        <v>1632</v>
      </c>
      <c r="C26" s="468" t="s">
        <v>34</v>
      </c>
      <c r="D26" s="468" t="s">
        <v>32</v>
      </c>
      <c r="E26" s="468"/>
      <c r="F26" s="579" t="s">
        <v>30</v>
      </c>
      <c r="G26" s="468"/>
      <c r="H26" s="468"/>
      <c r="I26" s="468"/>
      <c r="J26" s="468" t="s">
        <v>60</v>
      </c>
      <c r="K26" s="468">
        <v>1</v>
      </c>
      <c r="L26" s="468" t="s">
        <v>1602</v>
      </c>
      <c r="M26" s="468" t="s">
        <v>34</v>
      </c>
      <c r="O26" s="468">
        <v>20</v>
      </c>
      <c r="P26" s="732" t="s">
        <v>89</v>
      </c>
    </row>
    <row r="27" spans="2:18" ht="14.25" customHeight="1" x14ac:dyDescent="0.25">
      <c r="B27" s="468" t="s">
        <v>1633</v>
      </c>
      <c r="C27" s="468" t="s">
        <v>34</v>
      </c>
      <c r="D27" s="468" t="s">
        <v>87</v>
      </c>
      <c r="E27" s="468"/>
      <c r="F27" s="579" t="s">
        <v>30</v>
      </c>
      <c r="G27" s="468"/>
      <c r="H27" s="468"/>
      <c r="I27" s="468"/>
      <c r="J27" s="468" t="s">
        <v>61</v>
      </c>
      <c r="K27" s="468">
        <v>1</v>
      </c>
      <c r="L27" s="468" t="s">
        <v>1602</v>
      </c>
      <c r="M27" s="468" t="s">
        <v>34</v>
      </c>
      <c r="O27" s="468">
        <v>21</v>
      </c>
      <c r="P27" s="732" t="s">
        <v>89</v>
      </c>
    </row>
    <row r="28" spans="2:18" ht="14.25" customHeight="1" x14ac:dyDescent="0.25">
      <c r="B28" s="468" t="s">
        <v>1634</v>
      </c>
      <c r="C28" s="468" t="s">
        <v>55</v>
      </c>
      <c r="D28" s="468" t="s">
        <v>30</v>
      </c>
      <c r="E28" s="468"/>
      <c r="F28" s="468"/>
      <c r="G28" s="468" t="s">
        <v>88</v>
      </c>
      <c r="H28" s="468"/>
      <c r="I28" s="468"/>
      <c r="J28" s="468" t="s">
        <v>1566</v>
      </c>
      <c r="K28" s="468">
        <v>1</v>
      </c>
      <c r="L28" s="468" t="s">
        <v>1602</v>
      </c>
      <c r="M28" s="468" t="s">
        <v>250</v>
      </c>
      <c r="O28" s="468">
        <v>22</v>
      </c>
      <c r="P28" s="732" t="s">
        <v>89</v>
      </c>
    </row>
    <row r="29" spans="2:18" ht="14.25" customHeight="1" x14ac:dyDescent="0.25">
      <c r="B29" s="468" t="s">
        <v>1635</v>
      </c>
      <c r="C29" s="468" t="s">
        <v>55</v>
      </c>
      <c r="D29" s="468" t="s">
        <v>30</v>
      </c>
      <c r="E29" s="468"/>
      <c r="F29" s="468"/>
      <c r="G29" s="468" t="s">
        <v>90</v>
      </c>
      <c r="H29" s="468"/>
      <c r="I29" s="468"/>
      <c r="J29" s="489" t="s">
        <v>1567</v>
      </c>
      <c r="K29" s="468">
        <v>1</v>
      </c>
      <c r="L29" s="468" t="s">
        <v>1602</v>
      </c>
      <c r="M29" s="468" t="s">
        <v>250</v>
      </c>
      <c r="O29" s="468">
        <v>23</v>
      </c>
      <c r="P29" s="732" t="s">
        <v>89</v>
      </c>
    </row>
    <row r="30" spans="2:18" ht="14.25" customHeight="1" x14ac:dyDescent="0.25">
      <c r="B30" s="468" t="s">
        <v>1636</v>
      </c>
      <c r="C30" s="468" t="s">
        <v>55</v>
      </c>
      <c r="D30" s="468" t="s">
        <v>30</v>
      </c>
      <c r="E30" s="468"/>
      <c r="F30" s="468"/>
      <c r="G30" s="468" t="s">
        <v>89</v>
      </c>
      <c r="H30" s="468"/>
      <c r="I30" s="468"/>
      <c r="J30" s="489" t="s">
        <v>1568</v>
      </c>
      <c r="K30" s="468">
        <v>1</v>
      </c>
      <c r="L30" s="468" t="s">
        <v>1602</v>
      </c>
      <c r="M30" s="468" t="s">
        <v>250</v>
      </c>
      <c r="O30" s="468">
        <v>24</v>
      </c>
      <c r="P30" s="732" t="s">
        <v>89</v>
      </c>
    </row>
    <row r="31" spans="2:18" ht="14.25" customHeight="1" x14ac:dyDescent="0.25">
      <c r="B31" s="468" t="s">
        <v>1637</v>
      </c>
      <c r="C31" s="468" t="s">
        <v>55</v>
      </c>
      <c r="D31" s="468" t="s">
        <v>31</v>
      </c>
      <c r="E31" s="468"/>
      <c r="F31" s="468"/>
      <c r="G31" s="468" t="s">
        <v>88</v>
      </c>
      <c r="H31" s="468"/>
      <c r="I31" s="468"/>
      <c r="J31" s="489" t="s">
        <v>1569</v>
      </c>
      <c r="K31" s="468">
        <v>1</v>
      </c>
      <c r="L31" s="468" t="s">
        <v>1602</v>
      </c>
      <c r="M31" s="468" t="s">
        <v>251</v>
      </c>
      <c r="O31" s="468">
        <v>25</v>
      </c>
      <c r="P31" s="732" t="s">
        <v>89</v>
      </c>
    </row>
    <row r="32" spans="2:18" ht="14.25" customHeight="1" x14ac:dyDescent="0.25">
      <c r="B32" s="468" t="s">
        <v>1638</v>
      </c>
      <c r="C32" s="468" t="s">
        <v>55</v>
      </c>
      <c r="D32" s="468" t="s">
        <v>31</v>
      </c>
      <c r="E32" s="468"/>
      <c r="F32" s="468"/>
      <c r="G32" s="468" t="s">
        <v>90</v>
      </c>
      <c r="H32" s="468"/>
      <c r="I32" s="468"/>
      <c r="J32" s="489" t="s">
        <v>1570</v>
      </c>
      <c r="K32" s="468">
        <v>1</v>
      </c>
      <c r="L32" s="468" t="s">
        <v>1602</v>
      </c>
      <c r="M32" s="468" t="s">
        <v>251</v>
      </c>
      <c r="O32" s="468">
        <v>26</v>
      </c>
      <c r="P32" s="732" t="s">
        <v>89</v>
      </c>
    </row>
    <row r="33" spans="2:16" ht="14.25" customHeight="1" x14ac:dyDescent="0.25">
      <c r="B33" s="468" t="s">
        <v>1639</v>
      </c>
      <c r="C33" s="468" t="s">
        <v>55</v>
      </c>
      <c r="D33" s="468" t="s">
        <v>31</v>
      </c>
      <c r="E33" s="468"/>
      <c r="F33" s="468"/>
      <c r="G33" s="468" t="s">
        <v>89</v>
      </c>
      <c r="H33" s="468"/>
      <c r="I33" s="468"/>
      <c r="J33" s="489" t="s">
        <v>1571</v>
      </c>
      <c r="K33" s="468">
        <v>1</v>
      </c>
      <c r="L33" s="468" t="s">
        <v>1602</v>
      </c>
      <c r="M33" s="468" t="s">
        <v>251</v>
      </c>
      <c r="O33" s="468">
        <v>27</v>
      </c>
      <c r="P33" s="732" t="s">
        <v>89</v>
      </c>
    </row>
    <row r="34" spans="2:16" ht="14.25" customHeight="1" x14ac:dyDescent="0.25">
      <c r="B34" s="468" t="s">
        <v>1640</v>
      </c>
      <c r="C34" s="468" t="s">
        <v>55</v>
      </c>
      <c r="D34" s="468" t="s">
        <v>32</v>
      </c>
      <c r="E34" s="468"/>
      <c r="F34" s="468"/>
      <c r="G34" s="468" t="s">
        <v>88</v>
      </c>
      <c r="H34" s="468"/>
      <c r="I34" s="468"/>
      <c r="J34" s="489" t="s">
        <v>1575</v>
      </c>
      <c r="K34" s="468">
        <v>1</v>
      </c>
      <c r="L34" s="468" t="s">
        <v>1602</v>
      </c>
      <c r="M34" s="468" t="s">
        <v>252</v>
      </c>
      <c r="O34" s="468">
        <v>28</v>
      </c>
      <c r="P34" s="732" t="s">
        <v>89</v>
      </c>
    </row>
    <row r="35" spans="2:16" ht="14.25" customHeight="1" x14ac:dyDescent="0.25">
      <c r="B35" s="468" t="s">
        <v>1641</v>
      </c>
      <c r="C35" s="468" t="s">
        <v>55</v>
      </c>
      <c r="D35" s="468" t="s">
        <v>32</v>
      </c>
      <c r="E35" s="468"/>
      <c r="F35" s="468"/>
      <c r="G35" s="468" t="s">
        <v>90</v>
      </c>
      <c r="H35" s="468"/>
      <c r="I35" s="468"/>
      <c r="J35" s="489" t="s">
        <v>1576</v>
      </c>
      <c r="K35" s="468">
        <v>1</v>
      </c>
      <c r="L35" s="468" t="s">
        <v>1602</v>
      </c>
      <c r="M35" s="468" t="s">
        <v>252</v>
      </c>
      <c r="O35" s="468">
        <v>29</v>
      </c>
      <c r="P35" s="732" t="s">
        <v>89</v>
      </c>
    </row>
    <row r="36" spans="2:16" ht="14.25" customHeight="1" x14ac:dyDescent="0.25">
      <c r="B36" s="468" t="s">
        <v>1642</v>
      </c>
      <c r="C36" s="468" t="s">
        <v>55</v>
      </c>
      <c r="D36" s="468" t="s">
        <v>32</v>
      </c>
      <c r="E36" s="468"/>
      <c r="F36" s="468"/>
      <c r="G36" s="468" t="s">
        <v>89</v>
      </c>
      <c r="H36" s="468"/>
      <c r="I36" s="468"/>
      <c r="J36" s="489" t="s">
        <v>1577</v>
      </c>
      <c r="K36" s="468">
        <v>1</v>
      </c>
      <c r="L36" s="468" t="s">
        <v>1602</v>
      </c>
      <c r="M36" s="468" t="s">
        <v>252</v>
      </c>
      <c r="O36" s="468">
        <v>30</v>
      </c>
      <c r="P36" s="732" t="s">
        <v>89</v>
      </c>
    </row>
    <row r="37" spans="2:16" ht="14.25" customHeight="1" x14ac:dyDescent="0.25">
      <c r="B37" s="468" t="s">
        <v>1643</v>
      </c>
      <c r="C37" s="468" t="s">
        <v>55</v>
      </c>
      <c r="D37" s="468" t="s">
        <v>87</v>
      </c>
      <c r="E37" s="468"/>
      <c r="F37" s="468"/>
      <c r="G37" s="468" t="s">
        <v>88</v>
      </c>
      <c r="H37" s="468"/>
      <c r="I37" s="468"/>
      <c r="J37" s="489" t="s">
        <v>1572</v>
      </c>
      <c r="K37" s="468">
        <v>1</v>
      </c>
      <c r="L37" s="468" t="s">
        <v>1610</v>
      </c>
      <c r="M37" s="468" t="s">
        <v>256</v>
      </c>
      <c r="O37" s="468">
        <v>31</v>
      </c>
      <c r="P37" s="732" t="s">
        <v>89</v>
      </c>
    </row>
    <row r="38" spans="2:16" ht="14.25" customHeight="1" x14ac:dyDescent="0.25">
      <c r="B38" s="468" t="s">
        <v>1644</v>
      </c>
      <c r="C38" s="468" t="s">
        <v>55</v>
      </c>
      <c r="D38" s="468" t="s">
        <v>87</v>
      </c>
      <c r="E38" s="468"/>
      <c r="F38" s="468"/>
      <c r="G38" s="468" t="s">
        <v>90</v>
      </c>
      <c r="H38" s="468"/>
      <c r="I38" s="468"/>
      <c r="J38" s="489" t="s">
        <v>1573</v>
      </c>
      <c r="K38" s="468">
        <v>1</v>
      </c>
      <c r="L38" s="468" t="s">
        <v>1610</v>
      </c>
      <c r="M38" s="468" t="s">
        <v>256</v>
      </c>
      <c r="O38" s="468">
        <v>32</v>
      </c>
      <c r="P38" s="732" t="s">
        <v>89</v>
      </c>
    </row>
    <row r="39" spans="2:16" ht="14.25" customHeight="1" x14ac:dyDescent="0.25">
      <c r="B39" s="468" t="s">
        <v>1645</v>
      </c>
      <c r="C39" s="468" t="s">
        <v>55</v>
      </c>
      <c r="D39" s="468" t="s">
        <v>87</v>
      </c>
      <c r="E39" s="468"/>
      <c r="F39" s="468"/>
      <c r="G39" s="468" t="s">
        <v>89</v>
      </c>
      <c r="H39" s="468"/>
      <c r="I39" s="468"/>
      <c r="J39" s="489" t="s">
        <v>1574</v>
      </c>
      <c r="K39" s="468">
        <v>1</v>
      </c>
      <c r="L39" s="468" t="s">
        <v>1610</v>
      </c>
      <c r="M39" s="468" t="s">
        <v>256</v>
      </c>
      <c r="O39" s="468">
        <v>33</v>
      </c>
      <c r="P39" s="732" t="s">
        <v>89</v>
      </c>
    </row>
    <row r="40" spans="2:16" ht="14.25" customHeight="1" x14ac:dyDescent="0.25">
      <c r="B40" s="468" t="s">
        <v>1646</v>
      </c>
      <c r="C40" s="468" t="s">
        <v>55</v>
      </c>
      <c r="D40" s="468" t="s">
        <v>33</v>
      </c>
      <c r="E40" s="468"/>
      <c r="F40" s="468"/>
      <c r="G40" s="468" t="s">
        <v>88</v>
      </c>
      <c r="H40" s="468"/>
      <c r="I40" s="468"/>
      <c r="J40" s="489" t="s">
        <v>1572</v>
      </c>
      <c r="K40" s="468">
        <v>1</v>
      </c>
      <c r="L40" s="468" t="s">
        <v>1602</v>
      </c>
      <c r="M40" s="468" t="s">
        <v>254</v>
      </c>
      <c r="O40" s="468">
        <v>34</v>
      </c>
      <c r="P40" s="732" t="s">
        <v>89</v>
      </c>
    </row>
    <row r="41" spans="2:16" ht="14.25" customHeight="1" x14ac:dyDescent="0.25">
      <c r="B41" s="468" t="s">
        <v>1647</v>
      </c>
      <c r="C41" s="468" t="s">
        <v>55</v>
      </c>
      <c r="D41" s="468" t="s">
        <v>33</v>
      </c>
      <c r="E41" s="468"/>
      <c r="F41" s="468"/>
      <c r="G41" s="468" t="s">
        <v>90</v>
      </c>
      <c r="H41" s="468"/>
      <c r="I41" s="468"/>
      <c r="J41" s="489" t="s">
        <v>1573</v>
      </c>
      <c r="K41" s="468">
        <v>1</v>
      </c>
      <c r="L41" s="468" t="s">
        <v>1602</v>
      </c>
      <c r="M41" s="468" t="s">
        <v>254</v>
      </c>
      <c r="O41" s="468">
        <v>35</v>
      </c>
      <c r="P41" s="732" t="s">
        <v>89</v>
      </c>
    </row>
    <row r="42" spans="2:16" ht="14.25" customHeight="1" x14ac:dyDescent="0.25">
      <c r="B42" s="468" t="s">
        <v>1648</v>
      </c>
      <c r="C42" s="468" t="s">
        <v>55</v>
      </c>
      <c r="D42" s="468" t="s">
        <v>33</v>
      </c>
      <c r="E42" s="468"/>
      <c r="F42" s="468"/>
      <c r="G42" s="468" t="s">
        <v>89</v>
      </c>
      <c r="H42" s="468"/>
      <c r="I42" s="468"/>
      <c r="J42" s="489" t="s">
        <v>1574</v>
      </c>
      <c r="K42" s="468">
        <v>1</v>
      </c>
      <c r="L42" s="468" t="s">
        <v>1602</v>
      </c>
      <c r="M42" s="468" t="s">
        <v>254</v>
      </c>
      <c r="O42" s="468">
        <v>36</v>
      </c>
      <c r="P42" s="732" t="s">
        <v>89</v>
      </c>
    </row>
    <row r="43" spans="2:16" ht="14.25" customHeight="1" x14ac:dyDescent="0.25">
      <c r="B43" s="468" t="s">
        <v>1649</v>
      </c>
      <c r="C43" s="468" t="s">
        <v>48</v>
      </c>
      <c r="D43" s="468" t="s">
        <v>30</v>
      </c>
      <c r="E43" s="468"/>
      <c r="F43" s="468"/>
      <c r="G43" s="468"/>
      <c r="H43" s="468" t="s">
        <v>40</v>
      </c>
      <c r="I43" s="468"/>
      <c r="J43" s="489" t="s">
        <v>1578</v>
      </c>
      <c r="K43" s="468">
        <v>0</v>
      </c>
      <c r="L43" s="468" t="s">
        <v>1610</v>
      </c>
      <c r="M43" s="468" t="s">
        <v>48</v>
      </c>
      <c r="O43" s="468">
        <v>37</v>
      </c>
      <c r="P43" s="732" t="s">
        <v>89</v>
      </c>
    </row>
    <row r="44" spans="2:16" ht="14.25" customHeight="1" x14ac:dyDescent="0.25">
      <c r="B44" s="468" t="s">
        <v>1650</v>
      </c>
      <c r="C44" s="468" t="s">
        <v>48</v>
      </c>
      <c r="D44" s="468" t="s">
        <v>30</v>
      </c>
      <c r="E44" s="468"/>
      <c r="F44" s="468"/>
      <c r="G44" s="468"/>
      <c r="H44" s="468" t="s">
        <v>35</v>
      </c>
      <c r="I44" s="468"/>
      <c r="J44" s="489" t="s">
        <v>1578</v>
      </c>
      <c r="K44" s="468">
        <v>0.75</v>
      </c>
      <c r="L44" s="468" t="s">
        <v>1610</v>
      </c>
      <c r="M44" s="468" t="s">
        <v>48</v>
      </c>
      <c r="O44" s="468">
        <v>38</v>
      </c>
      <c r="P44" s="732" t="s">
        <v>89</v>
      </c>
    </row>
    <row r="45" spans="2:16" ht="14.25" customHeight="1" x14ac:dyDescent="0.25">
      <c r="B45" s="468" t="s">
        <v>1651</v>
      </c>
      <c r="C45" s="468" t="s">
        <v>48</v>
      </c>
      <c r="D45" s="468" t="s">
        <v>30</v>
      </c>
      <c r="E45" s="468"/>
      <c r="F45" s="468"/>
      <c r="G45" s="468"/>
      <c r="H45" s="468" t="s">
        <v>36</v>
      </c>
      <c r="I45" s="468"/>
      <c r="J45" s="489" t="s">
        <v>1599</v>
      </c>
      <c r="K45" s="468">
        <v>1</v>
      </c>
      <c r="L45" s="468" t="s">
        <v>1610</v>
      </c>
      <c r="M45" s="468" t="s">
        <v>48</v>
      </c>
      <c r="O45" s="468">
        <v>39</v>
      </c>
      <c r="P45" s="732" t="s">
        <v>89</v>
      </c>
    </row>
    <row r="46" spans="2:16" ht="14.25" customHeight="1" x14ac:dyDescent="0.25">
      <c r="B46" s="468" t="s">
        <v>1652</v>
      </c>
      <c r="C46" s="468" t="s">
        <v>48</v>
      </c>
      <c r="D46" s="468" t="s">
        <v>30</v>
      </c>
      <c r="E46" s="468"/>
      <c r="F46" s="468"/>
      <c r="G46" s="468"/>
      <c r="H46" s="468" t="s">
        <v>37</v>
      </c>
      <c r="I46" s="468"/>
      <c r="J46" s="489" t="s">
        <v>1601</v>
      </c>
      <c r="K46" s="468">
        <v>1</v>
      </c>
      <c r="L46" s="468" t="s">
        <v>1610</v>
      </c>
      <c r="M46" s="468" t="s">
        <v>48</v>
      </c>
      <c r="O46" s="468">
        <v>40</v>
      </c>
      <c r="P46" s="732" t="s">
        <v>89</v>
      </c>
    </row>
    <row r="47" spans="2:16" ht="14.25" customHeight="1" x14ac:dyDescent="0.25">
      <c r="B47" s="468" t="s">
        <v>1653</v>
      </c>
      <c r="C47" s="468" t="s">
        <v>48</v>
      </c>
      <c r="D47" s="468" t="s">
        <v>30</v>
      </c>
      <c r="E47" s="468"/>
      <c r="F47" s="468"/>
      <c r="G47" s="468"/>
      <c r="H47" s="468" t="s">
        <v>38</v>
      </c>
      <c r="I47" s="468"/>
      <c r="J47" s="489" t="s">
        <v>1600</v>
      </c>
      <c r="K47" s="468">
        <v>1</v>
      </c>
      <c r="L47" s="468" t="s">
        <v>1610</v>
      </c>
      <c r="M47" s="468" t="s">
        <v>48</v>
      </c>
      <c r="O47" s="468">
        <v>41</v>
      </c>
      <c r="P47" s="732" t="s">
        <v>89</v>
      </c>
    </row>
    <row r="48" spans="2:16" ht="14.25" customHeight="1" x14ac:dyDescent="0.25">
      <c r="B48" s="468" t="s">
        <v>1654</v>
      </c>
      <c r="C48" s="468" t="s">
        <v>48</v>
      </c>
      <c r="D48" s="468" t="s">
        <v>30</v>
      </c>
      <c r="E48" s="468"/>
      <c r="F48" s="468"/>
      <c r="G48" s="468"/>
      <c r="H48" s="468" t="s">
        <v>39</v>
      </c>
      <c r="I48" s="468"/>
      <c r="J48" s="489" t="s">
        <v>1582</v>
      </c>
      <c r="K48" s="468">
        <v>1</v>
      </c>
      <c r="L48" s="468" t="s">
        <v>1610</v>
      </c>
      <c r="M48" s="468" t="s">
        <v>48</v>
      </c>
      <c r="O48" s="468">
        <v>42</v>
      </c>
      <c r="P48" s="732" t="s">
        <v>89</v>
      </c>
    </row>
    <row r="49" spans="2:16" ht="14.25" customHeight="1" x14ac:dyDescent="0.25">
      <c r="B49" s="468" t="s">
        <v>1655</v>
      </c>
      <c r="C49" s="468" t="s">
        <v>48</v>
      </c>
      <c r="D49" s="468" t="s">
        <v>30</v>
      </c>
      <c r="E49" s="468"/>
      <c r="F49" s="468"/>
      <c r="G49" s="468"/>
      <c r="H49" s="468" t="s">
        <v>42</v>
      </c>
      <c r="I49" s="468"/>
      <c r="J49" s="489" t="s">
        <v>1584</v>
      </c>
      <c r="K49" s="468">
        <v>1</v>
      </c>
      <c r="L49" s="468" t="s">
        <v>1602</v>
      </c>
      <c r="M49" s="468" t="s">
        <v>48</v>
      </c>
      <c r="O49" s="468">
        <v>43</v>
      </c>
      <c r="P49" s="732" t="s">
        <v>89</v>
      </c>
    </row>
    <row r="50" spans="2:16" ht="14.25" customHeight="1" x14ac:dyDescent="0.25">
      <c r="B50" s="468" t="s">
        <v>1656</v>
      </c>
      <c r="C50" s="468" t="s">
        <v>48</v>
      </c>
      <c r="D50" s="468" t="s">
        <v>30</v>
      </c>
      <c r="E50" s="468"/>
      <c r="F50" s="468"/>
      <c r="G50" s="468"/>
      <c r="H50" s="468" t="s">
        <v>43</v>
      </c>
      <c r="I50" s="468"/>
      <c r="J50" s="489" t="s">
        <v>1585</v>
      </c>
      <c r="K50" s="468">
        <v>1</v>
      </c>
      <c r="L50" s="468" t="s">
        <v>1602</v>
      </c>
      <c r="M50" s="468" t="s">
        <v>48</v>
      </c>
      <c r="O50" s="468">
        <v>44</v>
      </c>
      <c r="P50" s="732" t="s">
        <v>89</v>
      </c>
    </row>
    <row r="51" spans="2:16" ht="14.25" customHeight="1" x14ac:dyDescent="0.25">
      <c r="B51" s="468" t="s">
        <v>1657</v>
      </c>
      <c r="C51" s="468" t="s">
        <v>48</v>
      </c>
      <c r="D51" s="468" t="s">
        <v>31</v>
      </c>
      <c r="E51" s="468"/>
      <c r="F51" s="468"/>
      <c r="G51" s="468"/>
      <c r="H51" s="468" t="s">
        <v>40</v>
      </c>
      <c r="I51" s="468"/>
      <c r="J51" s="489" t="s">
        <v>1578</v>
      </c>
      <c r="K51" s="468">
        <v>0</v>
      </c>
      <c r="L51" s="468" t="s">
        <v>1610</v>
      </c>
      <c r="M51" s="468" t="s">
        <v>48</v>
      </c>
      <c r="O51" s="468">
        <v>45</v>
      </c>
      <c r="P51" s="732" t="s">
        <v>89</v>
      </c>
    </row>
    <row r="52" spans="2:16" ht="14.25" customHeight="1" x14ac:dyDescent="0.25">
      <c r="B52" s="468" t="s">
        <v>1658</v>
      </c>
      <c r="C52" s="468" t="s">
        <v>48</v>
      </c>
      <c r="D52" s="468" t="s">
        <v>31</v>
      </c>
      <c r="E52" s="468"/>
      <c r="F52" s="468"/>
      <c r="G52" s="468"/>
      <c r="H52" s="468" t="s">
        <v>39</v>
      </c>
      <c r="I52" s="468"/>
      <c r="J52" s="489" t="s">
        <v>1582</v>
      </c>
      <c r="K52" s="468">
        <v>1</v>
      </c>
      <c r="L52" s="468" t="s">
        <v>1610</v>
      </c>
      <c r="M52" s="468" t="s">
        <v>48</v>
      </c>
      <c r="O52" s="468">
        <v>46</v>
      </c>
      <c r="P52" s="732" t="s">
        <v>89</v>
      </c>
    </row>
    <row r="53" spans="2:16" ht="14.25" customHeight="1" x14ac:dyDescent="0.25">
      <c r="B53" s="468" t="s">
        <v>1659</v>
      </c>
      <c r="C53" s="468" t="s">
        <v>48</v>
      </c>
      <c r="D53" s="468" t="s">
        <v>31</v>
      </c>
      <c r="E53" s="468"/>
      <c r="F53" s="468"/>
      <c r="G53" s="468"/>
      <c r="H53" s="468" t="s">
        <v>35</v>
      </c>
      <c r="I53" s="468"/>
      <c r="J53" s="489" t="s">
        <v>1578</v>
      </c>
      <c r="K53" s="468">
        <v>0.75</v>
      </c>
      <c r="L53" s="468" t="s">
        <v>1610</v>
      </c>
      <c r="M53" s="468" t="s">
        <v>48</v>
      </c>
      <c r="O53" s="468">
        <v>47</v>
      </c>
      <c r="P53" s="732" t="s">
        <v>89</v>
      </c>
    </row>
    <row r="54" spans="2:16" ht="14.25" customHeight="1" x14ac:dyDescent="0.25">
      <c r="B54" s="468" t="s">
        <v>1660</v>
      </c>
      <c r="C54" s="468" t="s">
        <v>48</v>
      </c>
      <c r="D54" s="468" t="s">
        <v>31</v>
      </c>
      <c r="E54" s="468"/>
      <c r="F54" s="468"/>
      <c r="G54" s="468"/>
      <c r="H54" s="468" t="s">
        <v>36</v>
      </c>
      <c r="I54" s="468"/>
      <c r="J54" s="489" t="s">
        <v>1599</v>
      </c>
      <c r="K54" s="468">
        <v>1</v>
      </c>
      <c r="L54" s="468" t="s">
        <v>1602</v>
      </c>
      <c r="M54" s="468" t="s">
        <v>48</v>
      </c>
      <c r="O54" s="468">
        <v>48</v>
      </c>
      <c r="P54" s="732" t="s">
        <v>89</v>
      </c>
    </row>
    <row r="55" spans="2:16" ht="14.25" customHeight="1" x14ac:dyDescent="0.25">
      <c r="B55" s="468" t="s">
        <v>1661</v>
      </c>
      <c r="C55" s="468" t="s">
        <v>48</v>
      </c>
      <c r="D55" s="468" t="s">
        <v>31</v>
      </c>
      <c r="E55" s="468"/>
      <c r="F55" s="468"/>
      <c r="G55" s="468"/>
      <c r="H55" s="468" t="s">
        <v>37</v>
      </c>
      <c r="I55" s="468"/>
      <c r="J55" s="489" t="s">
        <v>1601</v>
      </c>
      <c r="K55" s="468">
        <v>1</v>
      </c>
      <c r="L55" s="468" t="s">
        <v>1602</v>
      </c>
      <c r="M55" s="468" t="s">
        <v>48</v>
      </c>
      <c r="O55" s="468">
        <v>49</v>
      </c>
      <c r="P55" s="732" t="s">
        <v>89</v>
      </c>
    </row>
    <row r="56" spans="2:16" ht="14.25" customHeight="1" x14ac:dyDescent="0.25">
      <c r="B56" s="468" t="s">
        <v>1662</v>
      </c>
      <c r="C56" s="468" t="s">
        <v>48</v>
      </c>
      <c r="D56" s="468" t="s">
        <v>31</v>
      </c>
      <c r="E56" s="468"/>
      <c r="F56" s="468"/>
      <c r="G56" s="468"/>
      <c r="H56" s="468" t="s">
        <v>38</v>
      </c>
      <c r="I56" s="468"/>
      <c r="J56" s="489" t="s">
        <v>1600</v>
      </c>
      <c r="K56" s="468">
        <v>1</v>
      </c>
      <c r="L56" s="468" t="s">
        <v>1602</v>
      </c>
      <c r="M56" s="468" t="s">
        <v>48</v>
      </c>
      <c r="O56" s="468">
        <v>50</v>
      </c>
      <c r="P56" s="732" t="s">
        <v>89</v>
      </c>
    </row>
    <row r="57" spans="2:16" ht="14.25" customHeight="1" x14ac:dyDescent="0.25">
      <c r="B57" s="468" t="s">
        <v>1663</v>
      </c>
      <c r="C57" s="468" t="s">
        <v>48</v>
      </c>
      <c r="D57" s="468" t="s">
        <v>31</v>
      </c>
      <c r="E57" s="468"/>
      <c r="F57" s="468"/>
      <c r="G57" s="468"/>
      <c r="H57" s="468" t="s">
        <v>41</v>
      </c>
      <c r="I57" s="468"/>
      <c r="J57" s="489" t="s">
        <v>1583</v>
      </c>
      <c r="K57" s="468">
        <v>1</v>
      </c>
      <c r="L57" s="468" t="s">
        <v>1602</v>
      </c>
      <c r="M57" s="468" t="s">
        <v>48</v>
      </c>
    </row>
    <row r="58" spans="2:16" ht="14.25" customHeight="1" x14ac:dyDescent="0.25">
      <c r="B58" s="468" t="s">
        <v>1664</v>
      </c>
      <c r="C58" s="468" t="s">
        <v>48</v>
      </c>
      <c r="D58" s="468" t="s">
        <v>32</v>
      </c>
      <c r="E58" s="468"/>
      <c r="F58" s="468"/>
      <c r="G58" s="468"/>
      <c r="H58" s="468" t="s">
        <v>40</v>
      </c>
      <c r="I58" s="468"/>
      <c r="J58" s="489" t="s">
        <v>1578</v>
      </c>
      <c r="K58" s="468">
        <v>0</v>
      </c>
      <c r="L58" s="468" t="s">
        <v>1610</v>
      </c>
      <c r="M58" s="468" t="s">
        <v>48</v>
      </c>
    </row>
    <row r="59" spans="2:16" ht="14.25" customHeight="1" x14ac:dyDescent="0.25">
      <c r="B59" s="468" t="s">
        <v>1665</v>
      </c>
      <c r="C59" s="468" t="s">
        <v>48</v>
      </c>
      <c r="D59" s="468" t="s">
        <v>32</v>
      </c>
      <c r="E59" s="468"/>
      <c r="F59" s="468"/>
      <c r="G59" s="468"/>
      <c r="H59" s="468" t="s">
        <v>35</v>
      </c>
      <c r="I59" s="468"/>
      <c r="J59" s="489" t="s">
        <v>1578</v>
      </c>
      <c r="K59" s="468">
        <v>0.75</v>
      </c>
      <c r="L59" s="468" t="s">
        <v>1610</v>
      </c>
      <c r="M59" s="468" t="s">
        <v>48</v>
      </c>
    </row>
    <row r="60" spans="2:16" ht="14.25" customHeight="1" x14ac:dyDescent="0.25">
      <c r="B60" s="468" t="s">
        <v>1666</v>
      </c>
      <c r="C60" s="468" t="s">
        <v>48</v>
      </c>
      <c r="D60" s="468" t="s">
        <v>32</v>
      </c>
      <c r="E60" s="468"/>
      <c r="F60" s="468"/>
      <c r="G60" s="468"/>
      <c r="H60" s="468" t="s">
        <v>36</v>
      </c>
      <c r="I60" s="468"/>
      <c r="J60" s="489" t="s">
        <v>1599</v>
      </c>
      <c r="K60" s="468">
        <v>1</v>
      </c>
      <c r="L60" s="468" t="s">
        <v>1610</v>
      </c>
      <c r="M60" s="468" t="s">
        <v>48</v>
      </c>
    </row>
    <row r="61" spans="2:16" ht="14.25" customHeight="1" x14ac:dyDescent="0.25">
      <c r="B61" s="468" t="s">
        <v>1667</v>
      </c>
      <c r="C61" s="468" t="s">
        <v>48</v>
      </c>
      <c r="D61" s="468" t="s">
        <v>32</v>
      </c>
      <c r="E61" s="468"/>
      <c r="F61" s="468"/>
      <c r="G61" s="468"/>
      <c r="H61" s="468" t="s">
        <v>37</v>
      </c>
      <c r="I61" s="468"/>
      <c r="J61" s="489" t="s">
        <v>1601</v>
      </c>
      <c r="K61" s="468">
        <v>1</v>
      </c>
      <c r="L61" s="468" t="s">
        <v>1610</v>
      </c>
      <c r="M61" s="468" t="s">
        <v>48</v>
      </c>
    </row>
    <row r="62" spans="2:16" ht="14.25" customHeight="1" x14ac:dyDescent="0.25">
      <c r="B62" s="468" t="s">
        <v>1668</v>
      </c>
      <c r="C62" s="468" t="s">
        <v>48</v>
      </c>
      <c r="D62" s="468" t="s">
        <v>32</v>
      </c>
      <c r="E62" s="468"/>
      <c r="F62" s="468"/>
      <c r="G62" s="468"/>
      <c r="H62" s="468" t="s">
        <v>38</v>
      </c>
      <c r="I62" s="468"/>
      <c r="J62" s="489" t="s">
        <v>1600</v>
      </c>
      <c r="K62" s="468">
        <v>1</v>
      </c>
      <c r="L62" s="468" t="s">
        <v>1610</v>
      </c>
      <c r="M62" s="468" t="s">
        <v>48</v>
      </c>
    </row>
    <row r="63" spans="2:16" ht="14.25" customHeight="1" x14ac:dyDescent="0.25">
      <c r="B63" s="468" t="s">
        <v>1669</v>
      </c>
      <c r="C63" s="468" t="s">
        <v>48</v>
      </c>
      <c r="D63" s="468" t="s">
        <v>32</v>
      </c>
      <c r="E63" s="468"/>
      <c r="F63" s="468"/>
      <c r="G63" s="468"/>
      <c r="H63" s="468" t="s">
        <v>39</v>
      </c>
      <c r="I63" s="468"/>
      <c r="J63" s="489" t="s">
        <v>1582</v>
      </c>
      <c r="K63" s="468">
        <v>1</v>
      </c>
      <c r="L63" s="468" t="s">
        <v>1610</v>
      </c>
      <c r="M63" s="468" t="s">
        <v>48</v>
      </c>
    </row>
    <row r="64" spans="2:16" ht="14.25" customHeight="1" x14ac:dyDescent="0.25">
      <c r="B64" s="468" t="s">
        <v>1670</v>
      </c>
      <c r="C64" s="468" t="s">
        <v>48</v>
      </c>
      <c r="D64" s="468" t="s">
        <v>87</v>
      </c>
      <c r="E64" s="468"/>
      <c r="F64" s="468"/>
      <c r="G64" s="468"/>
      <c r="H64" s="468" t="s">
        <v>35</v>
      </c>
      <c r="I64" s="468"/>
      <c r="J64" s="489" t="s">
        <v>1578</v>
      </c>
      <c r="K64" s="468">
        <v>0.75</v>
      </c>
      <c r="L64" s="468" t="s">
        <v>1610</v>
      </c>
      <c r="M64" s="468" t="s">
        <v>48</v>
      </c>
    </row>
    <row r="65" spans="2:13" ht="14.25" customHeight="1" x14ac:dyDescent="0.25">
      <c r="B65" s="468" t="s">
        <v>1671</v>
      </c>
      <c r="C65" s="468" t="s">
        <v>48</v>
      </c>
      <c r="D65" s="468" t="s">
        <v>87</v>
      </c>
      <c r="E65" s="468"/>
      <c r="F65" s="468"/>
      <c r="G65" s="468"/>
      <c r="H65" s="468" t="s">
        <v>36</v>
      </c>
      <c r="I65" s="468"/>
      <c r="J65" s="661" t="s">
        <v>1579</v>
      </c>
      <c r="K65" s="468">
        <v>1</v>
      </c>
      <c r="L65" s="468" t="s">
        <v>1610</v>
      </c>
      <c r="M65" s="468" t="s">
        <v>48</v>
      </c>
    </row>
    <row r="66" spans="2:13" ht="14.25" customHeight="1" x14ac:dyDescent="0.25">
      <c r="B66" s="468" t="s">
        <v>1672</v>
      </c>
      <c r="C66" s="468" t="s">
        <v>48</v>
      </c>
      <c r="D66" s="468" t="s">
        <v>87</v>
      </c>
      <c r="E66" s="468"/>
      <c r="F66" s="468"/>
      <c r="G66" s="468"/>
      <c r="H66" s="468" t="s">
        <v>37</v>
      </c>
      <c r="I66" s="468"/>
      <c r="J66" s="661" t="s">
        <v>1580</v>
      </c>
      <c r="K66" s="468">
        <v>1</v>
      </c>
      <c r="L66" s="468" t="s">
        <v>1610</v>
      </c>
      <c r="M66" s="468" t="s">
        <v>48</v>
      </c>
    </row>
    <row r="67" spans="2:13" ht="14.25" customHeight="1" x14ac:dyDescent="0.25">
      <c r="B67" s="468" t="s">
        <v>1673</v>
      </c>
      <c r="C67" s="468" t="s">
        <v>48</v>
      </c>
      <c r="D67" s="468" t="s">
        <v>87</v>
      </c>
      <c r="E67" s="468"/>
      <c r="F67" s="468"/>
      <c r="G67" s="468"/>
      <c r="H67" s="468" t="s">
        <v>38</v>
      </c>
      <c r="I67" s="468"/>
      <c r="J67" s="661" t="s">
        <v>1581</v>
      </c>
      <c r="K67" s="468">
        <v>1</v>
      </c>
      <c r="L67" s="468" t="s">
        <v>1610</v>
      </c>
      <c r="M67" s="468" t="s">
        <v>48</v>
      </c>
    </row>
    <row r="68" spans="2:13" ht="14.25" customHeight="1" x14ac:dyDescent="0.25">
      <c r="B68" s="468" t="s">
        <v>1674</v>
      </c>
      <c r="C68" s="468" t="s">
        <v>48</v>
      </c>
      <c r="D68" s="468" t="s">
        <v>87</v>
      </c>
      <c r="E68" s="468"/>
      <c r="F68" s="468"/>
      <c r="G68" s="468"/>
      <c r="H68" s="468" t="s">
        <v>39</v>
      </c>
      <c r="I68" s="468"/>
      <c r="J68" s="489" t="s">
        <v>1582</v>
      </c>
      <c r="K68" s="468">
        <v>1</v>
      </c>
      <c r="L68" s="468" t="s">
        <v>1610</v>
      </c>
      <c r="M68" s="468" t="s">
        <v>48</v>
      </c>
    </row>
    <row r="69" spans="2:13" ht="14.25" customHeight="1" x14ac:dyDescent="0.25">
      <c r="B69" s="468" t="s">
        <v>1675</v>
      </c>
      <c r="C69" s="468" t="s">
        <v>48</v>
      </c>
      <c r="D69" s="468" t="s">
        <v>33</v>
      </c>
      <c r="E69" s="468"/>
      <c r="F69" s="468"/>
      <c r="G69" s="468"/>
      <c r="H69" s="468" t="s">
        <v>40</v>
      </c>
      <c r="I69" s="468"/>
      <c r="J69" s="489" t="s">
        <v>1578</v>
      </c>
      <c r="K69" s="468">
        <v>0</v>
      </c>
      <c r="L69" s="468" t="s">
        <v>1610</v>
      </c>
      <c r="M69" s="468" t="s">
        <v>48</v>
      </c>
    </row>
    <row r="70" spans="2:13" ht="14.25" customHeight="1" x14ac:dyDescent="0.25">
      <c r="B70" s="468" t="s">
        <v>1676</v>
      </c>
      <c r="C70" s="468" t="s">
        <v>48</v>
      </c>
      <c r="D70" s="468" t="s">
        <v>33</v>
      </c>
      <c r="E70" s="468"/>
      <c r="F70" s="468"/>
      <c r="G70" s="468"/>
      <c r="H70" s="468" t="s">
        <v>35</v>
      </c>
      <c r="I70" s="468"/>
      <c r="J70" s="489" t="s">
        <v>1578</v>
      </c>
      <c r="K70" s="468">
        <v>1</v>
      </c>
      <c r="L70" s="468" t="s">
        <v>1602</v>
      </c>
      <c r="M70" s="468" t="s">
        <v>48</v>
      </c>
    </row>
    <row r="71" spans="2:13" ht="14.25" customHeight="1" x14ac:dyDescent="0.25">
      <c r="B71" s="468" t="s">
        <v>1677</v>
      </c>
      <c r="C71" s="468" t="s">
        <v>48</v>
      </c>
      <c r="D71" s="468" t="s">
        <v>33</v>
      </c>
      <c r="E71" s="468"/>
      <c r="F71" s="468"/>
      <c r="G71" s="468"/>
      <c r="H71" s="468" t="s">
        <v>36</v>
      </c>
      <c r="I71" s="468"/>
      <c r="J71" s="489" t="s">
        <v>1579</v>
      </c>
      <c r="K71" s="468">
        <v>1</v>
      </c>
      <c r="L71" s="468" t="s">
        <v>1602</v>
      </c>
      <c r="M71" s="468" t="s">
        <v>48</v>
      </c>
    </row>
    <row r="72" spans="2:13" ht="14.25" customHeight="1" x14ac:dyDescent="0.25">
      <c r="B72" s="468" t="s">
        <v>1678</v>
      </c>
      <c r="C72" s="468" t="s">
        <v>48</v>
      </c>
      <c r="D72" s="468" t="s">
        <v>33</v>
      </c>
      <c r="E72" s="468"/>
      <c r="F72" s="468"/>
      <c r="G72" s="468"/>
      <c r="H72" s="468" t="s">
        <v>37</v>
      </c>
      <c r="I72" s="468"/>
      <c r="J72" s="489" t="s">
        <v>1580</v>
      </c>
      <c r="K72" s="468">
        <v>1</v>
      </c>
      <c r="L72" s="468" t="s">
        <v>1602</v>
      </c>
      <c r="M72" s="468" t="s">
        <v>48</v>
      </c>
    </row>
    <row r="73" spans="2:13" ht="14.25" customHeight="1" x14ac:dyDescent="0.25">
      <c r="B73" s="468" t="s">
        <v>1679</v>
      </c>
      <c r="C73" s="468" t="s">
        <v>48</v>
      </c>
      <c r="D73" s="468" t="s">
        <v>33</v>
      </c>
      <c r="E73" s="468"/>
      <c r="F73" s="468"/>
      <c r="G73" s="468"/>
      <c r="H73" s="468" t="s">
        <v>38</v>
      </c>
      <c r="I73" s="468"/>
      <c r="J73" s="489" t="s">
        <v>1581</v>
      </c>
      <c r="K73" s="468">
        <v>1</v>
      </c>
      <c r="L73" s="468" t="s">
        <v>1602</v>
      </c>
      <c r="M73" s="468" t="s">
        <v>48</v>
      </c>
    </row>
    <row r="74" spans="2:13" ht="14.25" customHeight="1" x14ac:dyDescent="0.25">
      <c r="B74" s="468" t="s">
        <v>1680</v>
      </c>
      <c r="C74" s="468" t="s">
        <v>48</v>
      </c>
      <c r="D74" s="468" t="s">
        <v>33</v>
      </c>
      <c r="E74" s="468"/>
      <c r="F74" s="468"/>
      <c r="G74" s="468"/>
      <c r="H74" s="468" t="s">
        <v>39</v>
      </c>
      <c r="I74" s="468"/>
      <c r="J74" s="489" t="s">
        <v>1582</v>
      </c>
      <c r="K74" s="468">
        <v>1</v>
      </c>
      <c r="L74" s="468" t="s">
        <v>1602</v>
      </c>
      <c r="M74" s="468" t="s">
        <v>48</v>
      </c>
    </row>
    <row r="75" spans="2:13" ht="14.25" customHeight="1" x14ac:dyDescent="0.25">
      <c r="B75" s="468" t="s">
        <v>1681</v>
      </c>
      <c r="C75" s="598" t="s">
        <v>1682</v>
      </c>
      <c r="D75" s="468"/>
      <c r="E75" s="468"/>
      <c r="F75" s="468"/>
      <c r="G75" s="468"/>
      <c r="H75" s="468"/>
      <c r="I75" s="489" t="s">
        <v>1730</v>
      </c>
      <c r="J75" s="468" t="s">
        <v>57</v>
      </c>
      <c r="K75" s="468">
        <v>1</v>
      </c>
      <c r="L75" s="468" t="s">
        <v>1602</v>
      </c>
      <c r="M75" s="468" t="s">
        <v>1682</v>
      </c>
    </row>
    <row r="76" spans="2:13" ht="14.25" customHeight="1" x14ac:dyDescent="0.25">
      <c r="B76" s="468" t="s">
        <v>1683</v>
      </c>
      <c r="C76" s="598" t="s">
        <v>1682</v>
      </c>
      <c r="D76" s="468"/>
      <c r="E76" s="468"/>
      <c r="F76" s="468"/>
      <c r="G76" s="468"/>
      <c r="H76" s="468"/>
      <c r="I76" s="489" t="s">
        <v>1731</v>
      </c>
      <c r="J76" s="489" t="s">
        <v>1586</v>
      </c>
      <c r="K76" s="468">
        <v>1</v>
      </c>
      <c r="L76" s="468" t="s">
        <v>1602</v>
      </c>
      <c r="M76" s="468" t="s">
        <v>1682</v>
      </c>
    </row>
    <row r="77" spans="2:13" ht="14.25" customHeight="1" x14ac:dyDescent="0.25">
      <c r="B77" s="468" t="s">
        <v>1684</v>
      </c>
      <c r="C77" s="598" t="s">
        <v>1682</v>
      </c>
      <c r="D77" s="468"/>
      <c r="E77" s="468"/>
      <c r="F77" s="468"/>
      <c r="G77" s="468"/>
      <c r="H77" s="468"/>
      <c r="I77" s="489" t="s">
        <v>1732</v>
      </c>
      <c r="J77" s="489" t="s">
        <v>1587</v>
      </c>
      <c r="K77" s="468">
        <v>1</v>
      </c>
      <c r="L77" s="468" t="s">
        <v>1602</v>
      </c>
      <c r="M77" s="468" t="s">
        <v>1682</v>
      </c>
    </row>
    <row r="78" spans="2:13" ht="14.25" customHeight="1" x14ac:dyDescent="0.25">
      <c r="B78" s="469" t="s">
        <v>1685</v>
      </c>
      <c r="C78" s="599" t="s">
        <v>1682</v>
      </c>
      <c r="D78" s="469"/>
      <c r="E78" s="469"/>
      <c r="F78" s="469"/>
      <c r="G78" s="469"/>
      <c r="H78" s="469"/>
      <c r="I78" s="490" t="s">
        <v>1733</v>
      </c>
      <c r="J78" s="469" t="s">
        <v>62</v>
      </c>
      <c r="K78" s="469">
        <v>1</v>
      </c>
      <c r="L78" s="469" t="s">
        <v>1602</v>
      </c>
      <c r="M78" s="469" t="s">
        <v>1682</v>
      </c>
    </row>
  </sheetData>
  <mergeCells count="2">
    <mergeCell ref="O5:O6"/>
    <mergeCell ref="P5:P6"/>
  </mergeCells>
  <conditionalFormatting sqref="B7:M78">
    <cfRule type="expression" dxfId="27" priority="13">
      <formula>MOD(ROW(),2)=0</formula>
    </cfRule>
  </conditionalFormatting>
  <conditionalFormatting sqref="O7:P56">
    <cfRule type="expression" dxfId="26" priority="11">
      <formula>MOD(ROW(),2)=0</formula>
    </cfRule>
  </conditionalFormatting>
  <conditionalFormatting sqref="R7">
    <cfRule type="expression" dxfId="25" priority="10">
      <formula>MOD(ROW(),2)=0</formula>
    </cfRule>
  </conditionalFormatting>
  <conditionalFormatting sqref="R8">
    <cfRule type="expression" dxfId="24" priority="9">
      <formula>MOD(ROW(),2)=0</formula>
    </cfRule>
  </conditionalFormatting>
  <conditionalFormatting sqref="R9">
    <cfRule type="expression" dxfId="23" priority="8">
      <formula>MOD(ROW(),2)=0</formula>
    </cfRule>
  </conditionalFormatting>
  <conditionalFormatting sqref="R10">
    <cfRule type="expression" dxfId="22" priority="7">
      <formula>MOD(ROW(),2)=0</formula>
    </cfRule>
  </conditionalFormatting>
  <conditionalFormatting sqref="R11">
    <cfRule type="expression" dxfId="21" priority="6">
      <formula>MOD(ROW(),2)=0</formula>
    </cfRule>
  </conditionalFormatting>
  <conditionalFormatting sqref="R12:R13">
    <cfRule type="expression" dxfId="20" priority="5">
      <formula>MOD(ROW(),2)=0</formula>
    </cfRule>
  </conditionalFormatting>
  <conditionalFormatting sqref="R14:R15">
    <cfRule type="expression" dxfId="19" priority="4">
      <formula>MOD(ROW(),2)=0</formula>
    </cfRule>
  </conditionalFormatting>
  <conditionalFormatting sqref="R16">
    <cfRule type="expression" dxfId="18" priority="3">
      <formula>MOD(ROW(),2)=0</formula>
    </cfRule>
  </conditionalFormatting>
  <conditionalFormatting sqref="R17:R18">
    <cfRule type="expression" dxfId="17" priority="2">
      <formula>MOD(ROW(),2)=0</formula>
    </cfRule>
  </conditionalFormatting>
  <conditionalFormatting sqref="R19:R20">
    <cfRule type="expression" dxfId="16" priority="1">
      <formula>MOD(ROW(),2)=0</formula>
    </cfRule>
  </conditionalFormatting>
  <dataValidations count="1">
    <dataValidation type="list" allowBlank="1" showInputMessage="1" showErrorMessage="1" sqref="M7:M78" xr:uid="{00000000-0002-0000-1800-000000000000}">
      <formula1>$R$7:$R$20</formula1>
    </dataValidation>
  </dataValidations>
  <pageMargins left="0.7" right="0.7" top="0.75" bottom="0.75" header="0.3" footer="0.3"/>
  <pageSetup orientation="portrait" horizontalDpi="4294967293"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Tabelle13">
    <tabColor rgb="FF00539E"/>
  </sheetPr>
  <dimension ref="A1:K45"/>
  <sheetViews>
    <sheetView showGridLines="0" zoomScale="90" zoomScaleNormal="90" workbookViewId="0"/>
  </sheetViews>
  <sheetFormatPr baseColWidth="10" defaultColWidth="8.5703125" defaultRowHeight="12.75" customHeight="1" x14ac:dyDescent="0.25"/>
  <cols>
    <col min="1" max="1" width="5.5703125" style="3" customWidth="1"/>
    <col min="2" max="2" width="24.42578125" style="3" customWidth="1"/>
    <col min="3" max="3" width="7.5703125" style="3" bestFit="1" customWidth="1"/>
    <col min="4" max="9" width="16.5703125" style="571" customWidth="1"/>
    <col min="10" max="11" width="8.5703125" style="3" customWidth="1"/>
    <col min="12" max="16384" width="8.5703125" style="3"/>
  </cols>
  <sheetData>
    <row r="1" spans="1:11" ht="20.100000000000001" customHeight="1" x14ac:dyDescent="0.25">
      <c r="A1" s="52">
        <v>26</v>
      </c>
      <c r="B1" s="680" t="str">
        <f>VLOOKUP("T.26.01",Translation,LanguageNo+1,FALSE)</f>
        <v>Makroökonomische Szenarien</v>
      </c>
      <c r="C1" s="53"/>
    </row>
    <row r="2" spans="1:11" ht="14.25" customHeight="1" x14ac:dyDescent="0.25">
      <c r="A2" s="87"/>
      <c r="B2" s="87"/>
      <c r="C2" s="87"/>
      <c r="D2" s="572"/>
      <c r="E2" s="572"/>
      <c r="F2" s="572"/>
      <c r="G2" s="572"/>
      <c r="H2" s="572"/>
      <c r="I2" s="572"/>
      <c r="J2" s="87"/>
      <c r="K2" s="87"/>
    </row>
    <row r="3" spans="1:11" ht="14.25" customHeight="1" x14ac:dyDescent="0.25">
      <c r="A3" s="87"/>
      <c r="B3" s="87"/>
      <c r="C3" s="87"/>
      <c r="D3" s="572"/>
      <c r="E3" s="572"/>
      <c r="F3" s="572"/>
      <c r="G3" s="572"/>
      <c r="H3" s="572"/>
      <c r="I3" s="572"/>
      <c r="J3" s="87"/>
      <c r="K3" s="87"/>
    </row>
    <row r="4" spans="1:11" s="1196" customFormat="1" ht="38.25" x14ac:dyDescent="0.25">
      <c r="A4" s="1083"/>
      <c r="B4" s="1344" t="s">
        <v>1594</v>
      </c>
      <c r="C4" s="575" t="s">
        <v>619</v>
      </c>
      <c r="D4" s="1195" t="str">
        <f>VLOOKUP("T.26.02",Translation,LanguageNo+1,FALSE)</f>
        <v>Weltweite Rezession</v>
      </c>
      <c r="E4" s="1195" t="str">
        <f>VLOOKUP("T.26.03",Translation,LanguageNo+1,FALSE)</f>
        <v>Weltweite Depression</v>
      </c>
      <c r="F4" s="1195" t="str">
        <f>VLOOKUP("T.26.04",Translation,LanguageNo+1,FALSE)</f>
        <v>Immobilienkrise in der Schweiz</v>
      </c>
      <c r="G4" s="1195" t="str">
        <f>VLOOKUP("T.26.05",Translation,LanguageNo+1,FALSE)</f>
        <v>Stagflation</v>
      </c>
      <c r="H4" s="1195" t="str">
        <f>VLOOKUP("T.26.06",Translation,LanguageNo+1,FALSE)</f>
        <v>Financial Distress (Teil Marktrisiko)</v>
      </c>
      <c r="I4" s="1195" t="str">
        <f>VLOOKUP("T.26.07",Translation,LanguageNo+1,FALSE)</f>
        <v>Pandemie (Teil Marktrisiko)</v>
      </c>
      <c r="K4" s="1083"/>
    </row>
    <row r="5" spans="1:11" ht="15" x14ac:dyDescent="0.25">
      <c r="A5" s="87"/>
      <c r="B5" s="1345"/>
      <c r="C5" s="576" t="s">
        <v>1971</v>
      </c>
      <c r="D5" s="1115" t="s">
        <v>620</v>
      </c>
      <c r="E5" s="1115" t="s">
        <v>621</v>
      </c>
      <c r="F5" s="1115" t="s">
        <v>622</v>
      </c>
      <c r="G5" s="1193" t="s">
        <v>4150</v>
      </c>
      <c r="H5" s="583" t="s">
        <v>1965</v>
      </c>
      <c r="I5" s="583" t="s">
        <v>1966</v>
      </c>
    </row>
    <row r="6" spans="1:11" s="470" customFormat="1" ht="14.25" customHeight="1" x14ac:dyDescent="0.25">
      <c r="B6" s="471" t="s">
        <v>1566</v>
      </c>
      <c r="C6" s="577" t="s">
        <v>1972</v>
      </c>
      <c r="D6" s="573">
        <v>-75</v>
      </c>
      <c r="E6" s="573">
        <v>-100</v>
      </c>
      <c r="F6" s="573">
        <v>-25</v>
      </c>
      <c r="G6" s="573">
        <v>175</v>
      </c>
      <c r="H6" s="573">
        <v>-75</v>
      </c>
      <c r="I6" s="573">
        <v>-75</v>
      </c>
      <c r="J6" s="3"/>
    </row>
    <row r="7" spans="1:11" ht="14.25" customHeight="1" x14ac:dyDescent="0.25">
      <c r="B7" s="471" t="s">
        <v>1567</v>
      </c>
      <c r="C7" s="577" t="s">
        <v>1972</v>
      </c>
      <c r="D7" s="573">
        <v>-75</v>
      </c>
      <c r="E7" s="573">
        <v>-100</v>
      </c>
      <c r="F7" s="573">
        <v>100</v>
      </c>
      <c r="G7" s="573">
        <v>125</v>
      </c>
      <c r="H7" s="573">
        <v>-75</v>
      </c>
      <c r="I7" s="573">
        <v>-75</v>
      </c>
    </row>
    <row r="8" spans="1:11" ht="14.25" customHeight="1" x14ac:dyDescent="0.25">
      <c r="B8" s="471" t="s">
        <v>1568</v>
      </c>
      <c r="C8" s="577" t="s">
        <v>1972</v>
      </c>
      <c r="D8" s="573">
        <v>-75</v>
      </c>
      <c r="E8" s="573">
        <v>-100</v>
      </c>
      <c r="F8" s="573">
        <v>125</v>
      </c>
      <c r="G8" s="573">
        <v>125</v>
      </c>
      <c r="H8" s="573">
        <v>-75</v>
      </c>
      <c r="I8" s="573">
        <v>-75</v>
      </c>
    </row>
    <row r="9" spans="1:11" ht="14.25" customHeight="1" x14ac:dyDescent="0.25">
      <c r="B9" s="471" t="s">
        <v>1569</v>
      </c>
      <c r="C9" s="577" t="s">
        <v>1972</v>
      </c>
      <c r="D9" s="573">
        <v>-150</v>
      </c>
      <c r="E9" s="573">
        <v>-250</v>
      </c>
      <c r="F9" s="573">
        <v>-250</v>
      </c>
      <c r="G9" s="573">
        <v>200</v>
      </c>
      <c r="H9" s="573">
        <v>-175</v>
      </c>
      <c r="I9" s="573">
        <v>-200</v>
      </c>
    </row>
    <row r="10" spans="1:11" ht="14.25" customHeight="1" x14ac:dyDescent="0.25">
      <c r="B10" s="471" t="s">
        <v>1570</v>
      </c>
      <c r="C10" s="577" t="s">
        <v>1972</v>
      </c>
      <c r="D10" s="573">
        <v>-125</v>
      </c>
      <c r="E10" s="573">
        <v>-225</v>
      </c>
      <c r="F10" s="573">
        <v>-225</v>
      </c>
      <c r="G10" s="573">
        <v>150</v>
      </c>
      <c r="H10" s="573">
        <v>-175</v>
      </c>
      <c r="I10" s="573">
        <v>-175</v>
      </c>
    </row>
    <row r="11" spans="1:11" ht="14.25" customHeight="1" x14ac:dyDescent="0.25">
      <c r="B11" s="471" t="s">
        <v>1571</v>
      </c>
      <c r="C11" s="577" t="s">
        <v>1972</v>
      </c>
      <c r="D11" s="573">
        <v>-125</v>
      </c>
      <c r="E11" s="573">
        <v>-225</v>
      </c>
      <c r="F11" s="573">
        <v>-225</v>
      </c>
      <c r="G11" s="573">
        <v>100</v>
      </c>
      <c r="H11" s="573">
        <v>-175</v>
      </c>
      <c r="I11" s="573">
        <v>-175</v>
      </c>
    </row>
    <row r="12" spans="1:11" ht="14.25" customHeight="1" x14ac:dyDescent="0.25">
      <c r="B12" s="471" t="s">
        <v>1572</v>
      </c>
      <c r="C12" s="577" t="s">
        <v>1972</v>
      </c>
      <c r="D12" s="573">
        <v>-250</v>
      </c>
      <c r="E12" s="573">
        <v>-375</v>
      </c>
      <c r="F12" s="573">
        <v>-375</v>
      </c>
      <c r="G12" s="573">
        <v>150</v>
      </c>
      <c r="H12" s="573">
        <v>-275</v>
      </c>
      <c r="I12" s="573">
        <v>-300</v>
      </c>
    </row>
    <row r="13" spans="1:11" ht="14.25" customHeight="1" x14ac:dyDescent="0.25">
      <c r="B13" s="471" t="s">
        <v>1573</v>
      </c>
      <c r="C13" s="577" t="s">
        <v>1972</v>
      </c>
      <c r="D13" s="573">
        <v>-225</v>
      </c>
      <c r="E13" s="573">
        <v>-350</v>
      </c>
      <c r="F13" s="573">
        <v>-350</v>
      </c>
      <c r="G13" s="573">
        <v>150</v>
      </c>
      <c r="H13" s="573">
        <v>-250</v>
      </c>
      <c r="I13" s="573">
        <v>-300</v>
      </c>
    </row>
    <row r="14" spans="1:11" ht="14.25" customHeight="1" x14ac:dyDescent="0.25">
      <c r="B14" s="471" t="s">
        <v>1574</v>
      </c>
      <c r="C14" s="577" t="s">
        <v>1972</v>
      </c>
      <c r="D14" s="573">
        <v>-225</v>
      </c>
      <c r="E14" s="573">
        <v>-350</v>
      </c>
      <c r="F14" s="573">
        <v>-350</v>
      </c>
      <c r="G14" s="573">
        <v>100</v>
      </c>
      <c r="H14" s="573">
        <v>-250</v>
      </c>
      <c r="I14" s="573">
        <v>-300</v>
      </c>
    </row>
    <row r="15" spans="1:11" ht="14.25" customHeight="1" x14ac:dyDescent="0.25">
      <c r="B15" s="471" t="s">
        <v>1575</v>
      </c>
      <c r="C15" s="577" t="s">
        <v>1972</v>
      </c>
      <c r="D15" s="573">
        <v>-250</v>
      </c>
      <c r="E15" s="573">
        <v>-375</v>
      </c>
      <c r="F15" s="573">
        <v>-375</v>
      </c>
      <c r="G15" s="573">
        <v>350</v>
      </c>
      <c r="H15" s="573">
        <v>-275</v>
      </c>
      <c r="I15" s="573">
        <v>-300</v>
      </c>
    </row>
    <row r="16" spans="1:11" ht="14.25" customHeight="1" x14ac:dyDescent="0.25">
      <c r="B16" s="471" t="s">
        <v>1576</v>
      </c>
      <c r="C16" s="577" t="s">
        <v>1972</v>
      </c>
      <c r="D16" s="573">
        <v>-225</v>
      </c>
      <c r="E16" s="573">
        <v>-350</v>
      </c>
      <c r="F16" s="573">
        <v>-350</v>
      </c>
      <c r="G16" s="573">
        <v>300</v>
      </c>
      <c r="H16" s="573">
        <v>-250</v>
      </c>
      <c r="I16" s="573">
        <v>-300</v>
      </c>
    </row>
    <row r="17" spans="2:9" ht="14.25" customHeight="1" x14ac:dyDescent="0.25">
      <c r="B17" s="471" t="s">
        <v>1577</v>
      </c>
      <c r="C17" s="577" t="s">
        <v>1972</v>
      </c>
      <c r="D17" s="573">
        <v>-225</v>
      </c>
      <c r="E17" s="573">
        <v>-350</v>
      </c>
      <c r="F17" s="573">
        <v>-350</v>
      </c>
      <c r="G17" s="573">
        <v>250</v>
      </c>
      <c r="H17" s="573">
        <v>-250</v>
      </c>
      <c r="I17" s="573">
        <v>-300</v>
      </c>
    </row>
    <row r="18" spans="2:9" ht="14.25" customHeight="1" x14ac:dyDescent="0.25">
      <c r="B18" s="471" t="s">
        <v>57</v>
      </c>
      <c r="C18" s="577" t="s">
        <v>1973</v>
      </c>
      <c r="D18" s="574">
        <v>0.15</v>
      </c>
      <c r="E18" s="574">
        <v>0.3</v>
      </c>
      <c r="F18" s="574">
        <v>0.3</v>
      </c>
      <c r="G18" s="574">
        <v>0.25</v>
      </c>
      <c r="H18" s="574">
        <v>0.2</v>
      </c>
      <c r="I18" s="574">
        <v>0.25</v>
      </c>
    </row>
    <row r="19" spans="2:9" ht="14.25" customHeight="1" x14ac:dyDescent="0.25">
      <c r="B19" s="471" t="s">
        <v>1578</v>
      </c>
      <c r="C19" s="577" t="s">
        <v>1972</v>
      </c>
      <c r="D19" s="573">
        <v>50</v>
      </c>
      <c r="E19" s="573">
        <v>100</v>
      </c>
      <c r="F19" s="573">
        <v>100</v>
      </c>
      <c r="G19" s="573">
        <v>50</v>
      </c>
      <c r="H19" s="573">
        <v>50</v>
      </c>
      <c r="I19" s="573">
        <v>75</v>
      </c>
    </row>
    <row r="20" spans="2:9" ht="14.25" customHeight="1" x14ac:dyDescent="0.25">
      <c r="B20" s="471" t="s">
        <v>1579</v>
      </c>
      <c r="C20" s="577" t="s">
        <v>1972</v>
      </c>
      <c r="D20" s="573">
        <v>75</v>
      </c>
      <c r="E20" s="573">
        <v>150</v>
      </c>
      <c r="F20" s="573">
        <v>150</v>
      </c>
      <c r="G20" s="573">
        <v>80</v>
      </c>
      <c r="H20" s="573">
        <v>75</v>
      </c>
      <c r="I20" s="573">
        <v>100</v>
      </c>
    </row>
    <row r="21" spans="2:9" ht="14.25" customHeight="1" x14ac:dyDescent="0.25">
      <c r="B21" s="471" t="s">
        <v>1580</v>
      </c>
      <c r="C21" s="577" t="s">
        <v>1972</v>
      </c>
      <c r="D21" s="573">
        <v>100</v>
      </c>
      <c r="E21" s="573">
        <v>200</v>
      </c>
      <c r="F21" s="573">
        <v>200</v>
      </c>
      <c r="G21" s="573">
        <v>125</v>
      </c>
      <c r="H21" s="573">
        <v>125</v>
      </c>
      <c r="I21" s="573">
        <v>150</v>
      </c>
    </row>
    <row r="22" spans="2:9" ht="14.25" customHeight="1" x14ac:dyDescent="0.25">
      <c r="B22" s="471" t="s">
        <v>1581</v>
      </c>
      <c r="C22" s="577" t="s">
        <v>1972</v>
      </c>
      <c r="D22" s="573">
        <v>150</v>
      </c>
      <c r="E22" s="573">
        <v>320</v>
      </c>
      <c r="F22" s="573">
        <v>270</v>
      </c>
      <c r="G22" s="573">
        <v>200</v>
      </c>
      <c r="H22" s="573">
        <v>175</v>
      </c>
      <c r="I22" s="573">
        <v>225</v>
      </c>
    </row>
    <row r="23" spans="2:9" ht="14.25" customHeight="1" x14ac:dyDescent="0.25">
      <c r="B23" s="471" t="s">
        <v>1582</v>
      </c>
      <c r="C23" s="577" t="s">
        <v>1972</v>
      </c>
      <c r="D23" s="573">
        <v>200</v>
      </c>
      <c r="E23" s="573">
        <v>600</v>
      </c>
      <c r="F23" s="573">
        <v>500</v>
      </c>
      <c r="G23" s="573">
        <v>300</v>
      </c>
      <c r="H23" s="573">
        <v>250</v>
      </c>
      <c r="I23" s="573">
        <v>325</v>
      </c>
    </row>
    <row r="24" spans="2:9" ht="14.25" customHeight="1" x14ac:dyDescent="0.25">
      <c r="B24" s="471" t="s">
        <v>1599</v>
      </c>
      <c r="C24" s="577" t="s">
        <v>1972</v>
      </c>
      <c r="D24" s="573">
        <v>100</v>
      </c>
      <c r="E24" s="573">
        <v>200</v>
      </c>
      <c r="F24" s="573">
        <v>200</v>
      </c>
      <c r="G24" s="573">
        <v>125</v>
      </c>
      <c r="H24" s="573">
        <v>125</v>
      </c>
      <c r="I24" s="573">
        <v>150</v>
      </c>
    </row>
    <row r="25" spans="2:9" ht="14.25" customHeight="1" x14ac:dyDescent="0.25">
      <c r="B25" s="471" t="s">
        <v>1601</v>
      </c>
      <c r="C25" s="577" t="s">
        <v>1972</v>
      </c>
      <c r="D25" s="573">
        <v>125</v>
      </c>
      <c r="E25" s="573">
        <v>250</v>
      </c>
      <c r="F25" s="573">
        <v>250</v>
      </c>
      <c r="G25" s="573">
        <v>175</v>
      </c>
      <c r="H25" s="573">
        <v>150</v>
      </c>
      <c r="I25" s="573">
        <v>200</v>
      </c>
    </row>
    <row r="26" spans="2:9" ht="14.25" customHeight="1" x14ac:dyDescent="0.25">
      <c r="B26" s="471" t="s">
        <v>1600</v>
      </c>
      <c r="C26" s="577" t="s">
        <v>1972</v>
      </c>
      <c r="D26" s="573">
        <v>250</v>
      </c>
      <c r="E26" s="573">
        <v>400</v>
      </c>
      <c r="F26" s="573">
        <v>400</v>
      </c>
      <c r="G26" s="573">
        <v>250</v>
      </c>
      <c r="H26" s="573">
        <v>250</v>
      </c>
      <c r="I26" s="573">
        <v>300</v>
      </c>
    </row>
    <row r="27" spans="2:9" ht="14.25" customHeight="1" x14ac:dyDescent="0.25">
      <c r="B27" s="471" t="s">
        <v>1583</v>
      </c>
      <c r="C27" s="577" t="s">
        <v>1972</v>
      </c>
      <c r="D27" s="573">
        <v>75</v>
      </c>
      <c r="E27" s="573">
        <v>150</v>
      </c>
      <c r="F27" s="573">
        <v>150</v>
      </c>
      <c r="G27" s="573">
        <v>100</v>
      </c>
      <c r="H27" s="573">
        <v>75</v>
      </c>
      <c r="I27" s="573">
        <v>100</v>
      </c>
    </row>
    <row r="28" spans="2:9" ht="14.25" customHeight="1" x14ac:dyDescent="0.25">
      <c r="B28" s="471" t="s">
        <v>1584</v>
      </c>
      <c r="C28" s="577" t="s">
        <v>1972</v>
      </c>
      <c r="D28" s="573">
        <v>50</v>
      </c>
      <c r="E28" s="573">
        <v>100</v>
      </c>
      <c r="F28" s="573">
        <v>150</v>
      </c>
      <c r="G28" s="573">
        <v>75</v>
      </c>
      <c r="H28" s="573">
        <v>50</v>
      </c>
      <c r="I28" s="573">
        <v>75</v>
      </c>
    </row>
    <row r="29" spans="2:9" ht="14.25" customHeight="1" x14ac:dyDescent="0.25">
      <c r="B29" s="471" t="s">
        <v>1585</v>
      </c>
      <c r="C29" s="577" t="s">
        <v>1972</v>
      </c>
      <c r="D29" s="573">
        <v>100</v>
      </c>
      <c r="E29" s="573">
        <v>200</v>
      </c>
      <c r="F29" s="573">
        <v>300</v>
      </c>
      <c r="G29" s="573">
        <v>125</v>
      </c>
      <c r="H29" s="573">
        <v>125</v>
      </c>
      <c r="I29" s="573">
        <v>150</v>
      </c>
    </row>
    <row r="30" spans="2:9" ht="14.25" customHeight="1" x14ac:dyDescent="0.25">
      <c r="B30" s="471" t="s">
        <v>1586</v>
      </c>
      <c r="C30" s="577" t="s">
        <v>1972</v>
      </c>
      <c r="D30" s="573">
        <v>30</v>
      </c>
      <c r="E30" s="573">
        <v>50</v>
      </c>
      <c r="F30" s="573">
        <v>70</v>
      </c>
      <c r="G30" s="573">
        <v>30</v>
      </c>
      <c r="H30" s="573">
        <v>40</v>
      </c>
      <c r="I30" s="573">
        <v>40</v>
      </c>
    </row>
    <row r="31" spans="2:9" ht="14.25" customHeight="1" x14ac:dyDescent="0.25">
      <c r="B31" s="471" t="s">
        <v>58</v>
      </c>
      <c r="C31" s="577" t="s">
        <v>1973</v>
      </c>
      <c r="D31" s="574">
        <v>-0.05</v>
      </c>
      <c r="E31" s="574">
        <v>-0.1</v>
      </c>
      <c r="F31" s="574">
        <v>0.25</v>
      </c>
      <c r="G31" s="574">
        <v>-0.05</v>
      </c>
      <c r="H31" s="574">
        <v>-0.05</v>
      </c>
      <c r="I31" s="574">
        <v>-0.1</v>
      </c>
    </row>
    <row r="32" spans="2:9" ht="14.25" customHeight="1" x14ac:dyDescent="0.25">
      <c r="B32" s="471" t="s">
        <v>59</v>
      </c>
      <c r="C32" s="577" t="s">
        <v>1973</v>
      </c>
      <c r="D32" s="574">
        <v>0.05</v>
      </c>
      <c r="E32" s="574">
        <v>0.05</v>
      </c>
      <c r="F32" s="574">
        <v>0.15</v>
      </c>
      <c r="G32" s="574">
        <v>-0.05</v>
      </c>
      <c r="H32" s="574">
        <v>0.05</v>
      </c>
      <c r="I32" s="574">
        <v>-0.05</v>
      </c>
    </row>
    <row r="33" spans="2:9" ht="14.25" customHeight="1" x14ac:dyDescent="0.25">
      <c r="B33" s="471" t="s">
        <v>60</v>
      </c>
      <c r="C33" s="577" t="s">
        <v>1973</v>
      </c>
      <c r="D33" s="574">
        <v>-0.05</v>
      </c>
      <c r="E33" s="574">
        <v>-0.1</v>
      </c>
      <c r="F33" s="574">
        <v>0.15</v>
      </c>
      <c r="G33" s="574">
        <v>-0.1</v>
      </c>
      <c r="H33" s="574">
        <v>-0.05</v>
      </c>
      <c r="I33" s="574">
        <v>-0.1</v>
      </c>
    </row>
    <row r="34" spans="2:9" ht="14.25" customHeight="1" x14ac:dyDescent="0.25">
      <c r="B34" s="471" t="s">
        <v>61</v>
      </c>
      <c r="C34" s="577" t="s">
        <v>1973</v>
      </c>
      <c r="D34" s="574">
        <v>0</v>
      </c>
      <c r="E34" s="574">
        <v>0</v>
      </c>
      <c r="F34" s="574">
        <v>0.15</v>
      </c>
      <c r="G34" s="574">
        <v>-0.01</v>
      </c>
      <c r="H34" s="574">
        <v>0</v>
      </c>
      <c r="I34" s="574">
        <v>0.03</v>
      </c>
    </row>
    <row r="35" spans="2:9" ht="14.25" customHeight="1" x14ac:dyDescent="0.25">
      <c r="B35" s="471" t="s">
        <v>1587</v>
      </c>
      <c r="C35" s="577" t="s">
        <v>1973</v>
      </c>
      <c r="D35" s="574">
        <v>0.8</v>
      </c>
      <c r="E35" s="574">
        <v>1.8</v>
      </c>
      <c r="F35" s="574">
        <v>2.5</v>
      </c>
      <c r="G35" s="574">
        <v>1</v>
      </c>
      <c r="H35" s="574">
        <v>1</v>
      </c>
      <c r="I35" s="574">
        <v>1.25</v>
      </c>
    </row>
    <row r="36" spans="2:9" ht="14.25" customHeight="1" x14ac:dyDescent="0.25">
      <c r="B36" s="471" t="s">
        <v>1588</v>
      </c>
      <c r="C36" s="577" t="s">
        <v>1973</v>
      </c>
      <c r="D36" s="574">
        <v>-0.25</v>
      </c>
      <c r="E36" s="574">
        <v>-0.5</v>
      </c>
      <c r="F36" s="574">
        <v>-0.6</v>
      </c>
      <c r="G36" s="574">
        <v>-0.3</v>
      </c>
      <c r="H36" s="574">
        <v>-0.25</v>
      </c>
      <c r="I36" s="574">
        <v>-0.3</v>
      </c>
    </row>
    <row r="37" spans="2:9" ht="14.25" customHeight="1" x14ac:dyDescent="0.25">
      <c r="B37" s="471" t="s">
        <v>1589</v>
      </c>
      <c r="C37" s="577" t="s">
        <v>1973</v>
      </c>
      <c r="D37" s="574">
        <v>-0.3</v>
      </c>
      <c r="E37" s="574">
        <v>-0.55000000000000004</v>
      </c>
      <c r="F37" s="574">
        <v>-0.5</v>
      </c>
      <c r="G37" s="574">
        <v>-0.4</v>
      </c>
      <c r="H37" s="574">
        <v>-0.35</v>
      </c>
      <c r="I37" s="574">
        <v>-0.4</v>
      </c>
    </row>
    <row r="38" spans="2:9" ht="14.25" customHeight="1" x14ac:dyDescent="0.25">
      <c r="B38" s="471" t="s">
        <v>1590</v>
      </c>
      <c r="C38" s="577" t="s">
        <v>1973</v>
      </c>
      <c r="D38" s="574">
        <v>-0.25</v>
      </c>
      <c r="E38" s="574">
        <v>-0.5</v>
      </c>
      <c r="F38" s="574">
        <v>-0.5</v>
      </c>
      <c r="G38" s="574">
        <v>-0.35</v>
      </c>
      <c r="H38" s="574">
        <v>-0.25</v>
      </c>
      <c r="I38" s="574">
        <v>-0.35</v>
      </c>
    </row>
    <row r="39" spans="2:9" ht="14.25" customHeight="1" x14ac:dyDescent="0.25">
      <c r="B39" s="471" t="s">
        <v>1591</v>
      </c>
      <c r="C39" s="577" t="s">
        <v>1973</v>
      </c>
      <c r="D39" s="574">
        <v>-0.3</v>
      </c>
      <c r="E39" s="574">
        <v>-0.55000000000000004</v>
      </c>
      <c r="F39" s="574">
        <v>-0.5</v>
      </c>
      <c r="G39" s="574">
        <v>-0.45</v>
      </c>
      <c r="H39" s="574">
        <v>-0.3</v>
      </c>
      <c r="I39" s="574">
        <v>-0.4</v>
      </c>
    </row>
    <row r="40" spans="2:9" ht="14.25" customHeight="1" x14ac:dyDescent="0.25">
      <c r="B40" s="471" t="s">
        <v>1592</v>
      </c>
      <c r="C40" s="577" t="s">
        <v>1973</v>
      </c>
      <c r="D40" s="574">
        <v>-0.25</v>
      </c>
      <c r="E40" s="574">
        <v>-0.5</v>
      </c>
      <c r="F40" s="574">
        <v>-0.5</v>
      </c>
      <c r="G40" s="574">
        <v>-0.25</v>
      </c>
      <c r="H40" s="574">
        <v>-0.25</v>
      </c>
      <c r="I40" s="574">
        <v>-0.3</v>
      </c>
    </row>
    <row r="41" spans="2:9" ht="14.25" customHeight="1" x14ac:dyDescent="0.25">
      <c r="B41" s="471" t="s">
        <v>62</v>
      </c>
      <c r="C41" s="577" t="s">
        <v>1973</v>
      </c>
      <c r="D41" s="574">
        <v>1.25</v>
      </c>
      <c r="E41" s="574">
        <v>2.5</v>
      </c>
      <c r="F41" s="574">
        <v>2.8</v>
      </c>
      <c r="G41" s="574">
        <v>1.25</v>
      </c>
      <c r="H41" s="574">
        <v>1.5</v>
      </c>
      <c r="I41" s="574">
        <v>2</v>
      </c>
    </row>
    <row r="42" spans="2:9" ht="14.25" customHeight="1" x14ac:dyDescent="0.25">
      <c r="B42" s="471" t="s">
        <v>63</v>
      </c>
      <c r="C42" s="577" t="s">
        <v>1973</v>
      </c>
      <c r="D42" s="574">
        <v>-0.1</v>
      </c>
      <c r="E42" s="574">
        <v>-0.3</v>
      </c>
      <c r="F42" s="574">
        <v>-0.3</v>
      </c>
      <c r="G42" s="574">
        <v>-0.15</v>
      </c>
      <c r="H42" s="574">
        <v>-0.15</v>
      </c>
      <c r="I42" s="574">
        <v>-0.2</v>
      </c>
    </row>
    <row r="43" spans="2:9" ht="14.25" customHeight="1" x14ac:dyDescent="0.25">
      <c r="B43" s="471" t="s">
        <v>64</v>
      </c>
      <c r="C43" s="577" t="s">
        <v>1973</v>
      </c>
      <c r="D43" s="574">
        <v>-0.3</v>
      </c>
      <c r="E43" s="574">
        <v>-0.6</v>
      </c>
      <c r="F43" s="574">
        <v>-0.8</v>
      </c>
      <c r="G43" s="574">
        <v>-0.3</v>
      </c>
      <c r="H43" s="574">
        <v>-0.3</v>
      </c>
      <c r="I43" s="574">
        <v>-0.45</v>
      </c>
    </row>
    <row r="44" spans="2:9" ht="14.25" customHeight="1" x14ac:dyDescent="0.25">
      <c r="B44" s="471" t="s">
        <v>1593</v>
      </c>
      <c r="C44" s="577" t="s">
        <v>1973</v>
      </c>
      <c r="D44" s="574">
        <v>-0.15</v>
      </c>
      <c r="E44" s="574">
        <v>-0.35</v>
      </c>
      <c r="F44" s="574">
        <v>-0.45</v>
      </c>
      <c r="G44" s="574">
        <v>-0.3</v>
      </c>
      <c r="H44" s="574">
        <v>-0.25</v>
      </c>
      <c r="I44" s="574">
        <v>-0.3</v>
      </c>
    </row>
    <row r="45" spans="2:9" ht="14.25" customHeight="1" x14ac:dyDescent="0.25">
      <c r="B45" s="584" t="s">
        <v>1687</v>
      </c>
      <c r="C45" s="585" t="s">
        <v>1973</v>
      </c>
      <c r="D45" s="586">
        <v>-0.15</v>
      </c>
      <c r="E45" s="586">
        <v>-0.5</v>
      </c>
      <c r="F45" s="586">
        <v>-0.5</v>
      </c>
      <c r="G45" s="586">
        <v>-0.3</v>
      </c>
      <c r="H45" s="586">
        <v>-0.25</v>
      </c>
      <c r="I45" s="586">
        <v>-0.4</v>
      </c>
    </row>
  </sheetData>
  <mergeCells count="1">
    <mergeCell ref="B4:B5"/>
  </mergeCells>
  <conditionalFormatting sqref="D6:I45 D4:I4">
    <cfRule type="expression" dxfId="15" priority="2">
      <formula>MOD(ROW(),2)&lt;&gt;0</formula>
    </cfRule>
  </conditionalFormatting>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Tabelle17">
    <tabColor rgb="FF00539E"/>
  </sheetPr>
  <dimension ref="A1:W19"/>
  <sheetViews>
    <sheetView showGridLines="0" zoomScale="90" zoomScaleNormal="90" workbookViewId="0"/>
  </sheetViews>
  <sheetFormatPr baseColWidth="10" defaultColWidth="8.5703125" defaultRowHeight="12.75" customHeight="1" x14ac:dyDescent="0.25"/>
  <cols>
    <col min="1" max="1" width="5.5703125" customWidth="1"/>
    <col min="2" max="2" width="14.42578125" customWidth="1"/>
    <col min="3" max="3" width="2.42578125" style="677" customWidth="1"/>
    <col min="4" max="12" width="12.5703125" customWidth="1"/>
    <col min="13" max="13" width="13" customWidth="1"/>
    <col min="14" max="14" width="28.5703125" bestFit="1" customWidth="1"/>
    <col min="15" max="15" width="21.5703125" bestFit="1" customWidth="1"/>
    <col min="16" max="16" width="21.5703125" customWidth="1"/>
    <col min="17" max="17" width="12.5703125" customWidth="1"/>
    <col min="18" max="18" width="15.42578125" customWidth="1"/>
  </cols>
  <sheetData>
    <row r="1" spans="1:23" ht="20.100000000000001" customHeight="1" x14ac:dyDescent="0.25">
      <c r="A1" s="21">
        <v>27</v>
      </c>
      <c r="B1" s="680" t="str">
        <f>VLOOKUP("T.27.01",Translation,LanguageNo+1,FALSE)</f>
        <v>Korrelationsmatrizen</v>
      </c>
      <c r="C1" s="680"/>
    </row>
    <row r="2" spans="1:23" ht="14.25" customHeight="1" x14ac:dyDescent="0.25">
      <c r="A2" s="67"/>
      <c r="B2" s="67"/>
      <c r="C2" s="67"/>
      <c r="D2" s="67"/>
      <c r="E2" s="67"/>
      <c r="F2" s="67"/>
      <c r="G2" s="67"/>
      <c r="H2" s="67"/>
      <c r="I2" s="67"/>
      <c r="J2" s="67"/>
      <c r="K2" s="67"/>
      <c r="L2" s="67"/>
      <c r="M2" s="67"/>
    </row>
    <row r="3" spans="1:23" ht="14.25" customHeight="1" x14ac:dyDescent="0.25">
      <c r="A3" s="67"/>
      <c r="B3" s="6" t="s">
        <v>1689</v>
      </c>
      <c r="C3" s="6"/>
      <c r="D3" s="67"/>
      <c r="E3" s="67"/>
      <c r="F3" s="67"/>
      <c r="G3" s="67"/>
      <c r="H3" s="67"/>
      <c r="I3" s="67"/>
      <c r="J3" s="67"/>
      <c r="K3" s="67"/>
      <c r="L3" s="67"/>
      <c r="M3" s="67"/>
      <c r="N3" s="6" t="s">
        <v>1690</v>
      </c>
      <c r="O3" s="67"/>
      <c r="P3" s="67"/>
      <c r="R3" s="6" t="s">
        <v>1691</v>
      </c>
    </row>
    <row r="4" spans="1:23" ht="14.25" customHeight="1" x14ac:dyDescent="0.25">
      <c r="A4" s="67"/>
      <c r="B4" s="67"/>
      <c r="C4" s="67"/>
      <c r="D4" s="67"/>
      <c r="E4" s="67"/>
      <c r="F4" s="67"/>
      <c r="G4" s="67"/>
      <c r="H4" s="67"/>
      <c r="I4" s="67"/>
      <c r="J4" s="67"/>
      <c r="K4" s="67"/>
      <c r="L4" s="67"/>
      <c r="M4" s="67"/>
      <c r="N4" s="67"/>
      <c r="O4" s="67"/>
      <c r="P4" s="67"/>
    </row>
    <row r="5" spans="1:23" ht="26.25" customHeight="1" x14ac:dyDescent="0.25">
      <c r="A5" s="67"/>
      <c r="B5" s="425" t="s">
        <v>1594</v>
      </c>
      <c r="C5" s="681"/>
      <c r="D5" s="1346" t="s">
        <v>94</v>
      </c>
      <c r="E5" s="1347"/>
      <c r="F5" s="1347"/>
      <c r="G5" s="1347"/>
      <c r="H5" s="1347"/>
      <c r="I5" s="1347"/>
      <c r="J5" s="1347"/>
      <c r="K5" s="1347"/>
      <c r="L5" s="1348"/>
      <c r="M5" s="67"/>
      <c r="N5" s="85" t="s">
        <v>1594</v>
      </c>
      <c r="O5" s="1350" t="s">
        <v>94</v>
      </c>
      <c r="P5" s="1351"/>
      <c r="R5" s="1349" t="s">
        <v>95</v>
      </c>
      <c r="S5" s="1352" t="s">
        <v>94</v>
      </c>
      <c r="T5" s="1353"/>
      <c r="U5" s="1353"/>
      <c r="V5" s="1353"/>
      <c r="W5" s="1353"/>
    </row>
    <row r="6" spans="1:23" s="480" customFormat="1" ht="21" customHeight="1" x14ac:dyDescent="0.25">
      <c r="A6" s="479"/>
      <c r="B6" s="464"/>
      <c r="C6" s="464"/>
      <c r="D6" s="144" t="s">
        <v>501</v>
      </c>
      <c r="E6" s="144" t="s">
        <v>473</v>
      </c>
      <c r="F6" s="144" t="s">
        <v>475</v>
      </c>
      <c r="G6" s="144" t="s">
        <v>559</v>
      </c>
      <c r="H6" s="144" t="s">
        <v>497</v>
      </c>
      <c r="I6" s="144" t="s">
        <v>477</v>
      </c>
      <c r="J6" s="144" t="s">
        <v>498</v>
      </c>
      <c r="K6" s="144" t="s">
        <v>499</v>
      </c>
      <c r="L6" s="144" t="s">
        <v>500</v>
      </c>
      <c r="M6" s="479"/>
      <c r="N6" s="464"/>
      <c r="O6" s="621" t="s">
        <v>2028</v>
      </c>
      <c r="P6" s="622" t="s">
        <v>1969</v>
      </c>
      <c r="R6" s="1349"/>
      <c r="S6" s="1041" t="s">
        <v>96</v>
      </c>
      <c r="T6" s="1041" t="s">
        <v>16</v>
      </c>
      <c r="U6" s="1041" t="s">
        <v>20</v>
      </c>
      <c r="V6" s="1041" t="s">
        <v>18</v>
      </c>
      <c r="W6" s="1041" t="s">
        <v>3522</v>
      </c>
    </row>
    <row r="7" spans="1:23" ht="14.25" customHeight="1" x14ac:dyDescent="0.25">
      <c r="A7" s="67"/>
      <c r="B7" s="455" t="s">
        <v>501</v>
      </c>
      <c r="C7" s="455"/>
      <c r="D7" s="472">
        <v>1</v>
      </c>
      <c r="E7" s="472">
        <v>-0.75</v>
      </c>
      <c r="F7" s="472">
        <v>0.25</v>
      </c>
      <c r="G7" s="472">
        <v>0</v>
      </c>
      <c r="H7" s="472">
        <v>0</v>
      </c>
      <c r="I7" s="472">
        <v>0</v>
      </c>
      <c r="J7" s="472">
        <v>0</v>
      </c>
      <c r="K7" s="472">
        <v>0</v>
      </c>
      <c r="L7" s="472">
        <v>0</v>
      </c>
      <c r="M7" s="67"/>
      <c r="N7" s="620" t="s">
        <v>2028</v>
      </c>
      <c r="O7" s="475">
        <v>1</v>
      </c>
      <c r="P7" s="475">
        <v>0.25</v>
      </c>
      <c r="R7" s="1042" t="s">
        <v>96</v>
      </c>
      <c r="S7" s="1043">
        <v>1</v>
      </c>
      <c r="T7" s="1043">
        <v>0.15</v>
      </c>
      <c r="U7" s="1043">
        <v>0.15</v>
      </c>
      <c r="V7" s="1043">
        <v>0.15</v>
      </c>
      <c r="W7" s="1043">
        <v>0.9</v>
      </c>
    </row>
    <row r="8" spans="1:23" ht="14.25" customHeight="1" x14ac:dyDescent="0.25">
      <c r="A8" s="67"/>
      <c r="B8" s="455" t="s">
        <v>473</v>
      </c>
      <c r="C8" s="455"/>
      <c r="D8" s="472">
        <v>-0.75</v>
      </c>
      <c r="E8" s="472">
        <v>1</v>
      </c>
      <c r="F8" s="472">
        <v>0</v>
      </c>
      <c r="G8" s="472">
        <v>0</v>
      </c>
      <c r="H8" s="472">
        <v>0</v>
      </c>
      <c r="I8" s="472">
        <v>0</v>
      </c>
      <c r="J8" s="472">
        <v>0.25</v>
      </c>
      <c r="K8" s="472">
        <v>0</v>
      </c>
      <c r="L8" s="472">
        <v>0</v>
      </c>
      <c r="M8" s="67"/>
      <c r="N8" s="566" t="s">
        <v>1969</v>
      </c>
      <c r="O8" s="72">
        <v>0.25</v>
      </c>
      <c r="P8" s="72">
        <v>1</v>
      </c>
      <c r="R8" s="1044" t="s">
        <v>16</v>
      </c>
      <c r="S8" s="1045">
        <v>0.15</v>
      </c>
      <c r="T8" s="1045">
        <v>1</v>
      </c>
      <c r="U8" s="1045">
        <v>0.25</v>
      </c>
      <c r="V8" s="1045">
        <v>0.25</v>
      </c>
      <c r="W8" s="1045">
        <v>0.15</v>
      </c>
    </row>
    <row r="9" spans="1:23" ht="14.25" customHeight="1" x14ac:dyDescent="0.25">
      <c r="A9" s="67"/>
      <c r="B9" s="455" t="s">
        <v>475</v>
      </c>
      <c r="C9" s="455"/>
      <c r="D9" s="472">
        <v>0.25</v>
      </c>
      <c r="E9" s="472">
        <v>0</v>
      </c>
      <c r="F9" s="472">
        <v>1</v>
      </c>
      <c r="G9" s="472">
        <v>-0.75</v>
      </c>
      <c r="H9" s="472">
        <v>0.25</v>
      </c>
      <c r="I9" s="472">
        <v>0</v>
      </c>
      <c r="J9" s="472">
        <v>0</v>
      </c>
      <c r="K9" s="472">
        <v>0.25</v>
      </c>
      <c r="L9" s="472">
        <v>0</v>
      </c>
      <c r="M9" s="67"/>
      <c r="R9" s="1046" t="s">
        <v>20</v>
      </c>
      <c r="S9" s="1047">
        <v>0.15</v>
      </c>
      <c r="T9" s="1047">
        <v>0.25</v>
      </c>
      <c r="U9" s="1047">
        <v>1</v>
      </c>
      <c r="V9" s="1047">
        <v>0.25</v>
      </c>
      <c r="W9" s="1047">
        <v>0.15</v>
      </c>
    </row>
    <row r="10" spans="1:23" ht="14.25" customHeight="1" x14ac:dyDescent="0.25">
      <c r="A10" s="67"/>
      <c r="B10" s="455" t="s">
        <v>559</v>
      </c>
      <c r="C10" s="455"/>
      <c r="D10" s="472">
        <v>0</v>
      </c>
      <c r="E10" s="472">
        <v>0</v>
      </c>
      <c r="F10" s="472">
        <v>-0.75</v>
      </c>
      <c r="G10" s="472">
        <v>1</v>
      </c>
      <c r="H10" s="472">
        <v>0</v>
      </c>
      <c r="I10" s="472">
        <v>0</v>
      </c>
      <c r="J10" s="472">
        <v>0</v>
      </c>
      <c r="K10" s="472">
        <v>0</v>
      </c>
      <c r="L10" s="472">
        <v>0</v>
      </c>
      <c r="M10" s="67"/>
      <c r="R10" s="1048" t="s">
        <v>18</v>
      </c>
      <c r="S10" s="1049">
        <v>0.15</v>
      </c>
      <c r="T10" s="1049">
        <v>0.25</v>
      </c>
      <c r="U10" s="1049">
        <v>0.25</v>
      </c>
      <c r="V10" s="1049">
        <v>1</v>
      </c>
      <c r="W10" s="1049">
        <v>0.15</v>
      </c>
    </row>
    <row r="11" spans="1:23" ht="14.25" customHeight="1" x14ac:dyDescent="0.25">
      <c r="A11" s="67"/>
      <c r="B11" s="455" t="s">
        <v>497</v>
      </c>
      <c r="C11" s="455"/>
      <c r="D11" s="472">
        <v>0</v>
      </c>
      <c r="E11" s="472">
        <v>0</v>
      </c>
      <c r="F11" s="472">
        <v>0.25</v>
      </c>
      <c r="G11" s="472">
        <v>0</v>
      </c>
      <c r="H11" s="472">
        <v>1</v>
      </c>
      <c r="I11" s="472">
        <v>0.5</v>
      </c>
      <c r="J11" s="472">
        <v>0</v>
      </c>
      <c r="K11" s="472">
        <v>0.5</v>
      </c>
      <c r="L11" s="472">
        <v>0.5</v>
      </c>
      <c r="M11" s="67"/>
      <c r="R11" s="1050" t="s">
        <v>3522</v>
      </c>
      <c r="S11" s="1051">
        <v>0.9</v>
      </c>
      <c r="T11" s="1051">
        <v>0.15</v>
      </c>
      <c r="U11" s="1051">
        <v>0.15</v>
      </c>
      <c r="V11" s="1051">
        <v>0.15</v>
      </c>
      <c r="W11" s="1051">
        <v>1</v>
      </c>
    </row>
    <row r="12" spans="1:23" ht="14.25" customHeight="1" x14ac:dyDescent="0.25">
      <c r="A12" s="67"/>
      <c r="B12" s="455" t="s">
        <v>477</v>
      </c>
      <c r="C12" s="455"/>
      <c r="D12" s="472">
        <v>0</v>
      </c>
      <c r="E12" s="472">
        <v>0</v>
      </c>
      <c r="F12" s="472">
        <v>0</v>
      </c>
      <c r="G12" s="472">
        <v>0</v>
      </c>
      <c r="H12" s="472">
        <v>0.5</v>
      </c>
      <c r="I12" s="472">
        <v>1</v>
      </c>
      <c r="J12" s="472">
        <v>0</v>
      </c>
      <c r="K12" s="472">
        <v>0.5</v>
      </c>
      <c r="L12" s="472">
        <v>0.5</v>
      </c>
      <c r="M12" s="67"/>
    </row>
    <row r="13" spans="1:23" ht="14.25" customHeight="1" x14ac:dyDescent="0.25">
      <c r="A13" s="67"/>
      <c r="B13" s="455" t="s">
        <v>498</v>
      </c>
      <c r="C13" s="455"/>
      <c r="D13" s="472">
        <v>0</v>
      </c>
      <c r="E13" s="472">
        <v>0.25</v>
      </c>
      <c r="F13" s="472">
        <v>0</v>
      </c>
      <c r="G13" s="472">
        <v>0</v>
      </c>
      <c r="H13" s="472">
        <v>0</v>
      </c>
      <c r="I13" s="472">
        <v>0</v>
      </c>
      <c r="J13" s="472">
        <v>1</v>
      </c>
      <c r="K13" s="472">
        <v>0</v>
      </c>
      <c r="L13" s="472">
        <v>-0.5</v>
      </c>
      <c r="M13" s="67"/>
    </row>
    <row r="14" spans="1:23" ht="14.25" customHeight="1" x14ac:dyDescent="0.25">
      <c r="A14" s="67"/>
      <c r="B14" s="455" t="s">
        <v>499</v>
      </c>
      <c r="C14" s="455"/>
      <c r="D14" s="472">
        <v>0</v>
      </c>
      <c r="E14" s="472">
        <v>0</v>
      </c>
      <c r="F14" s="472">
        <v>0.25</v>
      </c>
      <c r="G14" s="472">
        <v>0</v>
      </c>
      <c r="H14" s="472">
        <v>0.5</v>
      </c>
      <c r="I14" s="472">
        <v>0.5</v>
      </c>
      <c r="J14" s="472">
        <v>0</v>
      </c>
      <c r="K14" s="472">
        <v>1</v>
      </c>
      <c r="L14" s="472">
        <v>0.5</v>
      </c>
      <c r="M14" s="67"/>
    </row>
    <row r="15" spans="1:23" ht="14.25" customHeight="1" x14ac:dyDescent="0.25">
      <c r="A15" s="67"/>
      <c r="B15" s="473" t="s">
        <v>500</v>
      </c>
      <c r="C15" s="473"/>
      <c r="D15" s="474">
        <v>0</v>
      </c>
      <c r="E15" s="474">
        <v>0</v>
      </c>
      <c r="F15" s="474">
        <v>0</v>
      </c>
      <c r="G15" s="474">
        <v>0</v>
      </c>
      <c r="H15" s="474">
        <v>0.5</v>
      </c>
      <c r="I15" s="474">
        <v>0.5</v>
      </c>
      <c r="J15" s="474">
        <v>-0.5</v>
      </c>
      <c r="K15" s="474">
        <v>0.5</v>
      </c>
      <c r="L15" s="474">
        <v>1</v>
      </c>
      <c r="M15" s="67"/>
    </row>
    <row r="16" spans="1:23" ht="12.75" customHeight="1" x14ac:dyDescent="0.25">
      <c r="A16" s="67"/>
      <c r="B16" s="67"/>
      <c r="C16" s="67"/>
      <c r="D16" s="67"/>
      <c r="E16" s="67"/>
      <c r="F16" s="67"/>
      <c r="G16" s="67"/>
      <c r="H16" s="67"/>
      <c r="I16" s="67"/>
      <c r="J16" s="67"/>
      <c r="K16" s="67"/>
      <c r="L16" s="67"/>
      <c r="M16" s="67"/>
    </row>
    <row r="17" spans="1:13" ht="12.75" customHeight="1" x14ac:dyDescent="0.25">
      <c r="A17" s="67"/>
      <c r="B17" s="67"/>
      <c r="C17" s="67"/>
      <c r="D17" s="67"/>
      <c r="E17" s="67"/>
      <c r="F17" s="67"/>
      <c r="G17" s="67"/>
      <c r="H17" s="67"/>
      <c r="I17" s="67"/>
      <c r="J17" s="67"/>
      <c r="K17" s="67"/>
      <c r="L17" s="67"/>
      <c r="M17" s="67"/>
    </row>
    <row r="18" spans="1:13" ht="12.75" customHeight="1" x14ac:dyDescent="0.25">
      <c r="A18" s="67"/>
      <c r="F18" s="67"/>
      <c r="G18" s="67"/>
      <c r="H18" s="67"/>
      <c r="I18" s="67"/>
      <c r="J18" s="67"/>
      <c r="K18" s="67"/>
      <c r="L18" s="67"/>
      <c r="M18" s="67"/>
    </row>
    <row r="19" spans="1:13" ht="12.75" customHeight="1" x14ac:dyDescent="0.25">
      <c r="A19" s="67"/>
      <c r="F19" s="67"/>
      <c r="G19" s="67"/>
      <c r="H19" s="67"/>
      <c r="I19" s="67"/>
      <c r="J19" s="67"/>
      <c r="K19" s="67"/>
      <c r="L19" s="67"/>
      <c r="M19" s="67"/>
    </row>
  </sheetData>
  <mergeCells count="4">
    <mergeCell ref="D5:L5"/>
    <mergeCell ref="R5:R6"/>
    <mergeCell ref="O5:P5"/>
    <mergeCell ref="S5:W5"/>
  </mergeCells>
  <conditionalFormatting sqref="B7:L15">
    <cfRule type="expression" dxfId="14" priority="11">
      <formula>MOD(ROW(),2)=0</formula>
    </cfRule>
  </conditionalFormatting>
  <conditionalFormatting sqref="N7:P8">
    <cfRule type="expression" dxfId="13" priority="8">
      <formula>MOD(ROW(),2)=0</formula>
    </cfRule>
  </conditionalFormatting>
  <conditionalFormatting sqref="R7:S11">
    <cfRule type="expression" dxfId="12" priority="6">
      <formula>MOD(ROW(),2)=0</formula>
    </cfRule>
  </conditionalFormatting>
  <conditionalFormatting sqref="T7:W11">
    <cfRule type="expression" dxfId="11" priority="1">
      <formula>MOD(ROW(),2)=0</formula>
    </cfRule>
  </conditionalFormatting>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rgb="FF00539E"/>
  </sheetPr>
  <dimension ref="A1:AF36"/>
  <sheetViews>
    <sheetView showGridLines="0" zoomScale="90" zoomScaleNormal="90" workbookViewId="0"/>
  </sheetViews>
  <sheetFormatPr baseColWidth="10" defaultColWidth="8.5703125" defaultRowHeight="12.75" customHeight="1" x14ac:dyDescent="0.25"/>
  <cols>
    <col min="1" max="1" width="5.5703125" style="726" customWidth="1"/>
    <col min="2" max="2" width="23.42578125" style="726" customWidth="1"/>
    <col min="3" max="3" width="10.5703125" style="726" customWidth="1"/>
    <col min="4" max="4" width="11.5703125" style="726" customWidth="1"/>
    <col min="5" max="5" width="10.5703125" style="184" customWidth="1"/>
    <col min="6" max="14" width="8.5703125" style="726" customWidth="1"/>
    <col min="15" max="15" width="8.5703125" style="726"/>
    <col min="16" max="16" width="10.42578125" style="726" customWidth="1"/>
    <col min="17" max="17" width="16.42578125" style="726" customWidth="1"/>
    <col min="18" max="18" width="8.5703125" style="726"/>
    <col min="19" max="19" width="10.5703125" style="726" customWidth="1"/>
    <col min="20" max="20" width="60.5703125" style="726" bestFit="1" customWidth="1"/>
    <col min="21" max="22" width="8.5703125" style="726"/>
    <col min="23" max="23" width="22.140625" style="726" bestFit="1" customWidth="1"/>
    <col min="24" max="24" width="8.5703125" style="726"/>
    <col min="25" max="25" width="9.5703125" style="726" bestFit="1" customWidth="1"/>
    <col min="26" max="26" width="8.5703125" style="726"/>
    <col min="27" max="27" width="12.5703125" style="726" bestFit="1" customWidth="1"/>
    <col min="28" max="28" width="10.140625" style="726" bestFit="1" customWidth="1"/>
    <col min="29" max="29" width="8.5703125" style="726"/>
    <col min="30" max="30" width="13.140625" style="726" bestFit="1" customWidth="1"/>
    <col min="31" max="16384" width="8.5703125" style="726"/>
  </cols>
  <sheetData>
    <row r="1" spans="1:32" ht="20.100000000000001" customHeight="1" x14ac:dyDescent="0.25">
      <c r="A1" s="679">
        <v>28</v>
      </c>
      <c r="B1" s="680" t="str">
        <f>VLOOKUP("T.28.01",Translation,LanguageNo+1,FALSE)</f>
        <v>Parameter für das Kreditrisiko</v>
      </c>
    </row>
    <row r="2" spans="1:32" ht="14.25" customHeight="1" x14ac:dyDescent="0.25">
      <c r="B2" s="680"/>
    </row>
    <row r="3" spans="1:32" s="189" customFormat="1" ht="21.75" customHeight="1" x14ac:dyDescent="0.25">
      <c r="A3" s="1052"/>
      <c r="B3" s="536" t="s">
        <v>3524</v>
      </c>
      <c r="C3" s="1052"/>
      <c r="D3" s="1053"/>
      <c r="E3" s="537" t="s">
        <v>3525</v>
      </c>
      <c r="F3" s="1052"/>
      <c r="G3" s="1052"/>
      <c r="H3" s="1052"/>
      <c r="I3" s="1052"/>
      <c r="J3" s="1052"/>
      <c r="K3" s="1052"/>
      <c r="L3" s="1052"/>
      <c r="M3" s="1052"/>
      <c r="N3" s="1052"/>
      <c r="O3" s="1052"/>
      <c r="P3" s="537" t="s">
        <v>3526</v>
      </c>
      <c r="Q3" s="1052"/>
      <c r="S3" s="537" t="s">
        <v>3527</v>
      </c>
      <c r="T3" s="537"/>
      <c r="U3" s="1052"/>
      <c r="W3" s="537" t="s">
        <v>3849</v>
      </c>
    </row>
    <row r="4" spans="1:32" ht="14.25" customHeight="1" x14ac:dyDescent="0.25">
      <c r="A4" s="1054"/>
      <c r="B4" s="1354" t="str">
        <f>VLOOKUP("T.15.09",Translation,LanguageNo+1,FALSE)</f>
        <v>Positionsklasse SA-BIZ</v>
      </c>
      <c r="C4" s="1055" t="s">
        <v>3528</v>
      </c>
      <c r="D4" s="1056"/>
      <c r="E4" s="1354" t="str">
        <f>VLOOKUP("T.15.07",Translation,LanguageNo+1,FALSE)</f>
        <v>Ratingstufe</v>
      </c>
      <c r="F4" s="1356"/>
      <c r="G4" s="1357"/>
      <c r="H4" s="1357"/>
      <c r="I4" s="1357"/>
      <c r="J4" s="1357"/>
      <c r="K4" s="1357"/>
      <c r="L4" s="1357"/>
      <c r="M4" s="1357"/>
      <c r="N4" s="1357"/>
      <c r="O4" s="1054"/>
      <c r="P4" s="1354" t="str">
        <f>VLOOKUP("T.15.07",Translation,LanguageNo+1,FALSE)</f>
        <v>Ratingstufe</v>
      </c>
      <c r="Q4" s="1358" t="str">
        <f>VLOOKUP("T.15.27",Translation,LanguageNo+1,FALSE)</f>
        <v>Kumulierte Spreadänderung</v>
      </c>
      <c r="S4" s="1354" t="s">
        <v>286</v>
      </c>
      <c r="T4" s="1057" t="s">
        <v>3529</v>
      </c>
      <c r="U4" s="1358" t="s">
        <v>3848</v>
      </c>
      <c r="W4" s="1354" t="str">
        <f>VLOOKUP("T.15.07",Translation,LanguageNo+1,FALSE)</f>
        <v>Ratingstufe</v>
      </c>
      <c r="X4" s="1356"/>
      <c r="Y4" s="1357"/>
      <c r="Z4" s="1357"/>
      <c r="AA4" s="1357"/>
      <c r="AB4" s="1357"/>
      <c r="AC4" s="1357"/>
      <c r="AD4" s="1357"/>
      <c r="AE4" s="1357"/>
    </row>
    <row r="5" spans="1:32" ht="14.25" customHeight="1" x14ac:dyDescent="0.25">
      <c r="A5" s="1054"/>
      <c r="B5" s="1354" t="e">
        <f>VLOOKUP("T.38.07",Translation,LanguageNo+1,FALSE)</f>
        <v>#N/A</v>
      </c>
      <c r="C5" s="1055"/>
      <c r="D5" s="1058"/>
      <c r="E5" s="1354" t="e">
        <f>VLOOKUP("T.38.07",Translation,LanguageNo+1,FALSE)</f>
        <v>#N/A</v>
      </c>
      <c r="F5" s="1292"/>
      <c r="G5" s="1293"/>
      <c r="H5" s="1293"/>
      <c r="I5" s="1293"/>
      <c r="J5" s="1293"/>
      <c r="K5" s="1293"/>
      <c r="L5" s="1293"/>
      <c r="M5" s="1293"/>
      <c r="N5" s="1293"/>
      <c r="O5" s="1054"/>
      <c r="P5" s="1354" t="e">
        <f>VLOOKUP("T.38.07",Translation,LanguageNo+1,FALSE)</f>
        <v>#N/A</v>
      </c>
      <c r="Q5" s="1358" t="e">
        <f>VLOOKUP("T.38.07",Translation,LanguageNo+1,FALSE)</f>
        <v>#N/A</v>
      </c>
      <c r="S5" s="1354"/>
      <c r="T5" s="1057"/>
      <c r="U5" s="1358"/>
      <c r="W5" s="1354" t="e">
        <f>VLOOKUP("T.38.07",Translation,LanguageNo+1,FALSE)</f>
        <v>#N/A</v>
      </c>
      <c r="X5" s="1292"/>
      <c r="Y5" s="1293"/>
      <c r="Z5" s="1293"/>
      <c r="AA5" s="1293"/>
      <c r="AB5" s="1293"/>
      <c r="AC5" s="1293"/>
      <c r="AD5" s="1293"/>
      <c r="AE5" s="1293"/>
    </row>
    <row r="6" spans="1:32" ht="14.25" customHeight="1" x14ac:dyDescent="0.25">
      <c r="A6" s="1054"/>
      <c r="B6" s="1355" t="e">
        <f>VLOOKUP("T.38.07",Translation,LanguageNo+1,FALSE)</f>
        <v>#N/A</v>
      </c>
      <c r="C6" s="1055"/>
      <c r="D6" s="1059"/>
      <c r="E6" s="1355" t="e">
        <f>VLOOKUP("T.38.07",Translation,LanguageNo+1,FALSE)</f>
        <v>#N/A</v>
      </c>
      <c r="F6" s="1060">
        <v>1</v>
      </c>
      <c r="G6" s="1060">
        <v>2</v>
      </c>
      <c r="H6" s="1060">
        <v>3</v>
      </c>
      <c r="I6" s="1060">
        <v>4</v>
      </c>
      <c r="J6" s="1060">
        <v>5</v>
      </c>
      <c r="K6" s="1060">
        <v>6</v>
      </c>
      <c r="L6" s="1060">
        <v>7</v>
      </c>
      <c r="M6" s="1060">
        <v>8</v>
      </c>
      <c r="N6" s="1060">
        <v>9</v>
      </c>
      <c r="O6" s="1054"/>
      <c r="P6" s="1355" t="e">
        <f>VLOOKUP("T.38.07",Translation,LanguageNo+1,FALSE)</f>
        <v>#N/A</v>
      </c>
      <c r="Q6" s="1359" t="e">
        <f>VLOOKUP("T.38.07",Translation,LanguageNo+1,FALSE)</f>
        <v>#N/A</v>
      </c>
      <c r="S6" s="1355"/>
      <c r="T6" s="1061"/>
      <c r="U6" s="1359"/>
      <c r="W6" s="1355" t="e">
        <f>VLOOKUP("T.38.07",Translation,LanguageNo+1,FALSE)</f>
        <v>#N/A</v>
      </c>
      <c r="X6" s="1060">
        <v>1</v>
      </c>
      <c r="Y6" s="1060">
        <v>2</v>
      </c>
      <c r="Z6" s="1060">
        <v>3</v>
      </c>
      <c r="AA6" s="1060">
        <v>4</v>
      </c>
      <c r="AB6" s="1060">
        <v>5</v>
      </c>
      <c r="AC6" s="1060">
        <v>6</v>
      </c>
      <c r="AD6" s="1060">
        <v>7</v>
      </c>
      <c r="AE6" s="1060">
        <v>8</v>
      </c>
    </row>
    <row r="7" spans="1:32" s="184" customFormat="1" ht="14.25" customHeight="1" x14ac:dyDescent="0.25">
      <c r="A7" s="1062"/>
      <c r="B7" s="1063" t="s">
        <v>125</v>
      </c>
      <c r="C7" s="1064">
        <v>0.65</v>
      </c>
      <c r="D7" s="1065"/>
      <c r="E7" s="1066">
        <v>1</v>
      </c>
      <c r="F7" s="1067">
        <v>0.90785561979841911</v>
      </c>
      <c r="G7" s="1068">
        <v>8.1266650286479045E-2</v>
      </c>
      <c r="H7" s="1068">
        <v>8.2573188072435303E-3</v>
      </c>
      <c r="I7" s="1068">
        <v>1.9963897369411569E-3</v>
      </c>
      <c r="J7" s="1068">
        <v>3.0311676634185101E-4</v>
      </c>
      <c r="K7" s="1068">
        <v>2.0904604575300076E-5</v>
      </c>
      <c r="L7" s="1068">
        <v>0</v>
      </c>
      <c r="M7" s="1068">
        <v>0</v>
      </c>
      <c r="N7" s="1068">
        <v>2.9999999999999997E-4</v>
      </c>
      <c r="O7" s="1062"/>
      <c r="P7" s="1066">
        <v>1</v>
      </c>
      <c r="Q7" s="1067">
        <v>0</v>
      </c>
      <c r="S7" s="1066" t="s">
        <v>3530</v>
      </c>
      <c r="T7" s="1069" t="s">
        <v>3531</v>
      </c>
      <c r="U7" s="1070">
        <v>0.45</v>
      </c>
      <c r="W7" s="1106" t="s">
        <v>300</v>
      </c>
      <c r="X7" s="1107" t="s">
        <v>35</v>
      </c>
      <c r="Y7" s="1107" t="s">
        <v>3772</v>
      </c>
      <c r="Z7" s="1107" t="s">
        <v>302</v>
      </c>
      <c r="AA7" s="1107" t="s">
        <v>303</v>
      </c>
      <c r="AB7" s="1107" t="s">
        <v>304</v>
      </c>
      <c r="AC7" s="1107" t="s">
        <v>305</v>
      </c>
      <c r="AD7" s="1107" t="s">
        <v>3773</v>
      </c>
      <c r="AE7" s="1107" t="s">
        <v>3774</v>
      </c>
    </row>
    <row r="8" spans="1:32" s="184" customFormat="1" ht="14.25" customHeight="1" x14ac:dyDescent="0.25">
      <c r="A8" s="1062"/>
      <c r="B8" s="1066" t="s">
        <v>131</v>
      </c>
      <c r="C8" s="1071">
        <v>0.7</v>
      </c>
      <c r="D8" s="1069"/>
      <c r="E8" s="1066">
        <v>2</v>
      </c>
      <c r="F8" s="1067">
        <v>1.1162434189491631E-2</v>
      </c>
      <c r="G8" s="1068">
        <v>0.89592380901630586</v>
      </c>
      <c r="H8" s="1068">
        <v>8.2280347436853876E-2</v>
      </c>
      <c r="I8" s="1068">
        <v>7.6901502717680896E-3</v>
      </c>
      <c r="J8" s="1068">
        <v>1.6828860705531278E-3</v>
      </c>
      <c r="K8" s="1068">
        <v>4.899541724395182E-4</v>
      </c>
      <c r="L8" s="1068">
        <v>1.2781413194074389E-4</v>
      </c>
      <c r="M8" s="1068">
        <v>4.2604710646914633E-5</v>
      </c>
      <c r="N8" s="1068">
        <v>5.9999999999999995E-4</v>
      </c>
      <c r="O8" s="1062"/>
      <c r="P8" s="1066">
        <v>2</v>
      </c>
      <c r="Q8" s="1067">
        <v>1.5E-3</v>
      </c>
      <c r="S8" s="1066" t="s">
        <v>3532</v>
      </c>
      <c r="T8" s="1069" t="s">
        <v>3533</v>
      </c>
      <c r="U8" s="1070">
        <v>0.95</v>
      </c>
      <c r="W8" s="1108" t="s">
        <v>307</v>
      </c>
      <c r="X8" s="1109" t="s">
        <v>35</v>
      </c>
      <c r="Y8" s="1109" t="s">
        <v>3775</v>
      </c>
      <c r="Z8" s="1109" t="s">
        <v>309</v>
      </c>
      <c r="AA8" s="1109" t="s">
        <v>310</v>
      </c>
      <c r="AB8" s="1109" t="s">
        <v>311</v>
      </c>
      <c r="AC8" s="1109" t="s">
        <v>312</v>
      </c>
      <c r="AD8" s="1109" t="s">
        <v>3776</v>
      </c>
      <c r="AE8" s="1109" t="s">
        <v>3777</v>
      </c>
    </row>
    <row r="9" spans="1:32" s="184" customFormat="1" ht="14.25" customHeight="1" x14ac:dyDescent="0.25">
      <c r="A9" s="1062"/>
      <c r="B9" s="1066" t="s">
        <v>136</v>
      </c>
      <c r="C9" s="1071">
        <v>0.7</v>
      </c>
      <c r="D9" s="1069"/>
      <c r="E9" s="1066">
        <v>3</v>
      </c>
      <c r="F9" s="1067">
        <v>7.2134535146670066E-4</v>
      </c>
      <c r="G9" s="1068">
        <v>2.8620437621428799E-2</v>
      </c>
      <c r="H9" s="1068">
        <v>0.90234999458546983</v>
      </c>
      <c r="I9" s="1068">
        <v>5.900180654202631E-2</v>
      </c>
      <c r="J9" s="1068">
        <v>6.789132719686594E-3</v>
      </c>
      <c r="K9" s="1068">
        <v>1.2305303054431951E-3</v>
      </c>
      <c r="L9" s="1068">
        <v>3.8188871548237093E-4</v>
      </c>
      <c r="M9" s="1068">
        <v>8.4864158996082419E-5</v>
      </c>
      <c r="N9" s="1068">
        <v>8.1999999999999998E-4</v>
      </c>
      <c r="O9" s="1062"/>
      <c r="P9" s="1066">
        <v>3</v>
      </c>
      <c r="Q9" s="1067">
        <v>4.0000000000000001E-3</v>
      </c>
      <c r="R9" s="1072"/>
      <c r="W9" s="1108" t="s">
        <v>3213</v>
      </c>
      <c r="X9" s="1109" t="s">
        <v>3778</v>
      </c>
      <c r="Y9" s="1109" t="s">
        <v>3779</v>
      </c>
      <c r="Z9" s="1109" t="s">
        <v>315</v>
      </c>
      <c r="AA9" s="1109" t="s">
        <v>316</v>
      </c>
      <c r="AB9" s="1109" t="s">
        <v>317</v>
      </c>
      <c r="AC9" s="1109" t="s">
        <v>318</v>
      </c>
      <c r="AD9" s="1109" t="s">
        <v>3780</v>
      </c>
      <c r="AE9" s="1109" t="s">
        <v>3781</v>
      </c>
    </row>
    <row r="10" spans="1:32" s="184" customFormat="1" ht="14.25" customHeight="1" x14ac:dyDescent="0.25">
      <c r="A10" s="1062"/>
      <c r="B10" s="1066" t="s">
        <v>139</v>
      </c>
      <c r="C10" s="1071">
        <v>0.7</v>
      </c>
      <c r="D10" s="1069"/>
      <c r="E10" s="1066">
        <v>4</v>
      </c>
      <c r="F10" s="1067">
        <v>3.7626065589671189E-4</v>
      </c>
      <c r="G10" s="1068">
        <v>2.49407063337249E-3</v>
      </c>
      <c r="H10" s="1068">
        <v>4.5140528403151234E-2</v>
      </c>
      <c r="I10" s="1068">
        <v>0.89124324047031434</v>
      </c>
      <c r="J10" s="1068">
        <v>4.8903134962118358E-2</v>
      </c>
      <c r="K10" s="1068">
        <v>7.7939707292890327E-3</v>
      </c>
      <c r="L10" s="1068">
        <v>1.3760389701365464E-3</v>
      </c>
      <c r="M10" s="1068">
        <v>1.827551757212601E-4</v>
      </c>
      <c r="N10" s="1068">
        <v>2.49E-3</v>
      </c>
      <c r="O10" s="1062"/>
      <c r="P10" s="1066">
        <v>4</v>
      </c>
      <c r="Q10" s="1067">
        <v>9.0000000000000011E-3</v>
      </c>
      <c r="R10" s="1072"/>
      <c r="W10" s="1108" t="s">
        <v>3214</v>
      </c>
      <c r="X10" s="1109" t="s">
        <v>35</v>
      </c>
      <c r="Y10" s="1109" t="s">
        <v>3775</v>
      </c>
      <c r="Z10" s="1109" t="s">
        <v>309</v>
      </c>
      <c r="AA10" s="1109" t="s">
        <v>310</v>
      </c>
      <c r="AB10" s="1109" t="s">
        <v>311</v>
      </c>
      <c r="AC10" s="1109" t="s">
        <v>312</v>
      </c>
      <c r="AD10" s="1109" t="s">
        <v>3776</v>
      </c>
      <c r="AE10" s="1109" t="s">
        <v>3777</v>
      </c>
    </row>
    <row r="11" spans="1:32" s="184" customFormat="1" ht="14.25" customHeight="1" x14ac:dyDescent="0.25">
      <c r="A11" s="1062"/>
      <c r="B11" s="1066" t="s">
        <v>140</v>
      </c>
      <c r="C11" s="1071">
        <v>0.7</v>
      </c>
      <c r="D11" s="1069"/>
      <c r="E11" s="1066">
        <v>5</v>
      </c>
      <c r="F11" s="1067">
        <v>6.7122648982640372E-5</v>
      </c>
      <c r="G11" s="1068">
        <v>7.9428467962791116E-4</v>
      </c>
      <c r="H11" s="1068">
        <v>5.4481216757576445E-3</v>
      </c>
      <c r="I11" s="1068">
        <v>6.882308942353392E-2</v>
      </c>
      <c r="J11" s="1068">
        <v>0.82840535952741989</v>
      </c>
      <c r="K11" s="1068">
        <v>7.6598129597356443E-2</v>
      </c>
      <c r="L11" s="1068">
        <v>7.4506140370730811E-3</v>
      </c>
      <c r="M11" s="1068">
        <v>9.7327841024828549E-4</v>
      </c>
      <c r="N11" s="1068">
        <v>1.1440000000000001E-2</v>
      </c>
      <c r="O11" s="1062"/>
      <c r="P11" s="1066">
        <v>5</v>
      </c>
      <c r="Q11" s="1067">
        <v>2.5000000000000001E-2</v>
      </c>
      <c r="R11" s="1072"/>
      <c r="W11" s="1110" t="s">
        <v>3215</v>
      </c>
      <c r="X11" s="1111" t="s">
        <v>3778</v>
      </c>
      <c r="Y11" s="1111" t="s">
        <v>3782</v>
      </c>
      <c r="Z11" s="1111" t="s">
        <v>309</v>
      </c>
      <c r="AA11" s="1111" t="s">
        <v>321</v>
      </c>
      <c r="AB11" s="1111" t="s">
        <v>322</v>
      </c>
      <c r="AC11" s="1111" t="s">
        <v>127</v>
      </c>
      <c r="AD11" s="1111" t="s">
        <v>323</v>
      </c>
      <c r="AE11" s="1111" t="s">
        <v>323</v>
      </c>
    </row>
    <row r="12" spans="1:32" s="184" customFormat="1" ht="14.25" customHeight="1" x14ac:dyDescent="0.25">
      <c r="A12" s="1062"/>
      <c r="B12" s="1066" t="s">
        <v>142</v>
      </c>
      <c r="C12" s="1071">
        <v>0.7</v>
      </c>
      <c r="D12" s="1069"/>
      <c r="E12" s="1066">
        <v>6</v>
      </c>
      <c r="F12" s="1067">
        <v>5.7074453656638089E-5</v>
      </c>
      <c r="G12" s="1068">
        <v>4.9084030144708754E-4</v>
      </c>
      <c r="H12" s="1068">
        <v>1.792137844818436E-3</v>
      </c>
      <c r="I12" s="1068">
        <v>6.9973280183038295E-3</v>
      </c>
      <c r="J12" s="1068">
        <v>6.3512452029106867E-2</v>
      </c>
      <c r="K12" s="1068">
        <v>0.8190754844264132</v>
      </c>
      <c r="L12" s="1068">
        <v>7.0681003408380613E-2</v>
      </c>
      <c r="M12" s="1068">
        <v>5.2736795178733595E-3</v>
      </c>
      <c r="N12" s="1068">
        <v>3.2120000000000003E-2</v>
      </c>
      <c r="O12" s="1062"/>
      <c r="P12" s="1066">
        <v>6</v>
      </c>
      <c r="Q12" s="1067">
        <v>2.5000000000000001E-2</v>
      </c>
      <c r="W12" s="1112" t="s">
        <v>3177</v>
      </c>
      <c r="X12" s="1113" t="s">
        <v>35</v>
      </c>
      <c r="Y12" s="1113" t="s">
        <v>3775</v>
      </c>
      <c r="Z12" s="1113" t="s">
        <v>309</v>
      </c>
      <c r="AA12" s="1113" t="s">
        <v>310</v>
      </c>
      <c r="AB12" s="1113" t="s">
        <v>311</v>
      </c>
      <c r="AC12" s="1113" t="s">
        <v>312</v>
      </c>
      <c r="AD12" s="1113" t="s">
        <v>3783</v>
      </c>
      <c r="AE12" s="1113" t="s">
        <v>3784</v>
      </c>
    </row>
    <row r="13" spans="1:32" s="184" customFormat="1" ht="14.25" customHeight="1" x14ac:dyDescent="0.25">
      <c r="A13" s="1062"/>
      <c r="B13" s="1066" t="s">
        <v>145</v>
      </c>
      <c r="C13" s="1071">
        <v>0.7</v>
      </c>
      <c r="D13" s="1069"/>
      <c r="E13" s="1066">
        <v>7</v>
      </c>
      <c r="F13" s="1067">
        <v>0</v>
      </c>
      <c r="G13" s="1068">
        <v>1.2960031779796764E-4</v>
      </c>
      <c r="H13" s="1068">
        <v>2.9454617681356278E-4</v>
      </c>
      <c r="I13" s="1068">
        <v>1.3431305662698462E-3</v>
      </c>
      <c r="J13" s="1068">
        <v>6.032305701141767E-3</v>
      </c>
      <c r="K13" s="1068">
        <v>7.9091539397977875E-2</v>
      </c>
      <c r="L13" s="1068">
        <v>0.79783133821136132</v>
      </c>
      <c r="M13" s="1068">
        <v>3.4697539628637697E-2</v>
      </c>
      <c r="N13" s="1068">
        <v>8.0579999999999999E-2</v>
      </c>
      <c r="O13" s="1062"/>
      <c r="P13" s="1066">
        <v>7</v>
      </c>
      <c r="Q13" s="1067">
        <v>2.5000000000000001E-2</v>
      </c>
      <c r="W13" s="1066"/>
      <c r="X13" s="1067"/>
      <c r="Y13" s="1068"/>
      <c r="Z13" s="1068"/>
      <c r="AA13" s="1068"/>
      <c r="AB13" s="1068"/>
      <c r="AC13" s="1068"/>
      <c r="AD13" s="1068"/>
      <c r="AE13" s="1068"/>
    </row>
    <row r="14" spans="1:32" s="184" customFormat="1" ht="14.25" customHeight="1" x14ac:dyDescent="0.25">
      <c r="A14" s="1062"/>
      <c r="B14" s="1066" t="s">
        <v>150</v>
      </c>
      <c r="C14" s="1071">
        <v>0.7</v>
      </c>
      <c r="D14" s="1069"/>
      <c r="E14" s="1066">
        <v>8</v>
      </c>
      <c r="F14" s="1067">
        <v>0</v>
      </c>
      <c r="G14" s="1068">
        <v>1.9655947092084007E-4</v>
      </c>
      <c r="H14" s="1068">
        <v>1.3103964728056004E-3</v>
      </c>
      <c r="I14" s="1068">
        <v>4.5863876548196019E-4</v>
      </c>
      <c r="J14" s="1068">
        <v>7.4954678244480355E-3</v>
      </c>
      <c r="K14" s="1068">
        <v>3.6926972603661817E-2</v>
      </c>
      <c r="L14" s="1068">
        <v>0.10736078301696285</v>
      </c>
      <c r="M14" s="1068">
        <v>0.6249411818457189</v>
      </c>
      <c r="N14" s="1068">
        <v>0.22131000000000001</v>
      </c>
      <c r="O14" s="1062"/>
      <c r="P14" s="1066">
        <v>8</v>
      </c>
      <c r="Q14" s="1067">
        <v>2.5000000000000001E-2</v>
      </c>
      <c r="W14" s="726"/>
      <c r="X14" s="726"/>
      <c r="Y14" s="726"/>
      <c r="Z14" s="726"/>
      <c r="AA14" s="726"/>
      <c r="AB14" s="726"/>
      <c r="AC14" s="726"/>
      <c r="AD14" s="726"/>
      <c r="AE14" s="726"/>
      <c r="AF14" s="726"/>
    </row>
    <row r="15" spans="1:32" ht="12.75" customHeight="1" x14ac:dyDescent="0.25">
      <c r="A15" s="1054"/>
      <c r="B15" s="1066" t="s">
        <v>152</v>
      </c>
      <c r="C15" s="1071">
        <v>0.7</v>
      </c>
      <c r="D15" s="1054"/>
      <c r="E15" s="1062"/>
      <c r="F15" s="1054"/>
      <c r="G15" s="1054"/>
      <c r="H15" s="1054"/>
      <c r="I15" s="1054"/>
      <c r="J15" s="1054"/>
      <c r="K15" s="1054"/>
      <c r="L15" s="1054"/>
      <c r="M15" s="1054"/>
      <c r="N15" s="1054"/>
      <c r="O15" s="1054"/>
    </row>
    <row r="16" spans="1:32" ht="12.75" customHeight="1" x14ac:dyDescent="0.25">
      <c r="B16" s="1066" t="s">
        <v>129</v>
      </c>
      <c r="C16" s="1071">
        <v>0.7</v>
      </c>
    </row>
    <row r="17" spans="2:3" ht="12.75" customHeight="1" x14ac:dyDescent="0.25">
      <c r="B17" s="1066" t="s">
        <v>133</v>
      </c>
      <c r="C17" s="1071">
        <v>0.7</v>
      </c>
    </row>
    <row r="18" spans="2:3" ht="12.75" customHeight="1" x14ac:dyDescent="0.25">
      <c r="B18" s="1066" t="s">
        <v>134</v>
      </c>
      <c r="C18" s="1071">
        <v>0.7</v>
      </c>
    </row>
    <row r="19" spans="2:3" ht="12.75" customHeight="1" x14ac:dyDescent="0.25">
      <c r="B19" s="1066" t="s">
        <v>138</v>
      </c>
      <c r="C19" s="1071">
        <v>0.7</v>
      </c>
    </row>
    <row r="20" spans="2:3" ht="12.75" customHeight="1" x14ac:dyDescent="0.25">
      <c r="B20" s="1066" t="s">
        <v>143</v>
      </c>
      <c r="C20" s="1071">
        <v>0.7</v>
      </c>
    </row>
    <row r="21" spans="2:3" ht="12.75" customHeight="1" x14ac:dyDescent="0.25">
      <c r="B21" s="1066" t="s">
        <v>147</v>
      </c>
      <c r="C21" s="1071">
        <v>0.7</v>
      </c>
    </row>
    <row r="22" spans="2:3" ht="12.75" customHeight="1" x14ac:dyDescent="0.25">
      <c r="B22" s="1066" t="s">
        <v>148</v>
      </c>
      <c r="C22" s="1071">
        <v>0.7</v>
      </c>
    </row>
    <row r="23" spans="2:3" ht="12.75" customHeight="1" x14ac:dyDescent="0.25">
      <c r="B23" s="1066" t="s">
        <v>157</v>
      </c>
      <c r="C23" s="1071">
        <v>0.7</v>
      </c>
    </row>
    <row r="24" spans="2:3" ht="12.75" customHeight="1" x14ac:dyDescent="0.25">
      <c r="B24" s="1066" t="s">
        <v>158</v>
      </c>
      <c r="C24" s="1071">
        <v>0.7</v>
      </c>
    </row>
    <row r="25" spans="2:3" ht="12.75" customHeight="1" x14ac:dyDescent="0.25">
      <c r="B25" s="1066" t="s">
        <v>159</v>
      </c>
      <c r="C25" s="1071">
        <v>0.1</v>
      </c>
    </row>
    <row r="26" spans="2:3" ht="12.75" customHeight="1" x14ac:dyDescent="0.25">
      <c r="B26" s="1066" t="s">
        <v>172</v>
      </c>
      <c r="C26" s="1071">
        <v>0.7</v>
      </c>
    </row>
    <row r="27" spans="2:3" ht="12.75" customHeight="1" x14ac:dyDescent="0.25">
      <c r="B27" s="1066" t="s">
        <v>173</v>
      </c>
      <c r="C27" s="1071">
        <v>0.7</v>
      </c>
    </row>
    <row r="28" spans="2:3" ht="12.75" customHeight="1" x14ac:dyDescent="0.25">
      <c r="B28" s="1066" t="s">
        <v>175</v>
      </c>
      <c r="C28" s="1071">
        <v>0.7</v>
      </c>
    </row>
    <row r="29" spans="2:3" ht="12.75" customHeight="1" x14ac:dyDescent="0.25">
      <c r="B29" s="1066" t="s">
        <v>3965</v>
      </c>
      <c r="C29" s="1071">
        <v>0.7</v>
      </c>
    </row>
    <row r="30" spans="2:3" ht="12.75" customHeight="1" x14ac:dyDescent="0.25">
      <c r="B30" s="1066" t="s">
        <v>3966</v>
      </c>
      <c r="C30" s="1071">
        <v>0.7</v>
      </c>
    </row>
    <row r="31" spans="2:3" ht="12.75" customHeight="1" x14ac:dyDescent="0.25">
      <c r="B31" s="1066" t="s">
        <v>3967</v>
      </c>
      <c r="C31" s="1071">
        <v>0.7</v>
      </c>
    </row>
    <row r="32" spans="2:3" ht="12.75" customHeight="1" x14ac:dyDescent="0.25">
      <c r="B32" s="1066" t="s">
        <v>3968</v>
      </c>
      <c r="C32" s="1071">
        <v>0.7</v>
      </c>
    </row>
    <row r="33" spans="2:3" ht="12.75" customHeight="1" x14ac:dyDescent="0.25">
      <c r="B33" s="1066" t="s">
        <v>3969</v>
      </c>
      <c r="C33" s="1071">
        <v>0.7</v>
      </c>
    </row>
    <row r="34" spans="2:3" ht="12.75" customHeight="1" x14ac:dyDescent="0.25">
      <c r="B34" s="1066" t="s">
        <v>3970</v>
      </c>
      <c r="C34" s="1071">
        <v>0.7</v>
      </c>
    </row>
    <row r="35" spans="2:3" ht="12.75" customHeight="1" x14ac:dyDescent="0.25">
      <c r="B35" s="1066" t="s">
        <v>3971</v>
      </c>
      <c r="C35" s="1071">
        <v>0.7</v>
      </c>
    </row>
    <row r="36" spans="2:3" ht="12.75" customHeight="1" x14ac:dyDescent="0.25">
      <c r="B36" s="1066" t="s">
        <v>3972</v>
      </c>
      <c r="C36" s="1071">
        <v>0.7</v>
      </c>
    </row>
  </sheetData>
  <mergeCells count="11">
    <mergeCell ref="B4:B6"/>
    <mergeCell ref="W4:W6"/>
    <mergeCell ref="X4:AE4"/>
    <mergeCell ref="X5:AE5"/>
    <mergeCell ref="U4:U6"/>
    <mergeCell ref="F5:N5"/>
    <mergeCell ref="E4:E6"/>
    <mergeCell ref="F4:N4"/>
    <mergeCell ref="P4:P6"/>
    <mergeCell ref="Q4:Q6"/>
    <mergeCell ref="S4:S6"/>
  </mergeCells>
  <conditionalFormatting sqref="B7:C28 E7:N14">
    <cfRule type="expression" dxfId="10" priority="13">
      <formula>MOD(ROW(),2)=0</formula>
    </cfRule>
  </conditionalFormatting>
  <conditionalFormatting sqref="P7:Q14">
    <cfRule type="expression" dxfId="9" priority="12">
      <formula>MOD(ROW(),2)=0</formula>
    </cfRule>
  </conditionalFormatting>
  <conditionalFormatting sqref="S7:U8">
    <cfRule type="expression" dxfId="8" priority="11">
      <formula>MOD(ROW(),2)=0</formula>
    </cfRule>
  </conditionalFormatting>
  <conditionalFormatting sqref="W13:AE13">
    <cfRule type="expression" dxfId="7" priority="10">
      <formula>MOD(ROW(),2)=0</formula>
    </cfRule>
  </conditionalFormatting>
  <conditionalFormatting sqref="B29:C36">
    <cfRule type="expression" dxfId="6" priority="1">
      <formula>MOD(ROW(),2)=0</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539E"/>
  </sheetPr>
  <dimension ref="A1:I24"/>
  <sheetViews>
    <sheetView showGridLines="0" zoomScale="90" zoomScaleNormal="90" workbookViewId="0"/>
  </sheetViews>
  <sheetFormatPr baseColWidth="10" defaultColWidth="8.5703125" defaultRowHeight="12.75" customHeight="1" x14ac:dyDescent="0.2"/>
  <cols>
    <col min="1" max="1" width="5.5703125" style="678" customWidth="1"/>
    <col min="2" max="2" width="8.5703125" style="678"/>
    <col min="3" max="3" width="12.42578125" style="678" customWidth="1"/>
    <col min="4" max="4" width="27.5703125" style="678" bestFit="1" customWidth="1"/>
    <col min="5" max="5" width="152.140625" style="678" customWidth="1"/>
    <col min="6" max="16384" width="8.5703125" style="678"/>
  </cols>
  <sheetData>
    <row r="1" spans="1:9" ht="20.100000000000001" customHeight="1" x14ac:dyDescent="0.2">
      <c r="A1" s="24">
        <v>2</v>
      </c>
      <c r="B1" s="680" t="str">
        <f>VLOOKUP("T.02.10",Translation,LanguageNo+1,FALSE)</f>
        <v>Aktualisierungsliste</v>
      </c>
    </row>
    <row r="2" spans="1:9" ht="14.25" customHeight="1" x14ac:dyDescent="0.2">
      <c r="A2" s="24"/>
      <c r="B2" s="680"/>
    </row>
    <row r="3" spans="1:9" ht="14.25" customHeight="1" x14ac:dyDescent="0.2">
      <c r="A3" s="24"/>
      <c r="B3" s="680"/>
    </row>
    <row r="4" spans="1:9" ht="14.25" customHeight="1" x14ac:dyDescent="0.2">
      <c r="A4" s="24"/>
      <c r="B4" s="680"/>
    </row>
    <row r="5" spans="1:9" ht="14.25" customHeight="1" x14ac:dyDescent="0.2">
      <c r="A5" s="892"/>
      <c r="B5" s="892"/>
      <c r="C5" s="892"/>
      <c r="D5" s="892"/>
      <c r="E5" s="892"/>
      <c r="F5" s="892"/>
      <c r="G5" s="892"/>
      <c r="H5" s="892"/>
      <c r="I5" s="892"/>
    </row>
    <row r="6" spans="1:9" ht="14.25" customHeight="1" x14ac:dyDescent="0.2">
      <c r="A6" s="892"/>
      <c r="B6" s="1010" t="s">
        <v>259</v>
      </c>
      <c r="C6" s="1010" t="s">
        <v>260</v>
      </c>
      <c r="D6" s="1010" t="s">
        <v>717</v>
      </c>
      <c r="E6" s="1010" t="s">
        <v>2808</v>
      </c>
      <c r="F6" s="892"/>
      <c r="G6" s="892"/>
      <c r="H6" s="892"/>
      <c r="I6" s="892"/>
    </row>
    <row r="7" spans="1:9" s="1167" customFormat="1" ht="12.75" customHeight="1" x14ac:dyDescent="0.25">
      <c r="A7" s="1164"/>
      <c r="B7" s="1165">
        <v>1</v>
      </c>
      <c r="C7" s="1087">
        <v>45133</v>
      </c>
      <c r="D7" s="1166" t="s">
        <v>0</v>
      </c>
      <c r="E7" s="1088" t="s">
        <v>3977</v>
      </c>
      <c r="F7" s="1164"/>
      <c r="G7" s="1164"/>
      <c r="H7" s="1164"/>
      <c r="I7" s="1164"/>
    </row>
    <row r="8" spans="1:9" s="1167" customFormat="1" ht="12.75" customHeight="1" x14ac:dyDescent="0.2">
      <c r="A8" s="1164"/>
      <c r="B8" s="1165">
        <v>2</v>
      </c>
      <c r="C8" s="1087">
        <v>45133</v>
      </c>
      <c r="D8" s="773" t="s">
        <v>3341</v>
      </c>
      <c r="E8" s="1189" t="s">
        <v>4134</v>
      </c>
      <c r="F8" s="1164"/>
      <c r="G8" s="1164"/>
      <c r="H8" s="1164"/>
      <c r="I8" s="1164"/>
    </row>
    <row r="9" spans="1:9" s="894" customFormat="1" ht="12.75" customHeight="1" x14ac:dyDescent="0.2">
      <c r="A9" s="893"/>
      <c r="B9" s="771">
        <v>3</v>
      </c>
      <c r="C9" s="1087">
        <v>45142</v>
      </c>
      <c r="D9" s="773" t="s">
        <v>4</v>
      </c>
      <c r="E9" s="1190" t="s">
        <v>4138</v>
      </c>
      <c r="F9" s="893"/>
      <c r="G9" s="893"/>
      <c r="H9" s="893"/>
      <c r="I9" s="893"/>
    </row>
    <row r="10" spans="1:9" ht="12.75" customHeight="1" x14ac:dyDescent="0.2">
      <c r="B10" s="771">
        <v>4</v>
      </c>
      <c r="C10" s="772">
        <v>45145</v>
      </c>
      <c r="D10" s="773" t="s">
        <v>2781</v>
      </c>
      <c r="E10" s="1241" t="s">
        <v>4905</v>
      </c>
    </row>
    <row r="11" spans="1:9" ht="12.75" customHeight="1" x14ac:dyDescent="0.2">
      <c r="B11" s="771">
        <v>5</v>
      </c>
      <c r="C11" s="772">
        <v>45145</v>
      </c>
      <c r="D11" s="773" t="s">
        <v>1432</v>
      </c>
      <c r="E11" s="1241" t="s">
        <v>4906</v>
      </c>
    </row>
    <row r="12" spans="1:9" ht="12.75" customHeight="1" x14ac:dyDescent="0.2">
      <c r="B12" s="771">
        <v>6</v>
      </c>
      <c r="C12" s="772">
        <v>45145</v>
      </c>
      <c r="D12" s="773" t="s">
        <v>1436</v>
      </c>
      <c r="E12" s="1241" t="s">
        <v>4905</v>
      </c>
    </row>
    <row r="13" spans="1:9" ht="12.75" customHeight="1" x14ac:dyDescent="0.2">
      <c r="B13" s="771">
        <v>7</v>
      </c>
      <c r="C13" s="772">
        <v>45147</v>
      </c>
      <c r="D13" s="773" t="s">
        <v>5</v>
      </c>
      <c r="E13" s="1241" t="s">
        <v>4907</v>
      </c>
    </row>
    <row r="14" spans="1:9" ht="12.75" customHeight="1" x14ac:dyDescent="0.2">
      <c r="B14" s="771">
        <v>8</v>
      </c>
      <c r="C14" s="772">
        <v>45153</v>
      </c>
      <c r="D14" s="773" t="s">
        <v>5</v>
      </c>
      <c r="E14" s="1241" t="s">
        <v>4908</v>
      </c>
    </row>
    <row r="15" spans="1:9" ht="12.75" customHeight="1" x14ac:dyDescent="0.2">
      <c r="B15" s="771">
        <v>9</v>
      </c>
      <c r="C15" s="772">
        <v>45189</v>
      </c>
      <c r="D15" s="773" t="s">
        <v>236</v>
      </c>
      <c r="E15" s="1241" t="s">
        <v>4909</v>
      </c>
    </row>
    <row r="16" spans="1:9" s="1168" customFormat="1" ht="12.75" customHeight="1" x14ac:dyDescent="0.2">
      <c r="B16" s="771">
        <v>10</v>
      </c>
      <c r="C16" s="772">
        <v>45189</v>
      </c>
      <c r="D16" s="773" t="s">
        <v>4210</v>
      </c>
      <c r="E16" s="1212" t="s">
        <v>4211</v>
      </c>
    </row>
    <row r="17" spans="2:5" s="1168" customFormat="1" ht="12.75" customHeight="1" x14ac:dyDescent="0.2">
      <c r="B17" s="771">
        <v>11</v>
      </c>
      <c r="C17" s="772">
        <v>45190</v>
      </c>
      <c r="D17" s="773" t="s">
        <v>4</v>
      </c>
      <c r="E17" s="1236" t="s">
        <v>4877</v>
      </c>
    </row>
    <row r="18" spans="2:5" s="1168" customFormat="1" ht="12.75" customHeight="1" x14ac:dyDescent="0.2">
      <c r="B18" s="771">
        <v>12</v>
      </c>
      <c r="C18" s="772">
        <v>45201</v>
      </c>
      <c r="D18" s="773" t="s">
        <v>3341</v>
      </c>
      <c r="E18" s="1241" t="s">
        <v>4904</v>
      </c>
    </row>
    <row r="19" spans="2:5" s="1168" customFormat="1" ht="12.75" customHeight="1" x14ac:dyDescent="0.2">
      <c r="B19" s="771">
        <v>13</v>
      </c>
      <c r="C19" s="772">
        <v>45216</v>
      </c>
      <c r="D19" s="773" t="s">
        <v>4</v>
      </c>
      <c r="E19" s="1250" t="s">
        <v>4978</v>
      </c>
    </row>
    <row r="20" spans="2:5" s="1168" customFormat="1" ht="12.75" customHeight="1" x14ac:dyDescent="0.2">
      <c r="B20" s="771">
        <v>14</v>
      </c>
      <c r="C20" s="772">
        <v>45219</v>
      </c>
      <c r="D20" s="773" t="s">
        <v>236</v>
      </c>
      <c r="E20" s="1253" t="s">
        <v>4985</v>
      </c>
    </row>
    <row r="21" spans="2:5" ht="12.75" customHeight="1" x14ac:dyDescent="0.2">
      <c r="B21" s="771">
        <v>15</v>
      </c>
      <c r="C21" s="772">
        <v>45222</v>
      </c>
      <c r="D21" s="773" t="s">
        <v>4994</v>
      </c>
      <c r="E21" s="1261" t="s">
        <v>5015</v>
      </c>
    </row>
    <row r="22" spans="2:5" ht="12.75" customHeight="1" x14ac:dyDescent="0.2">
      <c r="B22" s="771">
        <v>16</v>
      </c>
      <c r="C22" s="772">
        <v>45222</v>
      </c>
      <c r="D22" s="773" t="s">
        <v>4</v>
      </c>
      <c r="E22" s="1259" t="s">
        <v>5004</v>
      </c>
    </row>
    <row r="23" spans="2:5" ht="12.75" customHeight="1" x14ac:dyDescent="0.2">
      <c r="B23" s="771">
        <v>17</v>
      </c>
      <c r="C23" s="772">
        <v>45281</v>
      </c>
      <c r="D23" s="773" t="s">
        <v>4</v>
      </c>
      <c r="E23" s="773" t="s">
        <v>5017</v>
      </c>
    </row>
    <row r="24" spans="2:5" ht="12.75" customHeight="1" x14ac:dyDescent="0.2">
      <c r="B24" s="771"/>
      <c r="C24" s="772"/>
      <c r="D24" s="773"/>
      <c r="E24" s="773"/>
    </row>
  </sheetData>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Feuil2">
    <tabColor rgb="FF00539E"/>
    <pageSetUpPr fitToPage="1"/>
  </sheetPr>
  <dimension ref="A1:M23"/>
  <sheetViews>
    <sheetView showGridLines="0" zoomScale="90" zoomScaleNormal="90" workbookViewId="0"/>
  </sheetViews>
  <sheetFormatPr baseColWidth="10" defaultColWidth="8.5703125" defaultRowHeight="12.75" x14ac:dyDescent="0.2"/>
  <cols>
    <col min="1" max="1" width="5.5703125" style="13" customWidth="1"/>
    <col min="2" max="2" width="57.42578125" style="13" customWidth="1"/>
    <col min="3" max="9" width="23.5703125" style="13" customWidth="1"/>
    <col min="10" max="16384" width="8.5703125" style="13"/>
  </cols>
  <sheetData>
    <row r="1" spans="1:13" ht="20.100000000000001" customHeight="1" x14ac:dyDescent="0.3">
      <c r="A1" s="21">
        <v>29</v>
      </c>
      <c r="B1" s="680" t="str">
        <f>VLOOKUP("T.29.01",Translation,LanguageNo+1,FALSE)</f>
        <v>Kreditrisiko Basel III - Informationen</v>
      </c>
      <c r="C1" s="14"/>
      <c r="D1" s="15"/>
      <c r="E1" s="14"/>
      <c r="F1" s="16"/>
      <c r="G1" s="14"/>
      <c r="H1" s="16"/>
      <c r="I1" s="17"/>
      <c r="J1" s="16"/>
      <c r="K1" s="14"/>
      <c r="L1" s="14"/>
      <c r="M1" s="12"/>
    </row>
    <row r="2" spans="1:13" ht="14.25" customHeight="1" x14ac:dyDescent="0.2">
      <c r="A2" s="54"/>
      <c r="B2" s="138"/>
      <c r="C2" s="14"/>
      <c r="D2" s="15"/>
      <c r="E2" s="14"/>
      <c r="F2" s="16"/>
      <c r="G2" s="14"/>
      <c r="H2" s="16"/>
      <c r="I2" s="139"/>
      <c r="J2" s="16"/>
      <c r="K2" s="14"/>
      <c r="L2" s="14"/>
      <c r="M2" s="12"/>
    </row>
    <row r="3" spans="1:13" ht="14.25" customHeight="1" x14ac:dyDescent="0.2"/>
    <row r="4" spans="1:13" ht="14.25" customHeight="1" x14ac:dyDescent="0.2">
      <c r="B4" s="535" t="str">
        <f>VLOOKUP("T.29.02",Translation,LanguageNo+1,FALSE)</f>
        <v>Ratingtabellen</v>
      </c>
    </row>
    <row r="5" spans="1:13" ht="14.25" customHeight="1" x14ac:dyDescent="0.2"/>
    <row r="6" spans="1:13" s="19" customFormat="1" ht="24.75" customHeight="1" x14ac:dyDescent="0.25">
      <c r="B6" s="20" t="str">
        <f>VLOOKUP("T.29.03",Translation,LanguageNo+1,FALSE)</f>
        <v>Ratingklassen nach Basel III / ERV - Langfristig</v>
      </c>
      <c r="C6" s="130">
        <v>1</v>
      </c>
      <c r="D6" s="130">
        <v>2</v>
      </c>
      <c r="E6" s="130">
        <v>3</v>
      </c>
      <c r="F6" s="130">
        <v>4</v>
      </c>
      <c r="G6" s="130">
        <v>5</v>
      </c>
      <c r="H6" s="130">
        <v>6</v>
      </c>
      <c r="I6" s="130">
        <v>7</v>
      </c>
    </row>
    <row r="7" spans="1:13" s="19" customFormat="1" ht="24.75" customHeight="1" x14ac:dyDescent="0.25">
      <c r="B7" s="20" t="str">
        <f>VLOOKUP("T.29.04",Translation,LanguageNo+1,FALSE)</f>
        <v>Bezeichnung im Blatt Credit Risk (Rating / Instrument)</v>
      </c>
      <c r="C7" s="131" t="s">
        <v>35</v>
      </c>
      <c r="D7" s="131" t="s">
        <v>36</v>
      </c>
      <c r="E7" s="131" t="s">
        <v>37</v>
      </c>
      <c r="F7" s="131" t="s">
        <v>38</v>
      </c>
      <c r="G7" s="131" t="s">
        <v>39</v>
      </c>
      <c r="H7" s="131" t="s">
        <v>127</v>
      </c>
      <c r="I7" s="131" t="s">
        <v>128</v>
      </c>
    </row>
    <row r="8" spans="1:13" ht="14.25" customHeight="1" x14ac:dyDescent="0.2">
      <c r="B8" s="65" t="s">
        <v>300</v>
      </c>
      <c r="C8" s="132" t="s">
        <v>301</v>
      </c>
      <c r="D8" s="132" t="s">
        <v>301</v>
      </c>
      <c r="E8" s="132" t="s">
        <v>302</v>
      </c>
      <c r="F8" s="133" t="s">
        <v>303</v>
      </c>
      <c r="G8" s="133" t="s">
        <v>304</v>
      </c>
      <c r="H8" s="133" t="s">
        <v>305</v>
      </c>
      <c r="I8" s="132" t="s">
        <v>306</v>
      </c>
    </row>
    <row r="9" spans="1:13" ht="14.25" customHeight="1" x14ac:dyDescent="0.2">
      <c r="B9" s="66" t="s">
        <v>307</v>
      </c>
      <c r="C9" s="134" t="s">
        <v>308</v>
      </c>
      <c r="D9" s="134" t="s">
        <v>308</v>
      </c>
      <c r="E9" s="134" t="s">
        <v>309</v>
      </c>
      <c r="F9" s="135" t="s">
        <v>310</v>
      </c>
      <c r="G9" s="135" t="s">
        <v>311</v>
      </c>
      <c r="H9" s="135" t="s">
        <v>312</v>
      </c>
      <c r="I9" s="134" t="s">
        <v>313</v>
      </c>
    </row>
    <row r="10" spans="1:13" ht="14.25" customHeight="1" x14ac:dyDescent="0.2">
      <c r="B10" s="922" t="s">
        <v>3213</v>
      </c>
      <c r="C10" s="134" t="s">
        <v>314</v>
      </c>
      <c r="D10" s="134" t="s">
        <v>314</v>
      </c>
      <c r="E10" s="134" t="s">
        <v>315</v>
      </c>
      <c r="F10" s="135" t="s">
        <v>316</v>
      </c>
      <c r="G10" s="135" t="s">
        <v>317</v>
      </c>
      <c r="H10" s="135" t="s">
        <v>318</v>
      </c>
      <c r="I10" s="134" t="s">
        <v>319</v>
      </c>
    </row>
    <row r="11" spans="1:13" ht="14.25" customHeight="1" x14ac:dyDescent="0.2">
      <c r="B11" s="922" t="s">
        <v>3214</v>
      </c>
      <c r="C11" s="134" t="s">
        <v>308</v>
      </c>
      <c r="D11" s="134" t="s">
        <v>308</v>
      </c>
      <c r="E11" s="134" t="s">
        <v>309</v>
      </c>
      <c r="F11" s="135" t="s">
        <v>310</v>
      </c>
      <c r="G11" s="135" t="s">
        <v>311</v>
      </c>
      <c r="H11" s="135" t="s">
        <v>312</v>
      </c>
      <c r="I11" s="134" t="s">
        <v>313</v>
      </c>
    </row>
    <row r="12" spans="1:13" s="724" customFormat="1" ht="14.25" customHeight="1" x14ac:dyDescent="0.2">
      <c r="B12" s="923" t="s">
        <v>3215</v>
      </c>
      <c r="C12" s="913" t="s">
        <v>320</v>
      </c>
      <c r="D12" s="913" t="s">
        <v>320</v>
      </c>
      <c r="E12" s="913" t="s">
        <v>309</v>
      </c>
      <c r="F12" s="914" t="s">
        <v>321</v>
      </c>
      <c r="G12" s="914" t="s">
        <v>322</v>
      </c>
      <c r="H12" s="135" t="s">
        <v>312</v>
      </c>
      <c r="I12" s="913" t="s">
        <v>323</v>
      </c>
    </row>
    <row r="13" spans="1:13" ht="14.25" customHeight="1" x14ac:dyDescent="0.2">
      <c r="B13" s="916" t="s">
        <v>3177</v>
      </c>
      <c r="C13" s="917" t="s">
        <v>308</v>
      </c>
      <c r="D13" s="136" t="s">
        <v>308</v>
      </c>
      <c r="E13" s="136" t="s">
        <v>309</v>
      </c>
      <c r="F13" s="137" t="s">
        <v>310</v>
      </c>
      <c r="G13" s="137" t="s">
        <v>311</v>
      </c>
      <c r="H13" s="137" t="s">
        <v>312</v>
      </c>
      <c r="I13" s="917" t="s">
        <v>3182</v>
      </c>
    </row>
    <row r="14" spans="1:13" ht="14.25" customHeight="1" x14ac:dyDescent="0.2"/>
    <row r="15" spans="1:13" ht="14.25" customHeight="1" x14ac:dyDescent="0.2"/>
    <row r="16" spans="1:13" ht="14.25" customHeight="1" x14ac:dyDescent="0.2"/>
    <row r="17" spans="2:6" s="19" customFormat="1" ht="24.75" customHeight="1" x14ac:dyDescent="0.25">
      <c r="B17" s="20" t="str">
        <f>VLOOKUP("T.29.05",Translation,LanguageNo+1,FALSE)</f>
        <v>Risikogewicht allgemein nach SA BIZ - Kurzfristig</v>
      </c>
      <c r="C17" s="915">
        <v>0.2</v>
      </c>
      <c r="D17" s="915">
        <v>0.5</v>
      </c>
      <c r="E17" s="915">
        <v>1</v>
      </c>
      <c r="F17" s="915">
        <v>1.5</v>
      </c>
    </row>
    <row r="18" spans="2:6" ht="14.25" customHeight="1" x14ac:dyDescent="0.2">
      <c r="B18" s="66"/>
      <c r="C18" s="134"/>
      <c r="D18" s="134"/>
      <c r="E18" s="66"/>
      <c r="F18" s="66"/>
    </row>
    <row r="19" spans="2:6" ht="14.25" customHeight="1" x14ac:dyDescent="0.2">
      <c r="B19" s="66" t="s">
        <v>300</v>
      </c>
      <c r="C19" s="134" t="s">
        <v>324</v>
      </c>
      <c r="D19" s="134" t="s">
        <v>325</v>
      </c>
      <c r="E19" s="135" t="s">
        <v>326</v>
      </c>
      <c r="F19" s="135" t="s">
        <v>327</v>
      </c>
    </row>
    <row r="20" spans="2:6" ht="14.25" customHeight="1" x14ac:dyDescent="0.2">
      <c r="B20" s="66" t="s">
        <v>307</v>
      </c>
      <c r="C20" s="134" t="s">
        <v>328</v>
      </c>
      <c r="D20" s="134" t="s">
        <v>329</v>
      </c>
      <c r="E20" s="135" t="s">
        <v>330</v>
      </c>
      <c r="F20" s="135" t="s">
        <v>331</v>
      </c>
    </row>
    <row r="21" spans="2:6" ht="14.25" customHeight="1" x14ac:dyDescent="0.2">
      <c r="B21" s="922" t="s">
        <v>3213</v>
      </c>
      <c r="C21" s="134" t="s">
        <v>332</v>
      </c>
      <c r="D21" s="134" t="s">
        <v>333</v>
      </c>
      <c r="E21" s="135" t="s">
        <v>334</v>
      </c>
      <c r="F21" s="135" t="s">
        <v>335</v>
      </c>
    </row>
    <row r="22" spans="2:6" s="724" customFormat="1" ht="14.25" customHeight="1" x14ac:dyDescent="0.2">
      <c r="B22" s="922" t="s">
        <v>3214</v>
      </c>
      <c r="C22" s="913" t="s">
        <v>336</v>
      </c>
      <c r="D22" s="913" t="s">
        <v>337</v>
      </c>
      <c r="E22" s="914" t="s">
        <v>338</v>
      </c>
      <c r="F22" s="914" t="s">
        <v>339</v>
      </c>
    </row>
    <row r="23" spans="2:6" ht="14.25" customHeight="1" x14ac:dyDescent="0.2">
      <c r="B23" s="916" t="s">
        <v>3177</v>
      </c>
      <c r="C23" s="917" t="s">
        <v>3178</v>
      </c>
      <c r="D23" s="917" t="s">
        <v>3179</v>
      </c>
      <c r="E23" s="918" t="s">
        <v>3180</v>
      </c>
      <c r="F23" s="918" t="s">
        <v>3181</v>
      </c>
    </row>
  </sheetData>
  <pageMargins left="0.7" right="0.7" top="0.78740157499999996" bottom="0.78740157499999996" header="0.3" footer="0.3"/>
  <pageSetup paperSize="9" scale="50" fitToHeight="0"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6">
    <tabColor rgb="FF00539E"/>
  </sheetPr>
  <dimension ref="A1:K157"/>
  <sheetViews>
    <sheetView showGridLines="0" zoomScale="90" zoomScaleNormal="90" workbookViewId="0"/>
  </sheetViews>
  <sheetFormatPr baseColWidth="10" defaultColWidth="8.5703125" defaultRowHeight="12.75" customHeight="1" x14ac:dyDescent="0.25"/>
  <cols>
    <col min="1" max="2" width="5.5703125" style="337" customWidth="1"/>
    <col min="3" max="3" width="10" style="337" customWidth="1"/>
    <col min="4" max="4" width="63.5703125" style="337" customWidth="1"/>
    <col min="5" max="11" width="18.5703125" style="337" customWidth="1"/>
    <col min="12" max="16384" width="8.5703125" style="337"/>
  </cols>
  <sheetData>
    <row r="1" spans="1:11" s="328" customFormat="1" ht="20.100000000000001" customHeight="1" x14ac:dyDescent="0.2">
      <c r="A1" s="21">
        <v>30</v>
      </c>
      <c r="B1" s="680" t="str">
        <f>VLOOKUP("T.30.01",Translation,LanguageNo+1,FALSE)</f>
        <v>Anleitung für das Tabellenblatt 8</v>
      </c>
      <c r="D1" s="334"/>
      <c r="E1" s="334"/>
      <c r="F1" s="334"/>
      <c r="G1" s="334"/>
      <c r="H1" s="334"/>
      <c r="I1" s="334"/>
      <c r="J1" s="334"/>
      <c r="K1" s="334"/>
    </row>
    <row r="2" spans="1:11" s="328" customFormat="1" ht="14.25" customHeight="1" x14ac:dyDescent="0.2">
      <c r="B2" s="335"/>
      <c r="C2" s="331"/>
      <c r="D2" s="336"/>
      <c r="E2" s="336"/>
      <c r="F2" s="336"/>
      <c r="G2" s="336"/>
      <c r="H2" s="336"/>
      <c r="I2" s="336"/>
      <c r="J2" s="336"/>
      <c r="K2" s="331"/>
    </row>
    <row r="3" spans="1:11" s="328" customFormat="1" ht="15" x14ac:dyDescent="0.2">
      <c r="B3" s="1141" t="s">
        <v>2260</v>
      </c>
      <c r="C3" s="331"/>
      <c r="D3" s="336"/>
      <c r="E3" s="336"/>
      <c r="F3" s="336"/>
      <c r="G3" s="336"/>
      <c r="H3" s="336"/>
      <c r="I3" s="336"/>
      <c r="J3" s="336"/>
      <c r="K3" s="331"/>
    </row>
    <row r="4" spans="1:11" s="328" customFormat="1" ht="15" x14ac:dyDescent="0.2">
      <c r="B4" s="1141" t="s">
        <v>2261</v>
      </c>
      <c r="C4" s="331"/>
      <c r="D4" s="336"/>
      <c r="E4" s="336"/>
      <c r="F4" s="336"/>
      <c r="G4" s="336"/>
      <c r="H4" s="336"/>
      <c r="I4" s="336"/>
      <c r="J4" s="336"/>
      <c r="K4" s="331"/>
    </row>
    <row r="5" spans="1:11" ht="14.25" customHeight="1" x14ac:dyDescent="0.25">
      <c r="B5" s="338"/>
      <c r="C5" s="338"/>
      <c r="D5" s="338"/>
      <c r="E5" s="338"/>
      <c r="F5" s="338"/>
      <c r="G5" s="338"/>
      <c r="H5" s="338"/>
      <c r="I5" s="338"/>
      <c r="J5" s="338"/>
      <c r="K5" s="339"/>
    </row>
    <row r="6" spans="1:11" ht="14.25" customHeight="1" x14ac:dyDescent="0.25">
      <c r="B6" s="1360" t="s">
        <v>5009</v>
      </c>
      <c r="C6" s="1360"/>
      <c r="D6" s="1360"/>
      <c r="E6" s="1360"/>
      <c r="F6" s="1360"/>
      <c r="G6" s="1360"/>
      <c r="H6" s="1360"/>
      <c r="I6" s="1360"/>
      <c r="J6" s="1360"/>
      <c r="K6" s="1360"/>
    </row>
    <row r="7" spans="1:11" ht="14.25" customHeight="1" x14ac:dyDescent="0.25">
      <c r="B7" s="1360" t="s">
        <v>5010</v>
      </c>
      <c r="C7" s="1360"/>
      <c r="D7" s="1360"/>
      <c r="E7" s="1360"/>
      <c r="F7" s="1360"/>
      <c r="G7" s="1360"/>
      <c r="H7" s="1360"/>
      <c r="I7" s="1360"/>
      <c r="J7" s="1360"/>
      <c r="K7" s="1360"/>
    </row>
    <row r="8" spans="1:11" ht="14.25" customHeight="1" x14ac:dyDescent="0.25">
      <c r="B8" s="1365" t="s">
        <v>4991</v>
      </c>
      <c r="C8" s="1365"/>
      <c r="D8" s="1365"/>
      <c r="E8" s="1365"/>
      <c r="F8" s="1365"/>
      <c r="G8" s="1365"/>
      <c r="H8" s="1365"/>
      <c r="I8" s="1365"/>
      <c r="J8" s="1365"/>
      <c r="K8" s="1365"/>
    </row>
    <row r="9" spans="1:11" ht="14.25" customHeight="1" x14ac:dyDescent="0.25">
      <c r="B9" s="340"/>
      <c r="C9" s="340"/>
      <c r="D9" s="340"/>
      <c r="E9" s="340"/>
      <c r="F9" s="340"/>
      <c r="G9" s="340"/>
      <c r="H9" s="340"/>
      <c r="I9" s="340"/>
      <c r="J9" s="340"/>
      <c r="K9" s="340"/>
    </row>
    <row r="10" spans="1:11" ht="14.25" customHeight="1" x14ac:dyDescent="0.25">
      <c r="B10" s="339" t="s">
        <v>1392</v>
      </c>
      <c r="C10" s="339"/>
      <c r="D10" s="339"/>
      <c r="E10" s="339"/>
      <c r="F10" s="339"/>
      <c r="G10" s="339"/>
      <c r="H10" s="339"/>
      <c r="I10" s="339"/>
      <c r="J10" s="339"/>
      <c r="K10" s="339"/>
    </row>
    <row r="11" spans="1:11" ht="14.25" customHeight="1" x14ac:dyDescent="0.25">
      <c r="B11" s="341"/>
      <c r="C11" s="341"/>
      <c r="D11" s="341"/>
      <c r="E11" s="341"/>
      <c r="F11" s="341"/>
      <c r="G11" s="341"/>
      <c r="H11" s="341"/>
      <c r="I11" s="341"/>
      <c r="J11" s="341"/>
      <c r="K11" s="342"/>
    </row>
    <row r="12" spans="1:11" ht="14.25" customHeight="1" x14ac:dyDescent="0.25">
      <c r="B12" s="343"/>
      <c r="C12" s="343"/>
      <c r="D12" s="343"/>
      <c r="E12" s="343"/>
      <c r="F12" s="343"/>
      <c r="G12" s="343"/>
      <c r="H12" s="343"/>
      <c r="I12" s="343"/>
      <c r="J12" s="343"/>
      <c r="K12" s="344"/>
    </row>
    <row r="13" spans="1:11" ht="14.25" customHeight="1" x14ac:dyDescent="0.25">
      <c r="B13" s="1361" t="s">
        <v>1393</v>
      </c>
      <c r="C13" s="1361"/>
      <c r="D13" s="1361"/>
      <c r="E13" s="1361"/>
      <c r="F13" s="1361"/>
      <c r="G13" s="1361"/>
      <c r="H13" s="1361"/>
      <c r="I13" s="1361"/>
      <c r="J13" s="1361"/>
      <c r="K13" s="1361"/>
    </row>
    <row r="14" spans="1:11" ht="14.25" customHeight="1" x14ac:dyDescent="0.25">
      <c r="B14" s="345" t="s">
        <v>1394</v>
      </c>
      <c r="C14" s="345"/>
      <c r="D14" s="345"/>
      <c r="E14" s="345"/>
      <c r="F14" s="345"/>
      <c r="G14" s="345"/>
      <c r="H14" s="345"/>
      <c r="I14" s="345"/>
      <c r="J14" s="345"/>
      <c r="K14" s="345"/>
    </row>
    <row r="15" spans="1:11" ht="14.25" customHeight="1" x14ac:dyDescent="0.25">
      <c r="B15" s="345"/>
      <c r="C15" s="345"/>
      <c r="D15" s="345"/>
      <c r="E15" s="345"/>
      <c r="F15" s="345"/>
      <c r="G15" s="345"/>
      <c r="H15" s="345"/>
      <c r="I15" s="345"/>
      <c r="J15" s="345"/>
      <c r="K15" s="345"/>
    </row>
    <row r="16" spans="1:11" ht="14.25" customHeight="1" x14ac:dyDescent="0.25">
      <c r="B16" s="361" t="s">
        <v>2316</v>
      </c>
      <c r="C16" s="348"/>
      <c r="D16" s="345"/>
      <c r="E16" s="346" t="s">
        <v>1395</v>
      </c>
      <c r="F16" s="346" t="s">
        <v>1396</v>
      </c>
      <c r="G16" s="346" t="s">
        <v>1397</v>
      </c>
      <c r="H16" s="346" t="s">
        <v>1400</v>
      </c>
      <c r="I16" s="347"/>
      <c r="J16" s="347"/>
      <c r="K16" s="347"/>
    </row>
    <row r="17" spans="2:11" ht="14.25" customHeight="1" x14ac:dyDescent="0.25">
      <c r="B17" s="348">
        <v>136</v>
      </c>
      <c r="C17" s="350">
        <v>1</v>
      </c>
      <c r="D17" s="672" t="s">
        <v>1149</v>
      </c>
      <c r="E17" s="354">
        <v>50000</v>
      </c>
      <c r="F17" s="355">
        <v>170</v>
      </c>
      <c r="G17" s="354">
        <v>40000</v>
      </c>
      <c r="H17" s="356">
        <f>E17-G17</f>
        <v>10000</v>
      </c>
      <c r="I17" s="349"/>
      <c r="J17" s="349"/>
      <c r="K17" s="349"/>
    </row>
    <row r="18" spans="2:11" ht="14.25" customHeight="1" x14ac:dyDescent="0.25">
      <c r="B18" s="348"/>
      <c r="C18" s="348"/>
      <c r="D18" s="358"/>
      <c r="E18" s="359"/>
      <c r="F18" s="359"/>
      <c r="G18" s="359"/>
      <c r="H18" s="359"/>
      <c r="I18" s="359"/>
      <c r="J18" s="359"/>
      <c r="K18" s="359"/>
    </row>
    <row r="19" spans="2:11" ht="14.25" customHeight="1" x14ac:dyDescent="0.25">
      <c r="B19" s="358"/>
      <c r="C19" s="348"/>
      <c r="D19" s="345"/>
      <c r="E19" s="360"/>
      <c r="F19" s="360"/>
      <c r="G19" s="360"/>
      <c r="H19" s="360"/>
      <c r="I19" s="360"/>
      <c r="J19" s="360"/>
      <c r="K19" s="360"/>
    </row>
    <row r="20" spans="2:11" ht="14.25" customHeight="1" x14ac:dyDescent="0.25">
      <c r="B20" s="361" t="s">
        <v>1211</v>
      </c>
      <c r="C20" s="348"/>
      <c r="D20" s="345"/>
      <c r="E20" s="359"/>
      <c r="F20" s="359"/>
      <c r="G20" s="359"/>
      <c r="H20" s="359"/>
      <c r="I20" s="359"/>
      <c r="J20" s="359"/>
      <c r="K20" s="359"/>
    </row>
    <row r="21" spans="2:11" ht="14.25" customHeight="1" x14ac:dyDescent="0.25">
      <c r="B21" s="362"/>
      <c r="C21" s="1362" t="s">
        <v>2324</v>
      </c>
      <c r="D21" s="1363"/>
      <c r="E21" s="363">
        <f>SUM(E22:E23)</f>
        <v>1500000000</v>
      </c>
      <c r="F21" s="363"/>
      <c r="G21" s="363"/>
      <c r="H21" s="363">
        <f>SUM(H22:H23)</f>
        <v>1499960000</v>
      </c>
      <c r="I21" s="364"/>
      <c r="J21" s="364"/>
      <c r="K21" s="364"/>
    </row>
    <row r="22" spans="2:11" ht="14.25" customHeight="1" x14ac:dyDescent="0.25">
      <c r="B22" s="348">
        <v>170</v>
      </c>
      <c r="C22" s="350">
        <v>-1</v>
      </c>
      <c r="D22" s="353" t="s">
        <v>1398</v>
      </c>
      <c r="E22" s="354">
        <v>1500000000</v>
      </c>
      <c r="F22" s="355">
        <v>136</v>
      </c>
      <c r="G22" s="354"/>
      <c r="H22" s="356">
        <f>E22-G17</f>
        <v>1499960000</v>
      </c>
      <c r="I22" s="351"/>
      <c r="J22" s="352"/>
      <c r="K22" s="351"/>
    </row>
    <row r="23" spans="2:11" ht="14.25" customHeight="1" x14ac:dyDescent="0.25">
      <c r="B23" s="348">
        <v>176</v>
      </c>
      <c r="C23" s="350">
        <v>-1</v>
      </c>
      <c r="D23" s="365" t="s">
        <v>2317</v>
      </c>
      <c r="E23" s="354"/>
      <c r="F23" s="357"/>
      <c r="G23" s="354"/>
      <c r="H23" s="356">
        <v>0</v>
      </c>
      <c r="I23" s="351"/>
      <c r="J23" s="352"/>
      <c r="K23" s="351"/>
    </row>
    <row r="25" spans="2:11" ht="14.25" customHeight="1" x14ac:dyDescent="0.25">
      <c r="B25" s="366"/>
      <c r="C25" s="366"/>
      <c r="D25" s="366"/>
      <c r="E25" s="366"/>
      <c r="F25" s="366"/>
      <c r="G25" s="366"/>
      <c r="H25" s="366"/>
      <c r="I25" s="366"/>
      <c r="J25" s="366"/>
      <c r="K25" s="366"/>
    </row>
    <row r="26" spans="2:11" ht="14.25" customHeight="1" x14ac:dyDescent="0.25">
      <c r="B26" s="341"/>
      <c r="C26" s="341"/>
      <c r="D26" s="341"/>
      <c r="E26" s="341"/>
      <c r="F26" s="341"/>
      <c r="G26" s="341"/>
      <c r="H26" s="341"/>
      <c r="I26" s="341"/>
      <c r="J26" s="341"/>
      <c r="K26" s="342"/>
    </row>
    <row r="27" spans="2:11" ht="14.25" customHeight="1" x14ac:dyDescent="0.25">
      <c r="B27" s="343"/>
      <c r="C27" s="343"/>
      <c r="D27" s="343"/>
      <c r="E27" s="343"/>
      <c r="F27" s="343"/>
      <c r="G27" s="343"/>
      <c r="H27" s="343"/>
      <c r="I27" s="343"/>
      <c r="J27" s="343"/>
      <c r="K27" s="344"/>
    </row>
    <row r="28" spans="2:11" ht="14.25" customHeight="1" x14ac:dyDescent="0.25">
      <c r="B28" s="1361" t="s">
        <v>1399</v>
      </c>
      <c r="C28" s="1361"/>
      <c r="D28" s="1361"/>
      <c r="E28" s="1361"/>
      <c r="F28" s="1361"/>
      <c r="G28" s="1361"/>
      <c r="H28" s="1361"/>
      <c r="I28" s="1361"/>
      <c r="J28" s="1361"/>
      <c r="K28" s="1361"/>
    </row>
    <row r="29" spans="2:11" ht="14.25" customHeight="1" x14ac:dyDescent="0.25">
      <c r="B29" s="345" t="s">
        <v>2319</v>
      </c>
      <c r="C29" s="345"/>
      <c r="D29" s="345"/>
      <c r="E29" s="345"/>
      <c r="F29" s="345"/>
      <c r="G29" s="345"/>
      <c r="H29" s="345"/>
      <c r="I29" s="345"/>
      <c r="J29" s="345"/>
      <c r="K29" s="345"/>
    </row>
    <row r="30" spans="2:11" ht="14.25" customHeight="1" x14ac:dyDescent="0.25">
      <c r="B30" s="345"/>
      <c r="C30" s="345"/>
      <c r="D30" s="345"/>
      <c r="E30" s="345"/>
      <c r="F30" s="345"/>
      <c r="G30" s="345"/>
      <c r="H30" s="345"/>
      <c r="I30" s="345"/>
      <c r="J30" s="345"/>
      <c r="K30" s="345"/>
    </row>
    <row r="31" spans="2:11" ht="14.25" customHeight="1" x14ac:dyDescent="0.25">
      <c r="B31" s="345"/>
      <c r="C31" s="345"/>
      <c r="D31" s="345"/>
      <c r="E31" s="346" t="s">
        <v>1395</v>
      </c>
      <c r="F31" s="346" t="s">
        <v>1396</v>
      </c>
      <c r="G31" s="346" t="s">
        <v>1397</v>
      </c>
      <c r="H31" s="346" t="s">
        <v>1400</v>
      </c>
      <c r="I31" s="346" t="s">
        <v>1401</v>
      </c>
      <c r="J31" s="346" t="s">
        <v>1402</v>
      </c>
      <c r="K31" s="346" t="s">
        <v>2320</v>
      </c>
    </row>
    <row r="32" spans="2:11" ht="14.25" customHeight="1" x14ac:dyDescent="0.25">
      <c r="B32" s="348"/>
      <c r="C32" s="1366" t="s">
        <v>1403</v>
      </c>
      <c r="D32" s="1363"/>
      <c r="E32" s="367">
        <f>SUM(E33:E37)</f>
        <v>100000</v>
      </c>
      <c r="F32" s="367"/>
      <c r="G32" s="367"/>
      <c r="H32" s="367">
        <f>SUM(H33:H37)</f>
        <v>100000</v>
      </c>
      <c r="I32" s="367"/>
      <c r="J32" s="367">
        <f>SUM(J33:J37)</f>
        <v>0</v>
      </c>
      <c r="K32" s="367">
        <f>SUM(K33:K37)</f>
        <v>100000</v>
      </c>
    </row>
    <row r="33" spans="2:11" ht="14.25" customHeight="1" x14ac:dyDescent="0.25">
      <c r="B33" s="348">
        <v>58</v>
      </c>
      <c r="C33" s="350">
        <v>1</v>
      </c>
      <c r="D33" s="353" t="s">
        <v>826</v>
      </c>
      <c r="E33" s="354">
        <v>100000</v>
      </c>
      <c r="F33" s="357"/>
      <c r="G33" s="354"/>
      <c r="H33" s="356">
        <v>100000</v>
      </c>
      <c r="I33" s="356"/>
      <c r="J33" s="368">
        <v>-65000</v>
      </c>
      <c r="K33" s="369">
        <f>$H33+$J33</f>
        <v>35000</v>
      </c>
    </row>
    <row r="34" spans="2:11" ht="14.25" customHeight="1" x14ac:dyDescent="0.25">
      <c r="B34" s="348">
        <v>59</v>
      </c>
      <c r="C34" s="350">
        <v>1</v>
      </c>
      <c r="D34" s="353" t="s">
        <v>827</v>
      </c>
      <c r="E34" s="354"/>
      <c r="F34" s="357"/>
      <c r="G34" s="354"/>
      <c r="H34" s="356">
        <v>0</v>
      </c>
      <c r="I34" s="356"/>
      <c r="J34" s="368">
        <v>20000</v>
      </c>
      <c r="K34" s="369">
        <f>$H34+$J34</f>
        <v>20000</v>
      </c>
    </row>
    <row r="35" spans="2:11" ht="14.25" customHeight="1" x14ac:dyDescent="0.25">
      <c r="B35" s="348">
        <v>60</v>
      </c>
      <c r="C35" s="350">
        <v>1</v>
      </c>
      <c r="D35" s="353" t="s">
        <v>828</v>
      </c>
      <c r="E35" s="354"/>
      <c r="F35" s="357"/>
      <c r="G35" s="354"/>
      <c r="H35" s="356">
        <v>0</v>
      </c>
      <c r="I35" s="356"/>
      <c r="J35" s="368">
        <v>30000</v>
      </c>
      <c r="K35" s="369">
        <f>$H35+$J35</f>
        <v>30000</v>
      </c>
    </row>
    <row r="36" spans="2:11" ht="14.25" customHeight="1" x14ac:dyDescent="0.25">
      <c r="B36" s="348">
        <v>61</v>
      </c>
      <c r="C36" s="350">
        <v>1</v>
      </c>
      <c r="D36" s="353" t="s">
        <v>2318</v>
      </c>
      <c r="E36" s="354"/>
      <c r="F36" s="357"/>
      <c r="G36" s="354"/>
      <c r="H36" s="356">
        <v>0</v>
      </c>
      <c r="I36" s="356"/>
      <c r="J36" s="368">
        <v>5000</v>
      </c>
      <c r="K36" s="369">
        <f>$H36+$J36</f>
        <v>5000</v>
      </c>
    </row>
    <row r="37" spans="2:11" ht="14.25" customHeight="1" x14ac:dyDescent="0.25">
      <c r="B37" s="348">
        <v>62</v>
      </c>
      <c r="C37" s="350">
        <v>1</v>
      </c>
      <c r="D37" s="353" t="s">
        <v>830</v>
      </c>
      <c r="E37" s="354"/>
      <c r="F37" s="357"/>
      <c r="G37" s="354"/>
      <c r="H37" s="356">
        <v>0</v>
      </c>
      <c r="I37" s="356"/>
      <c r="J37" s="368">
        <v>10000</v>
      </c>
      <c r="K37" s="369">
        <f>$H37+$J37</f>
        <v>10000</v>
      </c>
    </row>
    <row r="38" spans="2:11" ht="14.25" customHeight="1" x14ac:dyDescent="0.25">
      <c r="B38" s="366"/>
      <c r="C38" s="366"/>
      <c r="D38" s="366"/>
      <c r="E38" s="366"/>
      <c r="F38" s="366"/>
      <c r="G38" s="366"/>
      <c r="H38" s="366"/>
      <c r="I38" s="366"/>
      <c r="J38" s="366"/>
      <c r="K38" s="366"/>
    </row>
    <row r="39" spans="2:11" ht="14.25" customHeight="1" x14ac:dyDescent="0.25">
      <c r="B39" s="339"/>
      <c r="C39" s="339"/>
      <c r="D39" s="339"/>
      <c r="E39" s="339"/>
      <c r="F39" s="339"/>
      <c r="G39" s="339"/>
      <c r="H39" s="339"/>
      <c r="I39" s="339"/>
      <c r="J39" s="339"/>
      <c r="K39" s="339"/>
    </row>
    <row r="40" spans="2:11" ht="14.25" customHeight="1" x14ac:dyDescent="0.25">
      <c r="B40" s="1367"/>
      <c r="C40" s="1367"/>
      <c r="D40" s="338"/>
      <c r="E40" s="338"/>
      <c r="F40" s="338"/>
      <c r="G40" s="338"/>
      <c r="H40" s="338"/>
      <c r="I40" s="338"/>
      <c r="J40" s="338"/>
      <c r="K40" s="339"/>
    </row>
    <row r="41" spans="2:11" ht="14.25" customHeight="1" x14ac:dyDescent="0.25">
      <c r="B41" s="1364" t="s">
        <v>1404</v>
      </c>
      <c r="C41" s="1364"/>
      <c r="D41" s="1365" t="s">
        <v>1405</v>
      </c>
      <c r="E41" s="1365"/>
      <c r="F41" s="1365"/>
      <c r="G41" s="1365"/>
      <c r="H41" s="1365"/>
      <c r="I41" s="1365"/>
      <c r="J41" s="1365"/>
      <c r="K41" s="1365"/>
    </row>
    <row r="42" spans="2:11" ht="14.25" customHeight="1" x14ac:dyDescent="0.25">
      <c r="B42" s="1364" t="s">
        <v>1406</v>
      </c>
      <c r="C42" s="1364"/>
      <c r="D42" s="1365" t="s">
        <v>1407</v>
      </c>
      <c r="E42" s="1365"/>
      <c r="F42" s="1365"/>
      <c r="G42" s="1365"/>
      <c r="H42" s="1365"/>
      <c r="I42" s="1365"/>
      <c r="J42" s="1365"/>
      <c r="K42" s="1365"/>
    </row>
    <row r="43" spans="2:11" ht="14.25" customHeight="1" x14ac:dyDescent="0.25">
      <c r="B43" s="1364" t="s">
        <v>1408</v>
      </c>
      <c r="C43" s="1364"/>
      <c r="D43" s="1365" t="s">
        <v>1409</v>
      </c>
      <c r="E43" s="1365"/>
      <c r="F43" s="1365"/>
      <c r="G43" s="1365"/>
      <c r="H43" s="1365"/>
      <c r="I43" s="1365"/>
      <c r="J43" s="1365"/>
      <c r="K43" s="1365"/>
    </row>
    <row r="44" spans="2:11" ht="14.25" customHeight="1" x14ac:dyDescent="0.25">
      <c r="B44" s="1364" t="s">
        <v>1410</v>
      </c>
      <c r="C44" s="1364"/>
      <c r="D44" s="1365" t="s">
        <v>2326</v>
      </c>
      <c r="E44" s="1365"/>
      <c r="F44" s="1365"/>
      <c r="G44" s="1365"/>
      <c r="H44" s="1365"/>
      <c r="I44" s="1365"/>
      <c r="J44" s="1365"/>
      <c r="K44" s="1365"/>
    </row>
    <row r="45" spans="2:11" ht="14.25" customHeight="1" x14ac:dyDescent="0.25">
      <c r="B45" s="1364" t="s">
        <v>1411</v>
      </c>
      <c r="C45" s="1364"/>
      <c r="D45" s="1365" t="s">
        <v>1412</v>
      </c>
      <c r="E45" s="1365"/>
      <c r="F45" s="1365"/>
      <c r="G45" s="1365"/>
      <c r="H45" s="1365"/>
      <c r="I45" s="1365"/>
      <c r="J45" s="1365"/>
      <c r="K45" s="1365"/>
    </row>
    <row r="46" spans="2:11" ht="14.25" customHeight="1" x14ac:dyDescent="0.25">
      <c r="B46" s="370"/>
      <c r="C46" s="370"/>
      <c r="D46" s="1365"/>
      <c r="E46" s="1365"/>
      <c r="F46" s="1365"/>
      <c r="G46" s="1365"/>
      <c r="H46" s="1365"/>
      <c r="I46" s="1365"/>
      <c r="J46" s="1365"/>
      <c r="K46" s="1365"/>
    </row>
    <row r="47" spans="2:11" ht="14.25" customHeight="1" x14ac:dyDescent="0.25">
      <c r="B47" s="341"/>
      <c r="C47" s="341"/>
      <c r="D47" s="342"/>
      <c r="E47" s="342"/>
      <c r="F47" s="342"/>
      <c r="G47" s="342"/>
      <c r="H47" s="342"/>
      <c r="I47" s="342"/>
      <c r="J47" s="342"/>
      <c r="K47" s="342"/>
    </row>
    <row r="48" spans="2:11" ht="14.25" customHeight="1" x14ac:dyDescent="0.25">
      <c r="B48" s="371" t="s">
        <v>1413</v>
      </c>
      <c r="C48" s="372"/>
      <c r="D48" s="373"/>
      <c r="E48" s="342"/>
      <c r="F48" s="342"/>
      <c r="G48" s="342"/>
      <c r="H48" s="342"/>
      <c r="I48" s="342"/>
      <c r="J48" s="342"/>
      <c r="K48" s="342"/>
    </row>
    <row r="49" spans="2:11" ht="14.25" customHeight="1" x14ac:dyDescent="0.25">
      <c r="B49" s="374" t="s">
        <v>1408</v>
      </c>
      <c r="C49" s="372"/>
      <c r="D49" s="373"/>
      <c r="E49" s="342"/>
      <c r="F49" s="342"/>
      <c r="G49" s="342"/>
      <c r="H49" s="342"/>
      <c r="I49" s="342"/>
      <c r="J49" s="342"/>
      <c r="K49" s="342"/>
    </row>
    <row r="50" spans="2:11" ht="14.25" customHeight="1" x14ac:dyDescent="0.25">
      <c r="B50" s="372"/>
      <c r="C50" s="372" t="s">
        <v>1414</v>
      </c>
      <c r="D50" s="373" t="s">
        <v>1415</v>
      </c>
      <c r="E50" s="342"/>
      <c r="F50" s="342"/>
      <c r="G50" s="342"/>
      <c r="H50" s="342"/>
      <c r="I50" s="342"/>
      <c r="J50" s="342"/>
      <c r="K50" s="342"/>
    </row>
    <row r="51" spans="2:11" ht="14.25" customHeight="1" x14ac:dyDescent="0.25">
      <c r="B51" s="372"/>
      <c r="C51" s="372" t="s">
        <v>1416</v>
      </c>
      <c r="D51" s="373" t="s">
        <v>1417</v>
      </c>
      <c r="E51" s="342"/>
      <c r="F51" s="342"/>
      <c r="G51" s="342"/>
      <c r="H51" s="342"/>
      <c r="I51" s="342"/>
      <c r="J51" s="342"/>
      <c r="K51" s="342"/>
    </row>
    <row r="52" spans="2:11" ht="14.25" customHeight="1" x14ac:dyDescent="0.25">
      <c r="B52" s="374" t="s">
        <v>1411</v>
      </c>
      <c r="C52" s="372"/>
      <c r="D52" s="373"/>
      <c r="E52" s="342"/>
      <c r="F52" s="342"/>
      <c r="G52" s="342"/>
      <c r="H52" s="342"/>
      <c r="I52" s="342"/>
      <c r="J52" s="342"/>
      <c r="K52" s="342"/>
    </row>
    <row r="53" spans="2:11" ht="14.25" customHeight="1" x14ac:dyDescent="0.25">
      <c r="B53" s="372"/>
      <c r="C53" s="372" t="s">
        <v>1418</v>
      </c>
      <c r="D53" s="373" t="s">
        <v>1419</v>
      </c>
      <c r="E53" s="342"/>
      <c r="F53" s="342"/>
      <c r="G53" s="342"/>
      <c r="H53" s="342"/>
      <c r="I53" s="342"/>
      <c r="J53" s="342"/>
      <c r="K53" s="342"/>
    </row>
    <row r="54" spans="2:11" s="726" customFormat="1" ht="14.25" customHeight="1" x14ac:dyDescent="0.25">
      <c r="B54" s="372"/>
      <c r="C54" s="372"/>
      <c r="D54" s="373"/>
      <c r="E54" s="727"/>
      <c r="F54" s="727"/>
      <c r="G54" s="727"/>
      <c r="H54" s="727"/>
      <c r="I54" s="727"/>
      <c r="J54" s="727"/>
      <c r="K54" s="727"/>
    </row>
    <row r="55" spans="2:11" ht="12.75" customHeight="1" x14ac:dyDescent="0.25">
      <c r="B55" s="370"/>
      <c r="C55" s="370"/>
      <c r="D55" s="342"/>
      <c r="E55" s="342"/>
      <c r="F55" s="342"/>
      <c r="G55" s="342"/>
      <c r="H55" s="342"/>
      <c r="I55" s="342"/>
      <c r="J55" s="342"/>
      <c r="K55" s="342"/>
    </row>
    <row r="56" spans="2:11" ht="12.75" customHeight="1" x14ac:dyDescent="0.25">
      <c r="B56" s="370"/>
      <c r="C56" s="370"/>
      <c r="D56" s="652"/>
      <c r="E56" s="652"/>
      <c r="F56" s="652"/>
      <c r="G56" s="652"/>
      <c r="H56" s="652"/>
      <c r="I56" s="652"/>
      <c r="J56" s="652"/>
      <c r="K56" s="652"/>
    </row>
    <row r="57" spans="2:11" ht="20.100000000000001" customHeight="1" x14ac:dyDescent="0.25">
      <c r="B57" s="22" t="s">
        <v>2260</v>
      </c>
      <c r="C57" s="339"/>
      <c r="D57" s="339"/>
      <c r="E57" s="339"/>
      <c r="F57" s="339"/>
      <c r="G57" s="339"/>
      <c r="H57" s="339"/>
      <c r="I57" s="339"/>
      <c r="J57" s="339"/>
      <c r="K57" s="339"/>
    </row>
    <row r="58" spans="2:11" ht="12.75" customHeight="1" x14ac:dyDescent="0.25">
      <c r="B58" s="22"/>
      <c r="C58" s="339"/>
      <c r="D58" s="339"/>
      <c r="E58" s="339"/>
      <c r="F58" s="339"/>
      <c r="G58" s="339"/>
      <c r="H58" s="339"/>
      <c r="I58" s="339"/>
      <c r="J58" s="339"/>
      <c r="K58" s="339"/>
    </row>
    <row r="59" spans="2:11" ht="12.75" customHeight="1" x14ac:dyDescent="0.25">
      <c r="B59" s="1360" t="s">
        <v>5011</v>
      </c>
      <c r="C59" s="1360"/>
      <c r="D59" s="1360"/>
      <c r="E59" s="1360"/>
      <c r="F59" s="1360"/>
      <c r="G59" s="1360"/>
      <c r="H59" s="1360"/>
      <c r="I59" s="1360"/>
      <c r="J59" s="1360"/>
      <c r="K59" s="1360"/>
    </row>
    <row r="60" spans="2:11" ht="12.75" customHeight="1" x14ac:dyDescent="0.25">
      <c r="B60" s="1360" t="s">
        <v>5012</v>
      </c>
      <c r="C60" s="1360"/>
      <c r="D60" s="1360"/>
      <c r="E60" s="1360"/>
      <c r="F60" s="1360"/>
      <c r="G60" s="1360"/>
      <c r="H60" s="1360"/>
      <c r="I60" s="1360"/>
      <c r="J60" s="1360"/>
      <c r="K60" s="1360"/>
    </row>
    <row r="61" spans="2:11" ht="12.75" customHeight="1" x14ac:dyDescent="0.25">
      <c r="B61" s="1365" t="s">
        <v>4993</v>
      </c>
      <c r="C61" s="1365"/>
      <c r="D61" s="1365"/>
      <c r="E61" s="1365"/>
      <c r="F61" s="1365"/>
      <c r="G61" s="1365"/>
      <c r="H61" s="1365"/>
      <c r="I61" s="1365"/>
      <c r="J61" s="1365"/>
      <c r="K61" s="1365"/>
    </row>
    <row r="62" spans="2:11" ht="12.75" customHeight="1" x14ac:dyDescent="0.25">
      <c r="B62" s="340"/>
      <c r="C62" s="340"/>
      <c r="D62" s="340"/>
      <c r="E62" s="340"/>
      <c r="F62" s="340"/>
      <c r="G62" s="340"/>
      <c r="H62" s="340"/>
      <c r="I62" s="340"/>
      <c r="J62" s="340"/>
      <c r="K62" s="340"/>
    </row>
    <row r="63" spans="2:11" ht="12.75" customHeight="1" x14ac:dyDescent="0.25">
      <c r="B63" s="339" t="s">
        <v>2292</v>
      </c>
      <c r="C63" s="339"/>
      <c r="D63" s="339"/>
      <c r="E63" s="339"/>
      <c r="F63" s="339"/>
      <c r="G63" s="339"/>
      <c r="H63" s="339"/>
      <c r="I63" s="339"/>
      <c r="J63" s="339"/>
      <c r="K63" s="339"/>
    </row>
    <row r="64" spans="2:11" ht="12.75" customHeight="1" x14ac:dyDescent="0.25">
      <c r="B64" s="669"/>
      <c r="C64" s="669"/>
      <c r="D64" s="669"/>
      <c r="E64" s="669"/>
      <c r="F64" s="669"/>
      <c r="G64" s="669"/>
      <c r="H64" s="669"/>
      <c r="I64" s="669"/>
      <c r="J64" s="669"/>
      <c r="K64" s="670"/>
    </row>
    <row r="65" spans="2:11" ht="12.75" customHeight="1" x14ac:dyDescent="0.25">
      <c r="B65" s="343"/>
      <c r="C65" s="343"/>
      <c r="D65" s="343"/>
      <c r="E65" s="343"/>
      <c r="F65" s="343"/>
      <c r="G65" s="343"/>
      <c r="H65" s="343"/>
      <c r="I65" s="343"/>
      <c r="J65" s="343"/>
      <c r="K65" s="344"/>
    </row>
    <row r="66" spans="2:11" ht="12.75" customHeight="1" x14ac:dyDescent="0.25">
      <c r="B66" s="1361" t="s">
        <v>2293</v>
      </c>
      <c r="C66" s="1361"/>
      <c r="D66" s="1361"/>
      <c r="E66" s="1361"/>
      <c r="F66" s="1361"/>
      <c r="G66" s="1361"/>
      <c r="H66" s="1361"/>
      <c r="I66" s="1361"/>
      <c r="J66" s="1361"/>
      <c r="K66" s="1361"/>
    </row>
    <row r="67" spans="2:11" ht="12.75" customHeight="1" x14ac:dyDescent="0.25">
      <c r="B67" s="345" t="s">
        <v>2294</v>
      </c>
      <c r="C67" s="345"/>
      <c r="D67" s="345"/>
      <c r="E67" s="345"/>
      <c r="F67" s="345"/>
      <c r="G67" s="345"/>
      <c r="H67" s="345"/>
      <c r="I67" s="345"/>
      <c r="J67" s="345"/>
      <c r="K67" s="345"/>
    </row>
    <row r="68" spans="2:11" ht="12.75" customHeight="1" x14ac:dyDescent="0.25">
      <c r="B68" s="345"/>
      <c r="C68" s="345"/>
      <c r="D68" s="345"/>
      <c r="E68" s="345"/>
      <c r="F68" s="345"/>
      <c r="G68" s="345"/>
      <c r="H68" s="345"/>
      <c r="I68" s="345"/>
      <c r="J68" s="345"/>
      <c r="K68" s="345"/>
    </row>
    <row r="69" spans="2:11" ht="12.75" customHeight="1" x14ac:dyDescent="0.25">
      <c r="B69" s="675" t="s">
        <v>2321</v>
      </c>
      <c r="C69" s="676"/>
      <c r="D69" s="345"/>
      <c r="E69" s="346" t="s">
        <v>1395</v>
      </c>
      <c r="F69" s="346" t="s">
        <v>1396</v>
      </c>
      <c r="G69" s="346" t="s">
        <v>1397</v>
      </c>
      <c r="H69" s="346" t="s">
        <v>1400</v>
      </c>
      <c r="I69" s="347"/>
      <c r="J69" s="347"/>
      <c r="K69" s="347"/>
    </row>
    <row r="70" spans="2:11" ht="12.75" customHeight="1" x14ac:dyDescent="0.25">
      <c r="B70" s="348">
        <v>136</v>
      </c>
      <c r="C70" s="350">
        <v>1</v>
      </c>
      <c r="D70" s="672" t="s">
        <v>1150</v>
      </c>
      <c r="E70" s="354">
        <v>50000</v>
      </c>
      <c r="F70" s="355">
        <v>170</v>
      </c>
      <c r="G70" s="354">
        <v>40000</v>
      </c>
      <c r="H70" s="356">
        <f>E70-G70</f>
        <v>10000</v>
      </c>
      <c r="I70" s="349"/>
      <c r="J70" s="349"/>
      <c r="K70" s="349"/>
    </row>
    <row r="71" spans="2:11" ht="12.75" customHeight="1" x14ac:dyDescent="0.25">
      <c r="B71" s="348"/>
      <c r="C71" s="348"/>
      <c r="D71" s="358"/>
      <c r="E71" s="359"/>
      <c r="F71" s="359"/>
      <c r="G71" s="359"/>
      <c r="H71" s="359"/>
      <c r="I71" s="359"/>
      <c r="J71" s="359"/>
      <c r="K71" s="359"/>
    </row>
    <row r="72" spans="2:11" ht="12.75" customHeight="1" x14ac:dyDescent="0.25">
      <c r="B72" s="358"/>
      <c r="C72" s="348"/>
      <c r="D72" s="345"/>
      <c r="E72" s="360"/>
      <c r="F72" s="360"/>
      <c r="G72" s="360"/>
      <c r="H72" s="360"/>
      <c r="I72" s="360"/>
      <c r="J72" s="360"/>
      <c r="K72" s="360"/>
    </row>
    <row r="73" spans="2:11" ht="12.75" customHeight="1" x14ac:dyDescent="0.25">
      <c r="B73" s="361" t="s">
        <v>1212</v>
      </c>
      <c r="C73" s="348"/>
      <c r="D73" s="345"/>
      <c r="E73" s="359"/>
      <c r="F73" s="359"/>
      <c r="G73" s="359"/>
      <c r="H73" s="359"/>
      <c r="I73" s="359"/>
      <c r="J73" s="359"/>
      <c r="K73" s="359"/>
    </row>
    <row r="74" spans="2:11" ht="12.75" customHeight="1" x14ac:dyDescent="0.25">
      <c r="B74" s="362"/>
      <c r="C74" s="1362" t="s">
        <v>2323</v>
      </c>
      <c r="D74" s="1363"/>
      <c r="E74" s="363">
        <f>SUM(E75:E76)</f>
        <v>1500000000</v>
      </c>
      <c r="F74" s="363"/>
      <c r="G74" s="363"/>
      <c r="H74" s="363">
        <f>SUM(H75:H76)</f>
        <v>1499960000</v>
      </c>
      <c r="I74" s="364"/>
      <c r="J74" s="364"/>
      <c r="K74" s="364"/>
    </row>
    <row r="75" spans="2:11" ht="12.75" customHeight="1" x14ac:dyDescent="0.25">
      <c r="B75" s="348">
        <v>170</v>
      </c>
      <c r="C75" s="350">
        <v>-1</v>
      </c>
      <c r="D75" s="353" t="s">
        <v>2295</v>
      </c>
      <c r="E75" s="354">
        <v>1500000000</v>
      </c>
      <c r="F75" s="355">
        <v>136</v>
      </c>
      <c r="G75" s="354"/>
      <c r="H75" s="356">
        <f>E75-G70</f>
        <v>1499960000</v>
      </c>
      <c r="I75" s="351"/>
      <c r="J75" s="352"/>
      <c r="K75" s="351"/>
    </row>
    <row r="76" spans="2:11" ht="12.75" customHeight="1" x14ac:dyDescent="0.25">
      <c r="B76" s="348">
        <v>176</v>
      </c>
      <c r="C76" s="350">
        <v>-1</v>
      </c>
      <c r="D76" s="365" t="s">
        <v>2322</v>
      </c>
      <c r="E76" s="354"/>
      <c r="F76" s="357"/>
      <c r="G76" s="354"/>
      <c r="H76" s="356">
        <v>0</v>
      </c>
      <c r="I76" s="351"/>
      <c r="J76" s="352"/>
      <c r="K76" s="351"/>
    </row>
    <row r="77" spans="2:11" ht="12.75" customHeight="1" x14ac:dyDescent="0.25">
      <c r="B77" s="366"/>
      <c r="C77" s="366"/>
      <c r="D77" s="366"/>
      <c r="E77" s="366"/>
      <c r="F77" s="366"/>
      <c r="G77" s="366"/>
      <c r="H77" s="366"/>
      <c r="I77" s="366"/>
      <c r="J77" s="366"/>
      <c r="K77" s="366"/>
    </row>
    <row r="78" spans="2:11" ht="12.75" customHeight="1" x14ac:dyDescent="0.25">
      <c r="B78" s="669"/>
      <c r="C78" s="669"/>
      <c r="D78" s="669"/>
      <c r="E78" s="669"/>
      <c r="F78" s="669"/>
      <c r="G78" s="669"/>
      <c r="H78" s="669"/>
      <c r="I78" s="669"/>
      <c r="J78" s="669"/>
      <c r="K78" s="670"/>
    </row>
    <row r="79" spans="2:11" ht="12.75" customHeight="1" x14ac:dyDescent="0.25">
      <c r="B79" s="343"/>
      <c r="C79" s="343"/>
      <c r="D79" s="343"/>
      <c r="E79" s="343"/>
      <c r="F79" s="343"/>
      <c r="G79" s="343"/>
      <c r="H79" s="343"/>
      <c r="I79" s="343"/>
      <c r="J79" s="343"/>
      <c r="K79" s="344"/>
    </row>
    <row r="80" spans="2:11" ht="12.75" customHeight="1" x14ac:dyDescent="0.25">
      <c r="B80" s="1361" t="s">
        <v>2296</v>
      </c>
      <c r="C80" s="1361"/>
      <c r="D80" s="1361"/>
      <c r="E80" s="1361"/>
      <c r="F80" s="1361"/>
      <c r="G80" s="1361"/>
      <c r="H80" s="1361"/>
      <c r="I80" s="1361"/>
      <c r="J80" s="1361"/>
      <c r="K80" s="1361"/>
    </row>
    <row r="81" spans="2:11" ht="12.75" customHeight="1" x14ac:dyDescent="0.25">
      <c r="B81" s="345" t="s">
        <v>2325</v>
      </c>
      <c r="C81" s="345"/>
      <c r="D81" s="345"/>
      <c r="E81" s="345"/>
      <c r="F81" s="345"/>
      <c r="G81" s="345"/>
      <c r="H81" s="345"/>
      <c r="I81" s="345"/>
      <c r="J81" s="345"/>
      <c r="K81" s="345"/>
    </row>
    <row r="82" spans="2:11" ht="12.75" customHeight="1" x14ac:dyDescent="0.25">
      <c r="B82" s="345"/>
      <c r="C82" s="345"/>
      <c r="D82" s="345"/>
      <c r="E82" s="345"/>
      <c r="F82" s="345"/>
      <c r="G82" s="345"/>
      <c r="H82" s="345"/>
      <c r="I82" s="345"/>
      <c r="J82" s="345"/>
      <c r="K82" s="345"/>
    </row>
    <row r="83" spans="2:11" ht="12.75" customHeight="1" x14ac:dyDescent="0.25">
      <c r="B83" s="345"/>
      <c r="C83" s="345"/>
      <c r="D83" s="345"/>
      <c r="E83" s="346" t="s">
        <v>1395</v>
      </c>
      <c r="F83" s="346" t="s">
        <v>1396</v>
      </c>
      <c r="G83" s="346" t="s">
        <v>1397</v>
      </c>
      <c r="H83" s="346" t="s">
        <v>1400</v>
      </c>
      <c r="I83" s="346" t="s">
        <v>1401</v>
      </c>
      <c r="J83" s="346" t="s">
        <v>1402</v>
      </c>
      <c r="K83" s="346" t="s">
        <v>2320</v>
      </c>
    </row>
    <row r="84" spans="2:11" ht="12.75" customHeight="1" x14ac:dyDescent="0.25">
      <c r="B84" s="348"/>
      <c r="C84" s="1366" t="s">
        <v>2297</v>
      </c>
      <c r="D84" s="1363"/>
      <c r="E84" s="367">
        <f>SUM(E85:E89)</f>
        <v>100000</v>
      </c>
      <c r="F84" s="367"/>
      <c r="G84" s="367"/>
      <c r="H84" s="367">
        <f>SUM(H85:H89)</f>
        <v>100000</v>
      </c>
      <c r="I84" s="367"/>
      <c r="J84" s="367">
        <f>SUM(J85:J89)</f>
        <v>0</v>
      </c>
      <c r="K84" s="367">
        <f>SUM(K85:K89)</f>
        <v>100000</v>
      </c>
    </row>
    <row r="85" spans="2:11" ht="12.75" customHeight="1" x14ac:dyDescent="0.25">
      <c r="B85" s="348">
        <v>58</v>
      </c>
      <c r="C85" s="350">
        <v>1</v>
      </c>
      <c r="D85" s="353" t="s">
        <v>988</v>
      </c>
      <c r="E85" s="354">
        <v>100000</v>
      </c>
      <c r="F85" s="357"/>
      <c r="G85" s="354"/>
      <c r="H85" s="356">
        <v>100000</v>
      </c>
      <c r="I85" s="356"/>
      <c r="J85" s="368">
        <v>-65000</v>
      </c>
      <c r="K85" s="369">
        <f>$H85+$J85</f>
        <v>35000</v>
      </c>
    </row>
    <row r="86" spans="2:11" ht="12.75" customHeight="1" x14ac:dyDescent="0.25">
      <c r="B86" s="348">
        <v>59</v>
      </c>
      <c r="C86" s="350">
        <v>1</v>
      </c>
      <c r="D86" s="353" t="s">
        <v>991</v>
      </c>
      <c r="E86" s="354"/>
      <c r="F86" s="357"/>
      <c r="G86" s="354"/>
      <c r="H86" s="356">
        <v>0</v>
      </c>
      <c r="I86" s="356"/>
      <c r="J86" s="368">
        <v>20000</v>
      </c>
      <c r="K86" s="369">
        <f>$H86+$J86</f>
        <v>20000</v>
      </c>
    </row>
    <row r="87" spans="2:11" ht="12.75" customHeight="1" x14ac:dyDescent="0.25">
      <c r="B87" s="348">
        <v>60</v>
      </c>
      <c r="C87" s="350">
        <v>1</v>
      </c>
      <c r="D87" s="353" t="s">
        <v>994</v>
      </c>
      <c r="E87" s="354"/>
      <c r="F87" s="357"/>
      <c r="G87" s="354"/>
      <c r="H87" s="356">
        <v>0</v>
      </c>
      <c r="I87" s="356"/>
      <c r="J87" s="368">
        <v>30000</v>
      </c>
      <c r="K87" s="369">
        <f>$H87+$J87</f>
        <v>30000</v>
      </c>
    </row>
    <row r="88" spans="2:11" ht="12.75" customHeight="1" x14ac:dyDescent="0.25">
      <c r="B88" s="348">
        <v>61</v>
      </c>
      <c r="C88" s="350">
        <v>1</v>
      </c>
      <c r="D88" s="353" t="s">
        <v>997</v>
      </c>
      <c r="E88" s="354"/>
      <c r="F88" s="357"/>
      <c r="G88" s="354"/>
      <c r="H88" s="356">
        <v>0</v>
      </c>
      <c r="I88" s="356"/>
      <c r="J88" s="368">
        <v>5000</v>
      </c>
      <c r="K88" s="369">
        <f>$H88+$J88</f>
        <v>5000</v>
      </c>
    </row>
    <row r="89" spans="2:11" ht="12.75" customHeight="1" x14ac:dyDescent="0.25">
      <c r="B89" s="348">
        <v>62</v>
      </c>
      <c r="C89" s="350">
        <v>1</v>
      </c>
      <c r="D89" s="353" t="s">
        <v>1000</v>
      </c>
      <c r="E89" s="354"/>
      <c r="F89" s="357"/>
      <c r="G89" s="354"/>
      <c r="H89" s="356">
        <v>0</v>
      </c>
      <c r="I89" s="356"/>
      <c r="J89" s="368">
        <v>10000</v>
      </c>
      <c r="K89" s="369">
        <f>$H89+$J89</f>
        <v>10000</v>
      </c>
    </row>
    <row r="90" spans="2:11" ht="12.75" customHeight="1" x14ac:dyDescent="0.25">
      <c r="B90" s="366"/>
      <c r="C90" s="366"/>
      <c r="D90" s="366"/>
      <c r="E90" s="366"/>
      <c r="F90" s="366"/>
      <c r="G90" s="366"/>
      <c r="H90" s="366"/>
      <c r="I90" s="366"/>
      <c r="J90" s="366"/>
      <c r="K90" s="366"/>
    </row>
    <row r="91" spans="2:11" ht="12.75" customHeight="1" x14ac:dyDescent="0.25">
      <c r="B91" s="339"/>
      <c r="C91" s="339"/>
      <c r="D91" s="339"/>
      <c r="E91" s="339"/>
      <c r="F91" s="339"/>
      <c r="G91" s="339"/>
      <c r="H91" s="339"/>
      <c r="I91" s="339"/>
      <c r="J91" s="339"/>
      <c r="K91" s="339"/>
    </row>
    <row r="92" spans="2:11" ht="12.75" customHeight="1" x14ac:dyDescent="0.25">
      <c r="B92" s="1367"/>
      <c r="C92" s="1367"/>
      <c r="D92" s="671"/>
      <c r="E92" s="671"/>
      <c r="F92" s="671"/>
      <c r="G92" s="671"/>
      <c r="H92" s="671"/>
      <c r="I92" s="671"/>
      <c r="J92" s="671"/>
      <c r="K92" s="339"/>
    </row>
    <row r="93" spans="2:11" ht="12.75" customHeight="1" x14ac:dyDescent="0.25">
      <c r="B93" s="1364" t="s">
        <v>2298</v>
      </c>
      <c r="C93" s="1364"/>
      <c r="D93" s="1365" t="s">
        <v>2299</v>
      </c>
      <c r="E93" s="1365"/>
      <c r="F93" s="1365"/>
      <c r="G93" s="1365"/>
      <c r="H93" s="1365"/>
      <c r="I93" s="1365"/>
      <c r="J93" s="1365"/>
      <c r="K93" s="1365"/>
    </row>
    <row r="94" spans="2:11" ht="12.75" customHeight="1" x14ac:dyDescent="0.25">
      <c r="B94" s="1364" t="s">
        <v>2300</v>
      </c>
      <c r="C94" s="1364"/>
      <c r="D94" s="1365" t="s">
        <v>2301</v>
      </c>
      <c r="E94" s="1365"/>
      <c r="F94" s="1365"/>
      <c r="G94" s="1365"/>
      <c r="H94" s="1365"/>
      <c r="I94" s="1365"/>
      <c r="J94" s="1365"/>
      <c r="K94" s="1365"/>
    </row>
    <row r="95" spans="2:11" ht="12.75" customHeight="1" x14ac:dyDescent="0.25">
      <c r="B95" s="1364" t="s">
        <v>2302</v>
      </c>
      <c r="C95" s="1364"/>
      <c r="D95" s="1365" t="s">
        <v>2303</v>
      </c>
      <c r="E95" s="1365"/>
      <c r="F95" s="1365"/>
      <c r="G95" s="1365"/>
      <c r="H95" s="1365"/>
      <c r="I95" s="1365"/>
      <c r="J95" s="1365"/>
      <c r="K95" s="1365"/>
    </row>
    <row r="96" spans="2:11" ht="12.75" customHeight="1" x14ac:dyDescent="0.25">
      <c r="B96" s="1364" t="s">
        <v>2304</v>
      </c>
      <c r="C96" s="1364"/>
      <c r="D96" s="1365" t="s">
        <v>2327</v>
      </c>
      <c r="E96" s="1365"/>
      <c r="F96" s="1365"/>
      <c r="G96" s="1365"/>
      <c r="H96" s="1365"/>
      <c r="I96" s="1365"/>
      <c r="J96" s="1365"/>
      <c r="K96" s="1365"/>
    </row>
    <row r="97" spans="2:11" ht="12.75" customHeight="1" x14ac:dyDescent="0.25">
      <c r="B97" s="1364" t="s">
        <v>2305</v>
      </c>
      <c r="C97" s="1364"/>
      <c r="D97" s="1365" t="s">
        <v>2306</v>
      </c>
      <c r="E97" s="1365"/>
      <c r="F97" s="1365"/>
      <c r="G97" s="1365"/>
      <c r="H97" s="1365"/>
      <c r="I97" s="1365"/>
      <c r="J97" s="1365"/>
      <c r="K97" s="1365"/>
    </row>
    <row r="98" spans="2:11" ht="26.25" customHeight="1" x14ac:dyDescent="0.25">
      <c r="B98" s="370"/>
      <c r="C98" s="370"/>
      <c r="D98" s="1365"/>
      <c r="E98" s="1365"/>
      <c r="F98" s="1365"/>
      <c r="G98" s="1365"/>
      <c r="H98" s="1365"/>
      <c r="I98" s="1365"/>
      <c r="J98" s="1365"/>
      <c r="K98" s="1365"/>
    </row>
    <row r="99" spans="2:11" ht="12.75" customHeight="1" x14ac:dyDescent="0.25">
      <c r="B99" s="669"/>
      <c r="C99" s="669"/>
      <c r="D99" s="670"/>
      <c r="E99" s="670"/>
      <c r="F99" s="670"/>
      <c r="G99" s="670"/>
      <c r="H99" s="670"/>
      <c r="I99" s="670"/>
      <c r="J99" s="670"/>
      <c r="K99" s="670"/>
    </row>
    <row r="100" spans="2:11" ht="12.75" customHeight="1" x14ac:dyDescent="0.25">
      <c r="B100" s="371" t="s">
        <v>2307</v>
      </c>
      <c r="C100" s="372"/>
      <c r="D100" s="373"/>
      <c r="E100" s="670"/>
      <c r="F100" s="670"/>
      <c r="G100" s="670"/>
      <c r="H100" s="670"/>
      <c r="I100" s="670"/>
      <c r="J100" s="670"/>
      <c r="K100" s="670"/>
    </row>
    <row r="101" spans="2:11" ht="12.75" customHeight="1" x14ac:dyDescent="0.25">
      <c r="B101" s="374" t="s">
        <v>2302</v>
      </c>
      <c r="C101" s="372"/>
      <c r="D101" s="373"/>
      <c r="E101" s="670"/>
      <c r="F101" s="670"/>
      <c r="G101" s="670"/>
      <c r="H101" s="670"/>
      <c r="I101" s="670"/>
      <c r="J101" s="670"/>
      <c r="K101" s="670"/>
    </row>
    <row r="102" spans="2:11" ht="12.75" customHeight="1" x14ac:dyDescent="0.25">
      <c r="B102" s="372"/>
      <c r="C102" s="372" t="s">
        <v>2308</v>
      </c>
      <c r="D102" s="373" t="s">
        <v>2309</v>
      </c>
      <c r="E102" s="670"/>
      <c r="F102" s="670"/>
      <c r="G102" s="670"/>
      <c r="H102" s="670"/>
      <c r="I102" s="670"/>
      <c r="J102" s="670"/>
      <c r="K102" s="670"/>
    </row>
    <row r="103" spans="2:11" ht="12.75" customHeight="1" x14ac:dyDescent="0.25">
      <c r="B103" s="372"/>
      <c r="C103" s="372" t="s">
        <v>2310</v>
      </c>
      <c r="D103" s="373" t="s">
        <v>2311</v>
      </c>
      <c r="E103" s="670"/>
      <c r="F103" s="670"/>
      <c r="G103" s="670"/>
      <c r="H103" s="670"/>
      <c r="I103" s="670"/>
      <c r="J103" s="670"/>
      <c r="K103" s="670"/>
    </row>
    <row r="104" spans="2:11" ht="12.75" customHeight="1" x14ac:dyDescent="0.25">
      <c r="B104" s="374" t="s">
        <v>2305</v>
      </c>
      <c r="C104" s="372"/>
      <c r="D104" s="373"/>
      <c r="E104" s="670"/>
      <c r="F104" s="670"/>
      <c r="G104" s="670"/>
      <c r="H104" s="670"/>
      <c r="I104" s="670"/>
      <c r="J104" s="670"/>
      <c r="K104" s="670"/>
    </row>
    <row r="105" spans="2:11" ht="12.75" customHeight="1" x14ac:dyDescent="0.25">
      <c r="B105" s="372"/>
      <c r="C105" s="372" t="s">
        <v>2312</v>
      </c>
      <c r="D105" s="373" t="s">
        <v>2313</v>
      </c>
      <c r="E105" s="670"/>
      <c r="F105" s="670"/>
      <c r="G105" s="670"/>
      <c r="H105" s="670"/>
      <c r="I105" s="670"/>
      <c r="J105" s="670"/>
      <c r="K105" s="670"/>
    </row>
    <row r="106" spans="2:11" ht="12.75" customHeight="1" x14ac:dyDescent="0.25">
      <c r="B106" s="22"/>
      <c r="C106" s="339"/>
      <c r="D106" s="339"/>
      <c r="E106" s="339"/>
      <c r="F106" s="339"/>
      <c r="G106" s="339"/>
      <c r="H106" s="339"/>
      <c r="I106" s="339"/>
      <c r="J106" s="339"/>
      <c r="K106" s="339"/>
    </row>
    <row r="109" spans="2:11" ht="20.100000000000001" customHeight="1" x14ac:dyDescent="0.25">
      <c r="B109" s="22" t="s">
        <v>2262</v>
      </c>
    </row>
    <row r="111" spans="2:11" ht="12.75" customHeight="1" x14ac:dyDescent="0.25">
      <c r="B111" s="1360" t="s">
        <v>5013</v>
      </c>
      <c r="C111" s="1360"/>
      <c r="D111" s="1360"/>
      <c r="E111" s="1360"/>
      <c r="F111" s="1360"/>
      <c r="G111" s="1360"/>
      <c r="H111" s="1360"/>
      <c r="I111" s="1360"/>
      <c r="J111" s="1360"/>
      <c r="K111" s="1360"/>
    </row>
    <row r="112" spans="2:11" ht="12.75" customHeight="1" x14ac:dyDescent="0.25">
      <c r="B112" s="1360" t="s">
        <v>5014</v>
      </c>
      <c r="C112" s="1360"/>
      <c r="D112" s="1360"/>
      <c r="E112" s="1360"/>
      <c r="F112" s="1360"/>
      <c r="G112" s="1360"/>
      <c r="H112" s="1360"/>
      <c r="I112" s="1360"/>
      <c r="J112" s="1360"/>
      <c r="K112" s="1360"/>
    </row>
    <row r="113" spans="2:11" ht="12.75" customHeight="1" x14ac:dyDescent="0.25">
      <c r="B113" s="1365" t="s">
        <v>4992</v>
      </c>
      <c r="C113" s="1365"/>
      <c r="D113" s="1365"/>
      <c r="E113" s="1365"/>
      <c r="F113" s="1365"/>
      <c r="G113" s="1365"/>
      <c r="H113" s="1365"/>
      <c r="I113" s="1365"/>
      <c r="J113" s="1365"/>
      <c r="K113" s="1365"/>
    </row>
    <row r="114" spans="2:11" ht="12.75" customHeight="1" x14ac:dyDescent="0.25">
      <c r="B114" s="340"/>
      <c r="C114" s="340"/>
      <c r="D114" s="340"/>
      <c r="E114" s="340"/>
      <c r="F114" s="340"/>
      <c r="G114" s="340"/>
      <c r="H114" s="340"/>
      <c r="I114" s="340"/>
      <c r="J114" s="340"/>
      <c r="K114" s="340"/>
    </row>
    <row r="115" spans="2:11" ht="12.75" customHeight="1" x14ac:dyDescent="0.25">
      <c r="B115" s="339" t="s">
        <v>2263</v>
      </c>
      <c r="C115" s="339"/>
      <c r="D115" s="339"/>
      <c r="E115" s="339"/>
      <c r="F115" s="339"/>
      <c r="G115" s="339"/>
      <c r="H115" s="339"/>
      <c r="I115" s="339"/>
      <c r="J115" s="339"/>
      <c r="K115" s="339"/>
    </row>
    <row r="116" spans="2:11" ht="12.75" customHeight="1" x14ac:dyDescent="0.25">
      <c r="B116" s="651"/>
      <c r="C116" s="651"/>
      <c r="D116" s="651"/>
      <c r="E116" s="651"/>
      <c r="F116" s="651"/>
      <c r="G116" s="651"/>
      <c r="H116" s="651"/>
      <c r="I116" s="651"/>
      <c r="J116" s="651"/>
      <c r="K116" s="652"/>
    </row>
    <row r="117" spans="2:11" ht="12.75" customHeight="1" x14ac:dyDescent="0.25">
      <c r="B117" s="343"/>
      <c r="C117" s="343"/>
      <c r="D117" s="343"/>
      <c r="E117" s="343"/>
      <c r="F117" s="343"/>
      <c r="G117" s="343"/>
      <c r="H117" s="343"/>
      <c r="I117" s="343"/>
      <c r="J117" s="343"/>
      <c r="K117" s="344"/>
    </row>
    <row r="118" spans="2:11" ht="12.75" customHeight="1" x14ac:dyDescent="0.25">
      <c r="B118" s="1361" t="s">
        <v>2264</v>
      </c>
      <c r="C118" s="1361"/>
      <c r="D118" s="1361"/>
      <c r="E118" s="1361"/>
      <c r="F118" s="1361"/>
      <c r="G118" s="1361"/>
      <c r="H118" s="1361"/>
      <c r="I118" s="1361"/>
      <c r="J118" s="1361"/>
      <c r="K118" s="1361"/>
    </row>
    <row r="119" spans="2:11" ht="12.75" customHeight="1" x14ac:dyDescent="0.25">
      <c r="B119" s="345" t="s">
        <v>2265</v>
      </c>
      <c r="C119" s="345"/>
      <c r="D119" s="345"/>
      <c r="E119" s="345"/>
      <c r="F119" s="345"/>
      <c r="G119" s="345"/>
      <c r="H119" s="345"/>
      <c r="I119" s="345"/>
      <c r="J119" s="345"/>
      <c r="K119" s="345"/>
    </row>
    <row r="120" spans="2:11" ht="12.75" customHeight="1" x14ac:dyDescent="0.25">
      <c r="B120" s="345"/>
      <c r="C120" s="345"/>
      <c r="D120" s="345"/>
      <c r="E120" s="345"/>
      <c r="F120" s="345"/>
      <c r="G120" s="345"/>
      <c r="H120" s="345"/>
      <c r="I120" s="345"/>
      <c r="J120" s="345"/>
      <c r="K120" s="345"/>
    </row>
    <row r="121" spans="2:11" ht="12.75" customHeight="1" x14ac:dyDescent="0.25">
      <c r="B121" s="361" t="s">
        <v>2328</v>
      </c>
      <c r="C121" s="348"/>
      <c r="D121" s="345"/>
      <c r="E121" s="346" t="s">
        <v>1395</v>
      </c>
      <c r="F121" s="346" t="s">
        <v>1396</v>
      </c>
      <c r="G121" s="346" t="s">
        <v>1397</v>
      </c>
      <c r="H121" s="346" t="s">
        <v>1400</v>
      </c>
      <c r="I121" s="347"/>
      <c r="J121" s="347"/>
      <c r="K121" s="347"/>
    </row>
    <row r="122" spans="2:11" ht="12.75" customHeight="1" x14ac:dyDescent="0.25">
      <c r="B122" s="348">
        <v>136</v>
      </c>
      <c r="C122" s="350">
        <v>1</v>
      </c>
      <c r="D122" s="672" t="s">
        <v>1151</v>
      </c>
      <c r="E122" s="354">
        <v>50000</v>
      </c>
      <c r="F122" s="355">
        <v>170</v>
      </c>
      <c r="G122" s="354">
        <v>40000</v>
      </c>
      <c r="H122" s="356">
        <f>E122-G122</f>
        <v>10000</v>
      </c>
      <c r="I122" s="349"/>
      <c r="J122" s="349"/>
      <c r="K122" s="349"/>
    </row>
    <row r="123" spans="2:11" ht="12.75" customHeight="1" x14ac:dyDescent="0.25">
      <c r="B123" s="348"/>
      <c r="C123" s="348"/>
      <c r="D123" s="358"/>
      <c r="E123" s="359"/>
      <c r="F123" s="359"/>
      <c r="G123" s="359"/>
      <c r="H123" s="359"/>
      <c r="I123" s="359"/>
      <c r="J123" s="359"/>
      <c r="K123" s="359"/>
    </row>
    <row r="124" spans="2:11" ht="12.75" customHeight="1" x14ac:dyDescent="0.25">
      <c r="B124" s="358"/>
      <c r="C124" s="348"/>
      <c r="D124" s="345"/>
      <c r="E124" s="360"/>
      <c r="F124" s="360"/>
      <c r="G124" s="360"/>
      <c r="H124" s="360"/>
      <c r="I124" s="360"/>
      <c r="J124" s="360"/>
      <c r="K124" s="360"/>
    </row>
    <row r="125" spans="2:11" ht="12.75" customHeight="1" x14ac:dyDescent="0.25">
      <c r="B125" s="361" t="s">
        <v>11</v>
      </c>
      <c r="C125" s="348"/>
      <c r="D125" s="345"/>
      <c r="E125" s="359"/>
      <c r="F125" s="359"/>
      <c r="G125" s="359"/>
      <c r="H125" s="359"/>
      <c r="I125" s="359"/>
      <c r="J125" s="359"/>
      <c r="K125" s="359"/>
    </row>
    <row r="126" spans="2:11" ht="12.75" customHeight="1" x14ac:dyDescent="0.25">
      <c r="B126" s="362"/>
      <c r="C126" s="1362" t="s">
        <v>2329</v>
      </c>
      <c r="D126" s="1363"/>
      <c r="E126" s="363">
        <f>SUM(E127:E128)</f>
        <v>1500000000</v>
      </c>
      <c r="F126" s="363"/>
      <c r="G126" s="363"/>
      <c r="H126" s="363">
        <f>SUM(H127:H128)</f>
        <v>1499960000</v>
      </c>
      <c r="I126" s="364"/>
      <c r="J126" s="364"/>
      <c r="K126" s="364"/>
    </row>
    <row r="127" spans="2:11" ht="14.25" customHeight="1" x14ac:dyDescent="0.25">
      <c r="B127" s="348">
        <v>170</v>
      </c>
      <c r="C127" s="350">
        <v>-1</v>
      </c>
      <c r="D127" s="353" t="s">
        <v>2330</v>
      </c>
      <c r="E127" s="354">
        <v>1500000000</v>
      </c>
      <c r="F127" s="355">
        <v>136</v>
      </c>
      <c r="G127" s="354"/>
      <c r="H127" s="356">
        <f>E127-G122</f>
        <v>1499960000</v>
      </c>
      <c r="I127" s="351"/>
      <c r="J127" s="352"/>
      <c r="K127" s="351"/>
    </row>
    <row r="128" spans="2:11" ht="14.25" customHeight="1" x14ac:dyDescent="0.25">
      <c r="B128" s="348">
        <v>176</v>
      </c>
      <c r="C128" s="350">
        <v>-1</v>
      </c>
      <c r="D128" s="365" t="s">
        <v>2331</v>
      </c>
      <c r="E128" s="354"/>
      <c r="F128" s="357"/>
      <c r="G128" s="354"/>
      <c r="H128" s="356">
        <v>0</v>
      </c>
      <c r="I128" s="351"/>
      <c r="J128" s="352"/>
      <c r="K128" s="351"/>
    </row>
    <row r="129" spans="2:11" ht="12.75" customHeight="1" x14ac:dyDescent="0.25">
      <c r="B129" s="366"/>
      <c r="C129" s="366"/>
      <c r="D129" s="366"/>
      <c r="E129" s="366"/>
      <c r="F129" s="366"/>
      <c r="G129" s="366"/>
      <c r="H129" s="366"/>
      <c r="I129" s="366"/>
      <c r="J129" s="366"/>
      <c r="K129" s="366"/>
    </row>
    <row r="130" spans="2:11" ht="12.75" customHeight="1" x14ac:dyDescent="0.25">
      <c r="B130" s="651"/>
      <c r="C130" s="651"/>
      <c r="D130" s="651"/>
      <c r="E130" s="651"/>
      <c r="F130" s="651"/>
      <c r="G130" s="651"/>
      <c r="H130" s="651"/>
      <c r="I130" s="651"/>
      <c r="J130" s="651"/>
      <c r="K130" s="652"/>
    </row>
    <row r="131" spans="2:11" ht="12.75" customHeight="1" x14ac:dyDescent="0.25">
      <c r="B131" s="343"/>
      <c r="C131" s="343"/>
      <c r="D131" s="343"/>
      <c r="E131" s="343"/>
      <c r="F131" s="343"/>
      <c r="G131" s="343"/>
      <c r="H131" s="343"/>
      <c r="I131" s="343"/>
      <c r="J131" s="343"/>
      <c r="K131" s="344"/>
    </row>
    <row r="132" spans="2:11" ht="12.75" customHeight="1" x14ac:dyDescent="0.25">
      <c r="B132" s="1361" t="s">
        <v>2266</v>
      </c>
      <c r="C132" s="1361"/>
      <c r="D132" s="1361"/>
      <c r="E132" s="1361"/>
      <c r="F132" s="1361"/>
      <c r="G132" s="1361"/>
      <c r="H132" s="1361"/>
      <c r="I132" s="1361"/>
      <c r="J132" s="1361"/>
      <c r="K132" s="1361"/>
    </row>
    <row r="133" spans="2:11" ht="12.75" customHeight="1" x14ac:dyDescent="0.25">
      <c r="B133" s="345" t="s">
        <v>2332</v>
      </c>
      <c r="C133" s="345"/>
      <c r="D133" s="345"/>
      <c r="E133" s="345"/>
      <c r="F133" s="345"/>
      <c r="G133" s="345"/>
      <c r="H133" s="345"/>
      <c r="I133" s="345"/>
      <c r="J133" s="345"/>
      <c r="K133" s="345"/>
    </row>
    <row r="134" spans="2:11" ht="12.75" customHeight="1" x14ac:dyDescent="0.25">
      <c r="B134" s="345"/>
      <c r="C134" s="345"/>
      <c r="D134" s="345"/>
      <c r="E134" s="345"/>
      <c r="F134" s="345"/>
      <c r="G134" s="345"/>
      <c r="H134" s="345"/>
      <c r="I134" s="345"/>
      <c r="J134" s="345"/>
      <c r="K134" s="345"/>
    </row>
    <row r="135" spans="2:11" ht="12.75" customHeight="1" x14ac:dyDescent="0.25">
      <c r="B135" s="345"/>
      <c r="C135" s="345"/>
      <c r="D135" s="345"/>
      <c r="E135" s="346" t="s">
        <v>1395</v>
      </c>
      <c r="F135" s="346" t="s">
        <v>1396</v>
      </c>
      <c r="G135" s="346" t="s">
        <v>1397</v>
      </c>
      <c r="H135" s="346" t="s">
        <v>1400</v>
      </c>
      <c r="I135" s="346" t="s">
        <v>1401</v>
      </c>
      <c r="J135" s="346" t="s">
        <v>1402</v>
      </c>
      <c r="K135" s="346" t="s">
        <v>2320</v>
      </c>
    </row>
    <row r="136" spans="2:11" ht="12.75" customHeight="1" x14ac:dyDescent="0.25">
      <c r="B136" s="348"/>
      <c r="C136" s="1366" t="s">
        <v>2267</v>
      </c>
      <c r="D136" s="1363"/>
      <c r="E136" s="367">
        <f>SUM(E137:E141)</f>
        <v>100000</v>
      </c>
      <c r="F136" s="367"/>
      <c r="G136" s="367"/>
      <c r="H136" s="367">
        <f>SUM(H137:H141)</f>
        <v>100000</v>
      </c>
      <c r="I136" s="367"/>
      <c r="J136" s="367">
        <f>SUM(J137:J141)</f>
        <v>0</v>
      </c>
      <c r="K136" s="367">
        <f>SUM(K137:K141)</f>
        <v>100000</v>
      </c>
    </row>
    <row r="137" spans="2:11" ht="12.75" customHeight="1" x14ac:dyDescent="0.25">
      <c r="B137" s="348">
        <v>58</v>
      </c>
      <c r="C137" s="350">
        <v>1</v>
      </c>
      <c r="D137" s="353" t="s">
        <v>989</v>
      </c>
      <c r="E137" s="354">
        <v>100000</v>
      </c>
      <c r="F137" s="357"/>
      <c r="G137" s="354"/>
      <c r="H137" s="356">
        <v>100000</v>
      </c>
      <c r="I137" s="356"/>
      <c r="J137" s="368">
        <v>-65000</v>
      </c>
      <c r="K137" s="369">
        <f>$H137+$J137</f>
        <v>35000</v>
      </c>
    </row>
    <row r="138" spans="2:11" ht="12.75" customHeight="1" x14ac:dyDescent="0.25">
      <c r="B138" s="348">
        <v>59</v>
      </c>
      <c r="C138" s="350">
        <v>1</v>
      </c>
      <c r="D138" s="353" t="s">
        <v>992</v>
      </c>
      <c r="E138" s="354"/>
      <c r="F138" s="357"/>
      <c r="G138" s="354"/>
      <c r="H138" s="356">
        <v>0</v>
      </c>
      <c r="I138" s="356"/>
      <c r="J138" s="368">
        <v>20000</v>
      </c>
      <c r="K138" s="369">
        <f>$H138+$J138</f>
        <v>20000</v>
      </c>
    </row>
    <row r="139" spans="2:11" ht="12.75" customHeight="1" x14ac:dyDescent="0.25">
      <c r="B139" s="348">
        <v>60</v>
      </c>
      <c r="C139" s="350">
        <v>1</v>
      </c>
      <c r="D139" s="353" t="s">
        <v>995</v>
      </c>
      <c r="E139" s="354"/>
      <c r="F139" s="357"/>
      <c r="G139" s="354"/>
      <c r="H139" s="356">
        <v>0</v>
      </c>
      <c r="I139" s="356"/>
      <c r="J139" s="368">
        <v>30000</v>
      </c>
      <c r="K139" s="369">
        <f>$H139+$J139</f>
        <v>30000</v>
      </c>
    </row>
    <row r="140" spans="2:11" ht="12.75" customHeight="1" x14ac:dyDescent="0.25">
      <c r="B140" s="348">
        <v>61</v>
      </c>
      <c r="C140" s="350">
        <v>1</v>
      </c>
      <c r="D140" s="353" t="s">
        <v>998</v>
      </c>
      <c r="E140" s="354"/>
      <c r="F140" s="357"/>
      <c r="G140" s="354"/>
      <c r="H140" s="356">
        <v>0</v>
      </c>
      <c r="I140" s="356"/>
      <c r="J140" s="368">
        <v>5000</v>
      </c>
      <c r="K140" s="369">
        <f>$H140+$J140</f>
        <v>5000</v>
      </c>
    </row>
    <row r="141" spans="2:11" ht="12.75" customHeight="1" x14ac:dyDescent="0.25">
      <c r="B141" s="348">
        <v>62</v>
      </c>
      <c r="C141" s="350">
        <v>1</v>
      </c>
      <c r="D141" s="353" t="s">
        <v>1001</v>
      </c>
      <c r="E141" s="354"/>
      <c r="F141" s="357"/>
      <c r="G141" s="354"/>
      <c r="H141" s="356">
        <v>0</v>
      </c>
      <c r="I141" s="356"/>
      <c r="J141" s="368">
        <v>10000</v>
      </c>
      <c r="K141" s="369">
        <f>$H141+$J141</f>
        <v>10000</v>
      </c>
    </row>
    <row r="142" spans="2:11" ht="12.75" customHeight="1" x14ac:dyDescent="0.25">
      <c r="B142" s="366"/>
      <c r="C142" s="366"/>
      <c r="D142" s="366"/>
      <c r="E142" s="366"/>
      <c r="F142" s="366"/>
      <c r="G142" s="366"/>
      <c r="H142" s="366"/>
      <c r="I142" s="366"/>
      <c r="J142" s="366"/>
      <c r="K142" s="366"/>
    </row>
    <row r="143" spans="2:11" ht="12.75" customHeight="1" x14ac:dyDescent="0.25">
      <c r="B143" s="339"/>
      <c r="C143" s="339"/>
      <c r="D143" s="339"/>
      <c r="E143" s="339"/>
      <c r="F143" s="339"/>
      <c r="G143" s="339"/>
      <c r="H143" s="339"/>
      <c r="I143" s="339"/>
      <c r="J143" s="339"/>
      <c r="K143" s="339"/>
    </row>
    <row r="144" spans="2:11" ht="12.75" customHeight="1" x14ac:dyDescent="0.25">
      <c r="B144" s="1367"/>
      <c r="C144" s="1367"/>
      <c r="D144" s="653"/>
      <c r="E144" s="653"/>
      <c r="F144" s="653"/>
      <c r="G144" s="653"/>
      <c r="H144" s="653"/>
      <c r="I144" s="653"/>
      <c r="J144" s="653"/>
      <c r="K144" s="339"/>
    </row>
    <row r="145" spans="2:11" ht="12.75" customHeight="1" x14ac:dyDescent="0.25">
      <c r="B145" s="1364" t="s">
        <v>2268</v>
      </c>
      <c r="C145" s="1364"/>
      <c r="D145" s="1365" t="s">
        <v>2269</v>
      </c>
      <c r="E145" s="1365"/>
      <c r="F145" s="1365"/>
      <c r="G145" s="1365"/>
      <c r="H145" s="1365"/>
      <c r="I145" s="1365"/>
      <c r="J145" s="1365"/>
      <c r="K145" s="1365"/>
    </row>
    <row r="146" spans="2:11" ht="12.75" customHeight="1" x14ac:dyDescent="0.25">
      <c r="B146" s="1364" t="s">
        <v>2270</v>
      </c>
      <c r="C146" s="1364"/>
      <c r="D146" s="1365" t="s">
        <v>2271</v>
      </c>
      <c r="E146" s="1365"/>
      <c r="F146" s="1365"/>
      <c r="G146" s="1365"/>
      <c r="H146" s="1365"/>
      <c r="I146" s="1365"/>
      <c r="J146" s="1365"/>
      <c r="K146" s="1365"/>
    </row>
    <row r="147" spans="2:11" ht="12.75" customHeight="1" x14ac:dyDescent="0.25">
      <c r="B147" s="1364" t="s">
        <v>2272</v>
      </c>
      <c r="C147" s="1364"/>
      <c r="D147" s="1365" t="s">
        <v>2273</v>
      </c>
      <c r="E147" s="1365"/>
      <c r="F147" s="1365"/>
      <c r="G147" s="1365"/>
      <c r="H147" s="1365"/>
      <c r="I147" s="1365"/>
      <c r="J147" s="1365"/>
      <c r="K147" s="1365"/>
    </row>
    <row r="148" spans="2:11" ht="12.75" customHeight="1" x14ac:dyDescent="0.25">
      <c r="B148" s="1364" t="s">
        <v>2274</v>
      </c>
      <c r="C148" s="1364"/>
      <c r="D148" s="1365" t="s">
        <v>2333</v>
      </c>
      <c r="E148" s="1365"/>
      <c r="F148" s="1365"/>
      <c r="G148" s="1365"/>
      <c r="H148" s="1365"/>
      <c r="I148" s="1365"/>
      <c r="J148" s="1365"/>
      <c r="K148" s="1365"/>
    </row>
    <row r="149" spans="2:11" ht="12.75" customHeight="1" x14ac:dyDescent="0.25">
      <c r="B149" s="1364" t="s">
        <v>2275</v>
      </c>
      <c r="C149" s="1364"/>
      <c r="D149" s="1365" t="s">
        <v>2276</v>
      </c>
      <c r="E149" s="1365"/>
      <c r="F149" s="1365"/>
      <c r="G149" s="1365"/>
      <c r="H149" s="1365"/>
      <c r="I149" s="1365"/>
      <c r="J149" s="1365"/>
      <c r="K149" s="1365"/>
    </row>
    <row r="150" spans="2:11" ht="12.75" customHeight="1" x14ac:dyDescent="0.25">
      <c r="B150" s="370"/>
      <c r="C150" s="370"/>
      <c r="D150" s="1365"/>
      <c r="E150" s="1365"/>
      <c r="F150" s="1365"/>
      <c r="G150" s="1365"/>
      <c r="H150" s="1365"/>
      <c r="I150" s="1365"/>
      <c r="J150" s="1365"/>
      <c r="K150" s="1365"/>
    </row>
    <row r="151" spans="2:11" ht="12.75" customHeight="1" x14ac:dyDescent="0.25">
      <c r="B151" s="651"/>
      <c r="C151" s="651"/>
      <c r="D151" s="652"/>
      <c r="E151" s="652"/>
      <c r="F151" s="652"/>
      <c r="G151" s="652"/>
      <c r="H151" s="652"/>
      <c r="I151" s="652"/>
      <c r="J151" s="652"/>
      <c r="K151" s="652"/>
    </row>
    <row r="152" spans="2:11" ht="12.75" customHeight="1" x14ac:dyDescent="0.25">
      <c r="B152" s="371" t="s">
        <v>2277</v>
      </c>
      <c r="C152" s="372"/>
      <c r="D152" s="373"/>
      <c r="E152" s="652"/>
      <c r="F152" s="652"/>
      <c r="G152" s="652"/>
      <c r="H152" s="652"/>
      <c r="I152" s="652"/>
      <c r="J152" s="652"/>
      <c r="K152" s="652"/>
    </row>
    <row r="153" spans="2:11" ht="12.75" customHeight="1" x14ac:dyDescent="0.25">
      <c r="B153" s="374" t="s">
        <v>2272</v>
      </c>
      <c r="C153" s="372"/>
      <c r="D153" s="373"/>
      <c r="E153" s="652"/>
      <c r="F153" s="652"/>
      <c r="G153" s="652"/>
      <c r="H153" s="652"/>
      <c r="I153" s="652"/>
      <c r="J153" s="652"/>
      <c r="K153" s="652"/>
    </row>
    <row r="154" spans="2:11" ht="12.75" customHeight="1" x14ac:dyDescent="0.25">
      <c r="B154" s="372"/>
      <c r="C154" s="372" t="s">
        <v>2278</v>
      </c>
      <c r="D154" s="373" t="s">
        <v>2279</v>
      </c>
      <c r="E154" s="652"/>
      <c r="F154" s="652"/>
      <c r="G154" s="652"/>
      <c r="H154" s="652"/>
      <c r="I154" s="652"/>
      <c r="J154" s="652"/>
      <c r="K154" s="652"/>
    </row>
    <row r="155" spans="2:11" ht="12.75" customHeight="1" x14ac:dyDescent="0.25">
      <c r="B155" s="372"/>
      <c r="C155" s="372" t="s">
        <v>2280</v>
      </c>
      <c r="D155" s="373" t="s">
        <v>2281</v>
      </c>
      <c r="E155" s="652"/>
      <c r="F155" s="652"/>
      <c r="G155" s="652"/>
      <c r="H155" s="652"/>
      <c r="I155" s="652"/>
      <c r="J155" s="652"/>
      <c r="K155" s="652"/>
    </row>
    <row r="156" spans="2:11" ht="12.75" customHeight="1" x14ac:dyDescent="0.25">
      <c r="B156" s="374" t="s">
        <v>2275</v>
      </c>
      <c r="C156" s="372"/>
      <c r="D156" s="373"/>
      <c r="E156" s="652"/>
      <c r="F156" s="652"/>
      <c r="G156" s="652"/>
      <c r="H156" s="652"/>
      <c r="I156" s="652"/>
      <c r="J156" s="652"/>
      <c r="K156" s="652"/>
    </row>
    <row r="157" spans="2:11" ht="12.75" customHeight="1" x14ac:dyDescent="0.25">
      <c r="B157" s="372"/>
      <c r="C157" s="372" t="s">
        <v>2282</v>
      </c>
      <c r="D157" s="373" t="s">
        <v>2283</v>
      </c>
      <c r="E157" s="652"/>
      <c r="F157" s="652"/>
      <c r="G157" s="652"/>
      <c r="H157" s="652"/>
      <c r="I157" s="652"/>
      <c r="J157" s="652"/>
      <c r="K157" s="652"/>
    </row>
  </sheetData>
  <mergeCells count="54">
    <mergeCell ref="B42:C42"/>
    <mergeCell ref="D42:K42"/>
    <mergeCell ref="B6:K6"/>
    <mergeCell ref="B7:K7"/>
    <mergeCell ref="B8:K8"/>
    <mergeCell ref="B13:K13"/>
    <mergeCell ref="C21:D21"/>
    <mergeCell ref="B28:K28"/>
    <mergeCell ref="C32:D32"/>
    <mergeCell ref="B40:C40"/>
    <mergeCell ref="B41:C41"/>
    <mergeCell ref="D41:K41"/>
    <mergeCell ref="B43:C43"/>
    <mergeCell ref="D43:K43"/>
    <mergeCell ref="B44:C44"/>
    <mergeCell ref="D44:K44"/>
    <mergeCell ref="B45:C45"/>
    <mergeCell ref="D45:K46"/>
    <mergeCell ref="B93:C93"/>
    <mergeCell ref="B94:C94"/>
    <mergeCell ref="D94:K94"/>
    <mergeCell ref="B60:K60"/>
    <mergeCell ref="B61:K61"/>
    <mergeCell ref="D97:K98"/>
    <mergeCell ref="B95:C95"/>
    <mergeCell ref="D95:K95"/>
    <mergeCell ref="B96:C96"/>
    <mergeCell ref="D96:K96"/>
    <mergeCell ref="B97:C97"/>
    <mergeCell ref="B148:C148"/>
    <mergeCell ref="D148:K148"/>
    <mergeCell ref="B149:C149"/>
    <mergeCell ref="D149:K150"/>
    <mergeCell ref="B144:C144"/>
    <mergeCell ref="B145:C145"/>
    <mergeCell ref="D145:K145"/>
    <mergeCell ref="B146:C146"/>
    <mergeCell ref="D146:K146"/>
    <mergeCell ref="B59:K59"/>
    <mergeCell ref="B66:K66"/>
    <mergeCell ref="C74:D74"/>
    <mergeCell ref="B80:K80"/>
    <mergeCell ref="B147:C147"/>
    <mergeCell ref="D147:K147"/>
    <mergeCell ref="B118:K118"/>
    <mergeCell ref="C126:D126"/>
    <mergeCell ref="B132:K132"/>
    <mergeCell ref="C136:D136"/>
    <mergeCell ref="B111:K111"/>
    <mergeCell ref="B112:K112"/>
    <mergeCell ref="B113:K113"/>
    <mergeCell ref="C84:D84"/>
    <mergeCell ref="B92:C92"/>
    <mergeCell ref="D93:K93"/>
  </mergeCells>
  <conditionalFormatting sqref="J33:J37">
    <cfRule type="cellIs" dxfId="5" priority="28" stopIfTrue="1" operator="notEqual">
      <formula>0</formula>
    </cfRule>
  </conditionalFormatting>
  <conditionalFormatting sqref="F33:F37 F22:F23 F137:F141 F85:F89 F17 F70 F75:F76 F122 F127:F128">
    <cfRule type="expression" dxfId="4" priority="29" stopIfTrue="1">
      <formula>IF(ISBLANK(F17),0,IF(ISNA(MATCH($F17,$B:$B,0)),1,0))</formula>
    </cfRule>
    <cfRule type="expression" dxfId="3" priority="30" stopIfTrue="1">
      <formula>IF(ISBLANK(F17),0,1)</formula>
    </cfRule>
    <cfRule type="expression" dxfId="2" priority="31" stopIfTrue="1">
      <formula>IF(ISERROR(MATCH($B17,$F:$F,0)),0,1)</formula>
    </cfRule>
  </conditionalFormatting>
  <conditionalFormatting sqref="J137:J141">
    <cfRule type="cellIs" dxfId="1" priority="20" stopIfTrue="1" operator="notEqual">
      <formula>0</formula>
    </cfRule>
  </conditionalFormatting>
  <conditionalFormatting sqref="J85:J89">
    <cfRule type="cellIs" dxfId="0" priority="16" stopIfTrue="1" operator="notEqual">
      <formula>0</formula>
    </cfRule>
  </conditionalFormatting>
  <hyperlinks>
    <hyperlink ref="B3" location="'Stat_SSTBalance Info'!B57" display="Version française" xr:uid="{00000000-0004-0000-1D00-000000000000}"/>
    <hyperlink ref="B4" location="'Stat_SSTBalance Info'!B109" display="English version" xr:uid="{00000000-0004-0000-1D00-000001000000}"/>
  </hyperlinks>
  <pageMargins left="0.47244094488188981" right="0.39370078740157483" top="0.59055118110236227" bottom="0" header="0.51181102362204722" footer="0.51181102362204722"/>
  <pageSetup paperSize="9" scale="72" orientation="landscape" horizontalDpi="1200" verticalDpi="1200" r:id="rId1"/>
  <headerFooter alignWithMargins="0">
    <oddHeader>&amp;R&amp;"Arial,Fett"&amp;12SST</odd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4">
    <tabColor rgb="FF002D64"/>
    <pageSetUpPr fitToPage="1"/>
  </sheetPr>
  <dimension ref="A1:G1198"/>
  <sheetViews>
    <sheetView showGridLines="0" zoomScale="70" zoomScaleNormal="70" workbookViewId="0"/>
  </sheetViews>
  <sheetFormatPr baseColWidth="10" defaultColWidth="8.5703125" defaultRowHeight="12.75" customHeight="1" x14ac:dyDescent="0.25"/>
  <cols>
    <col min="1" max="1" width="5.5703125" style="498" customWidth="1"/>
    <col min="2" max="2" width="10.5703125" style="498" customWidth="1"/>
    <col min="3" max="3" width="48.85546875" style="498" customWidth="1"/>
    <col min="4" max="4" width="47.85546875" style="498" customWidth="1"/>
    <col min="5" max="5" width="60.42578125" style="498" customWidth="1"/>
    <col min="6" max="7" width="8.5703125" style="499"/>
    <col min="8" max="16384" width="8.5703125" style="498"/>
  </cols>
  <sheetData>
    <row r="1" spans="1:7" ht="20.100000000000001" customHeight="1" x14ac:dyDescent="0.25">
      <c r="A1" s="679">
        <v>31</v>
      </c>
      <c r="B1" s="680" t="s">
        <v>4670</v>
      </c>
    </row>
    <row r="2" spans="1:7" s="501" customFormat="1" ht="14.25" customHeight="1" x14ac:dyDescent="0.25">
      <c r="A2" s="500"/>
      <c r="B2" s="500"/>
      <c r="C2" s="500"/>
      <c r="D2" s="500"/>
      <c r="E2" s="500"/>
      <c r="F2" s="500"/>
      <c r="G2" s="500"/>
    </row>
    <row r="3" spans="1:7" s="501" customFormat="1" ht="14.25" customHeight="1" x14ac:dyDescent="0.25">
      <c r="A3" s="500"/>
      <c r="B3" s="500"/>
      <c r="C3" s="500"/>
      <c r="D3" s="500"/>
      <c r="E3" s="500"/>
      <c r="F3" s="500"/>
      <c r="G3" s="500"/>
    </row>
    <row r="4" spans="1:7" s="501" customFormat="1" ht="14.25" customHeight="1" x14ac:dyDescent="0.25">
      <c r="A4" s="500"/>
      <c r="B4" s="500"/>
      <c r="C4" s="502" t="s">
        <v>98</v>
      </c>
      <c r="D4" s="502" t="s">
        <v>99</v>
      </c>
      <c r="E4" s="502" t="s">
        <v>97</v>
      </c>
      <c r="F4" s="500"/>
      <c r="G4" s="500"/>
    </row>
    <row r="5" spans="1:7" s="501" customFormat="1" ht="14.25" customHeight="1" x14ac:dyDescent="0.25">
      <c r="A5" s="500"/>
      <c r="B5" s="500"/>
      <c r="C5" s="503">
        <v>1</v>
      </c>
      <c r="D5" s="503">
        <v>2</v>
      </c>
      <c r="E5" s="503">
        <v>3</v>
      </c>
      <c r="F5" s="500"/>
      <c r="G5" s="500"/>
    </row>
    <row r="6" spans="1:7" s="501" customFormat="1" ht="14.25" customHeight="1" x14ac:dyDescent="0.25">
      <c r="A6" s="500"/>
      <c r="B6" s="500"/>
      <c r="C6" s="500"/>
      <c r="D6" s="500"/>
      <c r="E6" s="500"/>
      <c r="F6" s="500"/>
      <c r="G6" s="500"/>
    </row>
    <row r="7" spans="1:7" s="501" customFormat="1" ht="14.25" customHeight="1" x14ac:dyDescent="0.25">
      <c r="A7" s="504"/>
      <c r="B7" s="505" t="s">
        <v>645</v>
      </c>
      <c r="C7" s="506" t="s">
        <v>718</v>
      </c>
      <c r="D7" s="505" t="s">
        <v>719</v>
      </c>
      <c r="E7" s="505" t="s">
        <v>721</v>
      </c>
      <c r="F7" s="500"/>
      <c r="G7" s="500"/>
    </row>
    <row r="8" spans="1:7" s="501" customFormat="1" ht="14.25" customHeight="1" x14ac:dyDescent="0.25">
      <c r="A8" s="500"/>
      <c r="B8" s="500"/>
      <c r="C8" s="500"/>
      <c r="D8" s="500"/>
      <c r="E8" s="500"/>
      <c r="F8" s="500"/>
      <c r="G8" s="500"/>
    </row>
    <row r="9" spans="1:7" s="501" customFormat="1" ht="14.25" customHeight="1" x14ac:dyDescent="0.25">
      <c r="A9" s="500"/>
      <c r="B9" s="496" t="s">
        <v>653</v>
      </c>
      <c r="C9" s="496" t="s">
        <v>275</v>
      </c>
      <c r="D9" s="496" t="s">
        <v>288</v>
      </c>
      <c r="E9" s="496" t="s">
        <v>289</v>
      </c>
      <c r="F9" s="500"/>
      <c r="G9" s="500"/>
    </row>
    <row r="10" spans="1:7" s="501" customFormat="1" ht="14.25" customHeight="1" x14ac:dyDescent="0.25">
      <c r="A10" s="500"/>
      <c r="B10" s="507" t="s">
        <v>646</v>
      </c>
      <c r="C10" s="507" t="s">
        <v>1438</v>
      </c>
      <c r="D10" s="507" t="s">
        <v>1439</v>
      </c>
      <c r="E10" s="507" t="s">
        <v>716</v>
      </c>
      <c r="F10" s="500"/>
      <c r="G10" s="500"/>
    </row>
    <row r="11" spans="1:7" s="501" customFormat="1" ht="14.25" customHeight="1" x14ac:dyDescent="0.25">
      <c r="A11" s="500"/>
      <c r="B11" s="507"/>
      <c r="C11" s="507"/>
      <c r="D11" s="507"/>
      <c r="E11" s="507"/>
      <c r="F11" s="500"/>
      <c r="G11" s="500"/>
    </row>
    <row r="12" spans="1:7" s="501" customFormat="1" ht="14.25" customHeight="1" x14ac:dyDescent="0.25">
      <c r="A12" s="500"/>
      <c r="B12" s="507" t="s">
        <v>647</v>
      </c>
      <c r="C12" s="496" t="s">
        <v>100</v>
      </c>
      <c r="D12" s="496" t="s">
        <v>283</v>
      </c>
      <c r="E12" s="496" t="s">
        <v>280</v>
      </c>
      <c r="F12" s="500"/>
      <c r="G12" s="500"/>
    </row>
    <row r="13" spans="1:7" s="501" customFormat="1" ht="14.25" customHeight="1" x14ac:dyDescent="0.25">
      <c r="A13" s="500"/>
      <c r="B13" s="507" t="s">
        <v>648</v>
      </c>
      <c r="C13" s="496" t="s">
        <v>261</v>
      </c>
      <c r="D13" s="496" t="s">
        <v>542</v>
      </c>
      <c r="E13" s="508" t="s">
        <v>560</v>
      </c>
      <c r="F13" s="500"/>
      <c r="G13" s="500"/>
    </row>
    <row r="14" spans="1:7" s="501" customFormat="1" ht="14.25" customHeight="1" x14ac:dyDescent="0.25">
      <c r="A14" s="500"/>
      <c r="B14" s="496" t="s">
        <v>649</v>
      </c>
      <c r="C14" s="496" t="s">
        <v>262</v>
      </c>
      <c r="D14" s="496" t="s">
        <v>284</v>
      </c>
      <c r="E14" s="496" t="s">
        <v>281</v>
      </c>
      <c r="F14" s="500"/>
      <c r="G14" s="500"/>
    </row>
    <row r="15" spans="1:7" s="501" customFormat="1" ht="14.25" customHeight="1" x14ac:dyDescent="0.25">
      <c r="A15" s="500"/>
      <c r="B15" s="507" t="s">
        <v>650</v>
      </c>
      <c r="C15" s="509" t="s">
        <v>1496</v>
      </c>
      <c r="D15" s="509" t="s">
        <v>1497</v>
      </c>
      <c r="E15" s="509" t="s">
        <v>1498</v>
      </c>
      <c r="F15" s="500"/>
      <c r="G15" s="500"/>
    </row>
    <row r="16" spans="1:7" s="501" customFormat="1" ht="14.25" customHeight="1" x14ac:dyDescent="0.25">
      <c r="A16" s="500"/>
      <c r="B16" s="507" t="s">
        <v>651</v>
      </c>
      <c r="C16" s="842" t="s">
        <v>2934</v>
      </c>
      <c r="D16" s="842" t="s">
        <v>2934</v>
      </c>
      <c r="E16" s="842" t="s">
        <v>2934</v>
      </c>
      <c r="F16" s="500"/>
      <c r="G16" s="500"/>
    </row>
    <row r="17" spans="1:7" s="501" customFormat="1" ht="14.25" customHeight="1" x14ac:dyDescent="0.25">
      <c r="A17" s="500"/>
      <c r="B17" s="507"/>
      <c r="C17" s="509"/>
      <c r="D17" s="509"/>
      <c r="E17" s="509"/>
      <c r="F17" s="500"/>
      <c r="G17" s="500"/>
    </row>
    <row r="18" spans="1:7" s="501" customFormat="1" ht="14.25" customHeight="1" x14ac:dyDescent="0.25">
      <c r="A18" s="500"/>
      <c r="B18" s="507" t="s">
        <v>652</v>
      </c>
      <c r="C18" s="496" t="s">
        <v>277</v>
      </c>
      <c r="D18" s="496" t="s">
        <v>291</v>
      </c>
      <c r="E18" s="496" t="s">
        <v>290</v>
      </c>
      <c r="F18" s="500"/>
      <c r="G18" s="500"/>
    </row>
    <row r="19" spans="1:7" s="501" customFormat="1" ht="14.25" customHeight="1" x14ac:dyDescent="0.25">
      <c r="A19" s="500"/>
      <c r="B19" s="510" t="s">
        <v>711</v>
      </c>
      <c r="C19" s="792" t="s">
        <v>2774</v>
      </c>
      <c r="D19" s="792" t="s">
        <v>2775</v>
      </c>
      <c r="E19" s="792" t="s">
        <v>2776</v>
      </c>
      <c r="F19" s="500"/>
      <c r="G19" s="500"/>
    </row>
    <row r="20" spans="1:7" s="501" customFormat="1" ht="14.25" customHeight="1" x14ac:dyDescent="0.25">
      <c r="A20" s="500"/>
      <c r="B20" s="510" t="s">
        <v>712</v>
      </c>
      <c r="C20" s="507" t="s">
        <v>1423</v>
      </c>
      <c r="D20" s="507" t="s">
        <v>1424</v>
      </c>
      <c r="E20" s="507" t="s">
        <v>1425</v>
      </c>
      <c r="F20" s="500"/>
      <c r="G20" s="500"/>
    </row>
    <row r="21" spans="1:7" s="501" customFormat="1" ht="14.25" customHeight="1" x14ac:dyDescent="0.25">
      <c r="A21" s="500"/>
      <c r="B21" s="507" t="s">
        <v>713</v>
      </c>
      <c r="C21" s="1085" t="s">
        <v>3518</v>
      </c>
      <c r="D21" s="1085" t="s">
        <v>3519</v>
      </c>
      <c r="E21" s="1085" t="s">
        <v>3519</v>
      </c>
      <c r="F21" s="500"/>
      <c r="G21" s="500"/>
    </row>
    <row r="22" spans="1:7" s="501" customFormat="1" ht="14.25" customHeight="1" x14ac:dyDescent="0.25">
      <c r="A22" s="500"/>
      <c r="B22" s="510" t="s">
        <v>714</v>
      </c>
      <c r="C22" s="496" t="s">
        <v>563</v>
      </c>
      <c r="D22" s="496" t="s">
        <v>566</v>
      </c>
      <c r="E22" s="496" t="s">
        <v>564</v>
      </c>
      <c r="F22" s="500"/>
      <c r="G22" s="500"/>
    </row>
    <row r="23" spans="1:7" s="501" customFormat="1" ht="14.25" customHeight="1" x14ac:dyDescent="0.25">
      <c r="A23" s="500"/>
      <c r="B23" s="507" t="s">
        <v>715</v>
      </c>
      <c r="C23" s="496" t="s">
        <v>286</v>
      </c>
      <c r="D23" s="496" t="s">
        <v>287</v>
      </c>
      <c r="E23" s="496" t="s">
        <v>279</v>
      </c>
      <c r="F23" s="500"/>
      <c r="G23" s="500"/>
    </row>
    <row r="24" spans="1:7" s="501" customFormat="1" ht="14.25" customHeight="1" x14ac:dyDescent="0.25">
      <c r="A24" s="500"/>
      <c r="B24" s="510" t="s">
        <v>1422</v>
      </c>
      <c r="C24" s="1251" t="s">
        <v>3341</v>
      </c>
      <c r="D24" s="1251" t="s">
        <v>3341</v>
      </c>
      <c r="E24" s="1251" t="s">
        <v>3341</v>
      </c>
      <c r="F24" s="500"/>
      <c r="G24" s="500"/>
    </row>
    <row r="25" spans="1:7" s="501" customFormat="1" ht="14.25" customHeight="1" x14ac:dyDescent="0.25">
      <c r="A25" s="500"/>
      <c r="B25" s="507" t="s">
        <v>1437</v>
      </c>
      <c r="C25" s="496" t="s">
        <v>101</v>
      </c>
      <c r="D25" s="496" t="s">
        <v>285</v>
      </c>
      <c r="E25" s="496" t="s">
        <v>282</v>
      </c>
      <c r="F25" s="500"/>
      <c r="G25" s="500"/>
    </row>
    <row r="26" spans="1:7" s="501" customFormat="1" ht="14.25" customHeight="1" x14ac:dyDescent="0.25">
      <c r="A26" s="500"/>
      <c r="B26" s="510" t="s">
        <v>1499</v>
      </c>
      <c r="C26" s="496" t="s">
        <v>562</v>
      </c>
      <c r="D26" s="496" t="s">
        <v>706</v>
      </c>
      <c r="E26" s="496" t="s">
        <v>703</v>
      </c>
      <c r="F26" s="500"/>
      <c r="G26" s="500"/>
    </row>
    <row r="27" spans="1:7" s="501" customFormat="1" ht="14.25" customHeight="1" x14ac:dyDescent="0.25">
      <c r="A27" s="500"/>
      <c r="B27" s="507" t="s">
        <v>1500</v>
      </c>
      <c r="C27" s="496" t="s">
        <v>567</v>
      </c>
      <c r="D27" s="496" t="s">
        <v>707</v>
      </c>
      <c r="E27" s="496" t="s">
        <v>704</v>
      </c>
      <c r="F27" s="500"/>
      <c r="G27" s="500"/>
    </row>
    <row r="28" spans="1:7" s="501" customFormat="1" ht="14.25" customHeight="1" x14ac:dyDescent="0.25">
      <c r="A28" s="500"/>
      <c r="B28" s="510" t="s">
        <v>1501</v>
      </c>
      <c r="C28" s="496" t="s">
        <v>565</v>
      </c>
      <c r="D28" s="496" t="s">
        <v>708</v>
      </c>
      <c r="E28" s="496" t="s">
        <v>705</v>
      </c>
      <c r="F28" s="500"/>
      <c r="G28" s="500"/>
    </row>
    <row r="29" spans="1:7" s="501" customFormat="1" ht="14.25" customHeight="1" x14ac:dyDescent="0.25">
      <c r="A29" s="500"/>
      <c r="B29" s="507" t="s">
        <v>2494</v>
      </c>
      <c r="C29" s="1251" t="s">
        <v>4979</v>
      </c>
      <c r="D29" s="1251" t="s">
        <v>4980</v>
      </c>
      <c r="E29" s="1251" t="s">
        <v>4981</v>
      </c>
      <c r="F29" s="500"/>
      <c r="G29" s="500"/>
    </row>
    <row r="30" spans="1:7" s="501" customFormat="1" ht="14.25" customHeight="1" x14ac:dyDescent="0.25">
      <c r="A30" s="500"/>
      <c r="B30" s="510" t="s">
        <v>2495</v>
      </c>
      <c r="C30" s="837" t="s">
        <v>2789</v>
      </c>
      <c r="D30" s="496" t="s">
        <v>710</v>
      </c>
      <c r="E30" s="496" t="s">
        <v>709</v>
      </c>
      <c r="F30" s="500"/>
      <c r="G30" s="500"/>
    </row>
    <row r="31" spans="1:7" ht="14.25" customHeight="1" x14ac:dyDescent="0.25">
      <c r="A31" s="500"/>
      <c r="F31" s="500"/>
      <c r="G31" s="500"/>
    </row>
    <row r="32" spans="1:7" s="501" customFormat="1" ht="14.25" customHeight="1" x14ac:dyDescent="0.25">
      <c r="A32" s="500"/>
      <c r="B32" s="500"/>
      <c r="C32" s="511"/>
      <c r="D32" s="511"/>
      <c r="E32" s="511"/>
      <c r="F32" s="500"/>
      <c r="G32" s="500"/>
    </row>
    <row r="33" spans="1:7" s="501" customFormat="1" ht="14.25" customHeight="1" x14ac:dyDescent="0.25">
      <c r="A33" s="500"/>
      <c r="B33" s="505" t="s">
        <v>654</v>
      </c>
      <c r="C33" s="506" t="s">
        <v>369</v>
      </c>
      <c r="D33" s="505" t="s">
        <v>2291</v>
      </c>
      <c r="E33" s="505" t="s">
        <v>370</v>
      </c>
      <c r="F33" s="500"/>
      <c r="G33" s="500"/>
    </row>
    <row r="34" spans="1:7" s="501" customFormat="1" ht="14.25" customHeight="1" x14ac:dyDescent="0.25">
      <c r="A34" s="500"/>
      <c r="B34" s="500"/>
      <c r="C34" s="511"/>
      <c r="D34" s="511"/>
      <c r="E34" s="511"/>
      <c r="F34" s="500"/>
      <c r="G34" s="500"/>
    </row>
    <row r="35" spans="1:7" s="501" customFormat="1" ht="14.25" customHeight="1" x14ac:dyDescent="0.25">
      <c r="A35" s="500"/>
      <c r="B35" s="496" t="s">
        <v>656</v>
      </c>
      <c r="C35" s="496" t="s">
        <v>359</v>
      </c>
      <c r="D35" s="496" t="s">
        <v>360</v>
      </c>
      <c r="E35" s="496" t="s">
        <v>102</v>
      </c>
      <c r="F35" s="500"/>
      <c r="G35" s="500"/>
    </row>
    <row r="36" spans="1:7" s="501" customFormat="1" ht="14.25" customHeight="1" x14ac:dyDescent="0.25">
      <c r="A36" s="500"/>
      <c r="B36" s="496" t="s">
        <v>657</v>
      </c>
      <c r="C36" s="496" t="s">
        <v>361</v>
      </c>
      <c r="D36" s="496" t="s">
        <v>362</v>
      </c>
      <c r="E36" s="496" t="s">
        <v>26</v>
      </c>
      <c r="F36" s="500"/>
      <c r="G36" s="500"/>
    </row>
    <row r="37" spans="1:7" s="501" customFormat="1" ht="14.25" customHeight="1" x14ac:dyDescent="0.25">
      <c r="A37" s="500"/>
      <c r="B37" s="496" t="s">
        <v>658</v>
      </c>
      <c r="C37" s="496" t="s">
        <v>392</v>
      </c>
      <c r="D37" s="496" t="s">
        <v>24</v>
      </c>
      <c r="E37" s="496" t="s">
        <v>24</v>
      </c>
      <c r="F37" s="500"/>
      <c r="G37" s="500"/>
    </row>
    <row r="38" spans="1:7" s="501" customFormat="1" ht="14.25" customHeight="1" x14ac:dyDescent="0.25">
      <c r="A38" s="500"/>
      <c r="B38" s="496" t="s">
        <v>659</v>
      </c>
      <c r="C38" s="497" t="s">
        <v>1596</v>
      </c>
      <c r="D38" s="497" t="s">
        <v>1597</v>
      </c>
      <c r="E38" s="497" t="s">
        <v>1594</v>
      </c>
      <c r="F38" s="500"/>
      <c r="G38" s="500"/>
    </row>
    <row r="39" spans="1:7" s="501" customFormat="1" ht="14.25" customHeight="1" x14ac:dyDescent="0.25">
      <c r="A39" s="500"/>
      <c r="B39" s="496" t="s">
        <v>660</v>
      </c>
      <c r="C39" s="496" t="s">
        <v>363</v>
      </c>
      <c r="D39" s="496" t="s">
        <v>364</v>
      </c>
      <c r="E39" s="496" t="s">
        <v>49</v>
      </c>
      <c r="F39" s="500"/>
      <c r="G39" s="500"/>
    </row>
    <row r="40" spans="1:7" s="501" customFormat="1" ht="14.25" customHeight="1" x14ac:dyDescent="0.25">
      <c r="A40" s="500"/>
      <c r="B40" s="496" t="s">
        <v>661</v>
      </c>
      <c r="C40" s="496" t="s">
        <v>25</v>
      </c>
      <c r="D40" s="496" t="s">
        <v>365</v>
      </c>
      <c r="E40" s="496" t="s">
        <v>25</v>
      </c>
      <c r="F40" s="500"/>
      <c r="G40" s="500"/>
    </row>
    <row r="41" spans="1:7" s="501" customFormat="1" ht="14.25" customHeight="1" x14ac:dyDescent="0.25">
      <c r="A41" s="500"/>
      <c r="B41" s="496" t="s">
        <v>662</v>
      </c>
      <c r="C41" s="496" t="s">
        <v>367</v>
      </c>
      <c r="D41" s="496" t="s">
        <v>368</v>
      </c>
      <c r="E41" s="496" t="s">
        <v>368</v>
      </c>
      <c r="F41" s="500"/>
      <c r="G41" s="500"/>
    </row>
    <row r="42" spans="1:7" s="501" customFormat="1" ht="14.25" customHeight="1" x14ac:dyDescent="0.25">
      <c r="A42" s="500"/>
      <c r="B42" s="497" t="s">
        <v>1595</v>
      </c>
      <c r="C42" s="496" t="s">
        <v>407</v>
      </c>
      <c r="D42" s="496" t="s">
        <v>408</v>
      </c>
      <c r="E42" s="496" t="s">
        <v>406</v>
      </c>
      <c r="F42" s="500"/>
      <c r="G42" s="500"/>
    </row>
    <row r="43" spans="1:7" s="501" customFormat="1" ht="14.25" customHeight="1" x14ac:dyDescent="0.25">
      <c r="A43" s="500"/>
      <c r="B43" s="496" t="s">
        <v>4227</v>
      </c>
      <c r="C43" s="507" t="s">
        <v>2</v>
      </c>
      <c r="D43" s="507" t="s">
        <v>3</v>
      </c>
      <c r="E43" s="507" t="s">
        <v>1</v>
      </c>
      <c r="F43" s="500"/>
      <c r="G43" s="500"/>
    </row>
    <row r="44" spans="1:7" s="501" customFormat="1" ht="14.25" customHeight="1" x14ac:dyDescent="0.25">
      <c r="A44" s="500"/>
      <c r="B44" s="512"/>
      <c r="C44" s="511"/>
      <c r="D44" s="511"/>
      <c r="E44" s="511"/>
      <c r="F44" s="500"/>
      <c r="G44" s="500"/>
    </row>
    <row r="45" spans="1:7" s="501" customFormat="1" ht="14.25" customHeight="1" x14ac:dyDescent="0.25">
      <c r="A45" s="500"/>
      <c r="B45" s="512"/>
      <c r="C45" s="511"/>
      <c r="D45" s="511"/>
      <c r="E45" s="511"/>
      <c r="F45" s="500"/>
      <c r="G45" s="500"/>
    </row>
    <row r="46" spans="1:7" s="501" customFormat="1" ht="14.25" customHeight="1" x14ac:dyDescent="0.25">
      <c r="A46" s="500"/>
      <c r="B46" s="505" t="s">
        <v>4231</v>
      </c>
      <c r="C46" s="506" t="s">
        <v>1740</v>
      </c>
      <c r="D46" s="505" t="s">
        <v>1427</v>
      </c>
      <c r="E46" s="505" t="s">
        <v>1426</v>
      </c>
      <c r="F46" s="500"/>
      <c r="G46" s="500"/>
    </row>
    <row r="47" spans="1:7" s="501" customFormat="1" ht="14.25" customHeight="1" x14ac:dyDescent="0.25">
      <c r="A47" s="500"/>
      <c r="B47" s="512"/>
      <c r="C47" s="511"/>
      <c r="D47" s="511"/>
      <c r="E47" s="511"/>
      <c r="F47" s="500"/>
      <c r="G47" s="500"/>
    </row>
    <row r="48" spans="1:7" s="501" customFormat="1" ht="14.25" customHeight="1" x14ac:dyDescent="0.25">
      <c r="A48" s="500"/>
      <c r="B48" s="495" t="s">
        <v>4232</v>
      </c>
      <c r="C48" s="495" t="s">
        <v>803</v>
      </c>
      <c r="D48" s="495" t="s">
        <v>1757</v>
      </c>
      <c r="E48" s="495" t="s">
        <v>1762</v>
      </c>
      <c r="F48" s="500"/>
      <c r="G48" s="500"/>
    </row>
    <row r="49" spans="1:7" s="501" customFormat="1" ht="14.25" customHeight="1" x14ac:dyDescent="0.25">
      <c r="A49" s="500"/>
      <c r="B49" s="495" t="s">
        <v>4233</v>
      </c>
      <c r="C49" s="508" t="s">
        <v>804</v>
      </c>
      <c r="D49" s="496" t="s">
        <v>2167</v>
      </c>
      <c r="E49" s="496" t="s">
        <v>2098</v>
      </c>
      <c r="F49" s="500"/>
      <c r="G49" s="500"/>
    </row>
    <row r="50" spans="1:7" s="501" customFormat="1" ht="14.25" customHeight="1" x14ac:dyDescent="0.25">
      <c r="A50" s="500"/>
      <c r="B50" s="495" t="s">
        <v>4234</v>
      </c>
      <c r="C50" s="508" t="s">
        <v>1699</v>
      </c>
      <c r="D50" s="496" t="s">
        <v>2168</v>
      </c>
      <c r="E50" s="496" t="s">
        <v>2099</v>
      </c>
      <c r="F50" s="500"/>
      <c r="G50" s="500"/>
    </row>
    <row r="51" spans="1:7" s="501" customFormat="1" ht="14.25" customHeight="1" x14ac:dyDescent="0.25">
      <c r="A51" s="500"/>
      <c r="B51" s="495" t="s">
        <v>4235</v>
      </c>
      <c r="C51" s="508" t="s">
        <v>805</v>
      </c>
      <c r="D51" s="497" t="s">
        <v>2169</v>
      </c>
      <c r="E51" s="497" t="s">
        <v>2100</v>
      </c>
      <c r="F51" s="500"/>
      <c r="G51" s="500"/>
    </row>
    <row r="52" spans="1:7" s="501" customFormat="1" ht="14.25" customHeight="1" x14ac:dyDescent="0.25">
      <c r="A52" s="500"/>
      <c r="B52" s="495" t="s">
        <v>4236</v>
      </c>
      <c r="C52" s="508" t="s">
        <v>806</v>
      </c>
      <c r="D52" s="496" t="s">
        <v>2170</v>
      </c>
      <c r="E52" s="496" t="s">
        <v>2101</v>
      </c>
      <c r="F52" s="500"/>
      <c r="G52" s="500"/>
    </row>
    <row r="53" spans="1:7" s="501" customFormat="1" ht="14.25" customHeight="1" x14ac:dyDescent="0.25">
      <c r="A53" s="500"/>
      <c r="B53" s="495" t="s">
        <v>4237</v>
      </c>
      <c r="C53" s="508" t="s">
        <v>807</v>
      </c>
      <c r="D53" s="496" t="s">
        <v>2171</v>
      </c>
      <c r="E53" s="496" t="s">
        <v>2102</v>
      </c>
      <c r="F53" s="500"/>
      <c r="G53" s="500"/>
    </row>
    <row r="54" spans="1:7" s="501" customFormat="1" ht="14.25" customHeight="1" x14ac:dyDescent="0.25">
      <c r="A54" s="500"/>
      <c r="B54" s="495" t="s">
        <v>4238</v>
      </c>
      <c r="C54" s="508" t="s">
        <v>808</v>
      </c>
      <c r="D54" s="496" t="s">
        <v>2172</v>
      </c>
      <c r="E54" s="496" t="s">
        <v>2103</v>
      </c>
      <c r="F54" s="500"/>
      <c r="G54" s="500"/>
    </row>
    <row r="55" spans="1:7" s="501" customFormat="1" ht="14.25" customHeight="1" x14ac:dyDescent="0.25">
      <c r="A55" s="500"/>
      <c r="B55" s="495" t="s">
        <v>4239</v>
      </c>
      <c r="C55" s="508" t="s">
        <v>809</v>
      </c>
      <c r="D55" s="496" t="s">
        <v>2173</v>
      </c>
      <c r="E55" s="496" t="s">
        <v>2104</v>
      </c>
      <c r="F55" s="500"/>
      <c r="G55" s="500"/>
    </row>
    <row r="56" spans="1:7" s="501" customFormat="1" ht="14.25" customHeight="1" x14ac:dyDescent="0.25">
      <c r="A56" s="500"/>
      <c r="B56" s="495" t="s">
        <v>4240</v>
      </c>
      <c r="C56" s="508" t="s">
        <v>14</v>
      </c>
      <c r="D56" s="496" t="s">
        <v>468</v>
      </c>
      <c r="E56" s="496" t="s">
        <v>13</v>
      </c>
      <c r="F56" s="500"/>
      <c r="G56" s="500"/>
    </row>
    <row r="57" spans="1:7" s="501" customFormat="1" ht="14.25" customHeight="1" x14ac:dyDescent="0.25">
      <c r="A57" s="500"/>
      <c r="B57" s="495" t="s">
        <v>4241</v>
      </c>
      <c r="C57" s="508" t="s">
        <v>810</v>
      </c>
      <c r="D57" s="496" t="s">
        <v>2174</v>
      </c>
      <c r="E57" s="496" t="s">
        <v>2105</v>
      </c>
      <c r="F57" s="500"/>
      <c r="G57" s="500"/>
    </row>
    <row r="58" spans="1:7" s="501" customFormat="1" ht="14.25" customHeight="1" x14ac:dyDescent="0.25">
      <c r="A58" s="500"/>
      <c r="B58" s="495" t="s">
        <v>4242</v>
      </c>
      <c r="C58" s="508" t="s">
        <v>811</v>
      </c>
      <c r="D58" s="729" t="s">
        <v>2497</v>
      </c>
      <c r="E58" s="729" t="s">
        <v>2496</v>
      </c>
      <c r="F58" s="500"/>
      <c r="G58" s="500"/>
    </row>
    <row r="59" spans="1:7" s="501" customFormat="1" ht="14.25" customHeight="1" x14ac:dyDescent="0.25">
      <c r="A59" s="500"/>
      <c r="B59" s="495" t="s">
        <v>4243</v>
      </c>
      <c r="C59" s="508" t="s">
        <v>812</v>
      </c>
      <c r="D59" s="496" t="s">
        <v>1758</v>
      </c>
      <c r="E59" s="496" t="s">
        <v>1759</v>
      </c>
      <c r="F59" s="500"/>
      <c r="G59" s="500"/>
    </row>
    <row r="60" spans="1:7" s="501" customFormat="1" ht="14.25" customHeight="1" x14ac:dyDescent="0.25">
      <c r="A60" s="500"/>
      <c r="B60" s="495" t="s">
        <v>4244</v>
      </c>
      <c r="C60" s="508" t="s">
        <v>813</v>
      </c>
      <c r="D60" s="496" t="s">
        <v>2175</v>
      </c>
      <c r="E60" s="496" t="s">
        <v>2106</v>
      </c>
      <c r="F60" s="500"/>
      <c r="G60" s="500"/>
    </row>
    <row r="61" spans="1:7" s="501" customFormat="1" ht="14.25" customHeight="1" x14ac:dyDescent="0.25">
      <c r="A61" s="500"/>
      <c r="B61" s="495" t="s">
        <v>4245</v>
      </c>
      <c r="C61" s="508" t="s">
        <v>801</v>
      </c>
      <c r="D61" s="496" t="s">
        <v>1760</v>
      </c>
      <c r="E61" s="496" t="s">
        <v>1761</v>
      </c>
      <c r="F61" s="500"/>
      <c r="G61" s="500"/>
    </row>
    <row r="62" spans="1:7" s="501" customFormat="1" ht="14.25" customHeight="1" x14ac:dyDescent="0.25">
      <c r="A62" s="500"/>
      <c r="B62" s="495" t="s">
        <v>4246</v>
      </c>
      <c r="C62" s="508" t="s">
        <v>802</v>
      </c>
      <c r="D62" s="496" t="s">
        <v>2176</v>
      </c>
      <c r="E62" s="496" t="s">
        <v>2107</v>
      </c>
      <c r="F62" s="500"/>
      <c r="G62" s="500"/>
    </row>
    <row r="63" spans="1:7" s="501" customFormat="1" ht="14.25" customHeight="1" x14ac:dyDescent="0.25">
      <c r="A63" s="500"/>
      <c r="B63" s="512"/>
      <c r="C63" s="511"/>
      <c r="D63" s="511"/>
      <c r="E63" s="511"/>
      <c r="F63" s="500"/>
      <c r="G63" s="500"/>
    </row>
    <row r="64" spans="1:7" s="501" customFormat="1" ht="14.25" customHeight="1" x14ac:dyDescent="0.25">
      <c r="A64" s="500"/>
      <c r="B64" s="512"/>
      <c r="C64" s="511"/>
      <c r="D64" s="511"/>
      <c r="E64" s="511"/>
      <c r="F64" s="500"/>
      <c r="G64" s="500"/>
    </row>
    <row r="65" spans="1:7" s="501" customFormat="1" ht="14.25" customHeight="1" x14ac:dyDescent="0.25">
      <c r="A65" s="500"/>
      <c r="B65" s="505" t="s">
        <v>4247</v>
      </c>
      <c r="C65" s="506" t="s">
        <v>814</v>
      </c>
      <c r="D65" s="505" t="s">
        <v>1429</v>
      </c>
      <c r="E65" s="505" t="s">
        <v>1428</v>
      </c>
      <c r="F65" s="500"/>
      <c r="G65" s="500"/>
    </row>
    <row r="66" spans="1:7" s="501" customFormat="1" ht="14.25" customHeight="1" x14ac:dyDescent="0.25">
      <c r="A66" s="500"/>
      <c r="B66" s="512"/>
      <c r="C66" s="511"/>
      <c r="D66" s="511"/>
      <c r="E66" s="511"/>
      <c r="F66" s="500"/>
      <c r="G66" s="500"/>
    </row>
    <row r="67" spans="1:7" s="501" customFormat="1" ht="14.25" customHeight="1" x14ac:dyDescent="0.25">
      <c r="A67" s="500"/>
      <c r="B67" s="495" t="s">
        <v>4248</v>
      </c>
      <c r="C67" s="508" t="s">
        <v>815</v>
      </c>
      <c r="D67" s="495" t="s">
        <v>2177</v>
      </c>
      <c r="E67" s="495" t="s">
        <v>2108</v>
      </c>
      <c r="F67" s="500"/>
      <c r="G67" s="500"/>
    </row>
    <row r="68" spans="1:7" s="501" customFormat="1" ht="14.25" customHeight="1" x14ac:dyDescent="0.25">
      <c r="A68" s="500"/>
      <c r="B68" s="495" t="s">
        <v>4249</v>
      </c>
      <c r="C68" s="656" t="s">
        <v>1764</v>
      </c>
      <c r="D68" s="496" t="s">
        <v>2178</v>
      </c>
      <c r="E68" s="496" t="s">
        <v>2109</v>
      </c>
      <c r="F68" s="500"/>
      <c r="G68" s="500"/>
    </row>
    <row r="69" spans="1:7" s="501" customFormat="1" ht="14.25" customHeight="1" x14ac:dyDescent="0.25">
      <c r="A69" s="500"/>
      <c r="B69" s="495" t="s">
        <v>4250</v>
      </c>
      <c r="C69" s="508" t="s">
        <v>2063</v>
      </c>
      <c r="D69" s="496" t="s">
        <v>2179</v>
      </c>
      <c r="E69" s="496" t="s">
        <v>2110</v>
      </c>
      <c r="F69" s="500"/>
      <c r="G69" s="500"/>
    </row>
    <row r="70" spans="1:7" s="501" customFormat="1" ht="14.25" customHeight="1" x14ac:dyDescent="0.25">
      <c r="A70" s="500"/>
      <c r="B70" s="495" t="s">
        <v>4251</v>
      </c>
      <c r="C70" s="657" t="s">
        <v>2255</v>
      </c>
      <c r="D70" s="655" t="s">
        <v>2254</v>
      </c>
      <c r="E70" s="655" t="s">
        <v>2256</v>
      </c>
      <c r="F70" s="500"/>
      <c r="G70" s="500"/>
    </row>
    <row r="71" spans="1:7" s="501" customFormat="1" ht="14.25" customHeight="1" x14ac:dyDescent="0.25">
      <c r="A71" s="500"/>
      <c r="B71" s="495" t="s">
        <v>4252</v>
      </c>
      <c r="C71" s="508" t="s">
        <v>816</v>
      </c>
      <c r="D71" s="496" t="s">
        <v>2180</v>
      </c>
      <c r="E71" s="496" t="s">
        <v>2111</v>
      </c>
      <c r="F71" s="500"/>
      <c r="G71" s="500"/>
    </row>
    <row r="72" spans="1:7" s="501" customFormat="1" ht="14.25" customHeight="1" x14ac:dyDescent="0.25">
      <c r="A72" s="500"/>
      <c r="B72" s="495" t="s">
        <v>4253</v>
      </c>
      <c r="C72" s="508" t="s">
        <v>820</v>
      </c>
      <c r="D72" s="496" t="s">
        <v>2181</v>
      </c>
      <c r="E72" s="496" t="s">
        <v>2112</v>
      </c>
      <c r="F72" s="500"/>
      <c r="G72" s="500"/>
    </row>
    <row r="73" spans="1:7" s="501" customFormat="1" ht="14.25" customHeight="1" x14ac:dyDescent="0.25">
      <c r="A73" s="500"/>
      <c r="B73" s="495" t="s">
        <v>4254</v>
      </c>
      <c r="C73" s="508" t="s">
        <v>1945</v>
      </c>
      <c r="D73" s="496" t="s">
        <v>2182</v>
      </c>
      <c r="E73" s="496" t="s">
        <v>2113</v>
      </c>
      <c r="F73" s="500"/>
      <c r="G73" s="500"/>
    </row>
    <row r="74" spans="1:7" s="501" customFormat="1" ht="14.25" customHeight="1" x14ac:dyDescent="0.25">
      <c r="A74" s="500"/>
      <c r="B74" s="495" t="s">
        <v>4255</v>
      </c>
      <c r="C74" s="508" t="s">
        <v>2062</v>
      </c>
      <c r="D74" s="654" t="s">
        <v>2241</v>
      </c>
      <c r="E74" s="654" t="s">
        <v>2242</v>
      </c>
      <c r="F74" s="500"/>
      <c r="G74" s="500"/>
    </row>
    <row r="75" spans="1:7" s="501" customFormat="1" ht="14.25" customHeight="1" x14ac:dyDescent="0.25">
      <c r="A75" s="500"/>
      <c r="B75" s="495" t="s">
        <v>4256</v>
      </c>
      <c r="C75" s="508" t="s">
        <v>817</v>
      </c>
      <c r="D75" s="496" t="s">
        <v>2183</v>
      </c>
      <c r="E75" s="496" t="s">
        <v>2114</v>
      </c>
      <c r="F75" s="500"/>
      <c r="G75" s="500"/>
    </row>
    <row r="76" spans="1:7" s="501" customFormat="1" ht="14.25" customHeight="1" x14ac:dyDescent="0.25">
      <c r="A76" s="500"/>
      <c r="B76" s="495" t="s">
        <v>4257</v>
      </c>
      <c r="C76" s="508" t="s">
        <v>821</v>
      </c>
      <c r="D76" s="496" t="s">
        <v>1760</v>
      </c>
      <c r="E76" s="496" t="s">
        <v>1761</v>
      </c>
      <c r="F76" s="500"/>
      <c r="G76" s="500"/>
    </row>
    <row r="77" spans="1:7" s="501" customFormat="1" ht="14.25" customHeight="1" x14ac:dyDescent="0.25">
      <c r="A77" s="500"/>
      <c r="B77" s="495" t="s">
        <v>4258</v>
      </c>
      <c r="C77" s="508" t="s">
        <v>818</v>
      </c>
      <c r="D77" s="496" t="s">
        <v>2184</v>
      </c>
      <c r="E77" s="496" t="s">
        <v>2115</v>
      </c>
      <c r="F77" s="500"/>
      <c r="G77" s="500"/>
    </row>
    <row r="78" spans="1:7" s="501" customFormat="1" ht="14.25" customHeight="1" x14ac:dyDescent="0.25">
      <c r="A78" s="500"/>
      <c r="B78" s="495" t="s">
        <v>4259</v>
      </c>
      <c r="C78" s="656" t="s">
        <v>2064</v>
      </c>
      <c r="D78" s="496" t="s">
        <v>2185</v>
      </c>
      <c r="E78" s="496" t="s">
        <v>2116</v>
      </c>
      <c r="F78" s="500"/>
      <c r="G78" s="500"/>
    </row>
    <row r="79" spans="1:7" s="501" customFormat="1" ht="14.25" customHeight="1" x14ac:dyDescent="0.25">
      <c r="A79" s="500"/>
      <c r="B79" s="495" t="s">
        <v>4260</v>
      </c>
      <c r="C79" s="508" t="s">
        <v>819</v>
      </c>
      <c r="D79" s="496" t="s">
        <v>2186</v>
      </c>
      <c r="E79" s="496" t="s">
        <v>2117</v>
      </c>
      <c r="F79" s="500"/>
      <c r="G79" s="500"/>
    </row>
    <row r="80" spans="1:7" s="501" customFormat="1" ht="14.25" customHeight="1" x14ac:dyDescent="0.25">
      <c r="A80" s="500"/>
      <c r="B80" s="495" t="s">
        <v>4261</v>
      </c>
      <c r="C80" s="656" t="s">
        <v>2065</v>
      </c>
      <c r="D80" s="496" t="s">
        <v>2187</v>
      </c>
      <c r="E80" s="496" t="s">
        <v>2118</v>
      </c>
      <c r="F80" s="500"/>
      <c r="G80" s="500"/>
    </row>
    <row r="81" spans="1:7" s="501" customFormat="1" ht="14.25" customHeight="1" x14ac:dyDescent="0.25">
      <c r="A81" s="500"/>
      <c r="B81" s="495" t="s">
        <v>4262</v>
      </c>
      <c r="C81" s="656" t="s">
        <v>1700</v>
      </c>
      <c r="D81" s="496" t="s">
        <v>2188</v>
      </c>
      <c r="E81" s="496" t="s">
        <v>2119</v>
      </c>
      <c r="F81" s="500"/>
      <c r="G81" s="500"/>
    </row>
    <row r="82" spans="1:7" s="501" customFormat="1" ht="14.25" customHeight="1" x14ac:dyDescent="0.25">
      <c r="A82" s="500"/>
      <c r="B82" s="495" t="s">
        <v>4263</v>
      </c>
      <c r="C82" s="656" t="s">
        <v>803</v>
      </c>
      <c r="D82" s="496" t="s">
        <v>1757</v>
      </c>
      <c r="E82" s="496" t="s">
        <v>1762</v>
      </c>
      <c r="F82" s="500"/>
      <c r="G82" s="500"/>
    </row>
    <row r="83" spans="1:7" s="501" customFormat="1" ht="14.25" customHeight="1" x14ac:dyDescent="0.25">
      <c r="A83" s="500"/>
      <c r="B83" s="495" t="s">
        <v>4264</v>
      </c>
      <c r="C83" s="656" t="s">
        <v>812</v>
      </c>
      <c r="D83" s="496" t="s">
        <v>1758</v>
      </c>
      <c r="E83" s="496" t="s">
        <v>1759</v>
      </c>
      <c r="F83" s="500"/>
      <c r="G83" s="500"/>
    </row>
    <row r="84" spans="1:7" s="501" customFormat="1" ht="14.25" customHeight="1" x14ac:dyDescent="0.25">
      <c r="A84" s="500"/>
      <c r="B84" s="495" t="s">
        <v>4265</v>
      </c>
      <c r="C84" s="656" t="s">
        <v>1701</v>
      </c>
      <c r="D84" s="582" t="s">
        <v>2033</v>
      </c>
      <c r="E84" s="582" t="s">
        <v>2031</v>
      </c>
      <c r="F84" s="500"/>
      <c r="G84" s="500"/>
    </row>
    <row r="85" spans="1:7" s="501" customFormat="1" ht="14.25" customHeight="1" x14ac:dyDescent="0.25">
      <c r="A85" s="500"/>
      <c r="B85" s="495" t="s">
        <v>4266</v>
      </c>
      <c r="C85" s="656" t="s">
        <v>1702</v>
      </c>
      <c r="D85" s="582" t="s">
        <v>2034</v>
      </c>
      <c r="E85" s="582" t="s">
        <v>2032</v>
      </c>
      <c r="F85" s="500"/>
      <c r="G85" s="500"/>
    </row>
    <row r="86" spans="1:7" s="501" customFormat="1" ht="14.25" customHeight="1" x14ac:dyDescent="0.25">
      <c r="A86" s="500"/>
      <c r="B86" s="495" t="s">
        <v>4267</v>
      </c>
      <c r="C86" s="656" t="s">
        <v>1703</v>
      </c>
      <c r="D86" s="582" t="s">
        <v>2035</v>
      </c>
      <c r="E86" s="582" t="s">
        <v>2039</v>
      </c>
      <c r="F86" s="500"/>
      <c r="G86" s="500"/>
    </row>
    <row r="87" spans="1:7" s="501" customFormat="1" ht="14.25" customHeight="1" x14ac:dyDescent="0.25">
      <c r="A87" s="500"/>
      <c r="B87" s="495" t="s">
        <v>4268</v>
      </c>
      <c r="C87" s="656" t="s">
        <v>1704</v>
      </c>
      <c r="D87" s="582" t="s">
        <v>2036</v>
      </c>
      <c r="E87" s="582" t="s">
        <v>2040</v>
      </c>
      <c r="F87" s="500"/>
      <c r="G87" s="500"/>
    </row>
    <row r="88" spans="1:7" s="501" customFormat="1" ht="14.25" customHeight="1" x14ac:dyDescent="0.25">
      <c r="A88" s="500"/>
      <c r="B88" s="495" t="s">
        <v>4269</v>
      </c>
      <c r="C88" s="656" t="s">
        <v>1705</v>
      </c>
      <c r="D88" s="582" t="s">
        <v>2037</v>
      </c>
      <c r="E88" s="582" t="s">
        <v>2041</v>
      </c>
      <c r="F88" s="500"/>
      <c r="G88" s="500"/>
    </row>
    <row r="89" spans="1:7" s="501" customFormat="1" ht="14.25" customHeight="1" x14ac:dyDescent="0.25">
      <c r="A89" s="500"/>
      <c r="B89" s="495" t="s">
        <v>4270</v>
      </c>
      <c r="C89" s="656" t="s">
        <v>1710</v>
      </c>
      <c r="D89" s="582" t="s">
        <v>2038</v>
      </c>
      <c r="E89" s="582" t="s">
        <v>2042</v>
      </c>
      <c r="F89" s="500"/>
      <c r="G89" s="500"/>
    </row>
    <row r="90" spans="1:7" s="501" customFormat="1" ht="14.25" customHeight="1" x14ac:dyDescent="0.25">
      <c r="A90" s="500"/>
      <c r="B90" s="495" t="s">
        <v>4271</v>
      </c>
      <c r="C90" s="656" t="s">
        <v>1706</v>
      </c>
      <c r="D90" s="582" t="s">
        <v>2030</v>
      </c>
      <c r="E90" s="1197" t="s">
        <v>2391</v>
      </c>
      <c r="F90" s="500"/>
      <c r="G90" s="500"/>
    </row>
    <row r="91" spans="1:7" s="501" customFormat="1" ht="14.25" customHeight="1" x14ac:dyDescent="0.25">
      <c r="A91" s="500"/>
      <c r="B91" s="495" t="s">
        <v>4272</v>
      </c>
      <c r="C91" s="656" t="s">
        <v>1707</v>
      </c>
      <c r="D91" s="582" t="s">
        <v>2029</v>
      </c>
      <c r="E91" s="582" t="s">
        <v>1707</v>
      </c>
      <c r="F91" s="500"/>
      <c r="G91" s="500"/>
    </row>
    <row r="92" spans="1:7" s="501" customFormat="1" ht="14.25" customHeight="1" x14ac:dyDescent="0.25">
      <c r="A92" s="500"/>
      <c r="B92" s="495" t="s">
        <v>4273</v>
      </c>
      <c r="C92" s="656" t="s">
        <v>14</v>
      </c>
      <c r="D92" s="496" t="s">
        <v>468</v>
      </c>
      <c r="E92" s="496" t="s">
        <v>13</v>
      </c>
      <c r="F92" s="500"/>
      <c r="G92" s="500"/>
    </row>
    <row r="93" spans="1:7" s="501" customFormat="1" ht="14.25" customHeight="1" x14ac:dyDescent="0.25">
      <c r="A93" s="500"/>
      <c r="B93" s="495" t="s">
        <v>4274</v>
      </c>
      <c r="C93" s="656" t="s">
        <v>1708</v>
      </c>
      <c r="D93" s="496" t="s">
        <v>2189</v>
      </c>
      <c r="E93" s="496" t="s">
        <v>2120</v>
      </c>
      <c r="F93" s="500"/>
      <c r="G93" s="500"/>
    </row>
    <row r="94" spans="1:7" s="501" customFormat="1" ht="14.25" customHeight="1" x14ac:dyDescent="0.25">
      <c r="A94" s="500"/>
      <c r="B94" s="495" t="s">
        <v>4275</v>
      </c>
      <c r="C94" s="656" t="s">
        <v>1709</v>
      </c>
      <c r="D94" s="496" t="s">
        <v>2190</v>
      </c>
      <c r="E94" s="496" t="s">
        <v>2121</v>
      </c>
      <c r="F94" s="500"/>
      <c r="G94" s="500"/>
    </row>
    <row r="95" spans="1:7" s="501" customFormat="1" ht="14.25" customHeight="1" x14ac:dyDescent="0.25">
      <c r="A95" s="500"/>
      <c r="B95" s="512"/>
      <c r="C95" s="511"/>
      <c r="D95" s="511"/>
      <c r="E95" s="511"/>
      <c r="F95" s="500"/>
      <c r="G95" s="500"/>
    </row>
    <row r="96" spans="1:7" s="501" customFormat="1" ht="14.25" customHeight="1" x14ac:dyDescent="0.25">
      <c r="A96" s="500"/>
      <c r="B96" s="500"/>
      <c r="C96" s="500"/>
      <c r="D96" s="500"/>
      <c r="E96" s="500"/>
      <c r="F96" s="500"/>
      <c r="G96" s="500"/>
    </row>
    <row r="97" spans="1:7" s="501" customFormat="1" ht="14.25" customHeight="1" x14ac:dyDescent="0.25">
      <c r="A97" s="500"/>
      <c r="B97" s="505" t="s">
        <v>1741</v>
      </c>
      <c r="C97" s="505" t="s">
        <v>269</v>
      </c>
      <c r="D97" s="505" t="s">
        <v>7</v>
      </c>
      <c r="E97" s="505" t="s">
        <v>6</v>
      </c>
      <c r="F97" s="500"/>
      <c r="G97" s="500"/>
    </row>
    <row r="98" spans="1:7" s="501" customFormat="1" ht="14.25" customHeight="1" x14ac:dyDescent="0.25">
      <c r="A98" s="500"/>
      <c r="B98" s="500"/>
      <c r="C98" s="500"/>
      <c r="D98" s="500"/>
      <c r="E98" s="500"/>
      <c r="F98" s="500"/>
      <c r="G98" s="500"/>
    </row>
    <row r="99" spans="1:7" s="501" customFormat="1" ht="14.25" customHeight="1" x14ac:dyDescent="0.25">
      <c r="A99" s="500"/>
      <c r="B99" s="623" t="s">
        <v>1742</v>
      </c>
      <c r="C99" s="496" t="s">
        <v>344</v>
      </c>
      <c r="D99" s="496" t="s">
        <v>345</v>
      </c>
      <c r="E99" s="655" t="s">
        <v>561</v>
      </c>
      <c r="F99" s="500"/>
      <c r="G99" s="500"/>
    </row>
    <row r="100" spans="1:7" s="501" customFormat="1" ht="14.25" customHeight="1" x14ac:dyDescent="0.2">
      <c r="A100" s="500"/>
      <c r="B100" s="623" t="s">
        <v>1743</v>
      </c>
      <c r="C100" s="1237" t="s">
        <v>4879</v>
      </c>
      <c r="D100" s="1248" t="s">
        <v>4970</v>
      </c>
      <c r="E100" s="51" t="s">
        <v>4971</v>
      </c>
      <c r="F100" s="500"/>
      <c r="G100" s="500"/>
    </row>
    <row r="101" spans="1:7" s="501" customFormat="1" ht="14.25" customHeight="1" x14ac:dyDescent="0.25">
      <c r="A101" s="500"/>
      <c r="B101" s="623" t="s">
        <v>1744</v>
      </c>
      <c r="C101" s="1239" t="s">
        <v>4883</v>
      </c>
      <c r="D101" s="1239" t="s">
        <v>4884</v>
      </c>
      <c r="E101" s="1240" t="s">
        <v>4885</v>
      </c>
      <c r="F101" s="500"/>
      <c r="G101" s="500"/>
    </row>
    <row r="102" spans="1:7" s="501" customFormat="1" ht="14.25" customHeight="1" x14ac:dyDescent="0.25">
      <c r="A102" s="500"/>
      <c r="B102" s="623" t="s">
        <v>1745</v>
      </c>
      <c r="C102" s="496" t="s">
        <v>1979</v>
      </c>
      <c r="D102" s="496" t="s">
        <v>2191</v>
      </c>
      <c r="E102" s="655" t="s">
        <v>1980</v>
      </c>
      <c r="F102" s="500"/>
      <c r="G102" s="500"/>
    </row>
    <row r="103" spans="1:7" s="501" customFormat="1" ht="14.25" customHeight="1" x14ac:dyDescent="0.25">
      <c r="A103" s="500"/>
      <c r="B103" s="623" t="s">
        <v>1746</v>
      </c>
      <c r="C103" s="496" t="s">
        <v>346</v>
      </c>
      <c r="D103" s="495" t="s">
        <v>543</v>
      </c>
      <c r="E103" s="655" t="s">
        <v>21</v>
      </c>
      <c r="F103" s="500"/>
    </row>
    <row r="104" spans="1:7" s="501" customFormat="1" ht="14.25" customHeight="1" x14ac:dyDescent="0.25">
      <c r="A104" s="500"/>
      <c r="B104" s="623" t="s">
        <v>1747</v>
      </c>
      <c r="C104" s="1183" t="s">
        <v>3980</v>
      </c>
      <c r="D104" s="1183" t="s">
        <v>3981</v>
      </c>
      <c r="E104" s="1184" t="s">
        <v>3982</v>
      </c>
      <c r="F104" s="500"/>
      <c r="G104" s="1262" t="s">
        <v>5016</v>
      </c>
    </row>
    <row r="105" spans="1:7" s="501" customFormat="1" ht="14.25" customHeight="1" x14ac:dyDescent="0.25">
      <c r="A105" s="500"/>
      <c r="B105" s="623" t="s">
        <v>1748</v>
      </c>
      <c r="C105" s="1263" t="str">
        <f>"BE Tilde "&amp;$G$105</f>
        <v>BE Tilde Schaden</v>
      </c>
      <c r="D105" s="1263" t="str">
        <f t="shared" ref="D105:E105" si="0">"BE Tilde "&amp;$G$105</f>
        <v>BE Tilde Schaden</v>
      </c>
      <c r="E105" s="1263" t="str">
        <f t="shared" si="0"/>
        <v>BE Tilde Schaden</v>
      </c>
      <c r="F105" s="500"/>
      <c r="G105" s="1262" t="str">
        <f>IF(OR(Branch="",Branch=VLOOKUP("T.01.04",Translation,LanguageNo+1,FALSE),Branch=VLOOKUP("T.01.06",Translation,LanguageNo+1,FALSE)),VLOOKUP("T.01.05",Translation,LanguageNo+1,FALSE),Branch)</f>
        <v>Schaden</v>
      </c>
    </row>
    <row r="106" spans="1:7" s="501" customFormat="1" ht="14.25" customHeight="1" x14ac:dyDescent="0.25">
      <c r="A106" s="500"/>
      <c r="B106" s="623" t="s">
        <v>1749</v>
      </c>
      <c r="C106" s="1263" t="str">
        <f>"Chi "&amp;$G$105</f>
        <v>Chi Schaden</v>
      </c>
      <c r="D106" s="1263" t="str">
        <f t="shared" ref="D106:E106" si="1">"Chi "&amp;$G$105</f>
        <v>Chi Schaden</v>
      </c>
      <c r="E106" s="1263" t="str">
        <f t="shared" si="1"/>
        <v>Chi Schaden</v>
      </c>
      <c r="F106" s="500"/>
      <c r="G106" s="500"/>
    </row>
    <row r="107" spans="1:7" s="501" customFormat="1" ht="14.25" customHeight="1" x14ac:dyDescent="0.25">
      <c r="A107" s="500"/>
      <c r="B107" s="623" t="s">
        <v>1750</v>
      </c>
      <c r="C107" s="1183" t="s">
        <v>3983</v>
      </c>
      <c r="D107" s="1183" t="s">
        <v>3984</v>
      </c>
      <c r="E107" s="1184" t="s">
        <v>3985</v>
      </c>
      <c r="G107" s="500"/>
    </row>
    <row r="108" spans="1:7" s="501" customFormat="1" ht="14.25" customHeight="1" x14ac:dyDescent="0.25">
      <c r="A108" s="500"/>
      <c r="B108" s="623" t="s">
        <v>1751</v>
      </c>
      <c r="C108" s="1263" t="str">
        <f>"MVM "&amp;$G$105</f>
        <v>MVM Schaden</v>
      </c>
      <c r="D108" s="1263" t="str">
        <f t="shared" ref="D108:E108" si="2">"MVM "&amp;$G$105</f>
        <v>MVM Schaden</v>
      </c>
      <c r="E108" s="1263" t="str">
        <f t="shared" si="2"/>
        <v>MVM Schaden</v>
      </c>
      <c r="F108" s="500"/>
      <c r="G108" s="500"/>
    </row>
    <row r="109" spans="1:7" s="501" customFormat="1" ht="14.25" customHeight="1" x14ac:dyDescent="0.25">
      <c r="A109" s="500"/>
      <c r="B109" s="623" t="s">
        <v>1752</v>
      </c>
      <c r="C109" s="495" t="s">
        <v>1794</v>
      </c>
      <c r="D109" s="495" t="s">
        <v>1793</v>
      </c>
      <c r="E109" s="655" t="s">
        <v>1798</v>
      </c>
      <c r="F109" s="500"/>
      <c r="G109" s="500"/>
    </row>
    <row r="110" spans="1:7" s="501" customFormat="1" ht="14.25" customHeight="1" x14ac:dyDescent="0.25">
      <c r="A110" s="500"/>
      <c r="B110" s="623" t="s">
        <v>1753</v>
      </c>
      <c r="C110" s="496" t="s">
        <v>1938</v>
      </c>
      <c r="D110" s="552" t="s">
        <v>1946</v>
      </c>
      <c r="E110" s="655" t="s">
        <v>1947</v>
      </c>
      <c r="F110" s="500"/>
      <c r="G110" s="500"/>
    </row>
    <row r="111" spans="1:7" s="501" customFormat="1" ht="14.25" customHeight="1" x14ac:dyDescent="0.25">
      <c r="A111" s="500"/>
      <c r="B111" s="623" t="s">
        <v>1754</v>
      </c>
      <c r="C111" s="496" t="s">
        <v>1939</v>
      </c>
      <c r="D111" s="552" t="s">
        <v>1951</v>
      </c>
      <c r="E111" s="655" t="s">
        <v>1950</v>
      </c>
      <c r="F111" s="500"/>
      <c r="G111" s="500"/>
    </row>
    <row r="112" spans="1:7" s="501" customFormat="1" ht="14.25" customHeight="1" x14ac:dyDescent="0.2">
      <c r="A112" s="500"/>
      <c r="B112" s="623" t="s">
        <v>1755</v>
      </c>
      <c r="C112" s="1119" t="s">
        <v>3798</v>
      </c>
      <c r="D112" s="1120" t="s">
        <v>3799</v>
      </c>
      <c r="E112" s="1121" t="s">
        <v>3800</v>
      </c>
      <c r="F112" s="500"/>
      <c r="G112" s="500"/>
    </row>
    <row r="113" spans="1:7" s="501" customFormat="1" ht="14.25" customHeight="1" x14ac:dyDescent="0.25">
      <c r="A113" s="500"/>
      <c r="B113" s="623" t="s">
        <v>1756</v>
      </c>
      <c r="C113" s="496" t="s">
        <v>1941</v>
      </c>
      <c r="D113" s="552" t="s">
        <v>1952</v>
      </c>
      <c r="E113" s="655" t="s">
        <v>1949</v>
      </c>
      <c r="F113" s="500"/>
      <c r="G113" s="500"/>
    </row>
    <row r="114" spans="1:7" s="501" customFormat="1" ht="14.25" customHeight="1" x14ac:dyDescent="0.25">
      <c r="A114" s="500"/>
      <c r="B114" s="508" t="s">
        <v>4276</v>
      </c>
      <c r="C114" s="496" t="s">
        <v>3510</v>
      </c>
      <c r="D114" s="1197" t="s">
        <v>4183</v>
      </c>
      <c r="E114" s="1203" t="s">
        <v>4192</v>
      </c>
      <c r="F114" s="500"/>
      <c r="G114" s="500"/>
    </row>
    <row r="115" spans="1:7" s="501" customFormat="1" ht="14.25" customHeight="1" x14ac:dyDescent="0.25">
      <c r="A115" s="500"/>
      <c r="B115" s="508" t="s">
        <v>4277</v>
      </c>
      <c r="C115" s="496" t="s">
        <v>3511</v>
      </c>
      <c r="D115" s="1197" t="s">
        <v>4182</v>
      </c>
      <c r="E115" s="1203" t="s">
        <v>4193</v>
      </c>
      <c r="F115" s="500"/>
      <c r="G115" s="500"/>
    </row>
    <row r="116" spans="1:7" s="501" customFormat="1" ht="14.25" customHeight="1" x14ac:dyDescent="0.25">
      <c r="A116" s="500"/>
      <c r="B116" s="623" t="s">
        <v>4278</v>
      </c>
      <c r="C116" s="496" t="s">
        <v>3512</v>
      </c>
      <c r="D116" s="1197" t="s">
        <v>4184</v>
      </c>
      <c r="E116" s="1203" t="s">
        <v>4194</v>
      </c>
      <c r="F116" s="500"/>
      <c r="G116" s="500"/>
    </row>
    <row r="117" spans="1:7" s="501" customFormat="1" ht="14.25" customHeight="1" x14ac:dyDescent="0.25">
      <c r="A117" s="500"/>
      <c r="B117" s="508" t="s">
        <v>4279</v>
      </c>
      <c r="C117" s="511" t="s">
        <v>3513</v>
      </c>
      <c r="D117" s="1205" t="s">
        <v>3514</v>
      </c>
      <c r="E117" s="655" t="s">
        <v>3514</v>
      </c>
      <c r="F117" s="500"/>
      <c r="G117" s="500"/>
    </row>
    <row r="118" spans="1:7" s="501" customFormat="1" ht="14.25" customHeight="1" x14ac:dyDescent="0.25">
      <c r="A118" s="500"/>
      <c r="B118" s="623" t="s">
        <v>4280</v>
      </c>
      <c r="C118" s="1237" t="s">
        <v>4880</v>
      </c>
      <c r="D118" s="1237" t="s">
        <v>4881</v>
      </c>
      <c r="E118" s="1238" t="s">
        <v>4882</v>
      </c>
      <c r="F118" s="500"/>
      <c r="G118" s="500"/>
    </row>
    <row r="119" spans="1:7" s="501" customFormat="1" ht="14.25" customHeight="1" x14ac:dyDescent="0.25">
      <c r="A119" s="500"/>
      <c r="B119" s="623" t="s">
        <v>4281</v>
      </c>
      <c r="C119" s="1242" t="s">
        <v>4910</v>
      </c>
      <c r="D119" s="1242" t="s">
        <v>4911</v>
      </c>
      <c r="E119" s="1243" t="s">
        <v>4912</v>
      </c>
      <c r="F119" s="500"/>
      <c r="G119" s="500"/>
    </row>
    <row r="120" spans="1:7" s="501" customFormat="1" ht="14.25" customHeight="1" x14ac:dyDescent="0.25">
      <c r="A120" s="500"/>
      <c r="B120" s="623" t="s">
        <v>4282</v>
      </c>
      <c r="C120" s="782" t="s">
        <v>3170</v>
      </c>
      <c r="D120" s="1026" t="s">
        <v>3288</v>
      </c>
      <c r="E120" s="782" t="s">
        <v>3171</v>
      </c>
      <c r="F120" s="500"/>
      <c r="G120" s="500"/>
    </row>
    <row r="121" spans="1:7" s="501" customFormat="1" ht="14.25" customHeight="1" x14ac:dyDescent="0.25">
      <c r="A121" s="500"/>
      <c r="B121" s="508" t="s">
        <v>4283</v>
      </c>
      <c r="C121" s="782" t="s">
        <v>2745</v>
      </c>
      <c r="D121" s="782" t="s">
        <v>2746</v>
      </c>
      <c r="E121" s="757" t="s">
        <v>2501</v>
      </c>
      <c r="F121" s="500"/>
      <c r="G121" s="500"/>
    </row>
    <row r="122" spans="1:7" s="501" customFormat="1" ht="14.25" customHeight="1" x14ac:dyDescent="0.25">
      <c r="A122" s="500"/>
      <c r="B122" s="1197" t="s">
        <v>4284</v>
      </c>
      <c r="C122" s="782" t="s">
        <v>2747</v>
      </c>
      <c r="D122" s="782" t="s">
        <v>2749</v>
      </c>
      <c r="E122" s="781" t="s">
        <v>2748</v>
      </c>
      <c r="F122" s="500"/>
      <c r="G122" s="500"/>
    </row>
    <row r="123" spans="1:7" s="501" customFormat="1" ht="14.25" customHeight="1" x14ac:dyDescent="0.25">
      <c r="A123" s="500"/>
      <c r="B123" s="1197" t="s">
        <v>4285</v>
      </c>
      <c r="C123" s="1256" t="s">
        <v>4995</v>
      </c>
      <c r="D123" s="1256" t="s">
        <v>4996</v>
      </c>
      <c r="E123" s="1257" t="s">
        <v>4997</v>
      </c>
      <c r="F123" s="500"/>
      <c r="G123" s="500"/>
    </row>
    <row r="124" spans="1:7" s="501" customFormat="1" ht="14.25" customHeight="1" x14ac:dyDescent="0.25">
      <c r="A124" s="500"/>
      <c r="B124" s="1197" t="s">
        <v>4286</v>
      </c>
      <c r="C124" s="1242" t="s">
        <v>4913</v>
      </c>
      <c r="D124" s="1242" t="s">
        <v>4914</v>
      </c>
      <c r="E124" s="1243" t="s">
        <v>4915</v>
      </c>
      <c r="F124" s="500"/>
      <c r="G124" s="500"/>
    </row>
    <row r="125" spans="1:7" s="501" customFormat="1" ht="14.25" customHeight="1" x14ac:dyDescent="0.25">
      <c r="A125" s="500"/>
      <c r="B125" s="508" t="s">
        <v>4287</v>
      </c>
      <c r="C125" s="1197" t="s">
        <v>4179</v>
      </c>
      <c r="D125" s="920" t="s">
        <v>3200</v>
      </c>
      <c r="E125" s="921" t="s">
        <v>3201</v>
      </c>
      <c r="F125" s="500"/>
      <c r="G125" s="500"/>
    </row>
    <row r="126" spans="1:7" s="501" customFormat="1" ht="14.25" customHeight="1" x14ac:dyDescent="0.25">
      <c r="A126" s="500"/>
      <c r="B126" s="1197" t="s">
        <v>4288</v>
      </c>
      <c r="C126" s="1197" t="s">
        <v>4190</v>
      </c>
      <c r="D126" s="1197" t="s">
        <v>4191</v>
      </c>
      <c r="E126" s="1203" t="s">
        <v>4187</v>
      </c>
      <c r="F126" s="500"/>
      <c r="G126" s="500"/>
    </row>
    <row r="127" spans="1:7" s="501" customFormat="1" ht="14.25" customHeight="1" x14ac:dyDescent="0.25">
      <c r="A127" s="500"/>
      <c r="B127" s="1197" t="s">
        <v>4289</v>
      </c>
      <c r="C127" s="1191" t="s">
        <v>4137</v>
      </c>
      <c r="D127" s="1192" t="s">
        <v>4136</v>
      </c>
      <c r="E127" s="1203" t="s">
        <v>4188</v>
      </c>
      <c r="F127" s="500"/>
      <c r="G127" s="500"/>
    </row>
    <row r="128" spans="1:7" s="501" customFormat="1" ht="14.25" customHeight="1" x14ac:dyDescent="0.25">
      <c r="A128" s="500"/>
      <c r="B128" s="1197" t="s">
        <v>4290</v>
      </c>
      <c r="C128" s="1197" t="s">
        <v>4185</v>
      </c>
      <c r="D128" s="1197" t="s">
        <v>4186</v>
      </c>
      <c r="E128" s="1203" t="s">
        <v>4189</v>
      </c>
      <c r="F128" s="500"/>
      <c r="G128" s="500"/>
    </row>
    <row r="129" spans="1:7" s="501" customFormat="1" ht="14.25" customHeight="1" x14ac:dyDescent="0.25">
      <c r="A129" s="500"/>
      <c r="B129" s="1204"/>
      <c r="C129" s="1206"/>
      <c r="D129" s="1206"/>
      <c r="E129" s="1207"/>
      <c r="F129" s="500"/>
      <c r="G129" s="500"/>
    </row>
    <row r="130" spans="1:7" s="501" customFormat="1" ht="14.25" customHeight="1" x14ac:dyDescent="0.25">
      <c r="A130" s="500"/>
      <c r="B130" s="1204"/>
      <c r="C130" s="1206"/>
      <c r="D130" s="1206"/>
      <c r="E130" s="1207"/>
      <c r="F130" s="500"/>
      <c r="G130" s="500"/>
    </row>
    <row r="131" spans="1:7" s="501" customFormat="1" ht="14.25" customHeight="1" x14ac:dyDescent="0.25">
      <c r="A131" s="500"/>
      <c r="B131" s="505" t="s">
        <v>1763</v>
      </c>
      <c r="C131" s="505" t="s">
        <v>822</v>
      </c>
      <c r="D131" s="505" t="s">
        <v>1430</v>
      </c>
      <c r="E131" s="505" t="s">
        <v>1431</v>
      </c>
      <c r="F131" s="500"/>
      <c r="G131" s="500"/>
    </row>
    <row r="132" spans="1:7" s="501" customFormat="1" ht="14.25" customHeight="1" x14ac:dyDescent="0.25">
      <c r="A132" s="500"/>
      <c r="B132" s="513"/>
      <c r="C132" s="511"/>
      <c r="D132" s="511"/>
      <c r="E132" s="511"/>
      <c r="F132" s="500"/>
      <c r="G132" s="500"/>
    </row>
    <row r="133" spans="1:7" s="501" customFormat="1" ht="14.25" customHeight="1" x14ac:dyDescent="0.25">
      <c r="A133" s="500"/>
      <c r="B133" s="509" t="s">
        <v>1765</v>
      </c>
      <c r="C133" s="496" t="s">
        <v>822</v>
      </c>
      <c r="D133" s="496" t="s">
        <v>1430</v>
      </c>
      <c r="E133" s="655" t="s">
        <v>1431</v>
      </c>
      <c r="F133" s="500"/>
      <c r="G133" s="500"/>
    </row>
    <row r="134" spans="1:7" s="501" customFormat="1" ht="14.25" customHeight="1" x14ac:dyDescent="0.25">
      <c r="A134" s="500"/>
      <c r="B134" s="509" t="s">
        <v>1766</v>
      </c>
      <c r="C134" s="496" t="s">
        <v>847</v>
      </c>
      <c r="D134" s="496" t="s">
        <v>1481</v>
      </c>
      <c r="E134" s="655" t="s">
        <v>1480</v>
      </c>
      <c r="F134" s="500"/>
      <c r="G134" s="500"/>
    </row>
    <row r="135" spans="1:7" s="501" customFormat="1" ht="14.25" customHeight="1" x14ac:dyDescent="0.25">
      <c r="A135" s="500"/>
      <c r="B135" s="509" t="s">
        <v>1767</v>
      </c>
      <c r="C135" s="654" t="s">
        <v>2257</v>
      </c>
      <c r="D135" s="654" t="s">
        <v>2258</v>
      </c>
      <c r="E135" s="655" t="s">
        <v>2259</v>
      </c>
      <c r="F135" s="500"/>
      <c r="G135" s="500"/>
    </row>
    <row r="136" spans="1:7" s="501" customFormat="1" ht="14.25" customHeight="1" x14ac:dyDescent="0.25">
      <c r="A136" s="500"/>
      <c r="B136" s="509" t="s">
        <v>1768</v>
      </c>
      <c r="C136" s="1249" t="s">
        <v>4972</v>
      </c>
      <c r="D136" s="1249" t="s">
        <v>4973</v>
      </c>
      <c r="E136" s="1254" t="s">
        <v>4986</v>
      </c>
      <c r="F136" s="500"/>
      <c r="G136" s="500"/>
    </row>
    <row r="137" spans="1:7" s="501" customFormat="1" ht="14.25" customHeight="1" x14ac:dyDescent="0.25">
      <c r="A137" s="500"/>
      <c r="B137" s="509" t="s">
        <v>1769</v>
      </c>
      <c r="C137" s="496" t="s">
        <v>1479</v>
      </c>
      <c r="D137" s="496" t="s">
        <v>1482</v>
      </c>
      <c r="E137" s="655" t="s">
        <v>1483</v>
      </c>
      <c r="F137" s="500"/>
      <c r="G137" s="500"/>
    </row>
    <row r="138" spans="1:7" s="501" customFormat="1" ht="14.25" customHeight="1" x14ac:dyDescent="0.25">
      <c r="A138" s="500"/>
      <c r="B138" s="509" t="s">
        <v>1770</v>
      </c>
      <c r="C138" s="496" t="s">
        <v>848</v>
      </c>
      <c r="D138" s="496" t="s">
        <v>1484</v>
      </c>
      <c r="E138" s="655" t="s">
        <v>1485</v>
      </c>
      <c r="F138" s="500"/>
      <c r="G138" s="500"/>
    </row>
    <row r="139" spans="1:7" s="501" customFormat="1" ht="14.25" customHeight="1" x14ac:dyDescent="0.25">
      <c r="A139" s="500"/>
      <c r="B139" s="509"/>
      <c r="C139" s="496"/>
      <c r="D139" s="496"/>
      <c r="E139" s="496"/>
      <c r="F139" s="500"/>
      <c r="G139" s="500"/>
    </row>
    <row r="140" spans="1:7" s="501" customFormat="1" ht="14.25" customHeight="1" x14ac:dyDescent="0.25">
      <c r="A140" s="500"/>
      <c r="B140" s="509" t="s">
        <v>1771</v>
      </c>
      <c r="C140" s="496" t="s">
        <v>850</v>
      </c>
      <c r="D140" s="844" t="s">
        <v>3019</v>
      </c>
      <c r="E140" s="496" t="s">
        <v>851</v>
      </c>
      <c r="F140" s="500"/>
      <c r="G140" s="500"/>
    </row>
    <row r="141" spans="1:7" s="501" customFormat="1" ht="14.25" customHeight="1" x14ac:dyDescent="0.25">
      <c r="A141" s="500"/>
      <c r="B141" s="509" t="s">
        <v>1772</v>
      </c>
      <c r="C141" s="496" t="s">
        <v>853</v>
      </c>
      <c r="D141" s="844" t="s">
        <v>3018</v>
      </c>
      <c r="E141" s="496" t="s">
        <v>854</v>
      </c>
      <c r="F141" s="500"/>
      <c r="G141" s="500"/>
    </row>
    <row r="142" spans="1:7" s="501" customFormat="1" ht="14.25" customHeight="1" x14ac:dyDescent="0.25">
      <c r="A142" s="500"/>
      <c r="B142" s="509" t="s">
        <v>1773</v>
      </c>
      <c r="C142" s="496" t="s">
        <v>856</v>
      </c>
      <c r="D142" s="496" t="s">
        <v>857</v>
      </c>
      <c r="E142" s="496" t="s">
        <v>858</v>
      </c>
      <c r="F142" s="500"/>
      <c r="G142" s="500"/>
    </row>
    <row r="143" spans="1:7" s="501" customFormat="1" ht="14.25" customHeight="1" x14ac:dyDescent="0.25">
      <c r="A143" s="500"/>
      <c r="B143" s="509" t="s">
        <v>1774</v>
      </c>
      <c r="C143" s="496" t="s">
        <v>860</v>
      </c>
      <c r="D143" s="496" t="s">
        <v>861</v>
      </c>
      <c r="E143" s="496" t="s">
        <v>862</v>
      </c>
      <c r="F143" s="500"/>
      <c r="G143" s="500"/>
    </row>
    <row r="144" spans="1:7" s="501" customFormat="1" ht="14.25" customHeight="1" x14ac:dyDescent="0.25">
      <c r="A144" s="500"/>
      <c r="B144" s="509" t="s">
        <v>1775</v>
      </c>
      <c r="C144" s="496" t="s">
        <v>864</v>
      </c>
      <c r="D144" s="496" t="s">
        <v>865</v>
      </c>
      <c r="E144" s="496" t="s">
        <v>866</v>
      </c>
      <c r="F144" s="500"/>
      <c r="G144" s="500"/>
    </row>
    <row r="145" spans="1:7" s="501" customFormat="1" ht="14.25" customHeight="1" x14ac:dyDescent="0.25">
      <c r="A145" s="500"/>
      <c r="B145" s="509" t="s">
        <v>1776</v>
      </c>
      <c r="C145" s="496" t="s">
        <v>868</v>
      </c>
      <c r="D145" s="496" t="s">
        <v>869</v>
      </c>
      <c r="E145" s="496" t="s">
        <v>870</v>
      </c>
      <c r="F145" s="500"/>
      <c r="G145" s="500"/>
    </row>
    <row r="146" spans="1:7" s="501" customFormat="1" ht="14.25" customHeight="1" x14ac:dyDescent="0.25">
      <c r="A146" s="500"/>
      <c r="B146" s="509" t="s">
        <v>1777</v>
      </c>
      <c r="C146" s="496" t="s">
        <v>872</v>
      </c>
      <c r="D146" s="496" t="s">
        <v>873</v>
      </c>
      <c r="E146" s="838" t="s">
        <v>2819</v>
      </c>
      <c r="F146" s="500"/>
      <c r="G146" s="500"/>
    </row>
    <row r="147" spans="1:7" s="501" customFormat="1" ht="14.25" customHeight="1" x14ac:dyDescent="0.25">
      <c r="A147" s="500"/>
      <c r="B147" s="509" t="s">
        <v>1778</v>
      </c>
      <c r="C147" s="496" t="s">
        <v>875</v>
      </c>
      <c r="D147" s="496" t="s">
        <v>876</v>
      </c>
      <c r="E147" s="496" t="s">
        <v>877</v>
      </c>
      <c r="F147" s="500"/>
      <c r="G147" s="500"/>
    </row>
    <row r="148" spans="1:7" s="501" customFormat="1" ht="14.25" customHeight="1" x14ac:dyDescent="0.25">
      <c r="A148" s="500"/>
      <c r="B148" s="509" t="s">
        <v>1779</v>
      </c>
      <c r="C148" s="496" t="s">
        <v>879</v>
      </c>
      <c r="D148" s="496" t="s">
        <v>880</v>
      </c>
      <c r="E148" s="496" t="s">
        <v>881</v>
      </c>
      <c r="F148" s="500"/>
      <c r="G148" s="500"/>
    </row>
    <row r="149" spans="1:7" s="501" customFormat="1" ht="14.25" customHeight="1" x14ac:dyDescent="0.25">
      <c r="A149" s="500"/>
      <c r="B149" s="509" t="s">
        <v>1780</v>
      </c>
      <c r="C149" s="496" t="s">
        <v>884</v>
      </c>
      <c r="D149" s="496" t="s">
        <v>885</v>
      </c>
      <c r="E149" s="496" t="s">
        <v>886</v>
      </c>
      <c r="F149" s="500"/>
      <c r="G149" s="500"/>
    </row>
    <row r="150" spans="1:7" s="501" customFormat="1" ht="14.25" customHeight="1" x14ac:dyDescent="0.25">
      <c r="A150" s="500"/>
      <c r="B150" s="509" t="s">
        <v>1781</v>
      </c>
      <c r="C150" s="496" t="s">
        <v>888</v>
      </c>
      <c r="D150" s="496" t="s">
        <v>889</v>
      </c>
      <c r="E150" s="496" t="s">
        <v>890</v>
      </c>
      <c r="F150" s="500"/>
      <c r="G150" s="500"/>
    </row>
    <row r="151" spans="1:7" s="501" customFormat="1" ht="14.25" customHeight="1" x14ac:dyDescent="0.25">
      <c r="A151" s="500"/>
      <c r="B151" s="509"/>
      <c r="C151" s="496"/>
      <c r="D151" s="496"/>
      <c r="E151" s="496"/>
      <c r="F151" s="500"/>
      <c r="G151" s="500"/>
    </row>
    <row r="152" spans="1:7" s="501" customFormat="1" ht="14.25" customHeight="1" x14ac:dyDescent="0.25">
      <c r="A152" s="500"/>
      <c r="B152" s="509" t="s">
        <v>1782</v>
      </c>
      <c r="C152" s="496" t="s">
        <v>892</v>
      </c>
      <c r="D152" s="496" t="s">
        <v>893</v>
      </c>
      <c r="E152" s="496" t="s">
        <v>894</v>
      </c>
      <c r="F152" s="500"/>
      <c r="G152" s="500"/>
    </row>
    <row r="153" spans="1:7" s="501" customFormat="1" ht="14.25" customHeight="1" x14ac:dyDescent="0.25">
      <c r="A153" s="500"/>
      <c r="B153" s="509" t="s">
        <v>1783</v>
      </c>
      <c r="C153" s="496" t="s">
        <v>823</v>
      </c>
      <c r="D153" s="496" t="s">
        <v>896</v>
      </c>
      <c r="E153" s="496" t="s">
        <v>2815</v>
      </c>
      <c r="F153" s="500"/>
      <c r="G153" s="500"/>
    </row>
    <row r="154" spans="1:7" s="501" customFormat="1" ht="14.25" customHeight="1" x14ac:dyDescent="0.25">
      <c r="A154" s="500"/>
      <c r="B154" s="509" t="s">
        <v>1784</v>
      </c>
      <c r="C154" s="496" t="s">
        <v>898</v>
      </c>
      <c r="D154" s="496" t="s">
        <v>899</v>
      </c>
      <c r="E154" s="838" t="s">
        <v>2817</v>
      </c>
      <c r="F154" s="500"/>
      <c r="G154" s="500"/>
    </row>
    <row r="155" spans="1:7" s="501" customFormat="1" ht="14.25" customHeight="1" x14ac:dyDescent="0.25">
      <c r="A155" s="500"/>
      <c r="B155" s="509" t="s">
        <v>1785</v>
      </c>
      <c r="C155" s="496" t="s">
        <v>901</v>
      </c>
      <c r="D155" s="496" t="s">
        <v>902</v>
      </c>
      <c r="E155" s="838" t="s">
        <v>2818</v>
      </c>
      <c r="F155" s="500"/>
      <c r="G155" s="500"/>
    </row>
    <row r="156" spans="1:7" s="501" customFormat="1" ht="14.25" customHeight="1" x14ac:dyDescent="0.25">
      <c r="A156" s="500"/>
      <c r="C156" s="496"/>
      <c r="D156" s="496"/>
      <c r="E156" s="496"/>
      <c r="F156" s="500"/>
      <c r="G156" s="500"/>
    </row>
    <row r="157" spans="1:7" s="501" customFormat="1" ht="14.25" customHeight="1" x14ac:dyDescent="0.25">
      <c r="A157" s="500"/>
      <c r="B157" s="509" t="s">
        <v>1786</v>
      </c>
      <c r="C157" s="496" t="s">
        <v>824</v>
      </c>
      <c r="D157" s="509" t="s">
        <v>1493</v>
      </c>
      <c r="E157" s="509" t="s">
        <v>2816</v>
      </c>
      <c r="F157" s="500"/>
      <c r="G157" s="500"/>
    </row>
    <row r="158" spans="1:7" s="501" customFormat="1" ht="14.25" customHeight="1" x14ac:dyDescent="0.25">
      <c r="A158" s="500"/>
      <c r="B158" s="509" t="s">
        <v>1787</v>
      </c>
      <c r="C158" s="496" t="s">
        <v>898</v>
      </c>
      <c r="D158" s="496" t="s">
        <v>899</v>
      </c>
      <c r="E158" s="496" t="s">
        <v>2817</v>
      </c>
      <c r="F158" s="500"/>
      <c r="G158" s="500"/>
    </row>
    <row r="159" spans="1:7" s="501" customFormat="1" ht="14.25" customHeight="1" x14ac:dyDescent="0.25">
      <c r="A159" s="500"/>
      <c r="B159" s="509" t="s">
        <v>1788</v>
      </c>
      <c r="C159" s="496" t="s">
        <v>901</v>
      </c>
      <c r="D159" s="496" t="s">
        <v>902</v>
      </c>
      <c r="E159" s="496" t="s">
        <v>2818</v>
      </c>
      <c r="F159" s="500"/>
      <c r="G159" s="500"/>
    </row>
    <row r="160" spans="1:7" s="501" customFormat="1" ht="14.25" customHeight="1" x14ac:dyDescent="0.25">
      <c r="A160" s="500"/>
      <c r="C160" s="496"/>
      <c r="D160" s="496"/>
      <c r="E160" s="496"/>
      <c r="F160" s="500"/>
      <c r="G160" s="500"/>
    </row>
    <row r="161" spans="1:7" s="501" customFormat="1" ht="14.25" customHeight="1" x14ac:dyDescent="0.25">
      <c r="A161" s="500"/>
      <c r="B161" s="509" t="s">
        <v>1789</v>
      </c>
      <c r="C161" s="496" t="s">
        <v>911</v>
      </c>
      <c r="D161" s="496" t="s">
        <v>912</v>
      </c>
      <c r="E161" s="844" t="s">
        <v>3025</v>
      </c>
      <c r="F161" s="500"/>
      <c r="G161" s="500"/>
    </row>
    <row r="162" spans="1:7" s="501" customFormat="1" ht="14.25" customHeight="1" x14ac:dyDescent="0.25">
      <c r="A162" s="500"/>
      <c r="B162" s="509" t="s">
        <v>1790</v>
      </c>
      <c r="C162" s="496" t="s">
        <v>914</v>
      </c>
      <c r="D162" s="844" t="s">
        <v>3006</v>
      </c>
      <c r="E162" s="838" t="s">
        <v>2820</v>
      </c>
      <c r="F162" s="500"/>
      <c r="G162" s="500"/>
    </row>
    <row r="163" spans="1:7" s="501" customFormat="1" ht="14.25" customHeight="1" x14ac:dyDescent="0.25">
      <c r="A163" s="500"/>
      <c r="B163" s="509" t="s">
        <v>1791</v>
      </c>
      <c r="C163" s="665" t="s">
        <v>2285</v>
      </c>
      <c r="D163" s="665" t="s">
        <v>2286</v>
      </c>
      <c r="E163" s="665" t="s">
        <v>2287</v>
      </c>
      <c r="F163" s="500"/>
      <c r="G163" s="500"/>
    </row>
    <row r="164" spans="1:7" s="501" customFormat="1" ht="14.25" customHeight="1" x14ac:dyDescent="0.25">
      <c r="A164" s="500"/>
      <c r="B164" s="509" t="s">
        <v>1792</v>
      </c>
      <c r="C164" s="496" t="s">
        <v>917</v>
      </c>
      <c r="D164" s="496" t="s">
        <v>918</v>
      </c>
      <c r="E164" s="496" t="s">
        <v>919</v>
      </c>
      <c r="F164" s="500"/>
      <c r="G164" s="500"/>
    </row>
    <row r="165" spans="1:7" s="501" customFormat="1" ht="14.25" customHeight="1" x14ac:dyDescent="0.25">
      <c r="A165" s="500"/>
      <c r="B165" s="509" t="s">
        <v>4291</v>
      </c>
      <c r="C165" s="496" t="s">
        <v>921</v>
      </c>
      <c r="D165" s="496" t="s">
        <v>922</v>
      </c>
      <c r="E165" s="496" t="s">
        <v>923</v>
      </c>
      <c r="F165" s="500"/>
      <c r="G165" s="500"/>
    </row>
    <row r="166" spans="1:7" s="501" customFormat="1" ht="14.25" customHeight="1" x14ac:dyDescent="0.25">
      <c r="A166" s="500"/>
      <c r="B166" s="509" t="s">
        <v>4292</v>
      </c>
      <c r="C166" s="496" t="s">
        <v>925</v>
      </c>
      <c r="D166" s="496" t="s">
        <v>926</v>
      </c>
      <c r="E166" s="496" t="s">
        <v>927</v>
      </c>
      <c r="F166" s="500"/>
      <c r="G166" s="500"/>
    </row>
    <row r="167" spans="1:7" s="501" customFormat="1" ht="14.25" customHeight="1" x14ac:dyDescent="0.25">
      <c r="A167" s="500"/>
      <c r="B167" s="509" t="s">
        <v>4293</v>
      </c>
      <c r="C167" s="496" t="s">
        <v>929</v>
      </c>
      <c r="D167" s="496" t="s">
        <v>931</v>
      </c>
      <c r="E167" s="496" t="s">
        <v>932</v>
      </c>
      <c r="F167" s="500"/>
      <c r="G167" s="500"/>
    </row>
    <row r="168" spans="1:7" s="501" customFormat="1" ht="14.25" customHeight="1" x14ac:dyDescent="0.25">
      <c r="A168" s="500"/>
      <c r="B168" s="509" t="s">
        <v>4294</v>
      </c>
      <c r="C168" s="496" t="s">
        <v>934</v>
      </c>
      <c r="D168" s="496" t="s">
        <v>935</v>
      </c>
      <c r="E168" s="496" t="s">
        <v>936</v>
      </c>
      <c r="F168" s="500"/>
      <c r="G168" s="500"/>
    </row>
    <row r="169" spans="1:7" s="501" customFormat="1" ht="14.25" customHeight="1" x14ac:dyDescent="0.25">
      <c r="A169" s="500"/>
      <c r="B169" s="509" t="s">
        <v>4295</v>
      </c>
      <c r="C169" s="496" t="s">
        <v>938</v>
      </c>
      <c r="D169" s="844" t="s">
        <v>3007</v>
      </c>
      <c r="E169" s="496" t="s">
        <v>939</v>
      </c>
      <c r="F169" s="500"/>
      <c r="G169" s="500"/>
    </row>
    <row r="170" spans="1:7" s="501" customFormat="1" ht="14.25" customHeight="1" x14ac:dyDescent="0.25">
      <c r="A170" s="500"/>
      <c r="C170" s="496"/>
      <c r="D170" s="496"/>
      <c r="E170" s="496"/>
      <c r="F170" s="500"/>
      <c r="G170" s="500"/>
    </row>
    <row r="171" spans="1:7" s="501" customFormat="1" ht="14.25" customHeight="1" x14ac:dyDescent="0.25">
      <c r="A171" s="500"/>
      <c r="B171" s="509" t="s">
        <v>4296</v>
      </c>
      <c r="C171" s="496" t="s">
        <v>941</v>
      </c>
      <c r="D171" s="496" t="s">
        <v>942</v>
      </c>
      <c r="E171" s="496" t="s">
        <v>943</v>
      </c>
      <c r="F171" s="500"/>
      <c r="G171" s="500"/>
    </row>
    <row r="172" spans="1:7" s="501" customFormat="1" ht="14.25" customHeight="1" x14ac:dyDescent="0.25">
      <c r="A172" s="500"/>
      <c r="B172" s="509" t="s">
        <v>4297</v>
      </c>
      <c r="C172" s="496" t="s">
        <v>945</v>
      </c>
      <c r="D172" s="496" t="s">
        <v>946</v>
      </c>
      <c r="E172" s="496" t="s">
        <v>947</v>
      </c>
      <c r="F172" s="500"/>
      <c r="G172" s="500"/>
    </row>
    <row r="173" spans="1:7" s="501" customFormat="1" ht="14.25" customHeight="1" x14ac:dyDescent="0.25">
      <c r="A173" s="500"/>
      <c r="B173" s="509" t="s">
        <v>4298</v>
      </c>
      <c r="C173" s="496" t="s">
        <v>949</v>
      </c>
      <c r="D173" s="496" t="s">
        <v>950</v>
      </c>
      <c r="E173" s="496" t="s">
        <v>2821</v>
      </c>
      <c r="F173" s="500"/>
      <c r="G173" s="500"/>
    </row>
    <row r="174" spans="1:7" s="501" customFormat="1" ht="14.25" customHeight="1" x14ac:dyDescent="0.25">
      <c r="A174" s="500"/>
      <c r="B174" s="509" t="s">
        <v>4299</v>
      </c>
      <c r="C174" s="496" t="s">
        <v>952</v>
      </c>
      <c r="D174" s="496" t="s">
        <v>953</v>
      </c>
      <c r="E174" s="496" t="s">
        <v>954</v>
      </c>
      <c r="F174" s="500"/>
      <c r="G174" s="500"/>
    </row>
    <row r="175" spans="1:7" s="501" customFormat="1" ht="14.25" customHeight="1" x14ac:dyDescent="0.25">
      <c r="A175" s="500"/>
      <c r="C175" s="496"/>
      <c r="D175" s="496"/>
      <c r="E175" s="496"/>
      <c r="F175" s="500"/>
      <c r="G175" s="500"/>
    </row>
    <row r="176" spans="1:7" s="501" customFormat="1" ht="14.25" customHeight="1" x14ac:dyDescent="0.25">
      <c r="A176" s="500"/>
      <c r="B176" s="509" t="s">
        <v>4300</v>
      </c>
      <c r="C176" s="496" t="s">
        <v>956</v>
      </c>
      <c r="D176" s="496" t="s">
        <v>957</v>
      </c>
      <c r="E176" s="496" t="s">
        <v>958</v>
      </c>
      <c r="F176" s="500"/>
      <c r="G176" s="500"/>
    </row>
    <row r="177" spans="1:7" s="501" customFormat="1" ht="14.25" customHeight="1" x14ac:dyDescent="0.25">
      <c r="A177" s="500"/>
      <c r="B177" s="509" t="s">
        <v>4301</v>
      </c>
      <c r="C177" s="496" t="s">
        <v>960</v>
      </c>
      <c r="D177" s="496" t="s">
        <v>961</v>
      </c>
      <c r="E177" s="496" t="s">
        <v>962</v>
      </c>
      <c r="F177" s="500"/>
      <c r="G177" s="500"/>
    </row>
    <row r="178" spans="1:7" s="501" customFormat="1" ht="14.25" customHeight="1" x14ac:dyDescent="0.25">
      <c r="A178" s="500"/>
      <c r="B178" s="509" t="s">
        <v>4302</v>
      </c>
      <c r="C178" s="778" t="s">
        <v>2508</v>
      </c>
      <c r="D178" s="778" t="s">
        <v>2510</v>
      </c>
      <c r="E178" s="778" t="s">
        <v>2512</v>
      </c>
      <c r="F178" s="500"/>
      <c r="G178" s="500"/>
    </row>
    <row r="179" spans="1:7" s="501" customFormat="1" ht="14.25" customHeight="1" x14ac:dyDescent="0.25">
      <c r="A179" s="500"/>
      <c r="B179" s="509" t="s">
        <v>4303</v>
      </c>
      <c r="C179" s="778" t="s">
        <v>2509</v>
      </c>
      <c r="D179" s="778" t="s">
        <v>2511</v>
      </c>
      <c r="E179" s="778" t="s">
        <v>2513</v>
      </c>
      <c r="F179" s="500"/>
      <c r="G179" s="500"/>
    </row>
    <row r="180" spans="1:7" s="501" customFormat="1" ht="14.25" customHeight="1" x14ac:dyDescent="0.25">
      <c r="A180" s="500"/>
      <c r="B180" s="509" t="s">
        <v>4304</v>
      </c>
      <c r="C180" s="496" t="s">
        <v>966</v>
      </c>
      <c r="D180" s="496" t="s">
        <v>967</v>
      </c>
      <c r="E180" s="496" t="s">
        <v>968</v>
      </c>
      <c r="F180" s="500"/>
      <c r="G180" s="500"/>
    </row>
    <row r="181" spans="1:7" s="501" customFormat="1" ht="14.25" customHeight="1" x14ac:dyDescent="0.25">
      <c r="A181" s="500"/>
      <c r="B181" s="509" t="s">
        <v>4305</v>
      </c>
      <c r="C181" s="778" t="s">
        <v>2508</v>
      </c>
      <c r="D181" s="778" t="s">
        <v>2510</v>
      </c>
      <c r="E181" s="778" t="s">
        <v>2512</v>
      </c>
      <c r="F181" s="500"/>
      <c r="G181" s="500"/>
    </row>
    <row r="182" spans="1:7" s="501" customFormat="1" ht="14.25" customHeight="1" x14ac:dyDescent="0.25">
      <c r="A182" s="500"/>
      <c r="B182" s="509" t="s">
        <v>4306</v>
      </c>
      <c r="C182" s="778" t="s">
        <v>2509</v>
      </c>
      <c r="D182" s="778" t="s">
        <v>2511</v>
      </c>
      <c r="E182" s="778" t="s">
        <v>2513</v>
      </c>
      <c r="F182" s="500"/>
      <c r="G182" s="500"/>
    </row>
    <row r="183" spans="1:7" s="501" customFormat="1" ht="14.25" customHeight="1" x14ac:dyDescent="0.25">
      <c r="A183" s="500"/>
      <c r="C183" s="496"/>
      <c r="D183" s="496"/>
      <c r="E183" s="496"/>
      <c r="F183" s="500"/>
      <c r="G183" s="500"/>
    </row>
    <row r="184" spans="1:7" s="501" customFormat="1" ht="14.25" customHeight="1" x14ac:dyDescent="0.25">
      <c r="A184" s="500"/>
      <c r="B184" s="509" t="s">
        <v>4307</v>
      </c>
      <c r="C184" s="496" t="s">
        <v>972</v>
      </c>
      <c r="D184" s="496" t="s">
        <v>973</v>
      </c>
      <c r="E184" s="844" t="s">
        <v>3026</v>
      </c>
      <c r="F184" s="500"/>
      <c r="G184" s="500"/>
    </row>
    <row r="185" spans="1:7" s="501" customFormat="1" ht="14.25" customHeight="1" x14ac:dyDescent="0.25">
      <c r="A185" s="500"/>
      <c r="B185" s="509" t="s">
        <v>4308</v>
      </c>
      <c r="C185" s="496" t="s">
        <v>975</v>
      </c>
      <c r="D185" s="496" t="s">
        <v>976</v>
      </c>
      <c r="E185" s="496" t="s">
        <v>977</v>
      </c>
      <c r="F185" s="500"/>
      <c r="G185" s="500"/>
    </row>
    <row r="186" spans="1:7" s="501" customFormat="1" ht="14.25" customHeight="1" x14ac:dyDescent="0.25">
      <c r="A186" s="500"/>
      <c r="B186" s="509" t="s">
        <v>4309</v>
      </c>
      <c r="C186" s="838" t="s">
        <v>2777</v>
      </c>
      <c r="D186" s="840" t="s">
        <v>2814</v>
      </c>
      <c r="E186" s="496" t="s">
        <v>2932</v>
      </c>
      <c r="F186" s="500"/>
      <c r="G186" s="500"/>
    </row>
    <row r="187" spans="1:7" s="501" customFormat="1" ht="14.25" customHeight="1" x14ac:dyDescent="0.25">
      <c r="A187" s="500"/>
      <c r="B187" s="838" t="s">
        <v>4310</v>
      </c>
      <c r="C187" s="496" t="s">
        <v>979</v>
      </c>
      <c r="D187" s="496" t="s">
        <v>980</v>
      </c>
      <c r="E187" s="496" t="s">
        <v>981</v>
      </c>
      <c r="F187" s="500"/>
      <c r="G187" s="500"/>
    </row>
    <row r="188" spans="1:7" s="501" customFormat="1" ht="14.25" customHeight="1" x14ac:dyDescent="0.25">
      <c r="A188" s="500"/>
      <c r="C188" s="496"/>
      <c r="D188" s="496"/>
      <c r="E188" s="496"/>
      <c r="F188" s="500"/>
      <c r="G188" s="500"/>
    </row>
    <row r="189" spans="1:7" s="501" customFormat="1" ht="14.25" customHeight="1" x14ac:dyDescent="0.25">
      <c r="A189" s="500"/>
      <c r="B189" s="509" t="s">
        <v>4311</v>
      </c>
      <c r="C189" s="496" t="s">
        <v>984</v>
      </c>
      <c r="D189" s="844" t="s">
        <v>3017</v>
      </c>
      <c r="E189" s="496" t="s">
        <v>985</v>
      </c>
      <c r="F189" s="500"/>
      <c r="G189" s="500"/>
    </row>
    <row r="190" spans="1:7" s="501" customFormat="1" ht="14.25" customHeight="1" x14ac:dyDescent="0.25">
      <c r="A190" s="500"/>
      <c r="B190" s="509" t="s">
        <v>4312</v>
      </c>
      <c r="C190" s="496" t="s">
        <v>825</v>
      </c>
      <c r="D190" s="844" t="s">
        <v>3021</v>
      </c>
      <c r="E190" s="844" t="s">
        <v>3027</v>
      </c>
      <c r="F190" s="500"/>
      <c r="G190" s="500"/>
    </row>
    <row r="191" spans="1:7" s="501" customFormat="1" ht="14.25" customHeight="1" x14ac:dyDescent="0.25">
      <c r="A191" s="500"/>
      <c r="B191" s="509" t="s">
        <v>4313</v>
      </c>
      <c r="C191" s="496" t="s">
        <v>826</v>
      </c>
      <c r="D191" s="496" t="s">
        <v>988</v>
      </c>
      <c r="E191" s="496" t="s">
        <v>989</v>
      </c>
      <c r="F191" s="500"/>
      <c r="G191" s="500"/>
    </row>
    <row r="192" spans="1:7" s="501" customFormat="1" ht="14.25" customHeight="1" x14ac:dyDescent="0.25">
      <c r="A192" s="500"/>
      <c r="B192" s="509" t="s">
        <v>4314</v>
      </c>
      <c r="C192" s="496" t="s">
        <v>827</v>
      </c>
      <c r="D192" s="496" t="s">
        <v>991</v>
      </c>
      <c r="E192" s="844" t="s">
        <v>3034</v>
      </c>
      <c r="F192" s="500"/>
      <c r="G192" s="500"/>
    </row>
    <row r="193" spans="1:7" s="501" customFormat="1" ht="14.25" customHeight="1" x14ac:dyDescent="0.25">
      <c r="A193" s="500"/>
      <c r="B193" s="509" t="s">
        <v>4315</v>
      </c>
      <c r="C193" s="838" t="s">
        <v>2822</v>
      </c>
      <c r="D193" s="496" t="s">
        <v>994</v>
      </c>
      <c r="E193" s="838" t="s">
        <v>2823</v>
      </c>
      <c r="F193" s="500"/>
      <c r="G193" s="500"/>
    </row>
    <row r="194" spans="1:7" s="501" customFormat="1" ht="14.25" customHeight="1" x14ac:dyDescent="0.25">
      <c r="A194" s="500"/>
      <c r="B194" s="509" t="s">
        <v>4316</v>
      </c>
      <c r="C194" s="496" t="s">
        <v>829</v>
      </c>
      <c r="D194" s="496" t="s">
        <v>997</v>
      </c>
      <c r="E194" s="496" t="s">
        <v>998</v>
      </c>
      <c r="F194" s="500"/>
      <c r="G194" s="500"/>
    </row>
    <row r="195" spans="1:7" s="501" customFormat="1" ht="14.25" customHeight="1" x14ac:dyDescent="0.25">
      <c r="A195" s="500"/>
      <c r="B195" s="509" t="s">
        <v>4317</v>
      </c>
      <c r="C195" s="496" t="s">
        <v>830</v>
      </c>
      <c r="D195" s="496" t="s">
        <v>1000</v>
      </c>
      <c r="E195" s="496" t="s">
        <v>1001</v>
      </c>
      <c r="F195" s="500"/>
      <c r="G195" s="500"/>
    </row>
    <row r="196" spans="1:7" s="501" customFormat="1" ht="14.25" customHeight="1" x14ac:dyDescent="0.25">
      <c r="A196" s="500"/>
      <c r="B196" s="509" t="s">
        <v>4318</v>
      </c>
      <c r="C196" s="496" t="s">
        <v>831</v>
      </c>
      <c r="D196" s="496" t="s">
        <v>1003</v>
      </c>
      <c r="E196" s="496" t="s">
        <v>1004</v>
      </c>
      <c r="F196" s="500"/>
      <c r="G196" s="500"/>
    </row>
    <row r="197" spans="1:7" s="501" customFormat="1" ht="14.25" customHeight="1" x14ac:dyDescent="0.25">
      <c r="A197" s="500"/>
      <c r="C197" s="496"/>
      <c r="D197" s="496"/>
      <c r="E197" s="496"/>
      <c r="F197" s="500"/>
      <c r="G197" s="500"/>
    </row>
    <row r="198" spans="1:7" s="501" customFormat="1" ht="14.25" customHeight="1" x14ac:dyDescent="0.25">
      <c r="A198" s="500"/>
      <c r="B198" s="509" t="s">
        <v>4319</v>
      </c>
      <c r="C198" s="838" t="s">
        <v>2827</v>
      </c>
      <c r="D198" s="844" t="s">
        <v>2828</v>
      </c>
      <c r="E198" s="496" t="s">
        <v>1007</v>
      </c>
      <c r="F198" s="500"/>
      <c r="G198" s="500"/>
    </row>
    <row r="199" spans="1:7" s="501" customFormat="1" ht="14.25" customHeight="1" x14ac:dyDescent="0.25">
      <c r="A199" s="500"/>
      <c r="B199" s="509" t="s">
        <v>4320</v>
      </c>
      <c r="C199" s="514" t="s">
        <v>1711</v>
      </c>
      <c r="D199" s="685" t="s">
        <v>350</v>
      </c>
      <c r="E199" s="496" t="s">
        <v>84</v>
      </c>
      <c r="F199" s="500"/>
      <c r="G199" s="500"/>
    </row>
    <row r="200" spans="1:7" s="501" customFormat="1" ht="14.25" customHeight="1" x14ac:dyDescent="0.25">
      <c r="A200" s="500"/>
      <c r="B200" s="509" t="s">
        <v>4321</v>
      </c>
      <c r="C200" s="496" t="s">
        <v>76</v>
      </c>
      <c r="D200" s="685" t="s">
        <v>76</v>
      </c>
      <c r="E200" s="496" t="s">
        <v>85</v>
      </c>
      <c r="F200" s="500"/>
      <c r="G200" s="500"/>
    </row>
    <row r="201" spans="1:7" s="501" customFormat="1" ht="14.25" customHeight="1" x14ac:dyDescent="0.25">
      <c r="A201" s="500"/>
      <c r="B201" s="509" t="s">
        <v>4322</v>
      </c>
      <c r="C201" s="496" t="s">
        <v>1011</v>
      </c>
      <c r="D201" s="496" t="s">
        <v>1012</v>
      </c>
      <c r="E201" s="496" t="s">
        <v>1013</v>
      </c>
      <c r="F201" s="500"/>
      <c r="G201" s="500"/>
    </row>
    <row r="202" spans="1:7" s="501" customFormat="1" ht="14.25" customHeight="1" x14ac:dyDescent="0.25">
      <c r="A202" s="500"/>
      <c r="C202" s="496"/>
      <c r="D202" s="496"/>
      <c r="E202" s="496"/>
      <c r="F202" s="500"/>
      <c r="G202" s="500"/>
    </row>
    <row r="203" spans="1:7" s="501" customFormat="1" ht="14.25" customHeight="1" x14ac:dyDescent="0.25">
      <c r="A203" s="500"/>
      <c r="B203" s="509" t="s">
        <v>4323</v>
      </c>
      <c r="C203" s="844" t="s">
        <v>2984</v>
      </c>
      <c r="D203" s="844" t="s">
        <v>2985</v>
      </c>
      <c r="E203" s="496" t="s">
        <v>1015</v>
      </c>
      <c r="F203" s="500"/>
      <c r="G203" s="500"/>
    </row>
    <row r="204" spans="1:7" s="501" customFormat="1" ht="14.25" customHeight="1" x14ac:dyDescent="0.25">
      <c r="A204" s="500"/>
      <c r="B204" s="509" t="s">
        <v>4324</v>
      </c>
      <c r="C204" s="778" t="s">
        <v>2514</v>
      </c>
      <c r="D204" s="685" t="s">
        <v>2514</v>
      </c>
      <c r="E204" s="844" t="s">
        <v>3035</v>
      </c>
      <c r="F204" s="500"/>
      <c r="G204" s="500"/>
    </row>
    <row r="205" spans="1:7" s="501" customFormat="1" ht="14.25" customHeight="1" x14ac:dyDescent="0.25">
      <c r="A205" s="500"/>
      <c r="B205" s="509" t="s">
        <v>4325</v>
      </c>
      <c r="C205" s="778" t="s">
        <v>2515</v>
      </c>
      <c r="D205" s="685" t="s">
        <v>3008</v>
      </c>
      <c r="E205" s="844" t="s">
        <v>3036</v>
      </c>
      <c r="F205" s="500"/>
      <c r="G205" s="500"/>
    </row>
    <row r="206" spans="1:7" s="501" customFormat="1" ht="14.25" customHeight="1" x14ac:dyDescent="0.25">
      <c r="A206" s="500"/>
      <c r="B206" s="509" t="s">
        <v>4326</v>
      </c>
      <c r="C206" s="778" t="s">
        <v>2516</v>
      </c>
      <c r="D206" s="844" t="s">
        <v>3009</v>
      </c>
      <c r="E206" s="844" t="s">
        <v>3037</v>
      </c>
      <c r="F206" s="500"/>
      <c r="G206" s="500"/>
    </row>
    <row r="207" spans="1:7" s="501" customFormat="1" ht="14.25" customHeight="1" x14ac:dyDescent="0.25">
      <c r="A207" s="500"/>
      <c r="C207" s="496"/>
      <c r="D207" s="496"/>
      <c r="E207" s="496"/>
      <c r="F207" s="500"/>
      <c r="G207" s="500"/>
    </row>
    <row r="208" spans="1:7" s="501" customFormat="1" ht="14.25" customHeight="1" x14ac:dyDescent="0.25">
      <c r="A208" s="500"/>
      <c r="B208" s="509" t="s">
        <v>4327</v>
      </c>
      <c r="C208" s="496" t="s">
        <v>834</v>
      </c>
      <c r="D208" s="496" t="s">
        <v>1020</v>
      </c>
      <c r="E208" s="496" t="s">
        <v>1021</v>
      </c>
      <c r="F208" s="500"/>
      <c r="G208" s="500"/>
    </row>
    <row r="209" spans="1:7" s="501" customFormat="1" ht="14.25" customHeight="1" x14ac:dyDescent="0.25">
      <c r="A209" s="500"/>
      <c r="B209" s="509" t="s">
        <v>4328</v>
      </c>
      <c r="C209" s="496" t="s">
        <v>1023</v>
      </c>
      <c r="D209" s="684" t="s">
        <v>2465</v>
      </c>
      <c r="E209" s="496" t="s">
        <v>1024</v>
      </c>
      <c r="F209" s="500"/>
      <c r="G209" s="500"/>
    </row>
    <row r="210" spans="1:7" s="501" customFormat="1" ht="14.25" customHeight="1" x14ac:dyDescent="0.25">
      <c r="A210" s="500"/>
      <c r="B210" s="509" t="s">
        <v>4329</v>
      </c>
      <c r="C210" s="838" t="s">
        <v>2836</v>
      </c>
      <c r="D210" s="496" t="s">
        <v>2838</v>
      </c>
      <c r="E210" s="496" t="s">
        <v>2837</v>
      </c>
      <c r="F210" s="500"/>
      <c r="G210" s="500"/>
    </row>
    <row r="211" spans="1:7" s="501" customFormat="1" ht="14.25" customHeight="1" x14ac:dyDescent="0.25">
      <c r="A211" s="500"/>
      <c r="C211" s="496"/>
      <c r="D211" s="496"/>
      <c r="E211" s="496"/>
      <c r="F211" s="500"/>
      <c r="G211" s="500"/>
    </row>
    <row r="212" spans="1:7" s="501" customFormat="1" ht="14.25" customHeight="1" x14ac:dyDescent="0.25">
      <c r="A212" s="500"/>
      <c r="B212" s="509" t="s">
        <v>4330</v>
      </c>
      <c r="C212" s="496" t="s">
        <v>835</v>
      </c>
      <c r="D212" s="496" t="s">
        <v>2541</v>
      </c>
      <c r="E212" s="496" t="s">
        <v>1027</v>
      </c>
      <c r="F212" s="500"/>
      <c r="G212" s="500"/>
    </row>
    <row r="213" spans="1:7" s="501" customFormat="1" ht="14.25" customHeight="1" x14ac:dyDescent="0.25">
      <c r="A213" s="500"/>
      <c r="B213" s="509" t="s">
        <v>4331</v>
      </c>
      <c r="C213" s="496" t="s">
        <v>1029</v>
      </c>
      <c r="D213" s="496" t="s">
        <v>1030</v>
      </c>
      <c r="E213" s="496" t="s">
        <v>1031</v>
      </c>
      <c r="F213" s="500"/>
      <c r="G213" s="500"/>
    </row>
    <row r="214" spans="1:7" s="501" customFormat="1" ht="14.25" customHeight="1" x14ac:dyDescent="0.25">
      <c r="A214" s="500"/>
      <c r="B214" s="509" t="s">
        <v>4332</v>
      </c>
      <c r="C214" s="778" t="s">
        <v>2517</v>
      </c>
      <c r="D214" s="844" t="s">
        <v>3010</v>
      </c>
      <c r="E214" s="844" t="s">
        <v>3038</v>
      </c>
      <c r="F214" s="500"/>
      <c r="G214" s="500"/>
    </row>
    <row r="215" spans="1:7" s="501" customFormat="1" ht="14.25" customHeight="1" x14ac:dyDescent="0.25">
      <c r="A215" s="500"/>
      <c r="B215" s="509" t="s">
        <v>4333</v>
      </c>
      <c r="C215" s="778" t="s">
        <v>2518</v>
      </c>
      <c r="D215" s="844" t="s">
        <v>3011</v>
      </c>
      <c r="E215" s="844" t="s">
        <v>3039</v>
      </c>
      <c r="F215" s="500"/>
      <c r="G215" s="500"/>
    </row>
    <row r="216" spans="1:7" s="501" customFormat="1" ht="14.25" customHeight="1" x14ac:dyDescent="0.25">
      <c r="A216" s="500"/>
      <c r="B216" s="509" t="s">
        <v>4334</v>
      </c>
      <c r="C216" s="778" t="s">
        <v>2519</v>
      </c>
      <c r="D216" s="844" t="s">
        <v>3024</v>
      </c>
      <c r="E216" s="844" t="s">
        <v>3040</v>
      </c>
      <c r="F216" s="500"/>
      <c r="G216" s="500"/>
    </row>
    <row r="217" spans="1:7" s="501" customFormat="1" ht="14.25" customHeight="1" x14ac:dyDescent="0.25">
      <c r="A217" s="500"/>
      <c r="B217" s="509" t="s">
        <v>4335</v>
      </c>
      <c r="C217" s="838" t="s">
        <v>2846</v>
      </c>
      <c r="D217" s="838" t="s">
        <v>2847</v>
      </c>
      <c r="E217" s="838" t="s">
        <v>2848</v>
      </c>
      <c r="F217" s="500"/>
      <c r="G217" s="500"/>
    </row>
    <row r="218" spans="1:7" s="501" customFormat="1" ht="14.25" customHeight="1" x14ac:dyDescent="0.25">
      <c r="A218" s="500"/>
      <c r="B218" s="509" t="s">
        <v>4336</v>
      </c>
      <c r="C218" s="496" t="s">
        <v>1037</v>
      </c>
      <c r="D218" s="684" t="s">
        <v>2466</v>
      </c>
      <c r="E218" s="496" t="s">
        <v>1038</v>
      </c>
      <c r="F218" s="500"/>
      <c r="G218" s="500"/>
    </row>
    <row r="219" spans="1:7" s="501" customFormat="1" ht="14.25" customHeight="1" x14ac:dyDescent="0.25">
      <c r="A219" s="500"/>
      <c r="B219" s="513"/>
      <c r="C219" s="496"/>
      <c r="D219" s="684"/>
      <c r="E219" s="496"/>
      <c r="F219" s="500"/>
      <c r="G219" s="500"/>
    </row>
    <row r="220" spans="1:7" s="501" customFormat="1" ht="14.25" customHeight="1" x14ac:dyDescent="0.25">
      <c r="A220" s="500"/>
      <c r="B220" s="668" t="s">
        <v>4337</v>
      </c>
      <c r="C220" s="496" t="s">
        <v>3052</v>
      </c>
      <c r="D220" s="684" t="s">
        <v>3053</v>
      </c>
      <c r="E220" s="496" t="s">
        <v>3054</v>
      </c>
      <c r="F220" s="500"/>
      <c r="G220" s="500"/>
    </row>
    <row r="221" spans="1:7" s="501" customFormat="1" ht="14.25" customHeight="1" x14ac:dyDescent="0.25">
      <c r="A221" s="500"/>
      <c r="C221" s="496"/>
      <c r="D221" s="496"/>
      <c r="E221" s="496"/>
      <c r="F221" s="500"/>
      <c r="G221" s="500"/>
    </row>
    <row r="222" spans="1:7" s="501" customFormat="1" ht="14.25" customHeight="1" x14ac:dyDescent="0.25">
      <c r="A222" s="500"/>
      <c r="B222" s="668" t="s">
        <v>4338</v>
      </c>
      <c r="C222" s="496" t="s">
        <v>1086</v>
      </c>
      <c r="D222" s="496" t="s">
        <v>1087</v>
      </c>
      <c r="E222" s="496" t="s">
        <v>1088</v>
      </c>
      <c r="F222" s="500"/>
      <c r="G222" s="500"/>
    </row>
    <row r="223" spans="1:7" s="501" customFormat="1" ht="14.25" customHeight="1" x14ac:dyDescent="0.25">
      <c r="A223" s="500"/>
      <c r="C223" s="496"/>
      <c r="D223" s="496"/>
      <c r="E223" s="496"/>
      <c r="F223" s="500"/>
      <c r="G223" s="500"/>
    </row>
    <row r="224" spans="1:7" s="501" customFormat="1" ht="14.25" customHeight="1" x14ac:dyDescent="0.25">
      <c r="A224" s="500"/>
      <c r="B224" s="668" t="s">
        <v>4339</v>
      </c>
      <c r="C224" s="496" t="s">
        <v>838</v>
      </c>
      <c r="D224" s="496" t="s">
        <v>1090</v>
      </c>
      <c r="E224" s="496" t="s">
        <v>1091</v>
      </c>
      <c r="F224" s="500"/>
      <c r="G224" s="500"/>
    </row>
    <row r="225" spans="1:7" s="501" customFormat="1" ht="14.25" customHeight="1" x14ac:dyDescent="0.25">
      <c r="A225" s="500"/>
      <c r="C225" s="496"/>
      <c r="D225" s="496"/>
      <c r="E225" s="496"/>
      <c r="F225" s="500"/>
      <c r="G225" s="500"/>
    </row>
    <row r="226" spans="1:7" s="501" customFormat="1" ht="14.25" customHeight="1" x14ac:dyDescent="0.25">
      <c r="A226" s="500"/>
      <c r="B226" s="668" t="s">
        <v>4340</v>
      </c>
      <c r="C226" s="496" t="s">
        <v>1040</v>
      </c>
      <c r="D226" s="496" t="s">
        <v>1041</v>
      </c>
      <c r="E226" s="844" t="s">
        <v>3028</v>
      </c>
      <c r="F226" s="500"/>
      <c r="G226" s="500"/>
    </row>
    <row r="227" spans="1:7" s="501" customFormat="1" ht="14.25" customHeight="1" x14ac:dyDescent="0.25">
      <c r="A227" s="500"/>
      <c r="B227" s="509" t="s">
        <v>4341</v>
      </c>
      <c r="C227" s="496" t="s">
        <v>836</v>
      </c>
      <c r="D227" s="496" t="s">
        <v>1043</v>
      </c>
      <c r="E227" s="496" t="s">
        <v>1044</v>
      </c>
      <c r="F227" s="500"/>
      <c r="G227" s="500"/>
    </row>
    <row r="228" spans="1:7" s="501" customFormat="1" ht="14.25" customHeight="1" x14ac:dyDescent="0.25">
      <c r="A228" s="500"/>
      <c r="C228" s="496"/>
      <c r="D228" s="496"/>
      <c r="E228" s="496"/>
      <c r="F228" s="500"/>
      <c r="G228" s="500"/>
    </row>
    <row r="229" spans="1:7" s="501" customFormat="1" ht="14.25" customHeight="1" x14ac:dyDescent="0.25">
      <c r="A229" s="500"/>
      <c r="B229" s="509" t="s">
        <v>4342</v>
      </c>
      <c r="C229" s="496" t="s">
        <v>837</v>
      </c>
      <c r="D229" s="496" t="s">
        <v>1046</v>
      </c>
      <c r="E229" s="496" t="s">
        <v>1047</v>
      </c>
      <c r="F229" s="500"/>
      <c r="G229" s="500"/>
    </row>
    <row r="230" spans="1:7" s="501" customFormat="1" ht="14.25" customHeight="1" x14ac:dyDescent="0.25">
      <c r="A230" s="500"/>
      <c r="B230" s="509" t="s">
        <v>4343</v>
      </c>
      <c r="C230" s="496" t="s">
        <v>413</v>
      </c>
      <c r="D230" s="496" t="s">
        <v>1049</v>
      </c>
      <c r="E230" s="654" t="s">
        <v>1713</v>
      </c>
      <c r="F230" s="500"/>
      <c r="G230" s="500"/>
    </row>
    <row r="231" spans="1:7" s="501" customFormat="1" ht="14.25" customHeight="1" x14ac:dyDescent="0.25">
      <c r="A231" s="500"/>
      <c r="B231" s="509" t="s">
        <v>4344</v>
      </c>
      <c r="C231" s="496" t="s">
        <v>1051</v>
      </c>
      <c r="D231" s="496" t="s">
        <v>1052</v>
      </c>
      <c r="E231" s="496" t="s">
        <v>1053</v>
      </c>
      <c r="F231" s="500"/>
      <c r="G231" s="500"/>
    </row>
    <row r="232" spans="1:7" s="501" customFormat="1" ht="14.25" customHeight="1" x14ac:dyDescent="0.25">
      <c r="A232" s="500"/>
      <c r="B232" s="509" t="s">
        <v>4345</v>
      </c>
      <c r="C232" s="496" t="s">
        <v>411</v>
      </c>
      <c r="D232" s="496" t="s">
        <v>530</v>
      </c>
      <c r="E232" s="496" t="s">
        <v>725</v>
      </c>
      <c r="F232" s="500"/>
      <c r="G232" s="500"/>
    </row>
    <row r="233" spans="1:7" s="501" customFormat="1" ht="14.25" customHeight="1" x14ac:dyDescent="0.25">
      <c r="A233" s="500"/>
      <c r="B233" s="509" t="s">
        <v>4346</v>
      </c>
      <c r="C233" s="496" t="s">
        <v>975</v>
      </c>
      <c r="D233" s="496" t="s">
        <v>976</v>
      </c>
      <c r="E233" s="844" t="s">
        <v>3041</v>
      </c>
      <c r="F233" s="500"/>
      <c r="G233" s="500"/>
    </row>
    <row r="234" spans="1:7" s="501" customFormat="1" ht="14.25" customHeight="1" x14ac:dyDescent="0.25">
      <c r="A234" s="500"/>
      <c r="B234" s="509" t="s">
        <v>4347</v>
      </c>
      <c r="C234" s="496" t="s">
        <v>832</v>
      </c>
      <c r="D234" s="496" t="s">
        <v>1006</v>
      </c>
      <c r="E234" s="496" t="s">
        <v>1007</v>
      </c>
      <c r="F234" s="500"/>
      <c r="G234" s="500"/>
    </row>
    <row r="235" spans="1:7" s="501" customFormat="1" ht="14.25" customHeight="1" x14ac:dyDescent="0.25">
      <c r="A235" s="500"/>
      <c r="B235" s="509" t="s">
        <v>4348</v>
      </c>
      <c r="C235" s="496" t="s">
        <v>1058</v>
      </c>
      <c r="D235" s="496" t="s">
        <v>1059</v>
      </c>
      <c r="E235" s="496" t="s">
        <v>1027</v>
      </c>
      <c r="F235" s="500"/>
      <c r="G235" s="500"/>
    </row>
    <row r="236" spans="1:7" s="501" customFormat="1" ht="14.25" customHeight="1" x14ac:dyDescent="0.25">
      <c r="A236" s="500"/>
      <c r="B236" s="513"/>
      <c r="C236" s="496"/>
      <c r="D236" s="496"/>
      <c r="E236" s="496"/>
      <c r="F236" s="500"/>
      <c r="G236" s="500"/>
    </row>
    <row r="237" spans="1:7" s="501" customFormat="1" ht="14.25" customHeight="1" x14ac:dyDescent="0.25">
      <c r="A237" s="500"/>
      <c r="B237" s="509" t="s">
        <v>4349</v>
      </c>
      <c r="C237" s="845" t="s">
        <v>3055</v>
      </c>
      <c r="D237" s="496" t="s">
        <v>3057</v>
      </c>
      <c r="E237" s="496" t="s">
        <v>3058</v>
      </c>
      <c r="F237" s="500"/>
      <c r="G237" s="500"/>
    </row>
    <row r="238" spans="1:7" s="501" customFormat="1" ht="14.25" customHeight="1" x14ac:dyDescent="0.25">
      <c r="A238" s="500"/>
      <c r="C238" s="496"/>
      <c r="D238" s="496"/>
      <c r="E238" s="496"/>
      <c r="F238" s="500"/>
      <c r="G238" s="500"/>
    </row>
    <row r="239" spans="1:7" s="501" customFormat="1" ht="14.25" customHeight="1" x14ac:dyDescent="0.25">
      <c r="A239" s="500"/>
      <c r="B239" s="509" t="s">
        <v>4350</v>
      </c>
      <c r="C239" s="496" t="s">
        <v>1061</v>
      </c>
      <c r="D239" s="496" t="s">
        <v>1062</v>
      </c>
      <c r="E239" s="496" t="s">
        <v>1063</v>
      </c>
      <c r="F239" s="500"/>
      <c r="G239" s="500"/>
    </row>
    <row r="240" spans="1:7" s="501" customFormat="1" ht="14.25" customHeight="1" x14ac:dyDescent="0.25">
      <c r="A240" s="500"/>
      <c r="B240" s="509" t="s">
        <v>4351</v>
      </c>
      <c r="C240" s="496" t="s">
        <v>1065</v>
      </c>
      <c r="D240" s="496" t="s">
        <v>1066</v>
      </c>
      <c r="E240" s="496" t="s">
        <v>1067</v>
      </c>
      <c r="F240" s="500"/>
      <c r="G240" s="500"/>
    </row>
    <row r="241" spans="1:7" s="501" customFormat="1" ht="14.25" customHeight="1" x14ac:dyDescent="0.25">
      <c r="A241" s="500"/>
      <c r="B241" s="509" t="s">
        <v>4352</v>
      </c>
      <c r="C241" s="496" t="s">
        <v>1069</v>
      </c>
      <c r="D241" s="496" t="s">
        <v>1070</v>
      </c>
      <c r="E241" s="496" t="s">
        <v>1071</v>
      </c>
      <c r="F241" s="500"/>
      <c r="G241" s="500"/>
    </row>
    <row r="242" spans="1:7" s="501" customFormat="1" ht="14.25" customHeight="1" x14ac:dyDescent="0.25">
      <c r="A242" s="500"/>
      <c r="B242" s="668" t="s">
        <v>4353</v>
      </c>
      <c r="C242" s="496" t="s">
        <v>1073</v>
      </c>
      <c r="D242" s="495" t="s">
        <v>1074</v>
      </c>
      <c r="E242" s="496" t="s">
        <v>1075</v>
      </c>
      <c r="F242" s="500"/>
      <c r="G242" s="500"/>
    </row>
    <row r="243" spans="1:7" s="501" customFormat="1" ht="14.25" customHeight="1" x14ac:dyDescent="0.25">
      <c r="A243" s="500"/>
      <c r="B243" s="668" t="s">
        <v>4354</v>
      </c>
      <c r="C243" s="496" t="s">
        <v>1077</v>
      </c>
      <c r="D243" s="496" t="s">
        <v>1078</v>
      </c>
      <c r="E243" s="496" t="s">
        <v>1079</v>
      </c>
      <c r="F243" s="500"/>
      <c r="G243" s="500"/>
    </row>
    <row r="244" spans="1:7" s="501" customFormat="1" ht="14.25" customHeight="1" x14ac:dyDescent="0.25">
      <c r="A244" s="500"/>
      <c r="B244" s="509" t="s">
        <v>4355</v>
      </c>
      <c r="C244" s="496" t="s">
        <v>1081</v>
      </c>
      <c r="D244" s="496" t="s">
        <v>1082</v>
      </c>
      <c r="E244" s="496" t="s">
        <v>1083</v>
      </c>
      <c r="F244" s="500"/>
      <c r="G244" s="500"/>
    </row>
    <row r="245" spans="1:7" s="501" customFormat="1" ht="14.25" customHeight="1" x14ac:dyDescent="0.25">
      <c r="A245" s="500"/>
      <c r="B245" s="509" t="s">
        <v>4356</v>
      </c>
      <c r="C245" s="496" t="s">
        <v>2288</v>
      </c>
      <c r="D245" s="496" t="s">
        <v>2290</v>
      </c>
      <c r="E245" s="496" t="s">
        <v>2289</v>
      </c>
      <c r="F245" s="500"/>
      <c r="G245" s="500"/>
    </row>
    <row r="246" spans="1:7" s="501" customFormat="1" ht="14.25" customHeight="1" x14ac:dyDescent="0.25">
      <c r="A246" s="500"/>
      <c r="C246" s="496"/>
      <c r="D246" s="496"/>
      <c r="E246" s="496"/>
      <c r="F246" s="500"/>
      <c r="G246" s="500"/>
    </row>
    <row r="247" spans="1:7" s="501" customFormat="1" ht="14.25" customHeight="1" x14ac:dyDescent="0.25">
      <c r="A247" s="500"/>
      <c r="B247" s="509" t="s">
        <v>4357</v>
      </c>
      <c r="C247" s="496" t="s">
        <v>1093</v>
      </c>
      <c r="D247" s="496" t="s">
        <v>1094</v>
      </c>
      <c r="E247" s="496" t="s">
        <v>1095</v>
      </c>
      <c r="F247" s="500"/>
      <c r="G247" s="500"/>
    </row>
    <row r="248" spans="1:7" s="501" customFormat="1" ht="14.25" customHeight="1" x14ac:dyDescent="0.25">
      <c r="A248" s="500"/>
      <c r="B248" s="509"/>
      <c r="C248" s="496"/>
      <c r="D248" s="496"/>
      <c r="E248" s="496"/>
      <c r="F248" s="500"/>
      <c r="G248" s="500"/>
    </row>
    <row r="249" spans="1:7" s="501" customFormat="1" ht="14.25" customHeight="1" x14ac:dyDescent="0.25">
      <c r="A249" s="500"/>
      <c r="B249" s="509" t="s">
        <v>4358</v>
      </c>
      <c r="C249" s="496" t="s">
        <v>1097</v>
      </c>
      <c r="D249" s="496" t="s">
        <v>1098</v>
      </c>
      <c r="E249" s="496" t="s">
        <v>1099</v>
      </c>
      <c r="F249" s="500"/>
      <c r="G249" s="500"/>
    </row>
    <row r="250" spans="1:7" s="501" customFormat="1" ht="14.25" customHeight="1" x14ac:dyDescent="0.25">
      <c r="A250" s="500"/>
      <c r="B250" s="509" t="s">
        <v>4359</v>
      </c>
      <c r="C250" s="496" t="s">
        <v>1101</v>
      </c>
      <c r="D250" s="496" t="s">
        <v>1102</v>
      </c>
      <c r="E250" s="496" t="s">
        <v>1103</v>
      </c>
      <c r="F250" s="500"/>
      <c r="G250" s="500"/>
    </row>
    <row r="251" spans="1:7" s="501" customFormat="1" ht="14.25" customHeight="1" x14ac:dyDescent="0.25">
      <c r="A251" s="500"/>
      <c r="B251" s="509" t="s">
        <v>4360</v>
      </c>
      <c r="C251" s="496" t="s">
        <v>1105</v>
      </c>
      <c r="D251" s="496" t="s">
        <v>1106</v>
      </c>
      <c r="E251" s="496" t="s">
        <v>1107</v>
      </c>
      <c r="F251" s="500"/>
      <c r="G251" s="500"/>
    </row>
    <row r="252" spans="1:7" s="501" customFormat="1" ht="14.25" customHeight="1" x14ac:dyDescent="0.25">
      <c r="A252" s="500"/>
      <c r="B252" s="509" t="s">
        <v>4361</v>
      </c>
      <c r="C252" s="496" t="s">
        <v>1109</v>
      </c>
      <c r="D252" s="496" t="s">
        <v>1110</v>
      </c>
      <c r="E252" s="496" t="s">
        <v>1111</v>
      </c>
      <c r="F252" s="500"/>
      <c r="G252" s="500"/>
    </row>
    <row r="253" spans="1:7" s="501" customFormat="1" ht="14.25" customHeight="1" x14ac:dyDescent="0.25">
      <c r="A253" s="500"/>
      <c r="B253" s="509"/>
      <c r="C253" s="496"/>
      <c r="D253" s="496"/>
      <c r="E253" s="496"/>
      <c r="F253" s="500"/>
      <c r="G253" s="500"/>
    </row>
    <row r="254" spans="1:7" s="501" customFormat="1" ht="14.25" customHeight="1" x14ac:dyDescent="0.25">
      <c r="A254" s="500"/>
      <c r="B254" s="509" t="s">
        <v>4362</v>
      </c>
      <c r="C254" s="496" t="s">
        <v>1113</v>
      </c>
      <c r="D254" s="496" t="s">
        <v>1114</v>
      </c>
      <c r="E254" s="496" t="s">
        <v>1115</v>
      </c>
      <c r="F254" s="500"/>
      <c r="G254" s="500"/>
    </row>
    <row r="255" spans="1:7" s="501" customFormat="1" ht="14.25" customHeight="1" x14ac:dyDescent="0.25">
      <c r="A255" s="500"/>
      <c r="B255" s="509" t="s">
        <v>4363</v>
      </c>
      <c r="C255" s="496" t="s">
        <v>2864</v>
      </c>
      <c r="D255" s="496" t="s">
        <v>2868</v>
      </c>
      <c r="E255" s="496" t="s">
        <v>2878</v>
      </c>
      <c r="F255" s="500"/>
      <c r="G255" s="500"/>
    </row>
    <row r="256" spans="1:7" s="501" customFormat="1" ht="14.25" customHeight="1" x14ac:dyDescent="0.25">
      <c r="A256" s="500"/>
      <c r="B256" s="509" t="s">
        <v>4364</v>
      </c>
      <c r="C256" s="496" t="s">
        <v>1118</v>
      </c>
      <c r="D256" s="496" t="s">
        <v>1119</v>
      </c>
      <c r="E256" s="496" t="s">
        <v>1120</v>
      </c>
      <c r="F256" s="500"/>
      <c r="G256" s="500"/>
    </row>
    <row r="257" spans="1:7" s="501" customFormat="1" ht="14.25" customHeight="1" x14ac:dyDescent="0.25">
      <c r="A257" s="500"/>
      <c r="B257" s="509" t="s">
        <v>4365</v>
      </c>
      <c r="C257" s="496" t="s">
        <v>1275</v>
      </c>
      <c r="D257" s="496" t="s">
        <v>2869</v>
      </c>
      <c r="E257" s="496" t="s">
        <v>2879</v>
      </c>
      <c r="F257" s="500"/>
      <c r="G257" s="500"/>
    </row>
    <row r="258" spans="1:7" s="501" customFormat="1" ht="14.25" customHeight="1" x14ac:dyDescent="0.25">
      <c r="A258" s="500"/>
      <c r="B258" s="509" t="s">
        <v>4366</v>
      </c>
      <c r="C258" s="496" t="s">
        <v>2865</v>
      </c>
      <c r="D258" s="496" t="s">
        <v>2870</v>
      </c>
      <c r="E258" s="496" t="s">
        <v>2880</v>
      </c>
      <c r="F258" s="500"/>
      <c r="G258" s="500"/>
    </row>
    <row r="259" spans="1:7" s="501" customFormat="1" ht="14.25" customHeight="1" x14ac:dyDescent="0.25">
      <c r="A259" s="500"/>
      <c r="B259" s="840" t="s">
        <v>4367</v>
      </c>
      <c r="C259" s="496" t="s">
        <v>1123</v>
      </c>
      <c r="D259" s="496" t="s">
        <v>1124</v>
      </c>
      <c r="E259" s="496" t="s">
        <v>1125</v>
      </c>
      <c r="F259" s="500"/>
      <c r="G259" s="500"/>
    </row>
    <row r="260" spans="1:7" s="501" customFormat="1" ht="14.25" customHeight="1" x14ac:dyDescent="0.25">
      <c r="A260" s="500"/>
      <c r="B260" s="840" t="s">
        <v>4368</v>
      </c>
      <c r="C260" s="496" t="s">
        <v>2866</v>
      </c>
      <c r="D260" s="496" t="s">
        <v>2871</v>
      </c>
      <c r="E260" s="496" t="s">
        <v>2881</v>
      </c>
      <c r="F260" s="500"/>
      <c r="G260" s="500"/>
    </row>
    <row r="261" spans="1:7" s="501" customFormat="1" ht="14.25" customHeight="1" x14ac:dyDescent="0.25">
      <c r="A261" s="500"/>
      <c r="B261" s="840" t="s">
        <v>4369</v>
      </c>
      <c r="C261" s="496" t="s">
        <v>1128</v>
      </c>
      <c r="D261" s="496" t="s">
        <v>1129</v>
      </c>
      <c r="E261" s="496" t="s">
        <v>1130</v>
      </c>
      <c r="F261" s="500"/>
      <c r="G261" s="500"/>
    </row>
    <row r="262" spans="1:7" s="501" customFormat="1" ht="14.25" customHeight="1" x14ac:dyDescent="0.25">
      <c r="A262" s="500"/>
      <c r="B262" s="840" t="s">
        <v>4370</v>
      </c>
      <c r="C262" s="496" t="s">
        <v>1276</v>
      </c>
      <c r="D262" s="496" t="s">
        <v>2872</v>
      </c>
      <c r="E262" s="496" t="s">
        <v>2882</v>
      </c>
      <c r="F262" s="500"/>
      <c r="G262" s="500"/>
    </row>
    <row r="263" spans="1:7" s="501" customFormat="1" ht="14.25" customHeight="1" x14ac:dyDescent="0.25">
      <c r="A263" s="500"/>
      <c r="B263" s="840" t="s">
        <v>4371</v>
      </c>
      <c r="C263" s="496" t="s">
        <v>1279</v>
      </c>
      <c r="D263" s="496" t="s">
        <v>2873</v>
      </c>
      <c r="E263" s="496" t="s">
        <v>2883</v>
      </c>
      <c r="F263" s="500"/>
      <c r="G263" s="500"/>
    </row>
    <row r="264" spans="1:7" s="501" customFormat="1" ht="14.25" customHeight="1" x14ac:dyDescent="0.25">
      <c r="A264" s="500"/>
      <c r="B264" s="840" t="s">
        <v>4372</v>
      </c>
      <c r="C264" s="496" t="s">
        <v>1270</v>
      </c>
      <c r="D264" s="496" t="s">
        <v>2874</v>
      </c>
      <c r="E264" s="496" t="s">
        <v>2884</v>
      </c>
      <c r="F264" s="500"/>
      <c r="G264" s="500"/>
    </row>
    <row r="265" spans="1:7" s="501" customFormat="1" ht="14.25" customHeight="1" x14ac:dyDescent="0.25">
      <c r="A265" s="500"/>
      <c r="B265" s="840" t="s">
        <v>4373</v>
      </c>
      <c r="C265" s="496" t="s">
        <v>1282</v>
      </c>
      <c r="D265" s="496" t="s">
        <v>2875</v>
      </c>
      <c r="E265" s="496" t="s">
        <v>2885</v>
      </c>
      <c r="F265" s="500"/>
      <c r="G265" s="500"/>
    </row>
    <row r="266" spans="1:7" s="501" customFormat="1" ht="14.25" customHeight="1" x14ac:dyDescent="0.25">
      <c r="A266" s="500"/>
      <c r="B266" s="509" t="s">
        <v>4374</v>
      </c>
      <c r="C266" s="496" t="s">
        <v>2867</v>
      </c>
      <c r="D266" s="496" t="s">
        <v>2876</v>
      </c>
      <c r="E266" s="496" t="s">
        <v>2886</v>
      </c>
      <c r="F266" s="500"/>
      <c r="G266" s="500"/>
    </row>
    <row r="267" spans="1:7" s="501" customFormat="1" ht="14.25" customHeight="1" x14ac:dyDescent="0.25">
      <c r="A267" s="500"/>
      <c r="B267" s="509" t="s">
        <v>4375</v>
      </c>
      <c r="C267" s="839" t="s">
        <v>1301</v>
      </c>
      <c r="D267" s="496" t="s">
        <v>2877</v>
      </c>
      <c r="E267" s="496" t="s">
        <v>2887</v>
      </c>
      <c r="F267" s="500"/>
      <c r="G267" s="500"/>
    </row>
    <row r="269" spans="1:7" s="501" customFormat="1" ht="14.25" customHeight="1" x14ac:dyDescent="0.25">
      <c r="A269" s="500"/>
      <c r="B269" s="509" t="s">
        <v>4376</v>
      </c>
      <c r="C269" s="496" t="s">
        <v>1139</v>
      </c>
      <c r="D269" s="496" t="s">
        <v>1140</v>
      </c>
      <c r="E269" s="844" t="s">
        <v>3029</v>
      </c>
      <c r="F269" s="500"/>
      <c r="G269" s="500"/>
    </row>
    <row r="270" spans="1:7" s="501" customFormat="1" ht="14.25" customHeight="1" x14ac:dyDescent="0.25">
      <c r="A270" s="500"/>
      <c r="B270" s="509" t="s">
        <v>4377</v>
      </c>
      <c r="C270" s="496" t="s">
        <v>1142</v>
      </c>
      <c r="D270" s="496" t="s">
        <v>1143</v>
      </c>
      <c r="E270" s="496" t="s">
        <v>1144</v>
      </c>
      <c r="F270" s="500"/>
      <c r="G270" s="500"/>
    </row>
    <row r="271" spans="1:7" s="501" customFormat="1" ht="14.25" customHeight="1" x14ac:dyDescent="0.25">
      <c r="A271" s="500"/>
      <c r="B271" s="509" t="s">
        <v>4378</v>
      </c>
      <c r="C271" s="496" t="s">
        <v>1146</v>
      </c>
      <c r="D271" s="496" t="s">
        <v>1147</v>
      </c>
      <c r="E271" s="844" t="s">
        <v>3042</v>
      </c>
      <c r="F271" s="500"/>
      <c r="G271" s="500"/>
    </row>
    <row r="272" spans="1:7" s="501" customFormat="1" ht="14.25" customHeight="1" x14ac:dyDescent="0.25">
      <c r="A272" s="500"/>
      <c r="C272" s="496"/>
      <c r="D272" s="496"/>
      <c r="E272" s="496"/>
      <c r="F272" s="500"/>
      <c r="G272" s="500"/>
    </row>
    <row r="273" spans="1:7" s="501" customFormat="1" ht="14.25" customHeight="1" x14ac:dyDescent="0.25">
      <c r="A273" s="500"/>
      <c r="B273" s="509" t="s">
        <v>4379</v>
      </c>
      <c r="C273" s="496" t="s">
        <v>1149</v>
      </c>
      <c r="D273" s="844" t="s">
        <v>3016</v>
      </c>
      <c r="E273" s="496" t="s">
        <v>1151</v>
      </c>
      <c r="F273" s="500"/>
      <c r="G273" s="500"/>
    </row>
    <row r="274" spans="1:7" s="501" customFormat="1" ht="14.25" customHeight="1" x14ac:dyDescent="0.25">
      <c r="A274" s="500"/>
      <c r="C274" s="496"/>
      <c r="D274" s="496"/>
      <c r="E274" s="496"/>
      <c r="F274" s="500"/>
      <c r="G274" s="500"/>
    </row>
    <row r="275" spans="1:7" s="501" customFormat="1" ht="14.25" customHeight="1" x14ac:dyDescent="0.25">
      <c r="A275" s="500"/>
      <c r="B275" s="509" t="s">
        <v>4380</v>
      </c>
      <c r="C275" s="496" t="s">
        <v>1153</v>
      </c>
      <c r="D275" s="844" t="s">
        <v>3012</v>
      </c>
      <c r="E275" s="496" t="s">
        <v>1154</v>
      </c>
      <c r="F275" s="500"/>
      <c r="G275" s="500"/>
    </row>
    <row r="276" spans="1:7" s="501" customFormat="1" ht="14.25" customHeight="1" x14ac:dyDescent="0.25">
      <c r="A276" s="500"/>
      <c r="C276" s="496"/>
      <c r="D276" s="496"/>
      <c r="E276" s="496"/>
      <c r="F276" s="500"/>
      <c r="G276" s="500"/>
    </row>
    <row r="277" spans="1:7" s="501" customFormat="1" ht="14.25" customHeight="1" x14ac:dyDescent="0.25">
      <c r="A277" s="500"/>
      <c r="B277" s="509" t="s">
        <v>4381</v>
      </c>
      <c r="C277" s="496" t="s">
        <v>1156</v>
      </c>
      <c r="D277" s="496" t="s">
        <v>1157</v>
      </c>
      <c r="E277" s="843" t="s">
        <v>2974</v>
      </c>
      <c r="F277" s="500"/>
      <c r="G277" s="500"/>
    </row>
    <row r="278" spans="1:7" s="501" customFormat="1" ht="14.25" customHeight="1" x14ac:dyDescent="0.25">
      <c r="A278" s="500"/>
      <c r="B278" s="509" t="s">
        <v>4382</v>
      </c>
      <c r="C278" s="496" t="s">
        <v>1159</v>
      </c>
      <c r="D278" s="496" t="s">
        <v>1160</v>
      </c>
      <c r="E278" s="496" t="s">
        <v>2975</v>
      </c>
      <c r="F278" s="500"/>
      <c r="G278" s="500"/>
    </row>
    <row r="279" spans="1:7" s="501" customFormat="1" ht="14.25" customHeight="1" x14ac:dyDescent="0.25">
      <c r="A279" s="500"/>
      <c r="B279" s="509" t="s">
        <v>4383</v>
      </c>
      <c r="C279" s="840" t="s">
        <v>2779</v>
      </c>
      <c r="D279" s="840" t="s">
        <v>2900</v>
      </c>
      <c r="E279" s="496" t="s">
        <v>2901</v>
      </c>
      <c r="F279" s="500"/>
      <c r="G279" s="500"/>
    </row>
    <row r="280" spans="1:7" s="501" customFormat="1" ht="14.25" customHeight="1" x14ac:dyDescent="0.25">
      <c r="A280" s="500"/>
      <c r="B280" s="509" t="s">
        <v>4384</v>
      </c>
      <c r="C280" s="844" t="s">
        <v>2986</v>
      </c>
      <c r="D280" s="844" t="s">
        <v>3043</v>
      </c>
      <c r="E280" s="844" t="s">
        <v>3044</v>
      </c>
      <c r="F280" s="500"/>
      <c r="G280" s="500"/>
    </row>
    <row r="281" spans="1:7" s="501" customFormat="1" ht="14.25" customHeight="1" x14ac:dyDescent="0.25">
      <c r="A281" s="500"/>
      <c r="B281" s="509" t="s">
        <v>4385</v>
      </c>
      <c r="C281" s="844" t="s">
        <v>2987</v>
      </c>
      <c r="D281" s="840" t="s">
        <v>2972</v>
      </c>
      <c r="E281" s="840" t="s">
        <v>2973</v>
      </c>
      <c r="F281" s="500"/>
      <c r="G281" s="500"/>
    </row>
    <row r="282" spans="1:7" s="501" customFormat="1" ht="14.25" customHeight="1" x14ac:dyDescent="0.25">
      <c r="A282" s="500"/>
      <c r="B282" s="840" t="s">
        <v>4386</v>
      </c>
      <c r="C282" s="778" t="s">
        <v>2778</v>
      </c>
      <c r="D282" s="778" t="s">
        <v>2902</v>
      </c>
      <c r="E282" s="778" t="s">
        <v>2903</v>
      </c>
      <c r="F282" s="500"/>
      <c r="G282" s="500"/>
    </row>
    <row r="283" spans="1:7" s="501" customFormat="1" ht="14.25" customHeight="1" x14ac:dyDescent="0.25">
      <c r="A283" s="500"/>
      <c r="B283" s="840" t="s">
        <v>4387</v>
      </c>
      <c r="C283" s="919" t="s">
        <v>3198</v>
      </c>
      <c r="D283" s="919" t="s">
        <v>3197</v>
      </c>
      <c r="E283" s="919" t="s">
        <v>3199</v>
      </c>
      <c r="F283" s="500"/>
      <c r="G283" s="500"/>
    </row>
    <row r="284" spans="1:7" s="501" customFormat="1" ht="14.25" customHeight="1" x14ac:dyDescent="0.25">
      <c r="A284" s="500"/>
      <c r="B284" s="840" t="s">
        <v>4388</v>
      </c>
      <c r="C284" s="496" t="s">
        <v>1166</v>
      </c>
      <c r="D284" s="496" t="s">
        <v>1167</v>
      </c>
      <c r="E284" s="496" t="s">
        <v>1168</v>
      </c>
      <c r="F284" s="500"/>
      <c r="G284" s="500"/>
    </row>
    <row r="285" spans="1:7" s="501" customFormat="1" ht="14.25" customHeight="1" x14ac:dyDescent="0.25">
      <c r="A285" s="500"/>
      <c r="C285" s="496"/>
      <c r="D285" s="496"/>
      <c r="E285" s="496"/>
      <c r="F285" s="500"/>
      <c r="G285" s="500"/>
    </row>
    <row r="286" spans="1:7" s="501" customFormat="1" ht="14.25" customHeight="1" x14ac:dyDescent="0.25">
      <c r="A286" s="500"/>
      <c r="B286" s="840" t="s">
        <v>4389</v>
      </c>
      <c r="C286" s="496" t="s">
        <v>1170</v>
      </c>
      <c r="D286" s="496" t="s">
        <v>1171</v>
      </c>
      <c r="E286" s="496" t="s">
        <v>1172</v>
      </c>
      <c r="F286" s="500"/>
      <c r="G286" s="500"/>
    </row>
    <row r="287" spans="1:7" s="501" customFormat="1" ht="14.25" customHeight="1" x14ac:dyDescent="0.25">
      <c r="A287" s="500"/>
      <c r="C287" s="496"/>
      <c r="D287" s="496"/>
      <c r="E287" s="496"/>
      <c r="F287" s="500"/>
      <c r="G287" s="500"/>
    </row>
    <row r="288" spans="1:7" s="501" customFormat="1" ht="14.25" customHeight="1" x14ac:dyDescent="0.25">
      <c r="A288" s="500"/>
      <c r="B288" s="840" t="s">
        <v>4390</v>
      </c>
      <c r="C288" s="496" t="s">
        <v>1174</v>
      </c>
      <c r="D288" s="496" t="s">
        <v>1175</v>
      </c>
      <c r="E288" s="496" t="s">
        <v>1176</v>
      </c>
      <c r="F288" s="500"/>
      <c r="G288" s="500"/>
    </row>
    <row r="289" spans="1:7" s="501" customFormat="1" ht="14.25" customHeight="1" x14ac:dyDescent="0.25">
      <c r="A289" s="500"/>
      <c r="B289" s="840" t="s">
        <v>4391</v>
      </c>
      <c r="C289" s="496" t="s">
        <v>1178</v>
      </c>
      <c r="D289" s="496" t="s">
        <v>1179</v>
      </c>
      <c r="E289" s="496" t="s">
        <v>1180</v>
      </c>
      <c r="F289" s="500"/>
      <c r="G289" s="500"/>
    </row>
    <row r="290" spans="1:7" s="501" customFormat="1" ht="14.25" customHeight="1" x14ac:dyDescent="0.25">
      <c r="A290" s="500"/>
      <c r="B290" s="840" t="s">
        <v>4392</v>
      </c>
      <c r="C290" s="496" t="s">
        <v>1182</v>
      </c>
      <c r="D290" s="496" t="s">
        <v>1090</v>
      </c>
      <c r="E290" s="496" t="s">
        <v>1091</v>
      </c>
      <c r="F290" s="500"/>
      <c r="G290" s="500"/>
    </row>
    <row r="291" spans="1:7" s="501" customFormat="1" ht="14.25" customHeight="1" x14ac:dyDescent="0.25">
      <c r="A291" s="500"/>
      <c r="C291" s="496"/>
      <c r="D291" s="496"/>
      <c r="E291" s="496"/>
      <c r="F291" s="500"/>
      <c r="G291" s="500"/>
    </row>
    <row r="292" spans="1:7" s="501" customFormat="1" ht="14.25" customHeight="1" x14ac:dyDescent="0.25">
      <c r="A292" s="500"/>
      <c r="B292" s="840" t="s">
        <v>4393</v>
      </c>
      <c r="C292" s="496" t="s">
        <v>1184</v>
      </c>
      <c r="D292" s="496" t="s">
        <v>1185</v>
      </c>
      <c r="E292" s="496" t="s">
        <v>1186</v>
      </c>
      <c r="F292" s="500"/>
      <c r="G292" s="500"/>
    </row>
    <row r="293" spans="1:7" s="501" customFormat="1" ht="14.25" customHeight="1" x14ac:dyDescent="0.25">
      <c r="A293" s="500"/>
      <c r="C293" s="496"/>
      <c r="D293" s="496"/>
      <c r="E293" s="496"/>
      <c r="F293" s="500"/>
      <c r="G293" s="500"/>
    </row>
    <row r="294" spans="1:7" s="501" customFormat="1" ht="14.25" customHeight="1" x14ac:dyDescent="0.25">
      <c r="A294" s="500"/>
      <c r="B294" s="840" t="s">
        <v>4394</v>
      </c>
      <c r="C294" s="496" t="s">
        <v>1188</v>
      </c>
      <c r="D294" s="496" t="s">
        <v>1189</v>
      </c>
      <c r="E294" s="844" t="s">
        <v>3030</v>
      </c>
      <c r="F294" s="500"/>
      <c r="G294" s="500"/>
    </row>
    <row r="295" spans="1:7" s="501" customFormat="1" ht="14.25" customHeight="1" x14ac:dyDescent="0.25">
      <c r="A295" s="500"/>
      <c r="B295" s="840" t="s">
        <v>4395</v>
      </c>
      <c r="C295" s="496" t="s">
        <v>1191</v>
      </c>
      <c r="D295" s="496" t="s">
        <v>1192</v>
      </c>
      <c r="E295" s="496" t="s">
        <v>1193</v>
      </c>
      <c r="F295" s="500"/>
      <c r="G295" s="500"/>
    </row>
    <row r="296" spans="1:7" s="501" customFormat="1" ht="14.25" customHeight="1" x14ac:dyDescent="0.25">
      <c r="A296" s="500"/>
      <c r="B296" s="840" t="s">
        <v>4396</v>
      </c>
      <c r="C296" s="496" t="s">
        <v>1195</v>
      </c>
      <c r="D296" s="496" t="s">
        <v>1196</v>
      </c>
      <c r="E296" s="496" t="s">
        <v>1197</v>
      </c>
      <c r="F296" s="500"/>
      <c r="G296" s="500"/>
    </row>
    <row r="297" spans="1:7" s="501" customFormat="1" ht="14.25" customHeight="1" x14ac:dyDescent="0.25">
      <c r="A297" s="500"/>
      <c r="B297" s="840" t="s">
        <v>4397</v>
      </c>
      <c r="C297" s="496" t="s">
        <v>1199</v>
      </c>
      <c r="D297" s="496" t="s">
        <v>1200</v>
      </c>
      <c r="E297" s="496" t="s">
        <v>1201</v>
      </c>
      <c r="F297" s="500"/>
      <c r="G297" s="500"/>
    </row>
    <row r="298" spans="1:7" s="501" customFormat="1" ht="14.25" customHeight="1" x14ac:dyDescent="0.25">
      <c r="A298" s="500"/>
      <c r="B298" s="840" t="s">
        <v>4398</v>
      </c>
      <c r="C298" s="496" t="s">
        <v>1203</v>
      </c>
      <c r="D298" s="496" t="s">
        <v>1204</v>
      </c>
      <c r="E298" s="496" t="s">
        <v>1205</v>
      </c>
      <c r="F298" s="500"/>
      <c r="G298" s="500"/>
    </row>
    <row r="299" spans="1:7" s="501" customFormat="1" ht="14.25" customHeight="1" x14ac:dyDescent="0.25">
      <c r="A299" s="500"/>
      <c r="C299" s="496"/>
      <c r="D299" s="496"/>
      <c r="E299" s="496"/>
      <c r="F299" s="500"/>
      <c r="G299" s="500"/>
    </row>
    <row r="300" spans="1:7" s="501" customFormat="1" ht="14.25" customHeight="1" x14ac:dyDescent="0.25">
      <c r="A300" s="500"/>
      <c r="B300" s="840" t="s">
        <v>4399</v>
      </c>
      <c r="C300" s="496" t="s">
        <v>839</v>
      </c>
      <c r="D300" s="844" t="s">
        <v>3022</v>
      </c>
      <c r="E300" s="496" t="s">
        <v>1478</v>
      </c>
      <c r="F300" s="500"/>
      <c r="G300" s="500"/>
    </row>
    <row r="301" spans="1:7" s="501" customFormat="1" ht="14.25" customHeight="1" x14ac:dyDescent="0.25">
      <c r="A301" s="500"/>
      <c r="C301" s="496"/>
      <c r="D301" s="496"/>
      <c r="E301" s="496"/>
      <c r="F301" s="500"/>
      <c r="G301" s="500"/>
    </row>
    <row r="302" spans="1:7" s="501" customFormat="1" ht="14.25" customHeight="1" x14ac:dyDescent="0.25">
      <c r="A302" s="500"/>
      <c r="B302" s="840" t="s">
        <v>4400</v>
      </c>
      <c r="C302" s="496" t="s">
        <v>1208</v>
      </c>
      <c r="D302" s="844" t="s">
        <v>3020</v>
      </c>
      <c r="E302" s="496" t="s">
        <v>1209</v>
      </c>
      <c r="F302" s="500"/>
      <c r="G302" s="500"/>
    </row>
    <row r="303" spans="1:7" s="501" customFormat="1" ht="14.25" customHeight="1" x14ac:dyDescent="0.25">
      <c r="A303" s="500"/>
      <c r="C303" s="496"/>
      <c r="D303" s="496"/>
      <c r="E303" s="496"/>
      <c r="F303" s="500"/>
      <c r="G303" s="500"/>
    </row>
    <row r="304" spans="1:7" s="501" customFormat="1" ht="14.25" customHeight="1" x14ac:dyDescent="0.25">
      <c r="A304" s="500"/>
      <c r="B304" s="840" t="s">
        <v>4401</v>
      </c>
      <c r="C304" s="496" t="s">
        <v>1211</v>
      </c>
      <c r="D304" s="496" t="s">
        <v>1212</v>
      </c>
      <c r="E304" s="496" t="s">
        <v>11</v>
      </c>
      <c r="F304" s="500"/>
      <c r="G304" s="500"/>
    </row>
    <row r="305" spans="1:7" s="501" customFormat="1" ht="14.25" customHeight="1" x14ac:dyDescent="0.25">
      <c r="A305" s="500"/>
      <c r="C305" s="496"/>
      <c r="D305" s="496"/>
      <c r="E305" s="496"/>
      <c r="F305" s="500"/>
      <c r="G305" s="500"/>
    </row>
    <row r="306" spans="1:7" s="501" customFormat="1" ht="14.25" customHeight="1" x14ac:dyDescent="0.25">
      <c r="A306" s="500"/>
      <c r="B306" s="840" t="s">
        <v>4402</v>
      </c>
      <c r="C306" s="496" t="s">
        <v>1214</v>
      </c>
      <c r="D306" s="496" t="s">
        <v>1215</v>
      </c>
      <c r="E306" s="496" t="s">
        <v>1216</v>
      </c>
      <c r="F306" s="500"/>
      <c r="G306" s="500"/>
    </row>
    <row r="307" spans="1:7" s="501" customFormat="1" ht="14.25" customHeight="1" x14ac:dyDescent="0.25">
      <c r="A307" s="500"/>
      <c r="B307" s="840" t="s">
        <v>4403</v>
      </c>
      <c r="C307" s="496" t="s">
        <v>2864</v>
      </c>
      <c r="D307" s="496" t="s">
        <v>2868</v>
      </c>
      <c r="E307" s="496" t="s">
        <v>2878</v>
      </c>
      <c r="F307" s="500"/>
      <c r="G307" s="500"/>
    </row>
    <row r="308" spans="1:7" s="501" customFormat="1" ht="14.25" customHeight="1" x14ac:dyDescent="0.25">
      <c r="A308" s="500"/>
      <c r="B308" s="840" t="s">
        <v>4404</v>
      </c>
      <c r="C308" s="515" t="s">
        <v>1734</v>
      </c>
      <c r="D308" s="684" t="s">
        <v>2458</v>
      </c>
      <c r="E308" s="654" t="s">
        <v>2122</v>
      </c>
      <c r="F308" s="500"/>
      <c r="G308" s="500"/>
    </row>
    <row r="309" spans="1:7" s="501" customFormat="1" ht="14.25" customHeight="1" x14ac:dyDescent="0.25">
      <c r="A309" s="500"/>
      <c r="B309" s="840" t="s">
        <v>4405</v>
      </c>
      <c r="C309" s="1178" t="s">
        <v>3955</v>
      </c>
      <c r="D309" s="1178" t="s">
        <v>3957</v>
      </c>
      <c r="E309" s="1178" t="s">
        <v>3959</v>
      </c>
      <c r="F309" s="500"/>
      <c r="G309" s="500"/>
    </row>
    <row r="310" spans="1:7" s="501" customFormat="1" ht="14.25" customHeight="1" x14ac:dyDescent="0.25">
      <c r="A310" s="500"/>
      <c r="B310" s="840" t="s">
        <v>4406</v>
      </c>
      <c r="C310" s="1178" t="s">
        <v>3956</v>
      </c>
      <c r="D310" s="1178" t="s">
        <v>3958</v>
      </c>
      <c r="E310" s="1178" t="s">
        <v>3960</v>
      </c>
      <c r="F310" s="500"/>
      <c r="G310" s="500"/>
    </row>
    <row r="311" spans="1:7" s="501" customFormat="1" ht="14.25" customHeight="1" x14ac:dyDescent="0.25">
      <c r="A311" s="500"/>
      <c r="B311" s="840" t="s">
        <v>4407</v>
      </c>
      <c r="C311" s="496" t="s">
        <v>1226</v>
      </c>
      <c r="D311" s="496" t="s">
        <v>1227</v>
      </c>
      <c r="E311" s="844" t="s">
        <v>3045</v>
      </c>
      <c r="F311" s="500"/>
      <c r="G311" s="500"/>
    </row>
    <row r="312" spans="1:7" s="501" customFormat="1" ht="14.25" customHeight="1" x14ac:dyDescent="0.25">
      <c r="A312" s="500"/>
      <c r="B312" s="840" t="s">
        <v>4408</v>
      </c>
      <c r="C312" s="540" t="s">
        <v>1922</v>
      </c>
      <c r="D312" s="684" t="s">
        <v>2459</v>
      </c>
      <c r="E312" s="540" t="s">
        <v>1923</v>
      </c>
      <c r="F312" s="500"/>
      <c r="G312" s="500"/>
    </row>
    <row r="313" spans="1:7" s="501" customFormat="1" ht="14.25" customHeight="1" x14ac:dyDescent="0.25">
      <c r="A313" s="500"/>
      <c r="B313" s="840" t="s">
        <v>4409</v>
      </c>
      <c r="C313" s="496" t="s">
        <v>1230</v>
      </c>
      <c r="D313" s="496" t="s">
        <v>1231</v>
      </c>
      <c r="E313" s="496" t="s">
        <v>1232</v>
      </c>
      <c r="F313" s="500"/>
      <c r="G313" s="500"/>
    </row>
    <row r="314" spans="1:7" s="501" customFormat="1" ht="14.25" customHeight="1" x14ac:dyDescent="0.25">
      <c r="A314" s="500"/>
      <c r="B314" s="840" t="s">
        <v>4410</v>
      </c>
      <c r="C314" s="496" t="s">
        <v>842</v>
      </c>
      <c r="D314" s="496" t="s">
        <v>1234</v>
      </c>
      <c r="E314" s="496" t="s">
        <v>1235</v>
      </c>
      <c r="F314" s="500"/>
      <c r="G314" s="500"/>
    </row>
    <row r="315" spans="1:7" s="501" customFormat="1" ht="14.25" customHeight="1" x14ac:dyDescent="0.25">
      <c r="A315" s="500"/>
      <c r="B315" s="509" t="s">
        <v>4411</v>
      </c>
      <c r="C315" s="496" t="s">
        <v>1237</v>
      </c>
      <c r="D315" s="496" t="s">
        <v>1238</v>
      </c>
      <c r="E315" s="496" t="s">
        <v>1239</v>
      </c>
      <c r="F315" s="500"/>
      <c r="G315" s="500"/>
    </row>
    <row r="316" spans="1:7" s="501" customFormat="1" ht="14.25" customHeight="1" x14ac:dyDescent="0.25">
      <c r="A316" s="500"/>
      <c r="B316" s="509" t="s">
        <v>4412</v>
      </c>
      <c r="C316" s="496" t="s">
        <v>1275</v>
      </c>
      <c r="D316" s="496" t="s">
        <v>2869</v>
      </c>
      <c r="E316" s="496" t="s">
        <v>2879</v>
      </c>
      <c r="F316" s="500"/>
      <c r="G316" s="500"/>
    </row>
    <row r="317" spans="1:7" s="501" customFormat="1" ht="14.25" customHeight="1" x14ac:dyDescent="0.25">
      <c r="A317" s="500"/>
      <c r="C317" s="496"/>
      <c r="D317" s="496"/>
      <c r="E317" s="496"/>
      <c r="F317" s="500"/>
      <c r="G317" s="500"/>
    </row>
    <row r="318" spans="1:7" s="501" customFormat="1" ht="14.25" customHeight="1" x14ac:dyDescent="0.25">
      <c r="A318" s="500"/>
      <c r="B318" s="509" t="s">
        <v>4413</v>
      </c>
      <c r="C318" s="496" t="s">
        <v>2865</v>
      </c>
      <c r="D318" s="496" t="s">
        <v>2870</v>
      </c>
      <c r="E318" s="496" t="s">
        <v>2880</v>
      </c>
      <c r="F318" s="500"/>
      <c r="G318" s="500"/>
    </row>
    <row r="319" spans="1:7" s="501" customFormat="1" ht="14.25" customHeight="1" x14ac:dyDescent="0.25">
      <c r="A319" s="500"/>
      <c r="B319" s="509" t="s">
        <v>4414</v>
      </c>
      <c r="C319" s="515" t="s">
        <v>1735</v>
      </c>
      <c r="D319" s="684" t="s">
        <v>2460</v>
      </c>
      <c r="E319" s="496" t="s">
        <v>1242</v>
      </c>
      <c r="F319" s="500"/>
      <c r="G319" s="500"/>
    </row>
    <row r="320" spans="1:7" s="501" customFormat="1" ht="14.25" customHeight="1" x14ac:dyDescent="0.25">
      <c r="A320" s="500"/>
      <c r="B320" s="509" t="s">
        <v>4415</v>
      </c>
      <c r="C320" s="515" t="s">
        <v>1738</v>
      </c>
      <c r="D320" s="684" t="s">
        <v>2462</v>
      </c>
      <c r="E320" s="496" t="s">
        <v>1244</v>
      </c>
      <c r="F320" s="500"/>
      <c r="G320" s="500"/>
    </row>
    <row r="321" spans="1:7" s="501" customFormat="1" ht="14.25" customHeight="1" x14ac:dyDescent="0.25">
      <c r="A321" s="500"/>
      <c r="B321" s="840" t="s">
        <v>4416</v>
      </c>
      <c r="C321" s="496" t="s">
        <v>1246</v>
      </c>
      <c r="D321" s="496" t="s">
        <v>1247</v>
      </c>
      <c r="E321" s="844" t="s">
        <v>3046</v>
      </c>
      <c r="F321" s="500"/>
      <c r="G321" s="500"/>
    </row>
    <row r="322" spans="1:7" s="501" customFormat="1" ht="14.25" customHeight="1" x14ac:dyDescent="0.25">
      <c r="A322" s="500"/>
      <c r="B322" s="840" t="s">
        <v>4417</v>
      </c>
      <c r="C322" s="540" t="s">
        <v>1924</v>
      </c>
      <c r="D322" s="684" t="s">
        <v>2461</v>
      </c>
      <c r="E322" s="540" t="s">
        <v>1925</v>
      </c>
      <c r="F322" s="500"/>
      <c r="G322" s="500"/>
    </row>
    <row r="323" spans="1:7" s="501" customFormat="1" ht="14.25" customHeight="1" x14ac:dyDescent="0.25">
      <c r="A323" s="500"/>
      <c r="B323" s="840" t="s">
        <v>4418</v>
      </c>
      <c r="C323" s="496" t="s">
        <v>843</v>
      </c>
      <c r="D323" s="496" t="s">
        <v>1250</v>
      </c>
      <c r="E323" s="496" t="s">
        <v>1251</v>
      </c>
      <c r="F323" s="500"/>
      <c r="G323" s="500"/>
    </row>
    <row r="324" spans="1:7" s="501" customFormat="1" ht="14.25" customHeight="1" x14ac:dyDescent="0.25">
      <c r="A324" s="500"/>
      <c r="B324" s="509" t="s">
        <v>4419</v>
      </c>
      <c r="C324" s="496" t="s">
        <v>1252</v>
      </c>
      <c r="D324" s="496" t="s">
        <v>1253</v>
      </c>
      <c r="E324" s="496" t="s">
        <v>1254</v>
      </c>
      <c r="F324" s="500"/>
      <c r="G324" s="500"/>
    </row>
    <row r="325" spans="1:7" s="501" customFormat="1" ht="14.25" customHeight="1" x14ac:dyDescent="0.25">
      <c r="A325" s="500"/>
      <c r="B325" s="509" t="s">
        <v>4420</v>
      </c>
      <c r="C325" s="496" t="s">
        <v>1276</v>
      </c>
      <c r="D325" s="496" t="s">
        <v>1277</v>
      </c>
      <c r="E325" s="496" t="s">
        <v>2882</v>
      </c>
      <c r="F325" s="500"/>
      <c r="G325" s="500"/>
    </row>
    <row r="326" spans="1:7" s="501" customFormat="1" ht="14.25" customHeight="1" x14ac:dyDescent="0.25">
      <c r="A326" s="500"/>
      <c r="C326" s="496"/>
      <c r="D326" s="496"/>
      <c r="E326" s="496"/>
      <c r="F326" s="500"/>
      <c r="G326" s="500"/>
    </row>
    <row r="327" spans="1:7" s="501" customFormat="1" ht="14.25" customHeight="1" x14ac:dyDescent="0.25">
      <c r="A327" s="500"/>
      <c r="B327" s="509" t="s">
        <v>4421</v>
      </c>
      <c r="C327" s="496" t="s">
        <v>2866</v>
      </c>
      <c r="D327" s="496" t="s">
        <v>2871</v>
      </c>
      <c r="E327" s="496" t="s">
        <v>2881</v>
      </c>
      <c r="F327" s="500"/>
      <c r="G327" s="500"/>
    </row>
    <row r="328" spans="1:7" s="501" customFormat="1" ht="14.25" customHeight="1" x14ac:dyDescent="0.25">
      <c r="A328" s="500"/>
      <c r="B328" s="509" t="s">
        <v>4422</v>
      </c>
      <c r="C328" s="515" t="s">
        <v>1736</v>
      </c>
      <c r="D328" s="684" t="s">
        <v>2463</v>
      </c>
      <c r="E328" s="496" t="s">
        <v>1257</v>
      </c>
      <c r="F328" s="500"/>
      <c r="G328" s="500"/>
    </row>
    <row r="329" spans="1:7" s="501" customFormat="1" ht="14.25" customHeight="1" x14ac:dyDescent="0.25">
      <c r="A329" s="500"/>
      <c r="B329" s="509" t="s">
        <v>4423</v>
      </c>
      <c r="C329" s="540" t="s">
        <v>1928</v>
      </c>
      <c r="D329" s="684" t="s">
        <v>2469</v>
      </c>
      <c r="E329" s="540" t="s">
        <v>1930</v>
      </c>
      <c r="F329" s="500"/>
      <c r="G329" s="500"/>
    </row>
    <row r="330" spans="1:7" s="501" customFormat="1" ht="14.25" customHeight="1" x14ac:dyDescent="0.25">
      <c r="A330" s="500"/>
      <c r="B330" s="540" t="s">
        <v>4424</v>
      </c>
      <c r="C330" s="515" t="s">
        <v>1929</v>
      </c>
      <c r="D330" s="779" t="s">
        <v>2468</v>
      </c>
      <c r="E330" s="540" t="s">
        <v>1931</v>
      </c>
      <c r="F330" s="500"/>
      <c r="G330" s="500"/>
    </row>
    <row r="331" spans="1:7" s="501" customFormat="1" ht="14.25" customHeight="1" x14ac:dyDescent="0.25">
      <c r="A331" s="500"/>
      <c r="B331" s="840" t="s">
        <v>4425</v>
      </c>
      <c r="C331" s="515" t="s">
        <v>1737</v>
      </c>
      <c r="D331" s="1247" t="s">
        <v>4968</v>
      </c>
      <c r="E331" s="684" t="s">
        <v>2467</v>
      </c>
      <c r="F331" s="500"/>
      <c r="G331" s="500"/>
    </row>
    <row r="332" spans="1:7" s="501" customFormat="1" ht="14.25" customHeight="1" x14ac:dyDescent="0.25">
      <c r="A332" s="500"/>
      <c r="B332" s="840" t="s">
        <v>4426</v>
      </c>
      <c r="C332" s="496" t="s">
        <v>1260</v>
      </c>
      <c r="D332" s="774" t="s">
        <v>2507</v>
      </c>
      <c r="E332" s="844" t="s">
        <v>3047</v>
      </c>
      <c r="F332" s="500"/>
      <c r="G332" s="500"/>
    </row>
    <row r="333" spans="1:7" s="501" customFormat="1" ht="14.25" customHeight="1" x14ac:dyDescent="0.25">
      <c r="A333" s="500"/>
      <c r="B333" s="840" t="s">
        <v>4427</v>
      </c>
      <c r="C333" s="540" t="s">
        <v>1926</v>
      </c>
      <c r="D333" s="684" t="s">
        <v>2464</v>
      </c>
      <c r="E333" s="540" t="s">
        <v>1927</v>
      </c>
      <c r="F333" s="500"/>
      <c r="G333" s="500"/>
    </row>
    <row r="334" spans="1:7" s="501" customFormat="1" ht="14.25" customHeight="1" x14ac:dyDescent="0.25">
      <c r="A334" s="500"/>
      <c r="B334" s="840" t="s">
        <v>4428</v>
      </c>
      <c r="C334" s="684" t="s">
        <v>844</v>
      </c>
      <c r="D334" s="684" t="s">
        <v>1263</v>
      </c>
      <c r="E334" s="496" t="s">
        <v>1264</v>
      </c>
      <c r="F334" s="500"/>
      <c r="G334" s="500"/>
    </row>
    <row r="335" spans="1:7" s="501" customFormat="1" ht="14.25" customHeight="1" x14ac:dyDescent="0.25">
      <c r="A335" s="500"/>
      <c r="B335" s="840" t="s">
        <v>4429</v>
      </c>
      <c r="C335" s="496" t="s">
        <v>1266</v>
      </c>
      <c r="D335" s="496" t="s">
        <v>1267</v>
      </c>
      <c r="E335" s="496" t="s">
        <v>1268</v>
      </c>
      <c r="F335" s="500"/>
      <c r="G335" s="500"/>
    </row>
    <row r="336" spans="1:7" s="501" customFormat="1" ht="14.25" customHeight="1" x14ac:dyDescent="0.25">
      <c r="A336" s="500"/>
      <c r="B336" s="540" t="s">
        <v>4430</v>
      </c>
      <c r="C336" s="496" t="s">
        <v>1279</v>
      </c>
      <c r="D336" s="496" t="s">
        <v>1280</v>
      </c>
      <c r="E336" s="496" t="s">
        <v>2883</v>
      </c>
      <c r="F336" s="500"/>
      <c r="G336" s="500"/>
    </row>
    <row r="337" spans="1:7" s="501" customFormat="1" ht="14.25" customHeight="1" x14ac:dyDescent="0.25">
      <c r="A337" s="500"/>
      <c r="C337" s="496"/>
      <c r="D337" s="496"/>
      <c r="E337" s="496"/>
      <c r="F337" s="500"/>
      <c r="G337" s="500"/>
    </row>
    <row r="338" spans="1:7" s="501" customFormat="1" ht="14.25" customHeight="1" x14ac:dyDescent="0.25">
      <c r="A338" s="500"/>
      <c r="B338" s="509" t="s">
        <v>4431</v>
      </c>
      <c r="C338" s="496" t="s">
        <v>1270</v>
      </c>
      <c r="D338" s="844" t="s">
        <v>3023</v>
      </c>
      <c r="E338" s="843" t="s">
        <v>2884</v>
      </c>
      <c r="F338" s="500"/>
      <c r="G338" s="500"/>
    </row>
    <row r="339" spans="1:7" s="501" customFormat="1" ht="14.25" customHeight="1" x14ac:dyDescent="0.25">
      <c r="A339" s="500"/>
      <c r="B339" s="509" t="s">
        <v>4432</v>
      </c>
      <c r="C339" s="496" t="s">
        <v>1282</v>
      </c>
      <c r="D339" s="496" t="s">
        <v>1283</v>
      </c>
      <c r="E339" s="496" t="s">
        <v>2885</v>
      </c>
      <c r="F339" s="500"/>
      <c r="G339" s="500"/>
    </row>
    <row r="340" spans="1:7" s="501" customFormat="1" ht="14.25" customHeight="1" x14ac:dyDescent="0.25">
      <c r="A340" s="500"/>
      <c r="C340" s="496"/>
      <c r="D340" s="496"/>
      <c r="E340" s="496"/>
      <c r="F340" s="500"/>
      <c r="G340" s="500"/>
    </row>
    <row r="341" spans="1:7" s="501" customFormat="1" ht="14.25" customHeight="1" x14ac:dyDescent="0.25">
      <c r="A341" s="500"/>
      <c r="B341" s="509" t="s">
        <v>4433</v>
      </c>
      <c r="C341" s="496" t="s">
        <v>1285</v>
      </c>
      <c r="D341" s="496" t="s">
        <v>1286</v>
      </c>
      <c r="E341" s="844" t="s">
        <v>3050</v>
      </c>
      <c r="F341" s="500"/>
      <c r="G341" s="500"/>
    </row>
    <row r="342" spans="1:7" s="501" customFormat="1" ht="14.25" customHeight="1" x14ac:dyDescent="0.25">
      <c r="A342" s="500"/>
      <c r="B342" s="509" t="s">
        <v>4434</v>
      </c>
      <c r="C342" s="496" t="s">
        <v>1288</v>
      </c>
      <c r="D342" s="496" t="s">
        <v>1289</v>
      </c>
      <c r="E342" s="496" t="s">
        <v>1290</v>
      </c>
      <c r="F342" s="500"/>
      <c r="G342" s="500"/>
    </row>
    <row r="343" spans="1:7" s="501" customFormat="1" ht="14.25" customHeight="1" x14ac:dyDescent="0.25">
      <c r="A343" s="500"/>
      <c r="B343" s="540" t="s">
        <v>4435</v>
      </c>
      <c r="C343" s="496" t="s">
        <v>1292</v>
      </c>
      <c r="D343" s="496" t="s">
        <v>1293</v>
      </c>
      <c r="E343" s="496" t="s">
        <v>1294</v>
      </c>
      <c r="F343" s="500"/>
      <c r="G343" s="500"/>
    </row>
    <row r="344" spans="1:7" s="501" customFormat="1" ht="14.25" customHeight="1" x14ac:dyDescent="0.25">
      <c r="A344" s="500"/>
      <c r="B344" s="540" t="s">
        <v>4436</v>
      </c>
      <c r="C344" s="496" t="s">
        <v>1296</v>
      </c>
      <c r="D344" s="496" t="s">
        <v>1297</v>
      </c>
      <c r="E344" s="496" t="s">
        <v>1298</v>
      </c>
      <c r="F344" s="500"/>
      <c r="G344" s="500"/>
    </row>
    <row r="345" spans="1:7" s="501" customFormat="1" ht="14.25" customHeight="1" x14ac:dyDescent="0.25">
      <c r="A345" s="500"/>
      <c r="B345" s="509" t="s">
        <v>4437</v>
      </c>
      <c r="C345" s="496" t="s">
        <v>1292</v>
      </c>
      <c r="D345" s="496" t="s">
        <v>1293</v>
      </c>
      <c r="E345" s="496" t="s">
        <v>1294</v>
      </c>
      <c r="F345" s="500"/>
      <c r="G345" s="500"/>
    </row>
    <row r="346" spans="1:7" s="501" customFormat="1" ht="14.25" customHeight="1" x14ac:dyDescent="0.25">
      <c r="A346" s="500"/>
      <c r="B346" s="509" t="s">
        <v>4438</v>
      </c>
      <c r="C346" s="845" t="s">
        <v>3061</v>
      </c>
      <c r="D346" s="845" t="s">
        <v>3062</v>
      </c>
      <c r="E346" s="845" t="s">
        <v>3063</v>
      </c>
      <c r="F346" s="500"/>
      <c r="G346" s="500"/>
    </row>
    <row r="347" spans="1:7" s="501" customFormat="1" ht="14.25" customHeight="1" x14ac:dyDescent="0.25">
      <c r="A347" s="500"/>
      <c r="B347" s="540" t="s">
        <v>4439</v>
      </c>
      <c r="C347" s="496" t="s">
        <v>1301</v>
      </c>
      <c r="D347" s="496" t="s">
        <v>1302</v>
      </c>
      <c r="E347" s="496" t="s">
        <v>2887</v>
      </c>
      <c r="F347" s="500"/>
      <c r="G347" s="500"/>
    </row>
    <row r="348" spans="1:7" s="501" customFormat="1" ht="14.25" customHeight="1" x14ac:dyDescent="0.25">
      <c r="A348" s="500"/>
      <c r="C348" s="496"/>
      <c r="D348" s="496"/>
      <c r="E348" s="496"/>
      <c r="F348" s="500"/>
      <c r="G348" s="500"/>
    </row>
    <row r="349" spans="1:7" s="501" customFormat="1" ht="14.25" customHeight="1" x14ac:dyDescent="0.25">
      <c r="A349" s="500"/>
      <c r="B349" s="540" t="s">
        <v>4440</v>
      </c>
      <c r="C349" s="1197" t="s">
        <v>1706</v>
      </c>
      <c r="D349" s="1197" t="s">
        <v>2030</v>
      </c>
      <c r="E349" s="1197" t="s">
        <v>2391</v>
      </c>
      <c r="F349" s="500"/>
      <c r="G349" s="500"/>
    </row>
    <row r="350" spans="1:7" s="501" customFormat="1" ht="14.25" customHeight="1" x14ac:dyDescent="0.25">
      <c r="A350" s="500"/>
      <c r="C350" s="496"/>
      <c r="D350" s="496"/>
      <c r="E350" s="496"/>
      <c r="F350" s="500"/>
      <c r="G350" s="500"/>
    </row>
    <row r="351" spans="1:7" s="501" customFormat="1" ht="14.25" customHeight="1" x14ac:dyDescent="0.25">
      <c r="A351" s="500"/>
      <c r="B351" s="540" t="s">
        <v>4441</v>
      </c>
      <c r="C351" s="496" t="s">
        <v>1304</v>
      </c>
      <c r="D351" s="496" t="s">
        <v>1305</v>
      </c>
      <c r="E351" s="496" t="s">
        <v>1306</v>
      </c>
      <c r="F351" s="500"/>
      <c r="G351" s="500"/>
    </row>
    <row r="352" spans="1:7" s="501" customFormat="1" ht="14.25" customHeight="1" x14ac:dyDescent="0.25">
      <c r="A352" s="500"/>
      <c r="B352" s="509" t="s">
        <v>4442</v>
      </c>
      <c r="C352" s="496" t="s">
        <v>1308</v>
      </c>
      <c r="D352" s="496" t="s">
        <v>1309</v>
      </c>
      <c r="E352" s="496" t="s">
        <v>1310</v>
      </c>
      <c r="F352" s="500"/>
      <c r="G352" s="500"/>
    </row>
    <row r="353" spans="1:7" s="501" customFormat="1" ht="14.25" customHeight="1" x14ac:dyDescent="0.25">
      <c r="A353" s="500"/>
      <c r="B353" s="509" t="s">
        <v>4443</v>
      </c>
      <c r="C353" s="496" t="s">
        <v>1312</v>
      </c>
      <c r="D353" s="496" t="s">
        <v>1313</v>
      </c>
      <c r="E353" s="496" t="s">
        <v>1314</v>
      </c>
      <c r="F353" s="500"/>
      <c r="G353" s="500"/>
    </row>
    <row r="354" spans="1:7" s="501" customFormat="1" ht="14.25" customHeight="1" x14ac:dyDescent="0.25">
      <c r="A354" s="500"/>
      <c r="B354" s="509" t="s">
        <v>4444</v>
      </c>
      <c r="C354" s="496" t="s">
        <v>1316</v>
      </c>
      <c r="D354" s="496" t="s">
        <v>1317</v>
      </c>
      <c r="E354" s="496" t="s">
        <v>1318</v>
      </c>
      <c r="F354" s="500"/>
      <c r="G354" s="500"/>
    </row>
    <row r="355" spans="1:7" s="501" customFormat="1" ht="14.25" customHeight="1" x14ac:dyDescent="0.25">
      <c r="A355" s="500"/>
      <c r="C355" s="496"/>
      <c r="D355" s="496"/>
      <c r="E355" s="496"/>
      <c r="F355" s="500"/>
      <c r="G355" s="500"/>
    </row>
    <row r="356" spans="1:7" s="501" customFormat="1" ht="14.25" customHeight="1" x14ac:dyDescent="0.25">
      <c r="A356" s="500"/>
      <c r="B356" s="509" t="s">
        <v>4445</v>
      </c>
      <c r="C356" s="496" t="s">
        <v>1320</v>
      </c>
      <c r="D356" s="496" t="s">
        <v>1321</v>
      </c>
      <c r="E356" s="496" t="s">
        <v>1322</v>
      </c>
      <c r="F356" s="500"/>
      <c r="G356" s="500"/>
    </row>
    <row r="357" spans="1:7" s="501" customFormat="1" ht="14.25" customHeight="1" x14ac:dyDescent="0.25">
      <c r="A357" s="500"/>
      <c r="C357" s="496"/>
      <c r="D357" s="496"/>
      <c r="E357" s="496"/>
      <c r="F357" s="500"/>
      <c r="G357" s="500"/>
    </row>
    <row r="358" spans="1:7" s="501" customFormat="1" ht="14.25" customHeight="1" x14ac:dyDescent="0.25">
      <c r="A358" s="500"/>
      <c r="B358" s="509" t="s">
        <v>4446</v>
      </c>
      <c r="C358" s="496" t="s">
        <v>1324</v>
      </c>
      <c r="D358" s="844" t="s">
        <v>3014</v>
      </c>
      <c r="E358" s="496" t="s">
        <v>1325</v>
      </c>
      <c r="F358" s="500"/>
      <c r="G358" s="500"/>
    </row>
    <row r="359" spans="1:7" s="501" customFormat="1" ht="14.25" customHeight="1" x14ac:dyDescent="0.25">
      <c r="A359" s="500"/>
      <c r="B359" s="540" t="s">
        <v>4447</v>
      </c>
      <c r="C359" s="496" t="s">
        <v>1065</v>
      </c>
      <c r="D359" s="496" t="s">
        <v>1066</v>
      </c>
      <c r="E359" s="496" t="s">
        <v>1067</v>
      </c>
      <c r="F359" s="500"/>
      <c r="G359" s="500"/>
    </row>
    <row r="360" spans="1:7" s="501" customFormat="1" ht="14.25" customHeight="1" x14ac:dyDescent="0.25">
      <c r="A360" s="500"/>
      <c r="B360" s="540" t="s">
        <v>4448</v>
      </c>
      <c r="C360" s="496" t="s">
        <v>1069</v>
      </c>
      <c r="D360" s="496" t="s">
        <v>1070</v>
      </c>
      <c r="E360" s="496" t="s">
        <v>1071</v>
      </c>
      <c r="F360" s="500"/>
      <c r="G360" s="500"/>
    </row>
    <row r="361" spans="1:7" s="501" customFormat="1" ht="14.25" customHeight="1" x14ac:dyDescent="0.25">
      <c r="A361" s="500"/>
      <c r="B361" s="540" t="s">
        <v>4449</v>
      </c>
      <c r="C361" s="496" t="s">
        <v>1073</v>
      </c>
      <c r="D361" s="496" t="s">
        <v>1074</v>
      </c>
      <c r="E361" s="496" t="s">
        <v>1075</v>
      </c>
      <c r="F361" s="500"/>
      <c r="G361" s="500"/>
    </row>
    <row r="362" spans="1:7" s="501" customFormat="1" ht="14.25" customHeight="1" x14ac:dyDescent="0.25">
      <c r="A362" s="500"/>
      <c r="B362" s="540" t="s">
        <v>4450</v>
      </c>
      <c r="C362" s="496" t="s">
        <v>1077</v>
      </c>
      <c r="D362" s="496" t="s">
        <v>1078</v>
      </c>
      <c r="E362" s="496" t="s">
        <v>1079</v>
      </c>
      <c r="F362" s="500"/>
      <c r="G362" s="500"/>
    </row>
    <row r="363" spans="1:7" s="501" customFormat="1" ht="14.25" customHeight="1" x14ac:dyDescent="0.25">
      <c r="A363" s="500"/>
      <c r="B363" s="509" t="s">
        <v>4451</v>
      </c>
      <c r="C363" s="496" t="s">
        <v>1331</v>
      </c>
      <c r="D363" s="496" t="s">
        <v>1082</v>
      </c>
      <c r="E363" s="496" t="s">
        <v>1332</v>
      </c>
      <c r="F363" s="500"/>
      <c r="G363" s="500"/>
    </row>
    <row r="364" spans="1:7" s="501" customFormat="1" ht="14.25" customHeight="1" x14ac:dyDescent="0.25">
      <c r="A364" s="500"/>
      <c r="B364" s="540" t="s">
        <v>4452</v>
      </c>
      <c r="C364" s="496" t="s">
        <v>2288</v>
      </c>
      <c r="D364" s="496" t="s">
        <v>2290</v>
      </c>
      <c r="E364" s="496" t="s">
        <v>2289</v>
      </c>
      <c r="F364" s="500"/>
      <c r="G364" s="500"/>
    </row>
    <row r="365" spans="1:7" s="501" customFormat="1" ht="14.25" customHeight="1" x14ac:dyDescent="0.25">
      <c r="A365" s="500"/>
      <c r="C365" s="496"/>
      <c r="D365" s="496"/>
      <c r="E365" s="496"/>
      <c r="F365" s="500"/>
      <c r="G365" s="500"/>
    </row>
    <row r="366" spans="1:7" s="501" customFormat="1" ht="14.25" customHeight="1" x14ac:dyDescent="0.25">
      <c r="A366" s="500"/>
      <c r="B366" s="540" t="s">
        <v>4453</v>
      </c>
      <c r="C366" s="496" t="s">
        <v>1335</v>
      </c>
      <c r="D366" s="496" t="s">
        <v>1336</v>
      </c>
      <c r="E366" s="844" t="s">
        <v>3033</v>
      </c>
      <c r="F366" s="500"/>
      <c r="G366" s="500"/>
    </row>
    <row r="367" spans="1:7" s="501" customFormat="1" ht="14.25" customHeight="1" x14ac:dyDescent="0.25">
      <c r="A367" s="500"/>
      <c r="C367" s="496"/>
      <c r="D367" s="496"/>
      <c r="E367" s="496"/>
      <c r="F367" s="500"/>
      <c r="G367" s="500"/>
    </row>
    <row r="368" spans="1:7" s="501" customFormat="1" ht="14.25" customHeight="1" x14ac:dyDescent="0.25">
      <c r="A368" s="500"/>
      <c r="B368" s="903" t="s">
        <v>4454</v>
      </c>
      <c r="C368" s="496" t="s">
        <v>1338</v>
      </c>
      <c r="D368" s="496" t="s">
        <v>1339</v>
      </c>
      <c r="E368" s="496" t="s">
        <v>1340</v>
      </c>
      <c r="F368" s="500"/>
      <c r="G368" s="500"/>
    </row>
    <row r="369" spans="1:7" s="501" customFormat="1" ht="14.25" customHeight="1" x14ac:dyDescent="0.25">
      <c r="A369" s="500"/>
      <c r="B369" s="903" t="s">
        <v>4455</v>
      </c>
      <c r="C369" s="496" t="s">
        <v>1343</v>
      </c>
      <c r="D369" s="496" t="s">
        <v>1344</v>
      </c>
      <c r="E369" s="496" t="s">
        <v>1345</v>
      </c>
      <c r="F369" s="500"/>
      <c r="G369" s="500"/>
    </row>
    <row r="370" spans="1:7" s="501" customFormat="1" ht="14.25" customHeight="1" x14ac:dyDescent="0.25">
      <c r="A370" s="500"/>
      <c r="B370" s="903" t="s">
        <v>4456</v>
      </c>
      <c r="C370" s="496" t="s">
        <v>1347</v>
      </c>
      <c r="D370" s="496" t="s">
        <v>1348</v>
      </c>
      <c r="E370" s="496" t="s">
        <v>1349</v>
      </c>
      <c r="F370" s="500"/>
      <c r="G370" s="500"/>
    </row>
    <row r="371" spans="1:7" s="501" customFormat="1" ht="14.25" customHeight="1" x14ac:dyDescent="0.25">
      <c r="A371" s="500"/>
      <c r="C371" s="496"/>
      <c r="D371" s="496"/>
      <c r="E371" s="496"/>
      <c r="F371" s="500"/>
      <c r="G371" s="500"/>
    </row>
    <row r="372" spans="1:7" s="501" customFormat="1" ht="14.25" customHeight="1" x14ac:dyDescent="0.25">
      <c r="A372" s="500"/>
      <c r="B372" s="903" t="s">
        <v>4457</v>
      </c>
      <c r="C372" s="496" t="s">
        <v>1351</v>
      </c>
      <c r="D372" s="496" t="s">
        <v>1352</v>
      </c>
      <c r="E372" s="496" t="s">
        <v>1353</v>
      </c>
      <c r="F372" s="500"/>
      <c r="G372" s="500"/>
    </row>
    <row r="373" spans="1:7" s="501" customFormat="1" ht="14.25" customHeight="1" x14ac:dyDescent="0.25">
      <c r="A373" s="500"/>
      <c r="B373" s="903" t="s">
        <v>4458</v>
      </c>
      <c r="C373" s="496" t="s">
        <v>1355</v>
      </c>
      <c r="D373" s="496" t="s">
        <v>1356</v>
      </c>
      <c r="E373" s="496" t="s">
        <v>1357</v>
      </c>
      <c r="F373" s="500"/>
      <c r="G373" s="500"/>
    </row>
    <row r="374" spans="1:7" s="501" customFormat="1" ht="14.25" customHeight="1" x14ac:dyDescent="0.25">
      <c r="A374" s="500"/>
      <c r="B374" s="903" t="s">
        <v>4459</v>
      </c>
      <c r="C374" s="496" t="s">
        <v>1359</v>
      </c>
      <c r="D374" s="496" t="s">
        <v>1360</v>
      </c>
      <c r="E374" s="496" t="s">
        <v>1361</v>
      </c>
      <c r="F374" s="500"/>
      <c r="G374" s="500"/>
    </row>
    <row r="375" spans="1:7" s="501" customFormat="1" ht="14.25" customHeight="1" x14ac:dyDescent="0.25">
      <c r="A375" s="500"/>
      <c r="C375" s="496"/>
      <c r="D375" s="496"/>
      <c r="E375" s="496"/>
      <c r="F375" s="500"/>
      <c r="G375" s="500"/>
    </row>
    <row r="376" spans="1:7" s="501" customFormat="1" ht="14.25" customHeight="1" x14ac:dyDescent="0.25">
      <c r="A376" s="500"/>
      <c r="B376" s="903" t="s">
        <v>4460</v>
      </c>
      <c r="C376" s="784" t="s">
        <v>2773</v>
      </c>
      <c r="D376" s="844" t="s">
        <v>3015</v>
      </c>
      <c r="E376" s="844" t="s">
        <v>3031</v>
      </c>
      <c r="F376" s="500"/>
      <c r="G376" s="500"/>
    </row>
    <row r="377" spans="1:7" s="501" customFormat="1" ht="14.25" customHeight="1" x14ac:dyDescent="0.25">
      <c r="A377" s="500"/>
      <c r="B377" s="903" t="s">
        <v>4461</v>
      </c>
      <c r="C377" s="784" t="s">
        <v>2780</v>
      </c>
      <c r="D377" s="496" t="s">
        <v>2930</v>
      </c>
      <c r="E377" s="496" t="s">
        <v>2931</v>
      </c>
      <c r="F377" s="500"/>
      <c r="G377" s="500"/>
    </row>
    <row r="378" spans="1:7" s="501" customFormat="1" ht="14.25" customHeight="1" x14ac:dyDescent="0.25">
      <c r="A378" s="500"/>
      <c r="B378" s="903" t="s">
        <v>4462</v>
      </c>
      <c r="C378" s="496" t="s">
        <v>1203</v>
      </c>
      <c r="D378" s="496" t="s">
        <v>1364</v>
      </c>
      <c r="E378" s="496" t="s">
        <v>1205</v>
      </c>
      <c r="F378" s="500"/>
      <c r="G378" s="500"/>
    </row>
    <row r="379" spans="1:7" s="501" customFormat="1" ht="14.25" customHeight="1" x14ac:dyDescent="0.25">
      <c r="A379" s="500"/>
      <c r="C379" s="496"/>
      <c r="D379" s="496"/>
      <c r="E379" s="496"/>
      <c r="F379" s="500"/>
      <c r="G379" s="500"/>
    </row>
    <row r="380" spans="1:7" s="501" customFormat="1" ht="14.25" customHeight="1" x14ac:dyDescent="0.25">
      <c r="A380" s="500"/>
      <c r="B380" s="903" t="s">
        <v>4463</v>
      </c>
      <c r="C380" s="496" t="s">
        <v>1366</v>
      </c>
      <c r="D380" s="496" t="s">
        <v>1367</v>
      </c>
      <c r="E380" s="844" t="s">
        <v>3032</v>
      </c>
      <c r="F380" s="500"/>
      <c r="G380" s="500"/>
    </row>
    <row r="381" spans="1:7" s="501" customFormat="1" ht="14.25" customHeight="1" x14ac:dyDescent="0.25">
      <c r="A381" s="500"/>
      <c r="B381" s="903" t="s">
        <v>4464</v>
      </c>
      <c r="C381" s="496" t="s">
        <v>1369</v>
      </c>
      <c r="D381" s="496" t="s">
        <v>1370</v>
      </c>
      <c r="E381" s="844" t="s">
        <v>3048</v>
      </c>
      <c r="F381" s="500"/>
      <c r="G381" s="500"/>
    </row>
    <row r="382" spans="1:7" s="501" customFormat="1" ht="14.25" customHeight="1" x14ac:dyDescent="0.25">
      <c r="A382" s="500"/>
      <c r="B382" s="903" t="s">
        <v>4465</v>
      </c>
      <c r="C382" s="496" t="s">
        <v>1372</v>
      </c>
      <c r="D382" s="496" t="s">
        <v>3013</v>
      </c>
      <c r="E382" s="844" t="s">
        <v>3049</v>
      </c>
      <c r="F382" s="500"/>
      <c r="G382" s="500"/>
    </row>
    <row r="383" spans="1:7" s="501" customFormat="1" ht="14.25" customHeight="1" x14ac:dyDescent="0.25">
      <c r="A383" s="500"/>
      <c r="B383" s="903" t="s">
        <v>4466</v>
      </c>
      <c r="C383" s="496" t="s">
        <v>1374</v>
      </c>
      <c r="D383" s="496" t="s">
        <v>1375</v>
      </c>
      <c r="E383" s="496" t="s">
        <v>1376</v>
      </c>
      <c r="F383" s="500"/>
      <c r="G383" s="500"/>
    </row>
    <row r="384" spans="1:7" s="501" customFormat="1" ht="14.25" customHeight="1" x14ac:dyDescent="0.25">
      <c r="A384" s="500"/>
      <c r="B384" s="903" t="s">
        <v>4467</v>
      </c>
      <c r="C384" s="496" t="s">
        <v>1378</v>
      </c>
      <c r="D384" s="496" t="s">
        <v>1379</v>
      </c>
      <c r="E384" s="496" t="s">
        <v>1380</v>
      </c>
      <c r="F384" s="500"/>
      <c r="G384" s="500"/>
    </row>
    <row r="385" spans="1:7" s="501" customFormat="1" ht="14.25" customHeight="1" x14ac:dyDescent="0.25">
      <c r="A385" s="500"/>
      <c r="B385" s="903" t="s">
        <v>4468</v>
      </c>
      <c r="C385" s="496" t="s">
        <v>1382</v>
      </c>
      <c r="D385" s="496" t="s">
        <v>1383</v>
      </c>
      <c r="E385" s="496" t="s">
        <v>1384</v>
      </c>
      <c r="F385" s="500"/>
      <c r="G385" s="500"/>
    </row>
    <row r="386" spans="1:7" s="501" customFormat="1" ht="14.25" customHeight="1" x14ac:dyDescent="0.25">
      <c r="A386" s="500"/>
      <c r="C386" s="496"/>
      <c r="D386" s="496"/>
      <c r="E386" s="496"/>
      <c r="F386" s="500"/>
      <c r="G386" s="500"/>
    </row>
    <row r="387" spans="1:7" s="501" customFormat="1" ht="14.25" customHeight="1" x14ac:dyDescent="0.25">
      <c r="A387" s="500"/>
      <c r="B387" s="903" t="s">
        <v>4469</v>
      </c>
      <c r="C387" s="496" t="s">
        <v>846</v>
      </c>
      <c r="D387" s="496" t="s">
        <v>1386</v>
      </c>
      <c r="E387" s="496" t="s">
        <v>1387</v>
      </c>
      <c r="F387" s="500"/>
      <c r="G387" s="500"/>
    </row>
    <row r="388" spans="1:7" s="501" customFormat="1" ht="14.25" customHeight="1" x14ac:dyDescent="0.25">
      <c r="A388" s="500"/>
      <c r="C388" s="496"/>
      <c r="D388" s="496"/>
      <c r="E388" s="496"/>
      <c r="F388" s="500"/>
      <c r="G388" s="500"/>
    </row>
    <row r="389" spans="1:7" s="501" customFormat="1" ht="14.25" customHeight="1" x14ac:dyDescent="0.25">
      <c r="A389" s="500"/>
      <c r="B389" s="903" t="s">
        <v>4470</v>
      </c>
      <c r="C389" s="496" t="s">
        <v>1389</v>
      </c>
      <c r="D389" s="496" t="s">
        <v>1390</v>
      </c>
      <c r="E389" s="496" t="s">
        <v>1391</v>
      </c>
      <c r="F389" s="500"/>
      <c r="G389" s="500"/>
    </row>
    <row r="390" spans="1:7" s="501" customFormat="1" ht="14.25" customHeight="1" x14ac:dyDescent="0.25">
      <c r="A390" s="500"/>
      <c r="B390" s="513"/>
      <c r="C390" s="511"/>
      <c r="D390" s="511"/>
      <c r="E390" s="511"/>
      <c r="F390" s="500"/>
      <c r="G390" s="500"/>
    </row>
    <row r="391" spans="1:7" s="501" customFormat="1" ht="14.25" customHeight="1" x14ac:dyDescent="0.25">
      <c r="A391" s="500"/>
      <c r="B391" s="903" t="s">
        <v>4471</v>
      </c>
      <c r="C391" s="496" t="s">
        <v>930</v>
      </c>
      <c r="D391" s="496" t="s">
        <v>1495</v>
      </c>
      <c r="E391" s="496" t="s">
        <v>1494</v>
      </c>
      <c r="F391" s="500"/>
      <c r="G391" s="500"/>
    </row>
    <row r="392" spans="1:7" s="501" customFormat="1" ht="14.25" customHeight="1" x14ac:dyDescent="0.25">
      <c r="A392" s="500"/>
      <c r="B392" s="1197" t="s">
        <v>4472</v>
      </c>
      <c r="C392" s="910" t="s">
        <v>3173</v>
      </c>
      <c r="D392" s="910" t="s">
        <v>3174</v>
      </c>
      <c r="E392" s="910" t="s">
        <v>3175</v>
      </c>
      <c r="F392" s="500"/>
      <c r="G392" s="500"/>
    </row>
    <row r="393" spans="1:7" s="501" customFormat="1" ht="14.25" customHeight="1" x14ac:dyDescent="0.25">
      <c r="A393" s="500"/>
      <c r="B393" s="513"/>
      <c r="C393" s="511"/>
      <c r="D393" s="511"/>
      <c r="E393" s="511"/>
      <c r="F393" s="500"/>
      <c r="G393" s="500"/>
    </row>
    <row r="394" spans="1:7" s="501" customFormat="1" ht="14.25" customHeight="1" x14ac:dyDescent="0.25">
      <c r="A394" s="500"/>
      <c r="B394" s="500"/>
      <c r="C394" s="500"/>
      <c r="D394" s="500"/>
      <c r="E394" s="500"/>
      <c r="F394" s="500"/>
      <c r="G394" s="500"/>
    </row>
    <row r="395" spans="1:7" s="501" customFormat="1" ht="14.25" customHeight="1" x14ac:dyDescent="0.25">
      <c r="A395" s="500"/>
      <c r="B395" s="516" t="s">
        <v>1799</v>
      </c>
      <c r="C395" s="516" t="s">
        <v>1434</v>
      </c>
      <c r="D395" s="516" t="s">
        <v>1433</v>
      </c>
      <c r="E395" s="516" t="s">
        <v>1435</v>
      </c>
      <c r="F395" s="500"/>
      <c r="G395" s="500"/>
    </row>
    <row r="396" spans="1:7" s="501" customFormat="1" ht="14.25" customHeight="1" x14ac:dyDescent="0.25">
      <c r="A396" s="500"/>
      <c r="B396" s="517"/>
      <c r="C396" s="517"/>
      <c r="D396" s="517"/>
      <c r="E396" s="517"/>
      <c r="F396" s="500"/>
      <c r="G396" s="500"/>
    </row>
    <row r="397" spans="1:7" s="501" customFormat="1" ht="14.25" customHeight="1" x14ac:dyDescent="0.2">
      <c r="A397" s="500"/>
      <c r="B397" s="51" t="s">
        <v>1800</v>
      </c>
      <c r="C397" s="51" t="s">
        <v>2499</v>
      </c>
      <c r="D397" s="51" t="s">
        <v>2500</v>
      </c>
      <c r="E397" s="51" t="s">
        <v>1475</v>
      </c>
      <c r="F397" s="500"/>
      <c r="G397" s="500"/>
    </row>
    <row r="398" spans="1:7" s="501" customFormat="1" ht="14.25" customHeight="1" x14ac:dyDescent="0.2">
      <c r="A398" s="500"/>
      <c r="B398" s="724" t="s">
        <v>1801</v>
      </c>
      <c r="C398" s="724" t="s">
        <v>2381</v>
      </c>
      <c r="D398" s="724" t="s">
        <v>2470</v>
      </c>
      <c r="E398" s="724" t="s">
        <v>2471</v>
      </c>
      <c r="F398" s="500"/>
      <c r="G398" s="500"/>
    </row>
    <row r="399" spans="1:7" s="501" customFormat="1" ht="14.25" customHeight="1" x14ac:dyDescent="0.2">
      <c r="A399" s="500"/>
      <c r="B399" s="51" t="s">
        <v>1802</v>
      </c>
      <c r="C399" s="51" t="s">
        <v>4139</v>
      </c>
      <c r="D399" s="725" t="s">
        <v>4151</v>
      </c>
      <c r="E399" s="51" t="s">
        <v>4990</v>
      </c>
      <c r="F399" s="500"/>
      <c r="G399" s="500"/>
    </row>
    <row r="400" spans="1:7" s="501" customFormat="1" ht="14.25" customHeight="1" x14ac:dyDescent="0.2">
      <c r="A400" s="500"/>
      <c r="B400" s="51" t="s">
        <v>1803</v>
      </c>
      <c r="C400" s="51" t="s">
        <v>2380</v>
      </c>
      <c r="D400" s="51" t="s">
        <v>2472</v>
      </c>
      <c r="E400" s="51" t="s">
        <v>2473</v>
      </c>
      <c r="F400" s="500"/>
      <c r="G400" s="500"/>
    </row>
    <row r="401" spans="1:7" s="501" customFormat="1" ht="14.25" customHeight="1" x14ac:dyDescent="0.2">
      <c r="A401" s="500"/>
      <c r="B401" s="51" t="s">
        <v>1804</v>
      </c>
      <c r="C401" s="51" t="s">
        <v>4140</v>
      </c>
      <c r="D401" s="51" t="s">
        <v>4152</v>
      </c>
      <c r="E401" s="51" t="s">
        <v>4153</v>
      </c>
      <c r="F401" s="500"/>
      <c r="G401" s="500"/>
    </row>
    <row r="402" spans="1:7" s="501" customFormat="1" ht="14.25" customHeight="1" x14ac:dyDescent="0.2">
      <c r="A402" s="500"/>
      <c r="B402" s="51" t="s">
        <v>1805</v>
      </c>
      <c r="C402" s="51" t="s">
        <v>2474</v>
      </c>
      <c r="D402" s="51" t="s">
        <v>2475</v>
      </c>
      <c r="E402" s="51" t="s">
        <v>2476</v>
      </c>
      <c r="F402" s="500"/>
      <c r="G402" s="500"/>
    </row>
    <row r="403" spans="1:7" s="501" customFormat="1" ht="14.25" customHeight="1" x14ac:dyDescent="0.2">
      <c r="A403" s="500"/>
      <c r="B403" s="51" t="s">
        <v>1806</v>
      </c>
      <c r="C403" s="51" t="s">
        <v>4141</v>
      </c>
      <c r="D403" s="51" t="s">
        <v>4154</v>
      </c>
      <c r="E403" s="51" t="s">
        <v>4155</v>
      </c>
      <c r="F403" s="500"/>
      <c r="G403" s="500"/>
    </row>
    <row r="404" spans="1:7" s="501" customFormat="1" ht="14.25" customHeight="1" x14ac:dyDescent="0.2">
      <c r="A404" s="500"/>
      <c r="B404" s="724" t="s">
        <v>1807</v>
      </c>
      <c r="C404" s="51" t="s">
        <v>2477</v>
      </c>
      <c r="D404" s="51" t="s">
        <v>1967</v>
      </c>
      <c r="E404" s="51" t="s">
        <v>1968</v>
      </c>
      <c r="F404" s="500"/>
      <c r="G404" s="500"/>
    </row>
    <row r="405" spans="1:7" s="501" customFormat="1" ht="14.25" customHeight="1" x14ac:dyDescent="0.2">
      <c r="A405" s="500"/>
      <c r="B405" s="51" t="s">
        <v>1808</v>
      </c>
      <c r="C405" s="51" t="s">
        <v>2478</v>
      </c>
      <c r="D405" s="51" t="s">
        <v>2479</v>
      </c>
      <c r="E405" s="51" t="s">
        <v>2480</v>
      </c>
      <c r="F405" s="500"/>
      <c r="G405" s="500"/>
    </row>
    <row r="406" spans="1:7" s="501" customFormat="1" ht="14.25" customHeight="1" x14ac:dyDescent="0.2">
      <c r="A406" s="500"/>
      <c r="B406" s="51" t="s">
        <v>1809</v>
      </c>
      <c r="C406" s="51" t="s">
        <v>2481</v>
      </c>
      <c r="D406" s="51" t="s">
        <v>2482</v>
      </c>
      <c r="E406" s="51" t="s">
        <v>2483</v>
      </c>
      <c r="F406" s="500"/>
      <c r="G406" s="500"/>
    </row>
    <row r="407" spans="1:7" s="501" customFormat="1" ht="14.25" customHeight="1" x14ac:dyDescent="0.2">
      <c r="A407" s="500"/>
      <c r="B407" s="724" t="s">
        <v>1810</v>
      </c>
      <c r="C407" s="51" t="s">
        <v>4142</v>
      </c>
      <c r="D407" s="51" t="s">
        <v>4156</v>
      </c>
      <c r="E407" s="51" t="s">
        <v>4157</v>
      </c>
      <c r="F407" s="500"/>
      <c r="G407" s="500"/>
    </row>
    <row r="408" spans="1:7" s="501" customFormat="1" ht="14.25" customHeight="1" x14ac:dyDescent="0.2">
      <c r="A408" s="500"/>
      <c r="B408" s="51" t="s">
        <v>1942</v>
      </c>
      <c r="C408" s="51" t="s">
        <v>4143</v>
      </c>
      <c r="D408" s="51" t="s">
        <v>4158</v>
      </c>
      <c r="E408" s="51" t="s">
        <v>4161</v>
      </c>
      <c r="F408" s="500"/>
      <c r="G408" s="500"/>
    </row>
    <row r="409" spans="1:7" s="501" customFormat="1" ht="14.25" customHeight="1" x14ac:dyDescent="0.2">
      <c r="A409" s="500"/>
      <c r="B409" s="51" t="s">
        <v>1943</v>
      </c>
      <c r="C409" s="51" t="s">
        <v>4144</v>
      </c>
      <c r="D409" s="51" t="s">
        <v>4159</v>
      </c>
      <c r="E409" s="51" t="s">
        <v>4162</v>
      </c>
      <c r="F409" s="500"/>
      <c r="G409" s="500"/>
    </row>
    <row r="410" spans="1:7" s="501" customFormat="1" ht="14.25" customHeight="1" x14ac:dyDescent="0.2">
      <c r="A410" s="500"/>
      <c r="B410" s="51" t="s">
        <v>1944</v>
      </c>
      <c r="C410" s="51" t="s">
        <v>4145</v>
      </c>
      <c r="D410" s="51" t="s">
        <v>4160</v>
      </c>
      <c r="E410" s="51" t="s">
        <v>4163</v>
      </c>
      <c r="F410" s="500"/>
      <c r="G410" s="500"/>
    </row>
    <row r="411" spans="1:7" s="501" customFormat="1" ht="14.25" customHeight="1" x14ac:dyDescent="0.2">
      <c r="A411" s="500"/>
      <c r="B411" s="51" t="s">
        <v>2070</v>
      </c>
      <c r="C411" s="51" t="s">
        <v>2484</v>
      </c>
      <c r="D411" s="51" t="s">
        <v>2485</v>
      </c>
      <c r="E411" s="51" t="s">
        <v>2486</v>
      </c>
      <c r="F411" s="500"/>
      <c r="G411" s="500"/>
    </row>
    <row r="412" spans="1:7" s="501" customFormat="1" ht="14.25" customHeight="1" x14ac:dyDescent="0.2">
      <c r="A412" s="500"/>
      <c r="B412" s="51" t="s">
        <v>2071</v>
      </c>
      <c r="C412" s="51" t="s">
        <v>2382</v>
      </c>
      <c r="D412" s="51" t="s">
        <v>2487</v>
      </c>
      <c r="E412" s="51" t="s">
        <v>2488</v>
      </c>
      <c r="F412" s="500"/>
      <c r="G412" s="500"/>
    </row>
    <row r="413" spans="1:7" s="501" customFormat="1" ht="14.25" customHeight="1" x14ac:dyDescent="0.2">
      <c r="A413" s="500"/>
      <c r="B413" s="51" t="s">
        <v>2072</v>
      </c>
      <c r="C413" s="51" t="s">
        <v>4146</v>
      </c>
      <c r="D413" s="51" t="s">
        <v>4164</v>
      </c>
      <c r="E413" s="51" t="s">
        <v>4166</v>
      </c>
      <c r="F413" s="500"/>
      <c r="G413" s="500"/>
    </row>
    <row r="414" spans="1:7" s="501" customFormat="1" ht="14.25" customHeight="1" x14ac:dyDescent="0.2">
      <c r="A414" s="500"/>
      <c r="B414" s="51" t="s">
        <v>2073</v>
      </c>
      <c r="C414" s="51" t="s">
        <v>4144</v>
      </c>
      <c r="D414" s="51" t="s">
        <v>4159</v>
      </c>
      <c r="E414" s="51" t="s">
        <v>4162</v>
      </c>
      <c r="F414" s="500"/>
      <c r="G414" s="500"/>
    </row>
    <row r="415" spans="1:7" s="501" customFormat="1" ht="14.25" customHeight="1" x14ac:dyDescent="0.2">
      <c r="A415" s="500"/>
      <c r="B415" s="51" t="s">
        <v>2074</v>
      </c>
      <c r="C415" s="51" t="s">
        <v>4145</v>
      </c>
      <c r="D415" s="51" t="s">
        <v>4160</v>
      </c>
      <c r="E415" s="51" t="s">
        <v>4163</v>
      </c>
      <c r="F415" s="500"/>
      <c r="G415" s="500"/>
    </row>
    <row r="416" spans="1:7" s="501" customFormat="1" ht="14.25" customHeight="1" x14ac:dyDescent="0.2">
      <c r="A416" s="500"/>
      <c r="B416" s="51" t="s">
        <v>2075</v>
      </c>
      <c r="C416" s="51" t="s">
        <v>4147</v>
      </c>
      <c r="D416" s="51" t="s">
        <v>4165</v>
      </c>
      <c r="E416" s="51" t="s">
        <v>4167</v>
      </c>
      <c r="F416" s="500"/>
      <c r="G416" s="500"/>
    </row>
    <row r="417" spans="1:7" s="501" customFormat="1" ht="14.25" customHeight="1" x14ac:dyDescent="0.2">
      <c r="A417" s="500"/>
      <c r="B417" s="51" t="s">
        <v>3172</v>
      </c>
      <c r="C417" s="51" t="s">
        <v>4148</v>
      </c>
      <c r="D417" s="51" t="s">
        <v>4170</v>
      </c>
      <c r="E417" s="51" t="s">
        <v>4168</v>
      </c>
      <c r="F417" s="500"/>
      <c r="G417" s="500"/>
    </row>
    <row r="418" spans="1:7" s="501" customFormat="1" ht="14.25" customHeight="1" x14ac:dyDescent="0.2">
      <c r="A418" s="500"/>
      <c r="B418" s="51" t="s">
        <v>3976</v>
      </c>
      <c r="C418" s="51" t="s">
        <v>4149</v>
      </c>
      <c r="D418" s="51" t="s">
        <v>4171</v>
      </c>
      <c r="E418" s="51" t="s">
        <v>4169</v>
      </c>
      <c r="F418" s="500"/>
      <c r="G418" s="500"/>
    </row>
    <row r="419" spans="1:7" s="501" customFormat="1" ht="14.25" customHeight="1" x14ac:dyDescent="0.2">
      <c r="A419" s="500"/>
      <c r="B419" s="51" t="s">
        <v>4175</v>
      </c>
      <c r="C419" s="51" t="s">
        <v>4172</v>
      </c>
      <c r="D419" s="51" t="s">
        <v>4173</v>
      </c>
      <c r="E419" s="51" t="s">
        <v>4174</v>
      </c>
      <c r="F419" s="500"/>
      <c r="G419" s="500"/>
    </row>
    <row r="420" spans="1:7" s="501" customFormat="1" ht="14.25" customHeight="1" x14ac:dyDescent="0.2">
      <c r="A420" s="500"/>
      <c r="B420" s="51" t="s">
        <v>4176</v>
      </c>
      <c r="C420" s="51" t="s">
        <v>2489</v>
      </c>
      <c r="D420" s="51" t="s">
        <v>2490</v>
      </c>
      <c r="E420" s="51" t="s">
        <v>2491</v>
      </c>
      <c r="F420" s="500"/>
      <c r="G420" s="500"/>
    </row>
    <row r="421" spans="1:7" s="501" customFormat="1" ht="14.25" customHeight="1" x14ac:dyDescent="0.2">
      <c r="A421" s="500"/>
      <c r="B421" s="51" t="s">
        <v>4177</v>
      </c>
      <c r="C421" s="51" t="s">
        <v>2379</v>
      </c>
      <c r="D421" s="51" t="s">
        <v>2574</v>
      </c>
      <c r="E421" s="51" t="s">
        <v>2575</v>
      </c>
      <c r="F421" s="500"/>
      <c r="G421" s="500"/>
    </row>
    <row r="422" spans="1:7" s="501" customFormat="1" ht="14.25" customHeight="1" x14ac:dyDescent="0.2">
      <c r="A422" s="500"/>
      <c r="B422" s="508" t="s">
        <v>4178</v>
      </c>
      <c r="C422" s="51" t="s">
        <v>2498</v>
      </c>
      <c r="D422" s="51" t="s">
        <v>1473</v>
      </c>
      <c r="E422" s="51" t="s">
        <v>1474</v>
      </c>
      <c r="F422" s="500"/>
      <c r="G422" s="500"/>
    </row>
    <row r="423" spans="1:7" s="501" customFormat="1" ht="11.1" customHeight="1" x14ac:dyDescent="0.2">
      <c r="A423" s="500"/>
      <c r="B423" s="725" t="s">
        <v>4180</v>
      </c>
      <c r="C423" s="508" t="s">
        <v>3253</v>
      </c>
      <c r="D423" s="508" t="s">
        <v>3252</v>
      </c>
      <c r="E423" s="508" t="s">
        <v>3255</v>
      </c>
      <c r="F423" s="500"/>
      <c r="G423" s="500"/>
    </row>
    <row r="424" spans="1:7" s="501" customFormat="1" ht="14.25" customHeight="1" x14ac:dyDescent="0.2">
      <c r="A424" s="500"/>
      <c r="B424" s="51" t="s">
        <v>4181</v>
      </c>
      <c r="C424" s="51" t="s">
        <v>3211</v>
      </c>
      <c r="D424" s="51" t="s">
        <v>3218</v>
      </c>
      <c r="E424" s="51" t="s">
        <v>3212</v>
      </c>
      <c r="F424" s="500"/>
      <c r="G424" s="500"/>
    </row>
    <row r="425" spans="1:7" s="501" customFormat="1" ht="14.25" customHeight="1" x14ac:dyDescent="0.25">
      <c r="A425" s="500"/>
      <c r="B425" s="518"/>
      <c r="C425" s="518"/>
      <c r="D425" s="518"/>
      <c r="E425" s="518"/>
      <c r="F425" s="500"/>
      <c r="G425" s="500"/>
    </row>
    <row r="426" spans="1:7" s="501" customFormat="1" ht="14.25" customHeight="1" x14ac:dyDescent="0.25">
      <c r="A426" s="500"/>
      <c r="B426" s="518"/>
      <c r="C426" s="518"/>
      <c r="D426" s="518"/>
      <c r="E426" s="518"/>
      <c r="F426" s="500"/>
      <c r="G426" s="500"/>
    </row>
    <row r="427" spans="1:7" s="501" customFormat="1" ht="14.25" customHeight="1" x14ac:dyDescent="0.25">
      <c r="A427" s="500"/>
      <c r="B427" s="516" t="s">
        <v>655</v>
      </c>
      <c r="C427" s="516" t="s">
        <v>4974</v>
      </c>
      <c r="D427" s="516" t="s">
        <v>4975</v>
      </c>
      <c r="E427" s="516" t="s">
        <v>4987</v>
      </c>
      <c r="F427" s="500"/>
      <c r="G427" s="500"/>
    </row>
    <row r="428" spans="1:7" s="501" customFormat="1" ht="14.25" customHeight="1" x14ac:dyDescent="0.25">
      <c r="A428" s="500"/>
      <c r="B428" s="518"/>
      <c r="C428" s="518"/>
      <c r="D428" s="518"/>
      <c r="E428" s="518"/>
      <c r="F428" s="500"/>
      <c r="G428" s="500"/>
    </row>
    <row r="429" spans="1:7" s="501" customFormat="1" ht="14.25" customHeight="1" x14ac:dyDescent="0.25">
      <c r="A429" s="500"/>
      <c r="B429" s="508" t="s">
        <v>663</v>
      </c>
      <c r="C429" s="508" t="s">
        <v>1421</v>
      </c>
      <c r="D429" s="508" t="s">
        <v>1502</v>
      </c>
      <c r="E429" s="508" t="s">
        <v>1503</v>
      </c>
      <c r="F429" s="500"/>
      <c r="G429" s="500"/>
    </row>
    <row r="430" spans="1:7" s="501" customFormat="1" ht="14.25" customHeight="1" x14ac:dyDescent="0.25">
      <c r="A430" s="500"/>
      <c r="B430" s="508" t="s">
        <v>664</v>
      </c>
      <c r="C430" s="508" t="s">
        <v>1510</v>
      </c>
      <c r="D430" s="508" t="s">
        <v>1511</v>
      </c>
      <c r="E430" s="508" t="s">
        <v>1512</v>
      </c>
      <c r="F430" s="500"/>
      <c r="G430" s="500"/>
    </row>
    <row r="431" spans="1:7" s="501" customFormat="1" ht="14.25" customHeight="1" x14ac:dyDescent="0.25">
      <c r="A431" s="500"/>
      <c r="B431" s="508" t="s">
        <v>665</v>
      </c>
      <c r="C431" s="508" t="s">
        <v>1505</v>
      </c>
      <c r="D431" s="508" t="s">
        <v>1507</v>
      </c>
      <c r="E431" s="508" t="s">
        <v>1508</v>
      </c>
      <c r="F431" s="500"/>
      <c r="G431" s="500"/>
    </row>
    <row r="432" spans="1:7" s="501" customFormat="1" ht="14.25" customHeight="1" x14ac:dyDescent="0.25">
      <c r="A432" s="500"/>
      <c r="B432" s="508" t="s">
        <v>666</v>
      </c>
      <c r="C432" s="508" t="s">
        <v>3949</v>
      </c>
      <c r="D432" s="508" t="s">
        <v>3950</v>
      </c>
      <c r="E432" s="508" t="s">
        <v>3951</v>
      </c>
      <c r="F432" s="500"/>
      <c r="G432" s="500"/>
    </row>
    <row r="433" spans="1:7" s="501" customFormat="1" ht="14.25" customHeight="1" x14ac:dyDescent="0.25">
      <c r="A433" s="500"/>
      <c r="B433" s="508" t="s">
        <v>1476</v>
      </c>
      <c r="C433" s="508" t="s">
        <v>3952</v>
      </c>
      <c r="D433" s="508" t="s">
        <v>3953</v>
      </c>
      <c r="E433" s="508" t="s">
        <v>3954</v>
      </c>
      <c r="F433" s="500"/>
      <c r="G433" s="500"/>
    </row>
    <row r="434" spans="1:7" s="501" customFormat="1" ht="14.25" customHeight="1" x14ac:dyDescent="0.25">
      <c r="A434" s="500"/>
      <c r="B434" s="508" t="s">
        <v>1795</v>
      </c>
      <c r="C434" s="508" t="s">
        <v>3946</v>
      </c>
      <c r="D434" s="508" t="s">
        <v>3947</v>
      </c>
      <c r="E434" s="508" t="s">
        <v>3948</v>
      </c>
      <c r="F434" s="500"/>
      <c r="G434" s="500"/>
    </row>
    <row r="435" spans="1:7" s="501" customFormat="1" ht="14.25" customHeight="1" x14ac:dyDescent="0.25">
      <c r="A435" s="500"/>
      <c r="B435" s="508" t="s">
        <v>1796</v>
      </c>
      <c r="C435" s="508" t="s">
        <v>1504</v>
      </c>
      <c r="D435" s="508" t="s">
        <v>1506</v>
      </c>
      <c r="E435" s="508" t="s">
        <v>1509</v>
      </c>
      <c r="F435" s="500"/>
      <c r="G435" s="500"/>
    </row>
    <row r="436" spans="1:7" s="501" customFormat="1" ht="14.25" customHeight="1" x14ac:dyDescent="0.25">
      <c r="A436" s="500"/>
      <c r="B436" s="508" t="s">
        <v>1797</v>
      </c>
      <c r="C436" s="508" t="s">
        <v>4976</v>
      </c>
      <c r="D436" s="508" t="s">
        <v>4977</v>
      </c>
      <c r="E436" s="508" t="s">
        <v>4988</v>
      </c>
      <c r="F436" s="500"/>
      <c r="G436" s="500"/>
    </row>
    <row r="437" spans="1:7" s="501" customFormat="1" ht="14.25" customHeight="1" x14ac:dyDescent="0.25">
      <c r="A437" s="500"/>
      <c r="B437" s="518"/>
      <c r="C437" s="518"/>
      <c r="D437" s="518"/>
      <c r="E437" s="518"/>
      <c r="F437" s="500"/>
      <c r="G437" s="500"/>
    </row>
    <row r="438" spans="1:7" s="501" customFormat="1" ht="14.25" customHeight="1" x14ac:dyDescent="0.25">
      <c r="A438" s="500"/>
      <c r="B438" s="518"/>
      <c r="C438" s="519"/>
      <c r="D438" s="518"/>
      <c r="E438" s="518"/>
      <c r="F438" s="500"/>
      <c r="G438" s="500"/>
    </row>
    <row r="439" spans="1:7" s="501" customFormat="1" ht="14.25" customHeight="1" x14ac:dyDescent="0.25">
      <c r="A439" s="500"/>
      <c r="B439" s="505" t="s">
        <v>1477</v>
      </c>
      <c r="C439" s="505" t="s">
        <v>1915</v>
      </c>
      <c r="D439" s="505" t="s">
        <v>1916</v>
      </c>
      <c r="E439" s="505" t="s">
        <v>1917</v>
      </c>
      <c r="F439" s="500"/>
      <c r="G439" s="500"/>
    </row>
    <row r="440" spans="1:7" s="501" customFormat="1" ht="14.25" customHeight="1" x14ac:dyDescent="0.25">
      <c r="A440" s="500"/>
      <c r="B440" s="500"/>
      <c r="C440" s="500"/>
      <c r="D440" s="500"/>
      <c r="E440" s="500"/>
      <c r="F440" s="500"/>
      <c r="G440" s="500"/>
    </row>
    <row r="441" spans="1:7" s="501" customFormat="1" ht="14.25" customHeight="1" x14ac:dyDescent="0.25">
      <c r="A441" s="500"/>
      <c r="B441" s="496" t="s">
        <v>1486</v>
      </c>
      <c r="C441" s="496" t="s">
        <v>355</v>
      </c>
      <c r="D441" s="496" t="s">
        <v>356</v>
      </c>
      <c r="E441" s="496" t="s">
        <v>22</v>
      </c>
      <c r="F441" s="500"/>
      <c r="G441" s="500"/>
    </row>
    <row r="442" spans="1:7" s="501" customFormat="1" ht="14.25" customHeight="1" x14ac:dyDescent="0.25">
      <c r="A442" s="500"/>
      <c r="B442" s="496" t="s">
        <v>1487</v>
      </c>
      <c r="C442" s="496" t="s">
        <v>357</v>
      </c>
      <c r="D442" s="496" t="s">
        <v>358</v>
      </c>
      <c r="E442" s="496" t="s">
        <v>23</v>
      </c>
      <c r="F442" s="500"/>
      <c r="G442" s="500"/>
    </row>
    <row r="443" spans="1:7" ht="14.25" customHeight="1" x14ac:dyDescent="0.25">
      <c r="A443" s="500"/>
      <c r="B443" s="496" t="s">
        <v>1488</v>
      </c>
      <c r="C443" s="496" t="s">
        <v>348</v>
      </c>
      <c r="D443" s="496" t="s">
        <v>349</v>
      </c>
      <c r="E443" s="496" t="s">
        <v>347</v>
      </c>
      <c r="F443" s="500"/>
      <c r="G443" s="500"/>
    </row>
    <row r="444" spans="1:7" ht="14.25" customHeight="1" x14ac:dyDescent="0.25">
      <c r="A444" s="500"/>
      <c r="B444" s="496" t="s">
        <v>1489</v>
      </c>
      <c r="C444" s="514" t="s">
        <v>1711</v>
      </c>
      <c r="D444" s="496" t="s">
        <v>350</v>
      </c>
      <c r="E444" s="514" t="s">
        <v>722</v>
      </c>
      <c r="F444" s="500"/>
      <c r="G444" s="500"/>
    </row>
    <row r="445" spans="1:7" ht="14.25" customHeight="1" x14ac:dyDescent="0.25">
      <c r="A445" s="500"/>
      <c r="B445" s="496" t="s">
        <v>2933</v>
      </c>
      <c r="C445" s="496" t="s">
        <v>76</v>
      </c>
      <c r="D445" s="496" t="s">
        <v>76</v>
      </c>
      <c r="E445" s="514" t="s">
        <v>85</v>
      </c>
      <c r="F445" s="500"/>
      <c r="G445" s="500"/>
    </row>
    <row r="446" spans="1:7" ht="14.25" customHeight="1" x14ac:dyDescent="0.25">
      <c r="A446" s="500"/>
      <c r="B446" s="496" t="s">
        <v>1490</v>
      </c>
      <c r="C446" s="496" t="s">
        <v>353</v>
      </c>
      <c r="D446" s="496" t="s">
        <v>354</v>
      </c>
      <c r="E446" s="514" t="s">
        <v>724</v>
      </c>
      <c r="F446" s="500"/>
      <c r="G446" s="500"/>
    </row>
    <row r="447" spans="1:7" ht="14.25" customHeight="1" x14ac:dyDescent="0.25">
      <c r="A447" s="500"/>
      <c r="B447" s="496" t="s">
        <v>1491</v>
      </c>
      <c r="C447" s="496" t="s">
        <v>351</v>
      </c>
      <c r="D447" s="496" t="s">
        <v>352</v>
      </c>
      <c r="E447" s="514" t="s">
        <v>723</v>
      </c>
      <c r="F447" s="500"/>
      <c r="G447" s="500"/>
    </row>
    <row r="448" spans="1:7" ht="14.25" customHeight="1" x14ac:dyDescent="0.25">
      <c r="A448" s="500"/>
      <c r="B448" s="496" t="s">
        <v>1492</v>
      </c>
      <c r="C448" s="1018" t="s">
        <v>1820</v>
      </c>
      <c r="D448" s="495" t="s">
        <v>1821</v>
      </c>
      <c r="E448" s="514" t="s">
        <v>1739</v>
      </c>
      <c r="F448" s="500"/>
      <c r="G448" s="500"/>
    </row>
    <row r="449" spans="1:7" s="370" customFormat="1" ht="14.25" customHeight="1" x14ac:dyDescent="0.25">
      <c r="A449" s="517"/>
      <c r="B449" s="508" t="s">
        <v>1921</v>
      </c>
      <c r="C449" s="1018" t="s">
        <v>3788</v>
      </c>
      <c r="D449" s="495" t="s">
        <v>3792</v>
      </c>
      <c r="E449" s="514" t="s">
        <v>3793</v>
      </c>
      <c r="F449" s="517"/>
      <c r="G449" s="517"/>
    </row>
    <row r="450" spans="1:7" ht="14.25" customHeight="1" x14ac:dyDescent="0.25">
      <c r="A450" s="500"/>
      <c r="B450" s="500"/>
      <c r="C450" s="500"/>
      <c r="D450" s="500"/>
      <c r="E450" s="500"/>
      <c r="F450" s="500"/>
      <c r="G450" s="500"/>
    </row>
    <row r="451" spans="1:7" ht="14.25" customHeight="1" x14ac:dyDescent="0.25">
      <c r="A451" s="500"/>
      <c r="B451" s="500"/>
      <c r="C451" s="500"/>
      <c r="D451" s="500"/>
      <c r="E451" s="500"/>
      <c r="F451" s="500"/>
      <c r="G451" s="500"/>
    </row>
    <row r="452" spans="1:7" ht="14.25" customHeight="1" x14ac:dyDescent="0.25">
      <c r="A452" s="500"/>
      <c r="B452" s="505" t="s">
        <v>4473</v>
      </c>
      <c r="C452" s="505" t="s">
        <v>272</v>
      </c>
      <c r="D452" s="505" t="s">
        <v>544</v>
      </c>
      <c r="E452" s="505" t="s">
        <v>10</v>
      </c>
      <c r="F452" s="500"/>
      <c r="G452" s="500"/>
    </row>
    <row r="453" spans="1:7" ht="14.25" customHeight="1" x14ac:dyDescent="0.25">
      <c r="A453" s="500"/>
      <c r="B453" s="500"/>
      <c r="C453" s="500"/>
      <c r="D453" s="500"/>
      <c r="E453" s="500"/>
      <c r="F453" s="500"/>
      <c r="G453" s="500"/>
    </row>
    <row r="454" spans="1:7" ht="14.25" customHeight="1" x14ac:dyDescent="0.25">
      <c r="A454" s="500"/>
      <c r="B454" s="496" t="s">
        <v>4474</v>
      </c>
      <c r="C454" s="496" t="s">
        <v>357</v>
      </c>
      <c r="D454" s="496" t="s">
        <v>358</v>
      </c>
      <c r="E454" s="496" t="s">
        <v>23</v>
      </c>
      <c r="F454" s="500"/>
      <c r="G454" s="500"/>
    </row>
    <row r="455" spans="1:7" ht="14.25" customHeight="1" x14ac:dyDescent="0.25">
      <c r="A455" s="500"/>
      <c r="B455" s="496" t="s">
        <v>4475</v>
      </c>
      <c r="C455" s="496" t="s">
        <v>44</v>
      </c>
      <c r="D455" s="496" t="s">
        <v>366</v>
      </c>
      <c r="E455" s="496" t="s">
        <v>44</v>
      </c>
      <c r="F455" s="500"/>
      <c r="G455" s="500"/>
    </row>
    <row r="456" spans="1:7" ht="14.25" customHeight="1" x14ac:dyDescent="0.25">
      <c r="A456" s="500"/>
      <c r="B456" s="496" t="s">
        <v>4476</v>
      </c>
      <c r="C456" s="496" t="s">
        <v>371</v>
      </c>
      <c r="D456" s="496" t="s">
        <v>372</v>
      </c>
      <c r="E456" s="496" t="s">
        <v>45</v>
      </c>
      <c r="F456" s="500"/>
      <c r="G456" s="500"/>
    </row>
    <row r="457" spans="1:7" ht="14.25" customHeight="1" x14ac:dyDescent="0.25">
      <c r="A457" s="500"/>
      <c r="B457" s="496" t="s">
        <v>4477</v>
      </c>
      <c r="C457" s="496" t="s">
        <v>46</v>
      </c>
      <c r="D457" s="496" t="s">
        <v>46</v>
      </c>
      <c r="E457" s="496" t="s">
        <v>46</v>
      </c>
      <c r="F457" s="500"/>
      <c r="G457" s="500"/>
    </row>
    <row r="458" spans="1:7" ht="14.25" customHeight="1" x14ac:dyDescent="0.25">
      <c r="A458" s="500"/>
      <c r="B458" s="495" t="s">
        <v>4478</v>
      </c>
      <c r="C458" s="496" t="s">
        <v>373</v>
      </c>
      <c r="D458" s="496" t="s">
        <v>374</v>
      </c>
      <c r="E458" s="496" t="s">
        <v>47</v>
      </c>
      <c r="F458" s="500"/>
      <c r="G458" s="500"/>
    </row>
    <row r="459" spans="1:7" s="370" customFormat="1" ht="14.25" customHeight="1" x14ac:dyDescent="0.25">
      <c r="A459" s="517"/>
      <c r="B459" s="508" t="s">
        <v>4479</v>
      </c>
      <c r="C459" s="1114" t="s">
        <v>3791</v>
      </c>
      <c r="D459" s="1114" t="s">
        <v>3789</v>
      </c>
      <c r="E459" s="1114" t="s">
        <v>3790</v>
      </c>
      <c r="F459" s="517"/>
      <c r="G459" s="517"/>
    </row>
    <row r="460" spans="1:7" ht="14.25" customHeight="1" x14ac:dyDescent="0.25">
      <c r="A460" s="500"/>
      <c r="B460" s="500"/>
      <c r="C460" s="526"/>
      <c r="D460" s="526"/>
      <c r="E460" s="526"/>
      <c r="F460" s="500"/>
      <c r="G460" s="500"/>
    </row>
    <row r="461" spans="1:7" ht="14.25" customHeight="1" x14ac:dyDescent="0.25">
      <c r="A461" s="500"/>
      <c r="B461" s="500"/>
      <c r="C461" s="511"/>
      <c r="D461" s="511"/>
      <c r="E461" s="511"/>
      <c r="F461" s="500"/>
      <c r="G461" s="500"/>
    </row>
    <row r="462" spans="1:7" ht="14.25" customHeight="1" x14ac:dyDescent="0.25">
      <c r="A462" s="500"/>
      <c r="B462" s="505" t="s">
        <v>1811</v>
      </c>
      <c r="C462" s="505" t="s">
        <v>2783</v>
      </c>
      <c r="D462" s="505" t="s">
        <v>2784</v>
      </c>
      <c r="E462" s="505" t="s">
        <v>2785</v>
      </c>
      <c r="F462" s="500"/>
      <c r="G462" s="500"/>
    </row>
    <row r="463" spans="1:7" ht="14.25" customHeight="1" x14ac:dyDescent="0.25">
      <c r="A463" s="500"/>
      <c r="B463" s="500"/>
      <c r="C463" s="500"/>
      <c r="D463" s="500"/>
      <c r="E463" s="500"/>
      <c r="F463" s="500"/>
      <c r="G463" s="500"/>
    </row>
    <row r="464" spans="1:7" ht="14.25" customHeight="1" x14ac:dyDescent="0.25">
      <c r="A464" s="500"/>
      <c r="B464" s="495" t="s">
        <v>1812</v>
      </c>
      <c r="C464" s="507" t="s">
        <v>1438</v>
      </c>
      <c r="D464" s="507" t="s">
        <v>1439</v>
      </c>
      <c r="E464" s="507" t="s">
        <v>716</v>
      </c>
      <c r="F464" s="500"/>
      <c r="G464" s="500"/>
    </row>
    <row r="465" spans="1:7" ht="14.25" customHeight="1" x14ac:dyDescent="0.25">
      <c r="A465" s="500"/>
      <c r="B465" s="495" t="s">
        <v>1813</v>
      </c>
      <c r="C465" s="496" t="s">
        <v>357</v>
      </c>
      <c r="D465" s="496" t="s">
        <v>358</v>
      </c>
      <c r="E465" s="496" t="s">
        <v>23</v>
      </c>
      <c r="F465" s="500"/>
      <c r="G465" s="500"/>
    </row>
    <row r="466" spans="1:7" ht="14.25" customHeight="1" x14ac:dyDescent="0.25">
      <c r="A466" s="500"/>
      <c r="B466" s="495" t="s">
        <v>1814</v>
      </c>
      <c r="C466" s="496" t="s">
        <v>100</v>
      </c>
      <c r="D466" s="496" t="s">
        <v>283</v>
      </c>
      <c r="E466" s="496" t="s">
        <v>280</v>
      </c>
      <c r="F466" s="500"/>
      <c r="G466" s="500"/>
    </row>
    <row r="467" spans="1:7" ht="14.25" customHeight="1" x14ac:dyDescent="0.25">
      <c r="A467" s="500"/>
      <c r="B467" s="495" t="s">
        <v>1815</v>
      </c>
      <c r="C467" s="496" t="s">
        <v>261</v>
      </c>
      <c r="D467" s="496" t="s">
        <v>542</v>
      </c>
      <c r="E467" s="508" t="s">
        <v>560</v>
      </c>
      <c r="F467" s="500"/>
      <c r="G467" s="500"/>
    </row>
    <row r="468" spans="1:7" ht="14.25" customHeight="1" x14ac:dyDescent="0.25">
      <c r="A468" s="500"/>
      <c r="B468" s="495" t="s">
        <v>1816</v>
      </c>
      <c r="C468" s="496" t="s">
        <v>262</v>
      </c>
      <c r="D468" s="496" t="s">
        <v>284</v>
      </c>
      <c r="E468" s="496" t="s">
        <v>281</v>
      </c>
      <c r="F468" s="500"/>
      <c r="G468" s="500"/>
    </row>
    <row r="469" spans="1:7" ht="14.25" customHeight="1" x14ac:dyDescent="0.25">
      <c r="A469" s="500"/>
      <c r="B469" s="495" t="s">
        <v>1817</v>
      </c>
      <c r="C469" s="780" t="s">
        <v>2750</v>
      </c>
      <c r="D469" s="780" t="s">
        <v>2741</v>
      </c>
      <c r="E469" s="780" t="s">
        <v>2769</v>
      </c>
      <c r="F469" s="500"/>
      <c r="G469" s="500"/>
    </row>
    <row r="470" spans="1:7" ht="14.25" customHeight="1" x14ac:dyDescent="0.25">
      <c r="A470" s="500"/>
      <c r="B470" s="495" t="s">
        <v>1818</v>
      </c>
      <c r="C470" s="780" t="s">
        <v>2751</v>
      </c>
      <c r="D470" s="780" t="s">
        <v>2752</v>
      </c>
      <c r="E470" s="931" t="s">
        <v>3254</v>
      </c>
      <c r="F470" s="500"/>
      <c r="G470" s="500"/>
    </row>
    <row r="471" spans="1:7" ht="14.25" customHeight="1" x14ac:dyDescent="0.25">
      <c r="A471" s="500"/>
      <c r="B471" s="508" t="s">
        <v>1819</v>
      </c>
      <c r="C471" s="1258" t="s">
        <v>4998</v>
      </c>
      <c r="D471" s="1258" t="s">
        <v>4999</v>
      </c>
      <c r="E471" s="1258" t="s">
        <v>5000</v>
      </c>
      <c r="F471" s="500"/>
      <c r="G471" s="500"/>
    </row>
    <row r="472" spans="1:7" ht="14.25" customHeight="1" x14ac:dyDescent="0.25">
      <c r="A472" s="500"/>
      <c r="B472" s="495" t="s">
        <v>4480</v>
      </c>
      <c r="C472" s="920" t="s">
        <v>3202</v>
      </c>
      <c r="D472" s="920" t="s">
        <v>3203</v>
      </c>
      <c r="E472" s="920" t="s">
        <v>3204</v>
      </c>
      <c r="F472" s="500"/>
      <c r="G472" s="500"/>
    </row>
    <row r="473" spans="1:7" ht="14.25" customHeight="1" x14ac:dyDescent="0.25">
      <c r="A473" s="500"/>
      <c r="B473" s="624"/>
      <c r="C473" s="625"/>
      <c r="D473" s="511"/>
      <c r="E473" s="511"/>
      <c r="F473" s="500"/>
      <c r="G473" s="500"/>
    </row>
    <row r="474" spans="1:7" ht="14.25" customHeight="1" x14ac:dyDescent="0.25">
      <c r="A474" s="500"/>
      <c r="B474" s="500"/>
      <c r="C474" s="500"/>
      <c r="D474" s="500"/>
      <c r="E474" s="500"/>
      <c r="F474" s="500"/>
      <c r="G474" s="500"/>
    </row>
    <row r="475" spans="1:7" ht="14.25" customHeight="1" x14ac:dyDescent="0.25">
      <c r="A475" s="500"/>
      <c r="B475" s="505" t="s">
        <v>667</v>
      </c>
      <c r="C475" s="505" t="s">
        <v>3760</v>
      </c>
      <c r="D475" s="505" t="s">
        <v>3761</v>
      </c>
      <c r="E475" s="505" t="s">
        <v>3762</v>
      </c>
      <c r="F475" s="500"/>
      <c r="G475" s="500"/>
    </row>
    <row r="476" spans="1:7" ht="14.25" customHeight="1" x14ac:dyDescent="0.25">
      <c r="A476" s="500"/>
      <c r="B476" s="500"/>
      <c r="C476" s="500"/>
      <c r="D476" s="500"/>
      <c r="E476" s="500"/>
      <c r="F476" s="500"/>
      <c r="G476" s="500"/>
    </row>
    <row r="477" spans="1:7" ht="14.25" customHeight="1" x14ac:dyDescent="0.25">
      <c r="A477" s="500"/>
      <c r="B477" s="496" t="s">
        <v>668</v>
      </c>
      <c r="C477" s="496" t="s">
        <v>376</v>
      </c>
      <c r="D477" s="496" t="s">
        <v>377</v>
      </c>
      <c r="E477" s="496" t="s">
        <v>375</v>
      </c>
      <c r="F477" s="500"/>
      <c r="G477" s="500"/>
    </row>
    <row r="478" spans="1:7" ht="14.25" customHeight="1" x14ac:dyDescent="0.25">
      <c r="A478" s="500"/>
      <c r="B478" s="496" t="s">
        <v>669</v>
      </c>
      <c r="C478" s="496" t="s">
        <v>378</v>
      </c>
      <c r="D478" s="496" t="s">
        <v>379</v>
      </c>
      <c r="E478" s="496" t="s">
        <v>103</v>
      </c>
      <c r="F478" s="500"/>
      <c r="G478" s="500"/>
    </row>
    <row r="479" spans="1:7" ht="14.25" customHeight="1" x14ac:dyDescent="0.25">
      <c r="A479" s="500"/>
      <c r="B479" s="496" t="s">
        <v>670</v>
      </c>
      <c r="C479" s="496" t="s">
        <v>357</v>
      </c>
      <c r="D479" s="496" t="s">
        <v>358</v>
      </c>
      <c r="E479" s="496" t="s">
        <v>23</v>
      </c>
      <c r="F479" s="500"/>
      <c r="G479" s="500"/>
    </row>
    <row r="480" spans="1:7" ht="14.25" customHeight="1" x14ac:dyDescent="0.25">
      <c r="A480" s="500"/>
      <c r="B480" s="496" t="s">
        <v>671</v>
      </c>
      <c r="C480" s="496" t="s">
        <v>380</v>
      </c>
      <c r="D480" s="496" t="s">
        <v>529</v>
      </c>
      <c r="E480" s="496" t="s">
        <v>93</v>
      </c>
      <c r="F480" s="500"/>
      <c r="G480" s="500"/>
    </row>
    <row r="481" spans="1:7" ht="14.25" customHeight="1" x14ac:dyDescent="0.25">
      <c r="A481" s="500"/>
      <c r="B481" s="496" t="s">
        <v>672</v>
      </c>
      <c r="C481" s="496" t="s">
        <v>382</v>
      </c>
      <c r="D481" s="496" t="s">
        <v>381</v>
      </c>
      <c r="E481" s="496" t="s">
        <v>104</v>
      </c>
      <c r="F481" s="500"/>
      <c r="G481" s="500"/>
    </row>
    <row r="482" spans="1:7" ht="14.25" customHeight="1" x14ac:dyDescent="0.25">
      <c r="A482" s="500"/>
      <c r="B482" s="496" t="s">
        <v>673</v>
      </c>
      <c r="C482" s="496" t="s">
        <v>383</v>
      </c>
      <c r="D482" s="496" t="s">
        <v>384</v>
      </c>
      <c r="E482" s="496" t="s">
        <v>51</v>
      </c>
      <c r="F482" s="500"/>
      <c r="G482" s="500"/>
    </row>
    <row r="483" spans="1:7" ht="14.25" customHeight="1" x14ac:dyDescent="0.25">
      <c r="A483" s="500"/>
      <c r="B483" s="582" t="s">
        <v>674</v>
      </c>
      <c r="C483" s="496" t="s">
        <v>385</v>
      </c>
      <c r="D483" s="496" t="s">
        <v>105</v>
      </c>
      <c r="E483" s="496" t="s">
        <v>105</v>
      </c>
      <c r="F483" s="500"/>
      <c r="G483" s="500"/>
    </row>
    <row r="484" spans="1:7" s="1086" customFormat="1" ht="14.25" customHeight="1" x14ac:dyDescent="0.25">
      <c r="A484" s="1083"/>
      <c r="B484" s="1084" t="s">
        <v>675</v>
      </c>
      <c r="C484" s="1085" t="s">
        <v>4489</v>
      </c>
      <c r="D484" s="1085" t="s">
        <v>4490</v>
      </c>
      <c r="E484" s="1228" t="s">
        <v>4491</v>
      </c>
      <c r="F484" s="1083"/>
      <c r="G484" s="1083"/>
    </row>
    <row r="485" spans="1:7" ht="14.25" customHeight="1" x14ac:dyDescent="0.25">
      <c r="A485" s="500"/>
      <c r="B485" s="496" t="s">
        <v>3787</v>
      </c>
      <c r="C485" s="508" t="s">
        <v>2246</v>
      </c>
      <c r="D485" s="654" t="s">
        <v>2247</v>
      </c>
      <c r="E485" s="654" t="s">
        <v>2248</v>
      </c>
      <c r="F485" s="500"/>
      <c r="G485" s="500"/>
    </row>
    <row r="486" spans="1:7" ht="14.25" customHeight="1" x14ac:dyDescent="0.25">
      <c r="A486" s="500"/>
      <c r="B486" s="496" t="s">
        <v>4481</v>
      </c>
      <c r="C486" s="508" t="s">
        <v>2245</v>
      </c>
      <c r="D486" s="496" t="s">
        <v>2192</v>
      </c>
      <c r="E486" s="496" t="s">
        <v>2123</v>
      </c>
      <c r="F486" s="500"/>
      <c r="G486" s="500"/>
    </row>
    <row r="487" spans="1:7" ht="14.25" customHeight="1" x14ac:dyDescent="0.25">
      <c r="A487" s="500"/>
      <c r="B487" s="582" t="s">
        <v>4482</v>
      </c>
      <c r="C487" s="508" t="s">
        <v>763</v>
      </c>
      <c r="D487" s="496" t="s">
        <v>2193</v>
      </c>
      <c r="E487" s="496" t="s">
        <v>2124</v>
      </c>
      <c r="F487" s="500"/>
      <c r="G487" s="500"/>
    </row>
    <row r="488" spans="1:7" ht="14.25" customHeight="1" x14ac:dyDescent="0.25">
      <c r="A488" s="500"/>
      <c r="B488" s="496" t="s">
        <v>4483</v>
      </c>
      <c r="C488" s="508" t="s">
        <v>764</v>
      </c>
      <c r="D488" s="496" t="s">
        <v>2194</v>
      </c>
      <c r="E488" s="496" t="s">
        <v>2125</v>
      </c>
      <c r="F488" s="500"/>
      <c r="G488" s="500"/>
    </row>
    <row r="489" spans="1:7" ht="14.25" customHeight="1" x14ac:dyDescent="0.25">
      <c r="A489" s="500"/>
      <c r="B489" s="496" t="s">
        <v>4484</v>
      </c>
      <c r="C489" s="508" t="s">
        <v>766</v>
      </c>
      <c r="D489" s="496" t="s">
        <v>2195</v>
      </c>
      <c r="E489" s="496" t="s">
        <v>2126</v>
      </c>
      <c r="F489" s="500"/>
      <c r="G489" s="500"/>
    </row>
    <row r="490" spans="1:7" ht="14.25" customHeight="1" x14ac:dyDescent="0.25">
      <c r="A490" s="500"/>
      <c r="B490" s="496" t="s">
        <v>4485</v>
      </c>
      <c r="C490" s="508" t="s">
        <v>106</v>
      </c>
      <c r="D490" s="496" t="s">
        <v>2196</v>
      </c>
      <c r="E490" s="496" t="s">
        <v>2127</v>
      </c>
      <c r="F490" s="500"/>
      <c r="G490" s="500"/>
    </row>
    <row r="491" spans="1:7" ht="14.25" customHeight="1" x14ac:dyDescent="0.25">
      <c r="A491" s="500"/>
      <c r="B491" s="496" t="s">
        <v>4492</v>
      </c>
      <c r="C491" s="508" t="s">
        <v>387</v>
      </c>
      <c r="D491" s="508" t="s">
        <v>386</v>
      </c>
      <c r="E491" s="508" t="s">
        <v>52</v>
      </c>
      <c r="F491" s="500"/>
      <c r="G491" s="500"/>
    </row>
    <row r="492" spans="1:7" ht="14.25" customHeight="1" x14ac:dyDescent="0.25">
      <c r="A492" s="500"/>
      <c r="B492" s="496" t="s">
        <v>4493</v>
      </c>
      <c r="C492" s="508" t="s">
        <v>389</v>
      </c>
      <c r="D492" s="508" t="s">
        <v>388</v>
      </c>
      <c r="E492" s="508" t="s">
        <v>53</v>
      </c>
      <c r="F492" s="500"/>
      <c r="G492" s="500"/>
    </row>
    <row r="493" spans="1:7" ht="14.25" customHeight="1" x14ac:dyDescent="0.25">
      <c r="A493" s="500"/>
      <c r="B493" s="496" t="s">
        <v>4494</v>
      </c>
      <c r="C493" s="508" t="s">
        <v>391</v>
      </c>
      <c r="D493" s="508" t="s">
        <v>390</v>
      </c>
      <c r="E493" s="508" t="s">
        <v>54</v>
      </c>
      <c r="F493" s="500"/>
      <c r="G493" s="500"/>
    </row>
    <row r="494" spans="1:7" ht="14.25" customHeight="1" x14ac:dyDescent="0.25">
      <c r="A494" s="500"/>
      <c r="B494" s="496" t="s">
        <v>4495</v>
      </c>
      <c r="C494" s="508" t="s">
        <v>385</v>
      </c>
      <c r="D494" s="508" t="s">
        <v>105</v>
      </c>
      <c r="E494" s="508" t="s">
        <v>105</v>
      </c>
      <c r="F494" s="500"/>
      <c r="G494" s="500"/>
    </row>
    <row r="495" spans="1:7" ht="14.25" customHeight="1" x14ac:dyDescent="0.25">
      <c r="A495" s="500"/>
      <c r="B495" s="496" t="s">
        <v>4496</v>
      </c>
      <c r="C495" s="508" t="s">
        <v>4486</v>
      </c>
      <c r="D495" s="508" t="s">
        <v>4487</v>
      </c>
      <c r="E495" s="508" t="s">
        <v>4488</v>
      </c>
      <c r="F495" s="500"/>
      <c r="G495" s="500"/>
    </row>
    <row r="496" spans="1:7" ht="14.25" customHeight="1" x14ac:dyDescent="0.25">
      <c r="A496" s="500"/>
      <c r="B496" s="496" t="s">
        <v>4497</v>
      </c>
      <c r="C496" s="508" t="s">
        <v>1989</v>
      </c>
      <c r="D496" s="508" t="s">
        <v>2193</v>
      </c>
      <c r="E496" s="508" t="s">
        <v>2124</v>
      </c>
      <c r="F496" s="500"/>
      <c r="G496" s="500"/>
    </row>
    <row r="497" spans="1:7" ht="14.25" customHeight="1" x14ac:dyDescent="0.25">
      <c r="A497" s="500"/>
      <c r="B497" s="496" t="s">
        <v>4498</v>
      </c>
      <c r="C497" s="508" t="s">
        <v>772</v>
      </c>
      <c r="D497" s="508" t="s">
        <v>2197</v>
      </c>
      <c r="E497" s="508" t="s">
        <v>2128</v>
      </c>
      <c r="F497" s="500"/>
      <c r="G497" s="500"/>
    </row>
    <row r="498" spans="1:7" ht="14.25" customHeight="1" x14ac:dyDescent="0.25">
      <c r="A498" s="500"/>
      <c r="B498" s="496" t="s">
        <v>4499</v>
      </c>
      <c r="C498" s="508" t="s">
        <v>273</v>
      </c>
      <c r="D498" s="508" t="s">
        <v>2198</v>
      </c>
      <c r="E498" s="508" t="s">
        <v>2129</v>
      </c>
      <c r="F498" s="500"/>
      <c r="G498" s="500"/>
    </row>
    <row r="499" spans="1:7" ht="14.25" customHeight="1" x14ac:dyDescent="0.25">
      <c r="A499" s="500"/>
      <c r="B499" s="496" t="s">
        <v>4500</v>
      </c>
      <c r="C499" s="508" t="s">
        <v>765</v>
      </c>
      <c r="D499" s="508" t="s">
        <v>2199</v>
      </c>
      <c r="E499" s="508" t="s">
        <v>2130</v>
      </c>
      <c r="F499" s="500"/>
      <c r="G499" s="500"/>
    </row>
    <row r="500" spans="1:7" ht="14.25" customHeight="1" x14ac:dyDescent="0.25">
      <c r="A500" s="500"/>
      <c r="B500" s="496" t="s">
        <v>4501</v>
      </c>
      <c r="C500" s="508" t="s">
        <v>106</v>
      </c>
      <c r="D500" s="508" t="s">
        <v>2200</v>
      </c>
      <c r="E500" s="508" t="s">
        <v>2127</v>
      </c>
      <c r="F500" s="500"/>
      <c r="G500" s="500"/>
    </row>
    <row r="501" spans="1:7" ht="14.25" customHeight="1" x14ac:dyDescent="0.25">
      <c r="A501" s="500"/>
      <c r="B501" s="511"/>
      <c r="C501" s="511"/>
      <c r="D501" s="511"/>
      <c r="E501" s="511"/>
      <c r="F501" s="500"/>
      <c r="G501" s="500"/>
    </row>
    <row r="502" spans="1:7" ht="14.25" customHeight="1" x14ac:dyDescent="0.25">
      <c r="A502" s="500"/>
      <c r="B502" s="511"/>
      <c r="C502" s="511"/>
      <c r="D502" s="511"/>
      <c r="E502" s="511"/>
      <c r="F502" s="500"/>
      <c r="G502" s="500"/>
    </row>
    <row r="503" spans="1:7" ht="14.25" customHeight="1" x14ac:dyDescent="0.25">
      <c r="A503" s="500"/>
      <c r="B503" s="505" t="s">
        <v>676</v>
      </c>
      <c r="C503" s="505" t="s">
        <v>264</v>
      </c>
      <c r="D503" s="505" t="s">
        <v>545</v>
      </c>
      <c r="E503" s="505" t="s">
        <v>12</v>
      </c>
      <c r="F503" s="500"/>
      <c r="G503" s="500"/>
    </row>
    <row r="504" spans="1:7" ht="14.25" customHeight="1" x14ac:dyDescent="0.25">
      <c r="A504" s="500"/>
      <c r="B504" s="500"/>
      <c r="C504" s="500"/>
      <c r="D504" s="500"/>
      <c r="E504" s="500"/>
      <c r="F504" s="500"/>
      <c r="G504" s="500"/>
    </row>
    <row r="505" spans="1:7" ht="14.25" customHeight="1" x14ac:dyDescent="0.25">
      <c r="A505" s="500"/>
      <c r="B505" s="496" t="s">
        <v>677</v>
      </c>
      <c r="C505" s="496" t="s">
        <v>395</v>
      </c>
      <c r="D505" s="496" t="s">
        <v>549</v>
      </c>
      <c r="E505" s="496" t="s">
        <v>579</v>
      </c>
      <c r="F505" s="500"/>
      <c r="G505" s="500"/>
    </row>
    <row r="506" spans="1:7" ht="14.25" customHeight="1" x14ac:dyDescent="0.25">
      <c r="A506" s="500"/>
      <c r="B506" s="496" t="s">
        <v>678</v>
      </c>
      <c r="C506" s="533" t="s">
        <v>1874</v>
      </c>
      <c r="D506" s="533" t="s">
        <v>2201</v>
      </c>
      <c r="E506" s="533" t="s">
        <v>1875</v>
      </c>
      <c r="F506" s="500"/>
      <c r="G506" s="500"/>
    </row>
    <row r="507" spans="1:7" ht="14.25" customHeight="1" x14ac:dyDescent="0.25">
      <c r="A507" s="500"/>
      <c r="B507" s="496" t="s">
        <v>679</v>
      </c>
      <c r="C507" s="520" t="s">
        <v>795</v>
      </c>
      <c r="D507" s="520" t="s">
        <v>796</v>
      </c>
      <c r="E507" s="520" t="s">
        <v>794</v>
      </c>
      <c r="F507" s="500"/>
      <c r="G507" s="500"/>
    </row>
    <row r="508" spans="1:7" ht="14.25" customHeight="1" x14ac:dyDescent="0.25">
      <c r="A508" s="500"/>
      <c r="B508" s="496" t="s">
        <v>680</v>
      </c>
      <c r="C508" s="520" t="s">
        <v>798</v>
      </c>
      <c r="D508" s="520" t="s">
        <v>2202</v>
      </c>
      <c r="E508" s="496" t="s">
        <v>793</v>
      </c>
      <c r="F508" s="500"/>
      <c r="G508" s="500"/>
    </row>
    <row r="509" spans="1:7" ht="14.25" customHeight="1" x14ac:dyDescent="0.25">
      <c r="A509" s="500"/>
      <c r="B509" s="496" t="s">
        <v>681</v>
      </c>
      <c r="C509" s="520" t="s">
        <v>797</v>
      </c>
      <c r="D509" s="520" t="s">
        <v>2203</v>
      </c>
      <c r="E509" s="496" t="s">
        <v>792</v>
      </c>
      <c r="F509" s="500"/>
      <c r="G509" s="500"/>
    </row>
    <row r="510" spans="1:7" ht="14.25" customHeight="1" x14ac:dyDescent="0.25">
      <c r="A510" s="500"/>
      <c r="B510" s="496" t="s">
        <v>3786</v>
      </c>
      <c r="C510" s="533" t="s">
        <v>398</v>
      </c>
      <c r="D510" s="496" t="s">
        <v>396</v>
      </c>
      <c r="E510" s="533" t="s">
        <v>393</v>
      </c>
      <c r="F510" s="500"/>
      <c r="G510" s="500"/>
    </row>
    <row r="511" spans="1:7" ht="14.25" customHeight="1" x14ac:dyDescent="0.25">
      <c r="A511" s="500"/>
      <c r="B511" s="496" t="s">
        <v>4502</v>
      </c>
      <c r="C511" s="533" t="s">
        <v>399</v>
      </c>
      <c r="D511" s="496" t="s">
        <v>397</v>
      </c>
      <c r="E511" s="533" t="s">
        <v>394</v>
      </c>
      <c r="F511" s="500"/>
      <c r="G511" s="500"/>
    </row>
    <row r="512" spans="1:7" ht="14.25" customHeight="1" x14ac:dyDescent="0.25">
      <c r="A512" s="500"/>
      <c r="B512" s="496" t="s">
        <v>4503</v>
      </c>
      <c r="C512" s="497" t="s">
        <v>1530</v>
      </c>
      <c r="D512" s="497" t="s">
        <v>1555</v>
      </c>
      <c r="E512" s="497" t="s">
        <v>1542</v>
      </c>
      <c r="F512" s="500"/>
      <c r="G512" s="500"/>
    </row>
    <row r="513" spans="1:7" ht="14.25" customHeight="1" x14ac:dyDescent="0.25">
      <c r="A513" s="500"/>
      <c r="B513" s="496" t="s">
        <v>4504</v>
      </c>
      <c r="C513" s="497" t="s">
        <v>1531</v>
      </c>
      <c r="D513" s="497" t="s">
        <v>1554</v>
      </c>
      <c r="E513" s="497" t="s">
        <v>1543</v>
      </c>
      <c r="F513" s="500"/>
      <c r="G513" s="500"/>
    </row>
    <row r="514" spans="1:7" ht="14.25" customHeight="1" x14ac:dyDescent="0.25">
      <c r="A514" s="500"/>
      <c r="B514" s="496" t="s">
        <v>4505</v>
      </c>
      <c r="C514" s="497" t="s">
        <v>1532</v>
      </c>
      <c r="D514" s="497" t="s">
        <v>1556</v>
      </c>
      <c r="E514" s="497" t="s">
        <v>1544</v>
      </c>
      <c r="F514" s="500"/>
      <c r="G514" s="500"/>
    </row>
    <row r="515" spans="1:7" ht="14.25" customHeight="1" x14ac:dyDescent="0.25">
      <c r="A515" s="500"/>
      <c r="B515" s="496" t="s">
        <v>4506</v>
      </c>
      <c r="C515" s="497" t="s">
        <v>1533</v>
      </c>
      <c r="D515" s="497" t="s">
        <v>1557</v>
      </c>
      <c r="E515" s="497" t="s">
        <v>1545</v>
      </c>
      <c r="F515" s="500"/>
      <c r="G515" s="500"/>
    </row>
    <row r="516" spans="1:7" ht="14.25" customHeight="1" x14ac:dyDescent="0.25">
      <c r="A516" s="500"/>
      <c r="B516" s="496" t="s">
        <v>4507</v>
      </c>
      <c r="C516" s="497" t="s">
        <v>1536</v>
      </c>
      <c r="D516" s="497" t="s">
        <v>1558</v>
      </c>
      <c r="E516" s="497" t="s">
        <v>1546</v>
      </c>
      <c r="F516" s="500"/>
      <c r="G516" s="500"/>
    </row>
    <row r="517" spans="1:7" ht="14.25" customHeight="1" x14ac:dyDescent="0.25">
      <c r="A517" s="500"/>
      <c r="B517" s="496" t="s">
        <v>4508</v>
      </c>
      <c r="C517" s="497" t="s">
        <v>1539</v>
      </c>
      <c r="D517" s="497" t="s">
        <v>1559</v>
      </c>
      <c r="E517" s="497" t="s">
        <v>1547</v>
      </c>
      <c r="F517" s="500"/>
      <c r="G517" s="500"/>
    </row>
    <row r="518" spans="1:7" ht="14.25" customHeight="1" x14ac:dyDescent="0.25">
      <c r="A518" s="500"/>
      <c r="B518" s="496" t="s">
        <v>4509</v>
      </c>
      <c r="C518" s="497" t="s">
        <v>1534</v>
      </c>
      <c r="D518" s="497" t="s">
        <v>1560</v>
      </c>
      <c r="E518" s="497" t="s">
        <v>1548</v>
      </c>
      <c r="F518" s="500"/>
      <c r="G518" s="500"/>
    </row>
    <row r="519" spans="1:7" ht="14.25" customHeight="1" x14ac:dyDescent="0.25">
      <c r="A519" s="500"/>
      <c r="B519" s="496" t="s">
        <v>4510</v>
      </c>
      <c r="C519" s="497" t="s">
        <v>1537</v>
      </c>
      <c r="D519" s="497" t="s">
        <v>1561</v>
      </c>
      <c r="E519" s="497" t="s">
        <v>1549</v>
      </c>
      <c r="F519" s="500"/>
      <c r="G519" s="500"/>
    </row>
    <row r="520" spans="1:7" ht="14.25" customHeight="1" x14ac:dyDescent="0.25">
      <c r="A520" s="500"/>
      <c r="B520" s="496" t="s">
        <v>4511</v>
      </c>
      <c r="C520" s="497" t="s">
        <v>1540</v>
      </c>
      <c r="D520" s="497" t="s">
        <v>1562</v>
      </c>
      <c r="E520" s="497" t="s">
        <v>1550</v>
      </c>
      <c r="F520" s="500"/>
      <c r="G520" s="500"/>
    </row>
    <row r="521" spans="1:7" ht="14.25" customHeight="1" x14ac:dyDescent="0.25">
      <c r="A521" s="500"/>
      <c r="B521" s="496" t="s">
        <v>4512</v>
      </c>
      <c r="C521" s="497" t="s">
        <v>1535</v>
      </c>
      <c r="D521" s="497" t="s">
        <v>1563</v>
      </c>
      <c r="E521" s="497" t="s">
        <v>1551</v>
      </c>
      <c r="F521" s="500"/>
      <c r="G521" s="500"/>
    </row>
    <row r="522" spans="1:7" ht="14.25" customHeight="1" x14ac:dyDescent="0.25">
      <c r="A522" s="500"/>
      <c r="B522" s="496" t="s">
        <v>4513</v>
      </c>
      <c r="C522" s="497" t="s">
        <v>1538</v>
      </c>
      <c r="D522" s="497" t="s">
        <v>1564</v>
      </c>
      <c r="E522" s="497" t="s">
        <v>1552</v>
      </c>
      <c r="F522" s="500"/>
      <c r="G522" s="500"/>
    </row>
    <row r="523" spans="1:7" ht="14.25" customHeight="1" x14ac:dyDescent="0.25">
      <c r="A523" s="500"/>
      <c r="B523" s="496" t="s">
        <v>4514</v>
      </c>
      <c r="C523" s="497" t="s">
        <v>1541</v>
      </c>
      <c r="D523" s="497" t="s">
        <v>1565</v>
      </c>
      <c r="E523" s="497" t="s">
        <v>1553</v>
      </c>
      <c r="F523" s="500"/>
      <c r="G523" s="500"/>
    </row>
    <row r="524" spans="1:7" ht="14.25" customHeight="1" x14ac:dyDescent="0.25">
      <c r="A524" s="500"/>
      <c r="B524" s="496" t="s">
        <v>4515</v>
      </c>
      <c r="C524" s="496" t="s">
        <v>65</v>
      </c>
      <c r="D524" s="496" t="s">
        <v>580</v>
      </c>
      <c r="E524" s="496" t="s">
        <v>403</v>
      </c>
      <c r="F524" s="500"/>
      <c r="G524" s="500"/>
    </row>
    <row r="525" spans="1:7" ht="14.25" customHeight="1" x14ac:dyDescent="0.25">
      <c r="A525" s="500"/>
      <c r="B525" s="496" t="s">
        <v>4516</v>
      </c>
      <c r="C525" s="497" t="s">
        <v>1519</v>
      </c>
      <c r="D525" s="497" t="s">
        <v>1519</v>
      </c>
      <c r="E525" s="497" t="s">
        <v>1519</v>
      </c>
      <c r="F525" s="500"/>
      <c r="G525" s="500"/>
    </row>
    <row r="526" spans="1:7" ht="14.25" customHeight="1" x14ac:dyDescent="0.25">
      <c r="A526" s="500"/>
      <c r="B526" s="496" t="s">
        <v>4517</v>
      </c>
      <c r="C526" s="497" t="s">
        <v>1520</v>
      </c>
      <c r="D526" s="497" t="s">
        <v>1520</v>
      </c>
      <c r="E526" s="497" t="s">
        <v>1520</v>
      </c>
      <c r="F526" s="500"/>
      <c r="G526" s="500"/>
    </row>
    <row r="527" spans="1:7" ht="14.25" customHeight="1" x14ac:dyDescent="0.25">
      <c r="A527" s="500"/>
      <c r="B527" s="496" t="s">
        <v>4518</v>
      </c>
      <c r="C527" s="497" t="s">
        <v>1521</v>
      </c>
      <c r="D527" s="497" t="s">
        <v>1521</v>
      </c>
      <c r="E527" s="497" t="s">
        <v>1521</v>
      </c>
      <c r="F527" s="500"/>
      <c r="G527" s="500"/>
    </row>
    <row r="528" spans="1:7" ht="14.25" customHeight="1" x14ac:dyDescent="0.25">
      <c r="A528" s="500"/>
      <c r="B528" s="496" t="s">
        <v>4519</v>
      </c>
      <c r="C528" s="497" t="s">
        <v>1522</v>
      </c>
      <c r="D528" s="497" t="s">
        <v>1522</v>
      </c>
      <c r="E528" s="497" t="s">
        <v>1522</v>
      </c>
      <c r="F528" s="500"/>
      <c r="G528" s="500"/>
    </row>
    <row r="529" spans="1:7" ht="14.25" customHeight="1" x14ac:dyDescent="0.25">
      <c r="A529" s="500"/>
      <c r="B529" s="496" t="s">
        <v>4520</v>
      </c>
      <c r="C529" s="497" t="s">
        <v>1523</v>
      </c>
      <c r="D529" s="497" t="s">
        <v>1523</v>
      </c>
      <c r="E529" s="497" t="s">
        <v>1523</v>
      </c>
      <c r="F529" s="500"/>
      <c r="G529" s="500"/>
    </row>
    <row r="530" spans="1:7" ht="14.25" customHeight="1" x14ac:dyDescent="0.25">
      <c r="A530" s="500"/>
      <c r="B530" s="496" t="s">
        <v>4521</v>
      </c>
      <c r="C530" s="497" t="s">
        <v>1524</v>
      </c>
      <c r="D530" s="497" t="s">
        <v>1524</v>
      </c>
      <c r="E530" s="497" t="s">
        <v>1524</v>
      </c>
      <c r="F530" s="500"/>
      <c r="G530" s="500"/>
    </row>
    <row r="531" spans="1:7" ht="14.25" customHeight="1" x14ac:dyDescent="0.25">
      <c r="A531" s="500"/>
      <c r="B531" s="496" t="s">
        <v>4522</v>
      </c>
      <c r="C531" s="497" t="s">
        <v>1525</v>
      </c>
      <c r="D531" s="497" t="s">
        <v>1525</v>
      </c>
      <c r="E531" s="497" t="s">
        <v>1525</v>
      </c>
      <c r="F531" s="500"/>
      <c r="G531" s="500"/>
    </row>
    <row r="532" spans="1:7" ht="14.25" customHeight="1" x14ac:dyDescent="0.25">
      <c r="A532" s="500"/>
      <c r="B532" s="520" t="s">
        <v>4523</v>
      </c>
      <c r="C532" s="497" t="s">
        <v>1526</v>
      </c>
      <c r="D532" s="497" t="s">
        <v>1526</v>
      </c>
      <c r="E532" s="497" t="s">
        <v>1526</v>
      </c>
      <c r="F532" s="500"/>
      <c r="G532" s="500"/>
    </row>
    <row r="533" spans="1:7" ht="14.25" customHeight="1" x14ac:dyDescent="0.25">
      <c r="A533" s="500"/>
      <c r="B533" s="520" t="s">
        <v>4524</v>
      </c>
      <c r="C533" s="497" t="s">
        <v>66</v>
      </c>
      <c r="D533" s="497" t="s">
        <v>1527</v>
      </c>
      <c r="E533" s="497" t="s">
        <v>271</v>
      </c>
      <c r="F533" s="500"/>
      <c r="G533" s="500"/>
    </row>
    <row r="534" spans="1:7" ht="14.25" customHeight="1" x14ac:dyDescent="0.25">
      <c r="A534" s="500"/>
      <c r="B534" s="520" t="s">
        <v>4525</v>
      </c>
      <c r="C534" s="497" t="s">
        <v>67</v>
      </c>
      <c r="D534" s="497" t="s">
        <v>1528</v>
      </c>
      <c r="E534" s="497" t="s">
        <v>1529</v>
      </c>
      <c r="F534" s="500"/>
      <c r="G534" s="500"/>
    </row>
    <row r="535" spans="1:7" ht="14.25" customHeight="1" x14ac:dyDescent="0.25">
      <c r="A535" s="500"/>
      <c r="B535" s="520" t="s">
        <v>4526</v>
      </c>
      <c r="C535" s="497" t="s">
        <v>68</v>
      </c>
      <c r="D535" s="497" t="s">
        <v>68</v>
      </c>
      <c r="E535" s="497" t="s">
        <v>68</v>
      </c>
      <c r="F535" s="500"/>
      <c r="G535" s="500"/>
    </row>
    <row r="536" spans="1:7" ht="14.25" customHeight="1" x14ac:dyDescent="0.25">
      <c r="A536" s="500"/>
      <c r="B536" s="520" t="s">
        <v>4527</v>
      </c>
      <c r="C536" s="497" t="s">
        <v>69</v>
      </c>
      <c r="D536" s="497" t="s">
        <v>69</v>
      </c>
      <c r="E536" s="497" t="s">
        <v>400</v>
      </c>
      <c r="F536" s="500"/>
      <c r="G536" s="500"/>
    </row>
    <row r="537" spans="1:7" ht="14.25" customHeight="1" x14ac:dyDescent="0.25">
      <c r="A537" s="500"/>
      <c r="B537" s="520" t="s">
        <v>4528</v>
      </c>
      <c r="C537" s="521" t="str">
        <f>IF(SST_Currency="EUR","Wechselkurs CHF/","Wechselkurs EUR/")&amp;SST_Currency</f>
        <v>Wechselkurs EUR/CHF</v>
      </c>
      <c r="D537" s="521" t="str">
        <f>IF(SST_Currency="EUR","Taux de change CHF/","Taux de change EUR/")&amp;SST_Currency</f>
        <v>Taux de change EUR/CHF</v>
      </c>
      <c r="E537" s="521" t="str">
        <f>IF(SST_Currency="EUR","Exchange rate CHF/","Exchange rate EUR/")&amp;SST_Currency</f>
        <v>Exchange rate EUR/CHF</v>
      </c>
      <c r="F537" s="500"/>
      <c r="G537" s="500"/>
    </row>
    <row r="538" spans="1:7" ht="14.25" customHeight="1" x14ac:dyDescent="0.25">
      <c r="A538" s="500"/>
      <c r="B538" s="520" t="s">
        <v>4529</v>
      </c>
      <c r="C538" s="521" t="str">
        <f>IF(SST_Currency="USD","Wechselkurs CHF/","Wechselkurs USD/")&amp;SST_Currency</f>
        <v>Wechselkurs USD/CHF</v>
      </c>
      <c r="D538" s="521" t="str">
        <f>IF(SST_Currency="USD","Taux de change CHF/","Taux de change USD/")&amp;SST_Currency</f>
        <v>Taux de change USD/CHF</v>
      </c>
      <c r="E538" s="521" t="str">
        <f>IF(SST_Currency="USD","Exchange rate CHF/","Exchange rate USD/")&amp;SST_Currency</f>
        <v>Exchange rate USD/CHF</v>
      </c>
      <c r="F538" s="500"/>
      <c r="G538" s="500"/>
    </row>
    <row r="539" spans="1:7" ht="14.25" customHeight="1" x14ac:dyDescent="0.25">
      <c r="A539" s="500"/>
      <c r="B539" s="520" t="s">
        <v>4530</v>
      </c>
      <c r="C539" s="521" t="str">
        <f>IF(SST_Currency="GBP","Wechselkurs CHF/","Wechselkurs GBP/")&amp;SST_Currency</f>
        <v>Wechselkurs GBP/CHF</v>
      </c>
      <c r="D539" s="521" t="str">
        <f>IF(SST_Currency="GBP","Taux de change CHF/","Taux de change GBP/")&amp;SST_Currency</f>
        <v>Taux de change GBP/CHF</v>
      </c>
      <c r="E539" s="521" t="str">
        <f>IF(SST_Currency="GBP","Exchange rate CHF/","Exchange rate GBP/")&amp;SST_Currency</f>
        <v>Exchange rate GBP/CHF</v>
      </c>
      <c r="F539" s="500"/>
      <c r="G539" s="500"/>
    </row>
    <row r="540" spans="1:7" ht="14.25" customHeight="1" x14ac:dyDescent="0.25">
      <c r="A540" s="500"/>
      <c r="B540" s="520" t="s">
        <v>4531</v>
      </c>
      <c r="C540" s="521" t="str">
        <f>IF(SST_Currency="JPY","Wechselkurs CHF/","Wechselkurs JPY/")&amp;SST_Currency</f>
        <v>Wechselkurs JPY/CHF</v>
      </c>
      <c r="D540" s="521" t="str">
        <f>IF(SST_Currency="JPY","Taux de change CHF/","Taux de change JPY/")&amp;SST_Currency</f>
        <v>Taux de change JPY/CHF</v>
      </c>
      <c r="E540" s="521" t="str">
        <f>IF(SST_Currency="JPY","Exchange rate CHF/","Exchange rate JPY/")&amp;SST_Currency</f>
        <v>Exchange rate JPY/CHF</v>
      </c>
      <c r="F540" s="500"/>
      <c r="G540" s="500"/>
    </row>
    <row r="541" spans="1:7" ht="14.25" customHeight="1" x14ac:dyDescent="0.25">
      <c r="A541" s="500"/>
      <c r="B541" s="520" t="s">
        <v>4532</v>
      </c>
      <c r="C541" s="497" t="s">
        <v>70</v>
      </c>
      <c r="D541" s="497" t="s">
        <v>550</v>
      </c>
      <c r="E541" s="497" t="s">
        <v>402</v>
      </c>
      <c r="F541" s="500"/>
      <c r="G541" s="500"/>
    </row>
    <row r="542" spans="1:7" ht="14.25" customHeight="1" x14ac:dyDescent="0.25">
      <c r="A542" s="500"/>
      <c r="B542" s="520" t="s">
        <v>4533</v>
      </c>
      <c r="C542" s="497" t="s">
        <v>71</v>
      </c>
      <c r="D542" s="497" t="s">
        <v>1518</v>
      </c>
      <c r="E542" s="497" t="s">
        <v>81</v>
      </c>
      <c r="F542" s="500"/>
      <c r="G542" s="500"/>
    </row>
    <row r="543" spans="1:7" ht="14.25" customHeight="1" x14ac:dyDescent="0.25">
      <c r="A543" s="500"/>
      <c r="B543" s="520" t="s">
        <v>4534</v>
      </c>
      <c r="C543" s="497" t="s">
        <v>581</v>
      </c>
      <c r="D543" s="497" t="s">
        <v>1517</v>
      </c>
      <c r="E543" s="497" t="s">
        <v>582</v>
      </c>
      <c r="F543" s="500"/>
      <c r="G543" s="500"/>
    </row>
    <row r="544" spans="1:7" ht="14.25" customHeight="1" x14ac:dyDescent="0.25">
      <c r="A544" s="500"/>
      <c r="B544" s="520" t="s">
        <v>4535</v>
      </c>
      <c r="C544" s="497" t="s">
        <v>72</v>
      </c>
      <c r="D544" s="497" t="s">
        <v>1516</v>
      </c>
      <c r="E544" s="497" t="s">
        <v>82</v>
      </c>
      <c r="F544" s="500"/>
      <c r="G544" s="500"/>
    </row>
    <row r="545" spans="1:7" ht="14.25" customHeight="1" x14ac:dyDescent="0.25">
      <c r="A545" s="500"/>
      <c r="B545" s="520" t="s">
        <v>4536</v>
      </c>
      <c r="C545" s="497" t="s">
        <v>73</v>
      </c>
      <c r="D545" s="497" t="s">
        <v>1515</v>
      </c>
      <c r="E545" s="497" t="s">
        <v>583</v>
      </c>
      <c r="F545" s="500"/>
      <c r="G545" s="500"/>
    </row>
    <row r="546" spans="1:7" ht="14.25" customHeight="1" x14ac:dyDescent="0.25">
      <c r="A546" s="500"/>
      <c r="B546" s="520" t="s">
        <v>4537</v>
      </c>
      <c r="C546" s="497" t="s">
        <v>74</v>
      </c>
      <c r="D546" s="497" t="s">
        <v>1514</v>
      </c>
      <c r="E546" s="497" t="s">
        <v>83</v>
      </c>
      <c r="F546" s="500"/>
      <c r="G546" s="500"/>
    </row>
    <row r="547" spans="1:7" ht="14.25" customHeight="1" x14ac:dyDescent="0.25">
      <c r="A547" s="500"/>
      <c r="B547" s="520" t="s">
        <v>4538</v>
      </c>
      <c r="C547" s="497" t="s">
        <v>75</v>
      </c>
      <c r="D547" s="497" t="s">
        <v>404</v>
      </c>
      <c r="E547" s="497" t="s">
        <v>401</v>
      </c>
      <c r="F547" s="500"/>
      <c r="G547" s="500"/>
    </row>
    <row r="548" spans="1:7" ht="14.25" customHeight="1" x14ac:dyDescent="0.25">
      <c r="A548" s="500"/>
      <c r="B548" s="520" t="s">
        <v>4539</v>
      </c>
      <c r="C548" s="514" t="s">
        <v>1711</v>
      </c>
      <c r="D548" s="497" t="s">
        <v>350</v>
      </c>
      <c r="E548" s="497" t="s">
        <v>84</v>
      </c>
      <c r="F548" s="500"/>
      <c r="G548" s="500"/>
    </row>
    <row r="549" spans="1:7" ht="14.25" customHeight="1" x14ac:dyDescent="0.25">
      <c r="A549" s="500"/>
      <c r="B549" s="520" t="s">
        <v>4540</v>
      </c>
      <c r="C549" s="497" t="s">
        <v>76</v>
      </c>
      <c r="D549" s="497" t="s">
        <v>76</v>
      </c>
      <c r="E549" s="497" t="s">
        <v>85</v>
      </c>
      <c r="F549" s="500"/>
      <c r="G549" s="500"/>
    </row>
    <row r="550" spans="1:7" ht="14.25" customHeight="1" x14ac:dyDescent="0.25">
      <c r="A550" s="500"/>
      <c r="B550" s="520" t="s">
        <v>4541</v>
      </c>
      <c r="C550" s="497" t="s">
        <v>77</v>
      </c>
      <c r="D550" s="497" t="s">
        <v>551</v>
      </c>
      <c r="E550" s="497" t="s">
        <v>405</v>
      </c>
      <c r="F550" s="500"/>
      <c r="G550" s="500"/>
    </row>
    <row r="551" spans="1:7" ht="14.25" customHeight="1" x14ac:dyDescent="0.25">
      <c r="A551" s="500"/>
      <c r="B551" s="520" t="s">
        <v>4542</v>
      </c>
      <c r="C551" s="497" t="s">
        <v>1598</v>
      </c>
      <c r="D551" s="497" t="s">
        <v>590</v>
      </c>
      <c r="E551" s="497" t="s">
        <v>590</v>
      </c>
      <c r="F551" s="500"/>
      <c r="G551" s="500"/>
    </row>
    <row r="552" spans="1:7" ht="14.25" customHeight="1" x14ac:dyDescent="0.25">
      <c r="A552" s="500"/>
      <c r="B552" s="520" t="s">
        <v>4543</v>
      </c>
      <c r="C552" s="656" t="s">
        <v>2753</v>
      </c>
      <c r="D552" s="781" t="s">
        <v>2742</v>
      </c>
      <c r="E552" s="781" t="s">
        <v>2755</v>
      </c>
      <c r="F552" s="500"/>
      <c r="G552" s="500"/>
    </row>
    <row r="553" spans="1:7" ht="14.25" customHeight="1" x14ac:dyDescent="0.25">
      <c r="A553" s="500"/>
      <c r="B553" s="520" t="s">
        <v>4544</v>
      </c>
      <c r="C553" s="508" t="s">
        <v>2754</v>
      </c>
      <c r="D553" s="656" t="s">
        <v>2743</v>
      </c>
      <c r="E553" s="781" t="s">
        <v>2756</v>
      </c>
      <c r="F553" s="500"/>
      <c r="G553" s="500"/>
    </row>
    <row r="554" spans="1:7" ht="14.25" customHeight="1" x14ac:dyDescent="0.25">
      <c r="A554" s="500"/>
      <c r="B554" s="500"/>
      <c r="C554" s="500"/>
      <c r="D554" s="500"/>
      <c r="E554" s="500"/>
      <c r="F554" s="500"/>
      <c r="G554" s="500"/>
    </row>
    <row r="555" spans="1:7" ht="14.25" customHeight="1" x14ac:dyDescent="0.25">
      <c r="A555" s="500"/>
      <c r="B555" s="500"/>
      <c r="C555" s="500"/>
      <c r="D555" s="500"/>
      <c r="E555" s="500"/>
      <c r="F555" s="500"/>
      <c r="G555" s="500"/>
    </row>
    <row r="556" spans="1:7" ht="14.25" customHeight="1" x14ac:dyDescent="0.25">
      <c r="A556" s="500"/>
      <c r="B556" s="505" t="s">
        <v>682</v>
      </c>
      <c r="C556" s="505" t="s">
        <v>267</v>
      </c>
      <c r="D556" s="505" t="s">
        <v>526</v>
      </c>
      <c r="E556" s="505" t="s">
        <v>239</v>
      </c>
      <c r="F556" s="500"/>
      <c r="G556" s="500"/>
    </row>
    <row r="557" spans="1:7" ht="14.25" customHeight="1" x14ac:dyDescent="0.25">
      <c r="A557" s="500"/>
      <c r="B557" s="500"/>
      <c r="C557" s="500"/>
      <c r="D557" s="500"/>
      <c r="E557" s="500"/>
      <c r="F557" s="500"/>
      <c r="G557" s="500"/>
    </row>
    <row r="558" spans="1:7" ht="14.25" customHeight="1" x14ac:dyDescent="0.25">
      <c r="A558" s="500"/>
      <c r="B558" s="496" t="s">
        <v>683</v>
      </c>
      <c r="C558" s="496" t="s">
        <v>378</v>
      </c>
      <c r="D558" s="496" t="s">
        <v>379</v>
      </c>
      <c r="E558" s="496" t="s">
        <v>50</v>
      </c>
      <c r="F558" s="500"/>
      <c r="G558" s="500"/>
    </row>
    <row r="559" spans="1:7" ht="14.25" customHeight="1" x14ac:dyDescent="0.25">
      <c r="A559" s="500"/>
      <c r="B559" s="496" t="s">
        <v>684</v>
      </c>
      <c r="C559" s="496" t="s">
        <v>409</v>
      </c>
      <c r="D559" s="496" t="s">
        <v>410</v>
      </c>
      <c r="E559" s="496" t="s">
        <v>177</v>
      </c>
      <c r="F559" s="500"/>
      <c r="G559" s="500"/>
    </row>
    <row r="560" spans="1:7" ht="14.25" customHeight="1" x14ac:dyDescent="0.25">
      <c r="A560" s="500"/>
      <c r="B560" s="496" t="s">
        <v>685</v>
      </c>
      <c r="C560" s="496" t="s">
        <v>411</v>
      </c>
      <c r="D560" s="496" t="s">
        <v>530</v>
      </c>
      <c r="E560" s="514" t="s">
        <v>725</v>
      </c>
      <c r="F560" s="500"/>
      <c r="G560" s="500"/>
    </row>
    <row r="561" spans="1:7" ht="14.25" customHeight="1" x14ac:dyDescent="0.25">
      <c r="A561" s="500"/>
      <c r="B561" s="496" t="s">
        <v>702</v>
      </c>
      <c r="C561" s="496" t="s">
        <v>151</v>
      </c>
      <c r="D561" s="496" t="s">
        <v>412</v>
      </c>
      <c r="E561" s="514" t="s">
        <v>1712</v>
      </c>
      <c r="F561" s="500"/>
      <c r="G561" s="500"/>
    </row>
    <row r="562" spans="1:7" ht="14.25" customHeight="1" x14ac:dyDescent="0.25">
      <c r="A562" s="500"/>
      <c r="B562" s="496" t="s">
        <v>1822</v>
      </c>
      <c r="C562" s="496" t="s">
        <v>348</v>
      </c>
      <c r="D562" s="496" t="s">
        <v>349</v>
      </c>
      <c r="E562" s="514" t="s">
        <v>347</v>
      </c>
      <c r="F562" s="500"/>
      <c r="G562" s="500"/>
    </row>
    <row r="563" spans="1:7" ht="14.25" customHeight="1" x14ac:dyDescent="0.25">
      <c r="A563" s="500"/>
      <c r="B563" s="496" t="s">
        <v>2066</v>
      </c>
      <c r="C563" s="514" t="s">
        <v>1711</v>
      </c>
      <c r="D563" s="496" t="s">
        <v>350</v>
      </c>
      <c r="E563" s="514" t="s">
        <v>84</v>
      </c>
      <c r="F563" s="500"/>
      <c r="G563" s="500"/>
    </row>
    <row r="564" spans="1:7" ht="14.25" customHeight="1" x14ac:dyDescent="0.25">
      <c r="A564" s="500"/>
      <c r="B564" s="496" t="s">
        <v>2067</v>
      </c>
      <c r="C564" s="496" t="s">
        <v>76</v>
      </c>
      <c r="D564" s="496" t="s">
        <v>76</v>
      </c>
      <c r="E564" s="514" t="s">
        <v>85</v>
      </c>
      <c r="F564" s="500"/>
      <c r="G564" s="500"/>
    </row>
    <row r="565" spans="1:7" ht="14.25" customHeight="1" x14ac:dyDescent="0.25">
      <c r="A565" s="500"/>
      <c r="B565" s="496" t="s">
        <v>2068</v>
      </c>
      <c r="C565" s="496" t="s">
        <v>413</v>
      </c>
      <c r="D565" s="496" t="s">
        <v>414</v>
      </c>
      <c r="E565" s="514" t="s">
        <v>1713</v>
      </c>
      <c r="F565" s="500"/>
      <c r="G565" s="500"/>
    </row>
    <row r="566" spans="1:7" ht="14.25" customHeight="1" x14ac:dyDescent="0.25">
      <c r="A566" s="500"/>
      <c r="B566" s="496" t="s">
        <v>2069</v>
      </c>
      <c r="C566" s="496" t="s">
        <v>415</v>
      </c>
      <c r="D566" s="674" t="s">
        <v>552</v>
      </c>
      <c r="E566" s="496" t="s">
        <v>416</v>
      </c>
      <c r="F566" s="500"/>
      <c r="G566" s="500"/>
    </row>
    <row r="567" spans="1:7" ht="14.25" customHeight="1" x14ac:dyDescent="0.25">
      <c r="A567" s="500"/>
      <c r="B567" s="496" t="s">
        <v>4545</v>
      </c>
      <c r="C567" s="656" t="s">
        <v>2757</v>
      </c>
      <c r="D567" s="781" t="s">
        <v>2744</v>
      </c>
      <c r="E567" s="656" t="s">
        <v>2758</v>
      </c>
      <c r="F567" s="500"/>
      <c r="G567" s="500"/>
    </row>
    <row r="568" spans="1:7" ht="14.25" customHeight="1" x14ac:dyDescent="0.25">
      <c r="A568" s="500"/>
      <c r="B568" s="496" t="s">
        <v>4546</v>
      </c>
      <c r="C568" s="508" t="s">
        <v>179</v>
      </c>
      <c r="D568" s="656" t="s">
        <v>2314</v>
      </c>
      <c r="E568" s="656" t="s">
        <v>2315</v>
      </c>
      <c r="F568" s="500"/>
      <c r="G568" s="500"/>
    </row>
    <row r="569" spans="1:7" ht="14.25" customHeight="1" x14ac:dyDescent="0.25">
      <c r="A569" s="500"/>
      <c r="B569" s="1228" t="s">
        <v>4668</v>
      </c>
      <c r="C569" s="1085" t="s">
        <v>3515</v>
      </c>
      <c r="D569" s="1085" t="s">
        <v>3516</v>
      </c>
      <c r="E569" s="1085" t="s">
        <v>3516</v>
      </c>
      <c r="F569" s="500"/>
      <c r="G569" s="500"/>
    </row>
    <row r="570" spans="1:7" ht="14.25" customHeight="1" x14ac:dyDescent="0.25">
      <c r="A570" s="500"/>
      <c r="B570" s="1227" t="s">
        <v>4669</v>
      </c>
      <c r="C570" s="656" t="s">
        <v>3520</v>
      </c>
      <c r="D570" s="656" t="s">
        <v>3517</v>
      </c>
      <c r="E570" s="656" t="s">
        <v>3521</v>
      </c>
      <c r="F570" s="500"/>
      <c r="G570" s="500"/>
    </row>
    <row r="571" spans="1:7" ht="14.25" customHeight="1" x14ac:dyDescent="0.25">
      <c r="A571" s="500"/>
      <c r="B571" s="1231"/>
      <c r="C571" s="1177"/>
      <c r="D571" s="1177"/>
      <c r="E571" s="1177"/>
      <c r="F571" s="500"/>
      <c r="G571" s="500"/>
    </row>
    <row r="572" spans="1:7" ht="14.25" customHeight="1" x14ac:dyDescent="0.25">
      <c r="A572" s="500"/>
      <c r="B572" s="511"/>
      <c r="C572" s="518"/>
      <c r="D572" s="1229"/>
      <c r="E572" s="1229"/>
      <c r="F572" s="500"/>
      <c r="G572" s="500"/>
    </row>
    <row r="573" spans="1:7" ht="14.25" customHeight="1" x14ac:dyDescent="0.25">
      <c r="A573" s="500"/>
      <c r="B573" s="505" t="s">
        <v>1823</v>
      </c>
      <c r="C573" s="505" t="s">
        <v>3534</v>
      </c>
      <c r="D573" s="505" t="s">
        <v>3819</v>
      </c>
      <c r="E573" s="505" t="s">
        <v>3817</v>
      </c>
      <c r="G573" s="500"/>
    </row>
    <row r="574" spans="1:7" ht="14.25" customHeight="1" x14ac:dyDescent="0.25">
      <c r="A574" s="500"/>
      <c r="B574" s="500"/>
      <c r="C574" s="500"/>
      <c r="D574" s="500"/>
      <c r="E574" s="500"/>
      <c r="G574" s="500"/>
    </row>
    <row r="575" spans="1:7" ht="14.25" customHeight="1" x14ac:dyDescent="0.25">
      <c r="A575" s="500"/>
      <c r="B575" s="906" t="s">
        <v>1824</v>
      </c>
      <c r="C575" s="497" t="s">
        <v>3535</v>
      </c>
      <c r="D575" s="1126" t="s">
        <v>3820</v>
      </c>
      <c r="E575" s="1127" t="s">
        <v>3820</v>
      </c>
      <c r="G575" s="500"/>
    </row>
    <row r="576" spans="1:7" ht="14.25" customHeight="1" x14ac:dyDescent="0.25">
      <c r="A576" s="500"/>
      <c r="B576" s="906" t="s">
        <v>1825</v>
      </c>
      <c r="C576" s="497" t="s">
        <v>3536</v>
      </c>
      <c r="D576" s="1126" t="s">
        <v>3856</v>
      </c>
      <c r="E576" s="1128" t="s">
        <v>3821</v>
      </c>
      <c r="G576" s="500"/>
    </row>
    <row r="577" spans="1:7" ht="14.25" customHeight="1" x14ac:dyDescent="0.25">
      <c r="A577" s="500"/>
      <c r="B577" s="906" t="s">
        <v>1826</v>
      </c>
      <c r="C577" s="1018" t="s">
        <v>3830</v>
      </c>
      <c r="D577" s="1126" t="s">
        <v>3852</v>
      </c>
      <c r="E577" s="1128" t="s">
        <v>3831</v>
      </c>
      <c r="G577" s="500"/>
    </row>
    <row r="578" spans="1:7" ht="14.25" customHeight="1" x14ac:dyDescent="0.25">
      <c r="A578" s="500"/>
      <c r="B578" s="906" t="s">
        <v>1827</v>
      </c>
      <c r="C578" s="497" t="s">
        <v>3537</v>
      </c>
      <c r="D578" s="1126" t="s">
        <v>3853</v>
      </c>
      <c r="E578" s="1128" t="s">
        <v>3823</v>
      </c>
      <c r="G578" s="500"/>
    </row>
    <row r="579" spans="1:7" ht="14.25" customHeight="1" x14ac:dyDescent="0.25">
      <c r="A579" s="500"/>
      <c r="B579" s="906" t="s">
        <v>1828</v>
      </c>
      <c r="C579" s="1018" t="s">
        <v>3538</v>
      </c>
      <c r="D579" s="1129" t="s">
        <v>3851</v>
      </c>
      <c r="E579" s="1130" t="s">
        <v>3824</v>
      </c>
      <c r="G579" s="500"/>
    </row>
    <row r="580" spans="1:7" ht="14.25" customHeight="1" x14ac:dyDescent="0.25">
      <c r="A580" s="500"/>
      <c r="B580" s="906" t="s">
        <v>1829</v>
      </c>
      <c r="C580" s="497" t="s">
        <v>3785</v>
      </c>
      <c r="D580" s="1126" t="s">
        <v>3861</v>
      </c>
      <c r="E580" s="1128" t="s">
        <v>3847</v>
      </c>
      <c r="G580" s="500"/>
    </row>
    <row r="581" spans="1:7" ht="14.25" customHeight="1" x14ac:dyDescent="0.25">
      <c r="A581" s="500"/>
      <c r="B581" s="906" t="s">
        <v>1830</v>
      </c>
      <c r="C581" s="1018" t="s">
        <v>3539</v>
      </c>
      <c r="D581" s="1126" t="s">
        <v>3854</v>
      </c>
      <c r="E581" s="1130" t="s">
        <v>3825</v>
      </c>
      <c r="G581" s="500"/>
    </row>
    <row r="582" spans="1:7" ht="14.25" customHeight="1" x14ac:dyDescent="0.25">
      <c r="A582" s="500"/>
      <c r="B582" s="906" t="s">
        <v>1982</v>
      </c>
      <c r="C582" s="1018" t="s">
        <v>124</v>
      </c>
      <c r="D582" s="1131" t="s">
        <v>592</v>
      </c>
      <c r="E582" s="1131" t="s">
        <v>3868</v>
      </c>
      <c r="G582" s="500"/>
    </row>
    <row r="583" spans="1:7" ht="14.25" customHeight="1" x14ac:dyDescent="0.25">
      <c r="A583" s="500"/>
      <c r="B583" s="1123" t="s">
        <v>1983</v>
      </c>
      <c r="C583" s="1123" t="s">
        <v>3835</v>
      </c>
      <c r="D583" s="1132" t="s">
        <v>3835</v>
      </c>
      <c r="E583" s="1133" t="s">
        <v>3836</v>
      </c>
      <c r="F583" s="1124"/>
      <c r="G583" s="500"/>
    </row>
    <row r="584" spans="1:7" ht="14.25" customHeight="1" x14ac:dyDescent="0.25">
      <c r="A584" s="500"/>
      <c r="B584" s="1029" t="s">
        <v>1984</v>
      </c>
      <c r="C584" s="1029" t="s">
        <v>3540</v>
      </c>
      <c r="D584" s="1134" t="s">
        <v>3855</v>
      </c>
      <c r="E584" s="1135" t="s">
        <v>3826</v>
      </c>
      <c r="G584" s="500"/>
    </row>
    <row r="585" spans="1:7" ht="14.25" customHeight="1" x14ac:dyDescent="0.25">
      <c r="A585" s="500"/>
      <c r="B585" s="1029" t="s">
        <v>1985</v>
      </c>
      <c r="C585" s="1029" t="s">
        <v>3758</v>
      </c>
      <c r="D585" s="1136" t="s">
        <v>3758</v>
      </c>
      <c r="E585" s="1136" t="s">
        <v>3758</v>
      </c>
      <c r="G585" s="500"/>
    </row>
    <row r="586" spans="1:7" ht="14.25" customHeight="1" x14ac:dyDescent="0.25">
      <c r="A586" s="500"/>
      <c r="B586" s="1029" t="s">
        <v>1986</v>
      </c>
      <c r="C586" s="1029" t="s">
        <v>3759</v>
      </c>
      <c r="D586" s="1136" t="s">
        <v>3759</v>
      </c>
      <c r="E586" s="1136" t="s">
        <v>3759</v>
      </c>
      <c r="G586" s="500"/>
    </row>
    <row r="587" spans="1:7" ht="14.25" customHeight="1" x14ac:dyDescent="0.25">
      <c r="A587" s="500"/>
      <c r="B587" s="1029" t="s">
        <v>1987</v>
      </c>
      <c r="C587" s="1029" t="s">
        <v>3541</v>
      </c>
      <c r="D587" s="1135" t="s">
        <v>3822</v>
      </c>
      <c r="E587" s="1135" t="s">
        <v>3827</v>
      </c>
      <c r="G587" s="500"/>
    </row>
    <row r="588" spans="1:7" ht="14.25" customHeight="1" x14ac:dyDescent="0.25">
      <c r="A588" s="500"/>
      <c r="B588" s="1029" t="s">
        <v>1988</v>
      </c>
      <c r="C588" s="1137" t="s">
        <v>3873</v>
      </c>
      <c r="D588" s="1138" t="s">
        <v>3874</v>
      </c>
      <c r="E588" s="1138" t="s">
        <v>3875</v>
      </c>
      <c r="G588" s="500"/>
    </row>
    <row r="589" spans="1:7" ht="14.25" customHeight="1" x14ac:dyDescent="0.25">
      <c r="A589" s="500"/>
      <c r="B589" s="1029" t="s">
        <v>4547</v>
      </c>
      <c r="C589" s="1029" t="s">
        <v>3542</v>
      </c>
      <c r="D589" s="1136" t="s">
        <v>3828</v>
      </c>
      <c r="E589" s="1136" t="s">
        <v>3838</v>
      </c>
      <c r="G589" s="500"/>
    </row>
    <row r="590" spans="1:7" ht="14.25" customHeight="1" x14ac:dyDescent="0.25">
      <c r="A590" s="500"/>
      <c r="B590" s="1029" t="s">
        <v>4548</v>
      </c>
      <c r="C590" s="1029" t="s">
        <v>3829</v>
      </c>
      <c r="D590" s="1131" t="s">
        <v>3872</v>
      </c>
      <c r="E590" s="1136" t="s">
        <v>3840</v>
      </c>
      <c r="G590" s="500"/>
    </row>
    <row r="591" spans="1:7" ht="14.25" customHeight="1" x14ac:dyDescent="0.25">
      <c r="A591" s="500"/>
      <c r="B591" s="1029" t="s">
        <v>4549</v>
      </c>
      <c r="C591" s="1029" t="s">
        <v>3543</v>
      </c>
      <c r="D591" s="1136" t="s">
        <v>3839</v>
      </c>
      <c r="E591" s="1136" t="s">
        <v>3841</v>
      </c>
      <c r="G591" s="500"/>
    </row>
    <row r="592" spans="1:7" ht="14.25" customHeight="1" x14ac:dyDescent="0.25">
      <c r="A592" s="500"/>
      <c r="B592" s="1029" t="s">
        <v>4550</v>
      </c>
      <c r="C592" s="1029" t="s">
        <v>3544</v>
      </c>
      <c r="D592" s="1136" t="s">
        <v>3832</v>
      </c>
      <c r="E592" s="1136" t="s">
        <v>3842</v>
      </c>
      <c r="G592" s="500"/>
    </row>
    <row r="593" spans="1:7" ht="14.25" customHeight="1" x14ac:dyDescent="0.25">
      <c r="A593" s="500"/>
      <c r="B593" s="1029" t="s">
        <v>4551</v>
      </c>
      <c r="C593" s="1125" t="s">
        <v>3857</v>
      </c>
      <c r="D593" s="1126" t="s">
        <v>3858</v>
      </c>
      <c r="E593" s="1126" t="s">
        <v>3859</v>
      </c>
      <c r="G593" s="500"/>
    </row>
    <row r="594" spans="1:7" ht="14.25" customHeight="1" x14ac:dyDescent="0.25">
      <c r="A594" s="500"/>
      <c r="B594" s="1029" t="s">
        <v>4552</v>
      </c>
      <c r="C594" s="1125" t="s">
        <v>3863</v>
      </c>
      <c r="D594" s="1126" t="s">
        <v>3862</v>
      </c>
      <c r="E594" s="1126" t="s">
        <v>3860</v>
      </c>
      <c r="G594" s="500"/>
    </row>
    <row r="595" spans="1:7" ht="14.25" customHeight="1" x14ac:dyDescent="0.25">
      <c r="A595" s="500"/>
      <c r="B595" s="1029" t="s">
        <v>4553</v>
      </c>
      <c r="C595" s="1029" t="s">
        <v>3816</v>
      </c>
      <c r="D595" s="1084" t="s">
        <v>3833</v>
      </c>
      <c r="E595" s="1084" t="s">
        <v>3843</v>
      </c>
      <c r="G595" s="500"/>
    </row>
    <row r="596" spans="1:7" ht="14.25" customHeight="1" x14ac:dyDescent="0.25">
      <c r="A596" s="500"/>
      <c r="B596" s="1029" t="s">
        <v>4554</v>
      </c>
      <c r="C596" s="1125" t="s">
        <v>3834</v>
      </c>
      <c r="D596" s="1131" t="s">
        <v>3871</v>
      </c>
      <c r="E596" s="1136" t="s">
        <v>3844</v>
      </c>
      <c r="G596" s="500"/>
    </row>
    <row r="597" spans="1:7" ht="14.25" customHeight="1" x14ac:dyDescent="0.25">
      <c r="A597" s="500"/>
      <c r="B597" s="1029" t="s">
        <v>4555</v>
      </c>
      <c r="C597" s="1125" t="s">
        <v>3864</v>
      </c>
      <c r="D597" s="1131" t="s">
        <v>3870</v>
      </c>
      <c r="E597" s="1126" t="s">
        <v>3865</v>
      </c>
      <c r="G597" s="500"/>
    </row>
    <row r="598" spans="1:7" ht="14.25" customHeight="1" x14ac:dyDescent="0.25">
      <c r="A598" s="500"/>
      <c r="B598" s="1029" t="s">
        <v>4556</v>
      </c>
      <c r="C598" s="1029" t="s">
        <v>3763</v>
      </c>
      <c r="D598" s="1131" t="s">
        <v>3869</v>
      </c>
      <c r="E598" s="1136" t="s">
        <v>3845</v>
      </c>
      <c r="G598" s="500"/>
    </row>
    <row r="599" spans="1:7" ht="14.25" customHeight="1" x14ac:dyDescent="0.25">
      <c r="A599" s="500"/>
      <c r="B599" s="1029" t="s">
        <v>4557</v>
      </c>
      <c r="C599" s="1029" t="s">
        <v>3764</v>
      </c>
      <c r="D599" s="1136" t="s">
        <v>3837</v>
      </c>
      <c r="E599" s="1136" t="s">
        <v>3846</v>
      </c>
      <c r="G599" s="500"/>
    </row>
    <row r="600" spans="1:7" ht="14.25" customHeight="1" x14ac:dyDescent="0.25">
      <c r="A600" s="500"/>
      <c r="B600" s="1029" t="s">
        <v>4558</v>
      </c>
      <c r="C600" s="1125" t="s">
        <v>3866</v>
      </c>
      <c r="D600" s="1136" t="s">
        <v>3850</v>
      </c>
      <c r="E600" s="1126" t="s">
        <v>3867</v>
      </c>
      <c r="G600" s="500"/>
    </row>
    <row r="601" spans="1:7" ht="14.25" customHeight="1" x14ac:dyDescent="0.25">
      <c r="A601" s="500"/>
      <c r="B601" s="1182"/>
      <c r="C601" s="1230"/>
      <c r="D601" s="1231"/>
      <c r="E601" s="1232"/>
      <c r="G601" s="500"/>
    </row>
    <row r="602" spans="1:7" ht="14.25" customHeight="1" x14ac:dyDescent="0.25">
      <c r="A602" s="500"/>
      <c r="G602" s="500"/>
    </row>
    <row r="603" spans="1:7" ht="14.25" customHeight="1" x14ac:dyDescent="0.25">
      <c r="A603" s="500"/>
      <c r="B603" s="505" t="s">
        <v>695</v>
      </c>
      <c r="C603" s="505" t="s">
        <v>270</v>
      </c>
      <c r="D603" s="505" t="s">
        <v>343</v>
      </c>
      <c r="E603" s="505" t="s">
        <v>238</v>
      </c>
      <c r="F603" s="500"/>
      <c r="G603" s="500"/>
    </row>
    <row r="604" spans="1:7" ht="14.25" customHeight="1" x14ac:dyDescent="0.25">
      <c r="A604" s="500"/>
      <c r="B604" s="500"/>
      <c r="C604" s="500"/>
      <c r="D604" s="500"/>
      <c r="E604" s="500"/>
      <c r="F604" s="500"/>
      <c r="G604" s="500"/>
    </row>
    <row r="605" spans="1:7" ht="14.25" customHeight="1" x14ac:dyDescent="0.25">
      <c r="A605" s="500"/>
      <c r="B605" s="496" t="s">
        <v>696</v>
      </c>
      <c r="C605" s="496" t="s">
        <v>124</v>
      </c>
      <c r="D605" s="496" t="s">
        <v>592</v>
      </c>
      <c r="E605" s="496" t="s">
        <v>591</v>
      </c>
      <c r="F605" s="500"/>
      <c r="G605" s="500"/>
    </row>
    <row r="606" spans="1:7" ht="14.25" customHeight="1" x14ac:dyDescent="0.25">
      <c r="A606" s="500"/>
      <c r="B606" s="496" t="s">
        <v>697</v>
      </c>
      <c r="C606" s="496" t="s">
        <v>438</v>
      </c>
      <c r="D606" s="496" t="s">
        <v>360</v>
      </c>
      <c r="E606" s="496" t="s">
        <v>443</v>
      </c>
      <c r="F606" s="500"/>
      <c r="G606" s="500"/>
    </row>
    <row r="607" spans="1:7" ht="14.25" customHeight="1" x14ac:dyDescent="0.25">
      <c r="A607" s="500"/>
      <c r="B607" s="496" t="s">
        <v>698</v>
      </c>
      <c r="C607" s="496" t="s">
        <v>122</v>
      </c>
      <c r="D607" s="496" t="s">
        <v>122</v>
      </c>
      <c r="E607" s="496" t="s">
        <v>122</v>
      </c>
      <c r="F607" s="500"/>
      <c r="G607" s="500"/>
    </row>
    <row r="608" spans="1:7" ht="14.25" customHeight="1" x14ac:dyDescent="0.25">
      <c r="A608" s="500"/>
      <c r="B608" s="496" t="s">
        <v>699</v>
      </c>
      <c r="C608" s="496" t="s">
        <v>440</v>
      </c>
      <c r="D608" s="496" t="s">
        <v>418</v>
      </c>
      <c r="E608" s="496" t="s">
        <v>445</v>
      </c>
      <c r="F608" s="500"/>
      <c r="G608" s="500"/>
    </row>
    <row r="609" spans="1:7" ht="14.25" customHeight="1" x14ac:dyDescent="0.25">
      <c r="A609" s="500"/>
      <c r="B609" s="496" t="s">
        <v>700</v>
      </c>
      <c r="C609" s="496" t="s">
        <v>594</v>
      </c>
      <c r="D609" s="496" t="s">
        <v>595</v>
      </c>
      <c r="E609" s="496" t="s">
        <v>593</v>
      </c>
      <c r="F609" s="500"/>
      <c r="G609" s="500"/>
    </row>
    <row r="610" spans="1:7" ht="14.25" customHeight="1" x14ac:dyDescent="0.25">
      <c r="A610" s="500"/>
      <c r="B610" s="496" t="s">
        <v>701</v>
      </c>
      <c r="C610" s="496" t="s">
        <v>439</v>
      </c>
      <c r="D610" s="496" t="s">
        <v>417</v>
      </c>
      <c r="E610" s="496" t="s">
        <v>444</v>
      </c>
      <c r="F610" s="500"/>
      <c r="G610" s="500"/>
    </row>
    <row r="611" spans="1:7" ht="14.25" customHeight="1" x14ac:dyDescent="0.25">
      <c r="A611" s="500"/>
      <c r="B611" s="496" t="s">
        <v>1990</v>
      </c>
      <c r="C611" s="496" t="s">
        <v>123</v>
      </c>
      <c r="D611" s="496" t="s">
        <v>597</v>
      </c>
      <c r="E611" s="496" t="s">
        <v>596</v>
      </c>
      <c r="F611" s="500"/>
      <c r="G611" s="500"/>
    </row>
    <row r="612" spans="1:7" ht="14.25" customHeight="1" x14ac:dyDescent="0.25">
      <c r="A612" s="500"/>
      <c r="B612" s="496" t="s">
        <v>1991</v>
      </c>
      <c r="C612" s="496" t="s">
        <v>257</v>
      </c>
      <c r="D612" s="496" t="s">
        <v>599</v>
      </c>
      <c r="E612" s="496" t="s">
        <v>598</v>
      </c>
      <c r="F612" s="500"/>
      <c r="G612" s="500"/>
    </row>
    <row r="613" spans="1:7" ht="14.25" customHeight="1" x14ac:dyDescent="0.25">
      <c r="A613" s="500"/>
      <c r="B613" s="496" t="s">
        <v>1992</v>
      </c>
      <c r="C613" s="496" t="s">
        <v>441</v>
      </c>
      <c r="D613" s="496" t="s">
        <v>419</v>
      </c>
      <c r="E613" s="496" t="s">
        <v>532</v>
      </c>
      <c r="F613" s="500"/>
      <c r="G613" s="500"/>
    </row>
    <row r="614" spans="1:7" ht="14.25" customHeight="1" x14ac:dyDescent="0.25">
      <c r="A614" s="500"/>
      <c r="B614" s="496"/>
      <c r="C614" s="496"/>
      <c r="D614" s="496"/>
      <c r="E614" s="496"/>
      <c r="F614" s="500"/>
      <c r="G614" s="500"/>
    </row>
    <row r="615" spans="1:7" ht="14.25" customHeight="1" x14ac:dyDescent="0.25">
      <c r="A615" s="500"/>
      <c r="B615" s="496" t="s">
        <v>1993</v>
      </c>
      <c r="C615" s="496" t="s">
        <v>738</v>
      </c>
      <c r="D615" s="496" t="s">
        <v>737</v>
      </c>
      <c r="E615" s="496" t="s">
        <v>537</v>
      </c>
      <c r="F615" s="500"/>
      <c r="G615" s="500"/>
    </row>
    <row r="616" spans="1:7" ht="14.25" customHeight="1" x14ac:dyDescent="0.25">
      <c r="A616" s="500"/>
      <c r="B616" s="496" t="s">
        <v>1994</v>
      </c>
      <c r="C616" s="496" t="s">
        <v>126</v>
      </c>
      <c r="D616" s="496" t="s">
        <v>420</v>
      </c>
      <c r="E616" s="496" t="s">
        <v>446</v>
      </c>
      <c r="F616" s="500"/>
      <c r="G616" s="500"/>
    </row>
    <row r="617" spans="1:7" ht="14.25" customHeight="1" x14ac:dyDescent="0.25">
      <c r="A617" s="500"/>
      <c r="B617" s="496" t="s">
        <v>1995</v>
      </c>
      <c r="C617" s="522" t="s">
        <v>773</v>
      </c>
      <c r="D617" s="522" t="s">
        <v>774</v>
      </c>
      <c r="E617" s="522" t="s">
        <v>775</v>
      </c>
      <c r="F617" s="500"/>
      <c r="G617" s="500"/>
    </row>
    <row r="618" spans="1:7" ht="14.25" customHeight="1" x14ac:dyDescent="0.25">
      <c r="A618" s="500"/>
      <c r="B618" s="496" t="s">
        <v>4559</v>
      </c>
      <c r="C618" s="496" t="s">
        <v>132</v>
      </c>
      <c r="D618" s="496" t="s">
        <v>421</v>
      </c>
      <c r="E618" s="496" t="s">
        <v>447</v>
      </c>
      <c r="F618" s="500"/>
      <c r="G618" s="500"/>
    </row>
    <row r="619" spans="1:7" ht="14.25" customHeight="1" x14ac:dyDescent="0.25">
      <c r="A619" s="500"/>
      <c r="B619" s="496" t="s">
        <v>4560</v>
      </c>
      <c r="C619" s="496" t="s">
        <v>728</v>
      </c>
      <c r="D619" s="496" t="s">
        <v>422</v>
      </c>
      <c r="E619" s="496" t="s">
        <v>745</v>
      </c>
      <c r="F619" s="500"/>
      <c r="G619" s="500"/>
    </row>
    <row r="620" spans="1:7" ht="14.25" customHeight="1" x14ac:dyDescent="0.25">
      <c r="A620" s="500"/>
      <c r="B620" s="496" t="s">
        <v>4561</v>
      </c>
      <c r="C620" s="496" t="s">
        <v>135</v>
      </c>
      <c r="D620" s="496" t="s">
        <v>423</v>
      </c>
      <c r="E620" s="496" t="s">
        <v>746</v>
      </c>
      <c r="F620" s="500"/>
      <c r="G620" s="500"/>
    </row>
    <row r="621" spans="1:7" ht="14.25" customHeight="1" x14ac:dyDescent="0.25">
      <c r="A621" s="500"/>
      <c r="B621" s="496" t="s">
        <v>4562</v>
      </c>
      <c r="C621" s="496" t="s">
        <v>294</v>
      </c>
      <c r="D621" s="496" t="s">
        <v>424</v>
      </c>
      <c r="E621" s="496" t="s">
        <v>448</v>
      </c>
      <c r="F621" s="500"/>
      <c r="G621" s="500"/>
    </row>
    <row r="622" spans="1:7" ht="14.25" customHeight="1" x14ac:dyDescent="0.25">
      <c r="A622" s="500"/>
      <c r="B622" s="496" t="s">
        <v>4563</v>
      </c>
      <c r="C622" s="496" t="s">
        <v>137</v>
      </c>
      <c r="D622" s="496" t="s">
        <v>736</v>
      </c>
      <c r="E622" s="496" t="s">
        <v>449</v>
      </c>
      <c r="F622" s="500"/>
      <c r="G622" s="500"/>
    </row>
    <row r="623" spans="1:7" ht="14.25" customHeight="1" x14ac:dyDescent="0.25">
      <c r="A623" s="500"/>
      <c r="B623" s="496" t="s">
        <v>4564</v>
      </c>
      <c r="C623" s="522" t="s">
        <v>776</v>
      </c>
      <c r="D623" s="496" t="s">
        <v>729</v>
      </c>
      <c r="E623" s="496" t="s">
        <v>450</v>
      </c>
      <c r="F623" s="500"/>
      <c r="G623" s="500"/>
    </row>
    <row r="624" spans="1:7" ht="14.25" customHeight="1" x14ac:dyDescent="0.25">
      <c r="A624" s="500"/>
      <c r="B624" s="496" t="s">
        <v>4565</v>
      </c>
      <c r="C624" s="496" t="s">
        <v>295</v>
      </c>
      <c r="D624" s="496" t="s">
        <v>425</v>
      </c>
      <c r="E624" s="496" t="s">
        <v>451</v>
      </c>
      <c r="F624" s="500"/>
      <c r="G624" s="500"/>
    </row>
    <row r="625" spans="1:7" ht="14.25" customHeight="1" x14ac:dyDescent="0.25">
      <c r="A625" s="500"/>
      <c r="B625" s="496" t="s">
        <v>4566</v>
      </c>
      <c r="C625" s="496" t="s">
        <v>442</v>
      </c>
      <c r="D625" s="496" t="s">
        <v>426</v>
      </c>
      <c r="E625" s="496" t="s">
        <v>452</v>
      </c>
      <c r="F625" s="500"/>
      <c r="G625" s="500"/>
    </row>
    <row r="626" spans="1:7" ht="14.25" customHeight="1" x14ac:dyDescent="0.25">
      <c r="A626" s="500"/>
      <c r="B626" s="496" t="s">
        <v>4567</v>
      </c>
      <c r="C626" s="496" t="s">
        <v>141</v>
      </c>
      <c r="D626" s="496" t="s">
        <v>540</v>
      </c>
      <c r="E626" s="496" t="s">
        <v>541</v>
      </c>
      <c r="F626" s="500"/>
      <c r="G626" s="500"/>
    </row>
    <row r="627" spans="1:7" ht="14.25" customHeight="1" x14ac:dyDescent="0.25">
      <c r="A627" s="500"/>
      <c r="B627" s="496" t="s">
        <v>4568</v>
      </c>
      <c r="C627" s="496" t="s">
        <v>296</v>
      </c>
      <c r="D627" s="496" t="s">
        <v>427</v>
      </c>
      <c r="E627" s="496" t="s">
        <v>453</v>
      </c>
      <c r="F627" s="500"/>
      <c r="G627" s="500"/>
    </row>
    <row r="628" spans="1:7" ht="14.25" customHeight="1" x14ac:dyDescent="0.25">
      <c r="A628" s="500"/>
      <c r="B628" s="496" t="s">
        <v>4569</v>
      </c>
      <c r="C628" s="496" t="s">
        <v>739</v>
      </c>
      <c r="D628" s="496" t="s">
        <v>730</v>
      </c>
      <c r="E628" s="496" t="s">
        <v>731</v>
      </c>
      <c r="F628" s="500"/>
      <c r="G628" s="500"/>
    </row>
    <row r="629" spans="1:7" ht="14.25" customHeight="1" x14ac:dyDescent="0.25">
      <c r="A629" s="500"/>
      <c r="B629" s="496" t="s">
        <v>4570</v>
      </c>
      <c r="C629" s="496" t="s">
        <v>144</v>
      </c>
      <c r="D629" s="496" t="s">
        <v>732</v>
      </c>
      <c r="E629" s="496" t="s">
        <v>454</v>
      </c>
      <c r="F629" s="500"/>
      <c r="G629" s="500"/>
    </row>
    <row r="630" spans="1:7" ht="14.25" customHeight="1" x14ac:dyDescent="0.25">
      <c r="A630" s="500"/>
      <c r="B630" s="508" t="s">
        <v>4571</v>
      </c>
      <c r="C630" s="496" t="s">
        <v>146</v>
      </c>
      <c r="D630" s="496" t="s">
        <v>534</v>
      </c>
      <c r="E630" s="496" t="s">
        <v>747</v>
      </c>
      <c r="F630" s="500"/>
      <c r="G630" s="500"/>
    </row>
    <row r="631" spans="1:7" ht="14.25" customHeight="1" x14ac:dyDescent="0.25">
      <c r="A631" s="500"/>
      <c r="B631" s="508" t="s">
        <v>4572</v>
      </c>
      <c r="C631" s="508" t="s">
        <v>777</v>
      </c>
      <c r="D631" s="508" t="s">
        <v>574</v>
      </c>
      <c r="E631" s="508" t="s">
        <v>778</v>
      </c>
      <c r="F631" s="500"/>
      <c r="G631" s="500"/>
    </row>
    <row r="632" spans="1:7" ht="14.25" customHeight="1" x14ac:dyDescent="0.25">
      <c r="A632" s="500"/>
      <c r="B632" s="496" t="s">
        <v>4573</v>
      </c>
      <c r="C632" s="508" t="s">
        <v>149</v>
      </c>
      <c r="D632" s="508" t="s">
        <v>575</v>
      </c>
      <c r="E632" s="508" t="s">
        <v>748</v>
      </c>
      <c r="F632" s="500"/>
      <c r="G632" s="500"/>
    </row>
    <row r="633" spans="1:7" ht="14.25" customHeight="1" x14ac:dyDescent="0.25">
      <c r="A633" s="500"/>
      <c r="B633" s="496" t="s">
        <v>4574</v>
      </c>
      <c r="C633" s="496" t="s">
        <v>151</v>
      </c>
      <c r="D633" s="496" t="s">
        <v>412</v>
      </c>
      <c r="E633" s="496" t="s">
        <v>455</v>
      </c>
      <c r="F633" s="500"/>
      <c r="G633" s="500"/>
    </row>
    <row r="634" spans="1:7" ht="14.25" customHeight="1" x14ac:dyDescent="0.25">
      <c r="A634" s="500"/>
      <c r="B634" s="496" t="s">
        <v>4575</v>
      </c>
      <c r="C634" s="538" t="s">
        <v>1918</v>
      </c>
      <c r="D634" s="538" t="s">
        <v>1919</v>
      </c>
      <c r="E634" s="538" t="s">
        <v>1920</v>
      </c>
      <c r="F634" s="500"/>
      <c r="G634" s="500"/>
    </row>
    <row r="635" spans="1:7" ht="14.25" customHeight="1" x14ac:dyDescent="0.25">
      <c r="A635" s="500"/>
      <c r="B635" s="496" t="s">
        <v>4576</v>
      </c>
      <c r="C635" s="496" t="s">
        <v>153</v>
      </c>
      <c r="D635" s="496" t="s">
        <v>428</v>
      </c>
      <c r="E635" s="496" t="s">
        <v>456</v>
      </c>
      <c r="F635" s="500"/>
      <c r="G635" s="500"/>
    </row>
    <row r="636" spans="1:7" ht="14.25" customHeight="1" x14ac:dyDescent="0.25">
      <c r="A636" s="500"/>
      <c r="B636" s="496" t="s">
        <v>4577</v>
      </c>
      <c r="C636" s="496" t="s">
        <v>156</v>
      </c>
      <c r="D636" s="496" t="s">
        <v>535</v>
      </c>
      <c r="E636" s="496" t="s">
        <v>533</v>
      </c>
      <c r="F636" s="500"/>
      <c r="G636" s="500"/>
    </row>
    <row r="637" spans="1:7" ht="14.25" customHeight="1" x14ac:dyDescent="0.25">
      <c r="A637" s="500"/>
      <c r="B637" s="496"/>
      <c r="C637" s="496"/>
      <c r="D637" s="496"/>
      <c r="E637" s="496"/>
      <c r="F637" s="500"/>
      <c r="G637" s="500"/>
    </row>
    <row r="638" spans="1:7" ht="14.25" customHeight="1" x14ac:dyDescent="0.25">
      <c r="A638" s="500"/>
      <c r="B638" s="496" t="s">
        <v>4578</v>
      </c>
      <c r="C638" s="496" t="s">
        <v>536</v>
      </c>
      <c r="D638" s="496" t="s">
        <v>538</v>
      </c>
      <c r="E638" s="496" t="s">
        <v>749</v>
      </c>
      <c r="F638" s="500"/>
      <c r="G638" s="500"/>
    </row>
    <row r="639" spans="1:7" ht="14.25" customHeight="1" x14ac:dyDescent="0.25">
      <c r="A639" s="500"/>
      <c r="B639" s="496" t="s">
        <v>4579</v>
      </c>
      <c r="C639" s="496" t="s">
        <v>740</v>
      </c>
      <c r="D639" s="496" t="s">
        <v>2204</v>
      </c>
      <c r="E639" s="496" t="s">
        <v>457</v>
      </c>
      <c r="F639" s="500"/>
      <c r="G639" s="500"/>
    </row>
    <row r="640" spans="1:7" ht="14.25" customHeight="1" x14ac:dyDescent="0.25">
      <c r="A640" s="500"/>
      <c r="B640" s="496" t="s">
        <v>4580</v>
      </c>
      <c r="C640" s="522" t="s">
        <v>779</v>
      </c>
      <c r="D640" s="522" t="s">
        <v>2205</v>
      </c>
      <c r="E640" s="522" t="s">
        <v>780</v>
      </c>
      <c r="F640" s="500"/>
      <c r="G640" s="500"/>
    </row>
    <row r="641" spans="1:7" ht="14.25" customHeight="1" x14ac:dyDescent="0.25">
      <c r="A641" s="500"/>
      <c r="B641" s="496" t="s">
        <v>4581</v>
      </c>
      <c r="C641" s="496" t="s">
        <v>741</v>
      </c>
      <c r="D641" s="496" t="s">
        <v>429</v>
      </c>
      <c r="E641" s="496" t="s">
        <v>458</v>
      </c>
      <c r="F641" s="500"/>
      <c r="G641" s="500"/>
    </row>
    <row r="642" spans="1:7" ht="14.25" customHeight="1" x14ac:dyDescent="0.25">
      <c r="A642" s="500"/>
      <c r="B642" s="496" t="s">
        <v>4582</v>
      </c>
      <c r="C642" s="496" t="s">
        <v>297</v>
      </c>
      <c r="D642" s="496" t="s">
        <v>430</v>
      </c>
      <c r="E642" s="523" t="s">
        <v>459</v>
      </c>
      <c r="F642" s="500"/>
      <c r="G642" s="500"/>
    </row>
    <row r="643" spans="1:7" ht="14.25" customHeight="1" x14ac:dyDescent="0.25">
      <c r="A643" s="500"/>
      <c r="B643" s="496" t="s">
        <v>4583</v>
      </c>
      <c r="C643" s="496" t="s">
        <v>160</v>
      </c>
      <c r="D643" s="496" t="s">
        <v>431</v>
      </c>
      <c r="E643" s="496" t="s">
        <v>460</v>
      </c>
      <c r="F643" s="500"/>
      <c r="G643" s="500"/>
    </row>
    <row r="644" spans="1:7" ht="14.25" customHeight="1" x14ac:dyDescent="0.25">
      <c r="A644" s="500"/>
      <c r="B644" s="496" t="s">
        <v>4584</v>
      </c>
      <c r="C644" s="524" t="s">
        <v>298</v>
      </c>
      <c r="D644" s="496" t="s">
        <v>432</v>
      </c>
      <c r="E644" s="496" t="s">
        <v>461</v>
      </c>
      <c r="F644" s="500"/>
      <c r="G644" s="500"/>
    </row>
    <row r="645" spans="1:7" ht="14.25" customHeight="1" x14ac:dyDescent="0.25">
      <c r="A645" s="500"/>
      <c r="B645" s="496" t="s">
        <v>4585</v>
      </c>
      <c r="C645" s="508" t="s">
        <v>162</v>
      </c>
      <c r="D645" s="496" t="s">
        <v>571</v>
      </c>
      <c r="E645" s="496" t="s">
        <v>572</v>
      </c>
      <c r="F645" s="500"/>
      <c r="G645" s="500"/>
    </row>
    <row r="646" spans="1:7" ht="14.25" customHeight="1" x14ac:dyDescent="0.25">
      <c r="A646" s="500"/>
      <c r="B646" s="496" t="s">
        <v>4586</v>
      </c>
      <c r="C646" s="508" t="s">
        <v>570</v>
      </c>
      <c r="D646" s="496" t="s">
        <v>2206</v>
      </c>
      <c r="E646" s="496" t="s">
        <v>573</v>
      </c>
      <c r="F646" s="500"/>
      <c r="G646" s="500"/>
    </row>
    <row r="647" spans="1:7" ht="14.25" customHeight="1" x14ac:dyDescent="0.25">
      <c r="A647" s="500"/>
      <c r="B647" s="496" t="s">
        <v>4587</v>
      </c>
      <c r="C647" s="496" t="s">
        <v>742</v>
      </c>
      <c r="D647" s="496" t="s">
        <v>2207</v>
      </c>
      <c r="E647" s="496" t="s">
        <v>539</v>
      </c>
      <c r="F647" s="500"/>
      <c r="G647" s="500"/>
    </row>
    <row r="648" spans="1:7" ht="14.25" customHeight="1" x14ac:dyDescent="0.25">
      <c r="A648" s="500"/>
      <c r="B648" s="496" t="s">
        <v>4588</v>
      </c>
      <c r="C648" s="496" t="s">
        <v>166</v>
      </c>
      <c r="D648" s="496" t="s">
        <v>433</v>
      </c>
      <c r="E648" s="496" t="s">
        <v>462</v>
      </c>
      <c r="F648" s="500"/>
      <c r="G648" s="500"/>
    </row>
    <row r="649" spans="1:7" ht="14.25" customHeight="1" x14ac:dyDescent="0.25">
      <c r="A649" s="500"/>
      <c r="B649" s="496" t="s">
        <v>4589</v>
      </c>
      <c r="C649" s="496" t="s">
        <v>299</v>
      </c>
      <c r="D649" s="496" t="s">
        <v>434</v>
      </c>
      <c r="E649" s="496" t="s">
        <v>463</v>
      </c>
      <c r="F649" s="500"/>
      <c r="G649" s="500"/>
    </row>
    <row r="650" spans="1:7" ht="14.25" customHeight="1" x14ac:dyDescent="0.25">
      <c r="A650" s="500"/>
      <c r="B650" s="496" t="s">
        <v>4590</v>
      </c>
      <c r="C650" s="522" t="s">
        <v>781</v>
      </c>
      <c r="D650" s="522" t="s">
        <v>782</v>
      </c>
      <c r="E650" s="522" t="s">
        <v>783</v>
      </c>
      <c r="F650" s="500"/>
      <c r="G650" s="500"/>
    </row>
    <row r="651" spans="1:7" ht="14.25" customHeight="1" x14ac:dyDescent="0.25">
      <c r="A651" s="500"/>
      <c r="B651" s="496" t="s">
        <v>4591</v>
      </c>
      <c r="C651" s="496" t="s">
        <v>743</v>
      </c>
      <c r="D651" s="496" t="s">
        <v>435</v>
      </c>
      <c r="E651" s="496" t="s">
        <v>464</v>
      </c>
      <c r="F651" s="500"/>
      <c r="G651" s="500"/>
    </row>
    <row r="652" spans="1:7" ht="14.25" customHeight="1" x14ac:dyDescent="0.25">
      <c r="A652" s="500"/>
      <c r="B652" s="496" t="s">
        <v>4592</v>
      </c>
      <c r="C652" s="496" t="s">
        <v>610</v>
      </c>
      <c r="D652" s="496" t="s">
        <v>611</v>
      </c>
      <c r="E652" s="496" t="s">
        <v>612</v>
      </c>
      <c r="F652" s="500"/>
      <c r="G652" s="500"/>
    </row>
    <row r="653" spans="1:7" ht="14.25" customHeight="1" x14ac:dyDescent="0.25">
      <c r="A653" s="500"/>
      <c r="B653" s="496" t="s">
        <v>4593</v>
      </c>
      <c r="C653" s="522" t="s">
        <v>784</v>
      </c>
      <c r="D653" s="522" t="s">
        <v>785</v>
      </c>
      <c r="E653" s="522" t="s">
        <v>786</v>
      </c>
      <c r="F653" s="500"/>
      <c r="G653" s="500"/>
    </row>
    <row r="654" spans="1:7" ht="14.25" customHeight="1" x14ac:dyDescent="0.25">
      <c r="A654" s="500"/>
      <c r="B654" s="496" t="s">
        <v>4594</v>
      </c>
      <c r="C654" s="522" t="s">
        <v>787</v>
      </c>
      <c r="D654" s="496" t="s">
        <v>735</v>
      </c>
      <c r="E654" s="496" t="s">
        <v>751</v>
      </c>
      <c r="F654" s="500"/>
      <c r="G654" s="500"/>
    </row>
    <row r="655" spans="1:7" ht="14.25" customHeight="1" x14ac:dyDescent="0.25">
      <c r="A655" s="500"/>
      <c r="B655" s="496" t="s">
        <v>4595</v>
      </c>
      <c r="C655" s="522" t="s">
        <v>788</v>
      </c>
      <c r="D655" s="496" t="s">
        <v>734</v>
      </c>
      <c r="E655" s="496" t="s">
        <v>750</v>
      </c>
      <c r="F655" s="500"/>
      <c r="G655" s="500"/>
    </row>
    <row r="656" spans="1:7" ht="14.25" customHeight="1" x14ac:dyDescent="0.25">
      <c r="A656" s="500"/>
      <c r="B656" s="496" t="s">
        <v>4596</v>
      </c>
      <c r="C656" s="496" t="s">
        <v>744</v>
      </c>
      <c r="D656" s="496" t="s">
        <v>436</v>
      </c>
      <c r="E656" s="496" t="s">
        <v>465</v>
      </c>
      <c r="F656" s="500"/>
      <c r="G656" s="500"/>
    </row>
    <row r="657" spans="1:7" ht="14.25" customHeight="1" x14ac:dyDescent="0.25">
      <c r="A657" s="500"/>
      <c r="B657" s="496" t="s">
        <v>4597</v>
      </c>
      <c r="C657" s="522" t="s">
        <v>789</v>
      </c>
      <c r="D657" s="522" t="s">
        <v>790</v>
      </c>
      <c r="E657" s="522" t="s">
        <v>791</v>
      </c>
      <c r="F657" s="500"/>
      <c r="G657" s="500"/>
    </row>
    <row r="658" spans="1:7" ht="14.25" customHeight="1" x14ac:dyDescent="0.25">
      <c r="A658" s="500"/>
      <c r="B658" s="496" t="s">
        <v>4598</v>
      </c>
      <c r="C658" s="496" t="s">
        <v>174</v>
      </c>
      <c r="D658" s="496" t="s">
        <v>733</v>
      </c>
      <c r="E658" s="496" t="s">
        <v>466</v>
      </c>
      <c r="F658" s="500"/>
      <c r="G658" s="500"/>
    </row>
    <row r="659" spans="1:7" ht="14.25" customHeight="1" x14ac:dyDescent="0.25">
      <c r="A659" s="500"/>
      <c r="B659" s="514" t="s">
        <v>4599</v>
      </c>
      <c r="C659" s="496" t="s">
        <v>176</v>
      </c>
      <c r="D659" s="496" t="s">
        <v>437</v>
      </c>
      <c r="E659" s="496" t="s">
        <v>467</v>
      </c>
      <c r="F659" s="500"/>
      <c r="G659" s="500"/>
    </row>
    <row r="660" spans="1:7" ht="14.25" customHeight="1" x14ac:dyDescent="0.25">
      <c r="A660" s="500"/>
      <c r="B660" s="540" t="s">
        <v>4600</v>
      </c>
      <c r="C660" s="540" t="s">
        <v>1933</v>
      </c>
      <c r="D660" s="540" t="s">
        <v>1934</v>
      </c>
      <c r="E660" s="540" t="s">
        <v>1935</v>
      </c>
      <c r="F660" s="500"/>
      <c r="G660" s="500"/>
    </row>
    <row r="661" spans="1:7" ht="14.25" customHeight="1" x14ac:dyDescent="0.25">
      <c r="A661" s="500"/>
      <c r="B661" s="1237" t="s">
        <v>4878</v>
      </c>
      <c r="C661" s="540" t="s">
        <v>1936</v>
      </c>
      <c r="D661" s="540" t="s">
        <v>293</v>
      </c>
      <c r="E661" s="540" t="s">
        <v>1937</v>
      </c>
      <c r="F661" s="500"/>
      <c r="G661" s="500"/>
    </row>
    <row r="662" spans="1:7" ht="14.25" customHeight="1" x14ac:dyDescent="0.25">
      <c r="A662" s="500"/>
      <c r="B662" s="534"/>
      <c r="C662" s="534"/>
      <c r="D662" s="534"/>
      <c r="E662" s="534"/>
      <c r="F662" s="500"/>
      <c r="G662" s="500"/>
    </row>
    <row r="663" spans="1:7" ht="14.25" customHeight="1" x14ac:dyDescent="0.25">
      <c r="A663" s="500"/>
      <c r="B663" s="500"/>
      <c r="C663" s="500"/>
      <c r="D663" s="500"/>
      <c r="E663" s="500"/>
      <c r="F663" s="500"/>
      <c r="G663" s="500"/>
    </row>
    <row r="664" spans="1:7" ht="14.25" customHeight="1" x14ac:dyDescent="0.25">
      <c r="A664" s="500"/>
      <c r="B664" s="505" t="s">
        <v>688</v>
      </c>
      <c r="C664" s="505" t="s">
        <v>14</v>
      </c>
      <c r="D664" s="505" t="s">
        <v>468</v>
      </c>
      <c r="E664" s="505" t="s">
        <v>13</v>
      </c>
      <c r="F664" s="500"/>
      <c r="G664" s="500"/>
    </row>
    <row r="665" spans="1:7" ht="14.25" customHeight="1" x14ac:dyDescent="0.25">
      <c r="A665" s="500"/>
      <c r="B665" s="500"/>
      <c r="C665" s="500"/>
      <c r="D665" s="500"/>
      <c r="E665" s="500"/>
      <c r="F665" s="500"/>
      <c r="G665" s="500"/>
    </row>
    <row r="666" spans="1:7" ht="14.25" customHeight="1" x14ac:dyDescent="0.25">
      <c r="A666" s="500"/>
      <c r="B666" s="509" t="s">
        <v>689</v>
      </c>
      <c r="C666" s="496" t="s">
        <v>636</v>
      </c>
      <c r="D666" s="496" t="s">
        <v>638</v>
      </c>
      <c r="E666" s="496" t="s">
        <v>637</v>
      </c>
      <c r="F666" s="500"/>
      <c r="G666" s="500"/>
    </row>
    <row r="667" spans="1:7" ht="14.25" customHeight="1" x14ac:dyDescent="0.25">
      <c r="A667" s="500"/>
      <c r="B667" s="509" t="s">
        <v>690</v>
      </c>
      <c r="C667" s="496" t="s">
        <v>528</v>
      </c>
      <c r="D667" s="496" t="s">
        <v>527</v>
      </c>
      <c r="E667" s="496" t="s">
        <v>78</v>
      </c>
      <c r="F667" s="500"/>
      <c r="G667" s="500"/>
    </row>
    <row r="668" spans="1:7" ht="14.25" customHeight="1" x14ac:dyDescent="0.25">
      <c r="A668" s="500"/>
      <c r="B668" s="509" t="s">
        <v>691</v>
      </c>
      <c r="C668" s="648" t="s">
        <v>2092</v>
      </c>
      <c r="D668" s="648" t="s">
        <v>2094</v>
      </c>
      <c r="E668" s="654" t="s">
        <v>2096</v>
      </c>
      <c r="F668" s="500"/>
      <c r="G668" s="500"/>
    </row>
    <row r="669" spans="1:7" ht="14.25" customHeight="1" x14ac:dyDescent="0.25">
      <c r="A669" s="500"/>
      <c r="B669" s="496" t="s">
        <v>692</v>
      </c>
      <c r="C669" s="648" t="s">
        <v>2093</v>
      </c>
      <c r="D669" s="648" t="s">
        <v>2095</v>
      </c>
      <c r="E669" s="654" t="s">
        <v>2097</v>
      </c>
      <c r="F669" s="500"/>
      <c r="G669" s="500"/>
    </row>
    <row r="670" spans="1:7" ht="14.25" customHeight="1" x14ac:dyDescent="0.25">
      <c r="A670" s="500"/>
      <c r="B670" s="496" t="s">
        <v>693</v>
      </c>
      <c r="C670" s="496" t="s">
        <v>470</v>
      </c>
      <c r="D670" s="496" t="s">
        <v>553</v>
      </c>
      <c r="E670" s="496" t="s">
        <v>469</v>
      </c>
      <c r="F670" s="500"/>
      <c r="G670" s="500"/>
    </row>
    <row r="671" spans="1:7" ht="14.25" customHeight="1" x14ac:dyDescent="0.25">
      <c r="A671" s="500"/>
      <c r="B671" s="496" t="s">
        <v>694</v>
      </c>
      <c r="C671" s="496" t="s">
        <v>686</v>
      </c>
      <c r="D671" s="496" t="s">
        <v>687</v>
      </c>
      <c r="E671" s="496" t="s">
        <v>584</v>
      </c>
      <c r="F671" s="500"/>
      <c r="G671" s="500"/>
    </row>
    <row r="672" spans="1:7" ht="14.25" customHeight="1" x14ac:dyDescent="0.25">
      <c r="A672" s="500"/>
      <c r="B672" s="496" t="s">
        <v>1831</v>
      </c>
      <c r="C672" s="496" t="s">
        <v>577</v>
      </c>
      <c r="D672" s="496" t="s">
        <v>578</v>
      </c>
      <c r="E672" s="496" t="s">
        <v>576</v>
      </c>
      <c r="F672" s="500"/>
      <c r="G672" s="500"/>
    </row>
    <row r="673" spans="1:7" ht="14.25" customHeight="1" x14ac:dyDescent="0.25">
      <c r="A673" s="500"/>
      <c r="B673" s="1194" t="s">
        <v>1832</v>
      </c>
      <c r="C673" s="496" t="s">
        <v>472</v>
      </c>
      <c r="D673" s="496" t="s">
        <v>509</v>
      </c>
      <c r="E673" s="496" t="s">
        <v>471</v>
      </c>
      <c r="F673" s="500"/>
      <c r="G673" s="500"/>
    </row>
    <row r="674" spans="1:7" ht="14.25" customHeight="1" x14ac:dyDescent="0.25">
      <c r="A674" s="500"/>
      <c r="B674" s="1194" t="s">
        <v>1833</v>
      </c>
      <c r="C674" s="496" t="s">
        <v>474</v>
      </c>
      <c r="D674" s="496" t="s">
        <v>510</v>
      </c>
      <c r="E674" s="496" t="s">
        <v>473</v>
      </c>
      <c r="F674" s="500"/>
      <c r="G674" s="500"/>
    </row>
    <row r="675" spans="1:7" ht="14.25" customHeight="1" x14ac:dyDescent="0.25">
      <c r="A675" s="500"/>
      <c r="B675" s="1194" t="s">
        <v>1834</v>
      </c>
      <c r="C675" s="496" t="s">
        <v>476</v>
      </c>
      <c r="D675" s="496" t="s">
        <v>511</v>
      </c>
      <c r="E675" s="496" t="s">
        <v>475</v>
      </c>
      <c r="F675" s="500"/>
      <c r="G675" s="500"/>
    </row>
    <row r="676" spans="1:7" ht="14.25" customHeight="1" x14ac:dyDescent="0.25">
      <c r="A676" s="500"/>
      <c r="B676" s="1194" t="s">
        <v>1835</v>
      </c>
      <c r="C676" s="496" t="s">
        <v>115</v>
      </c>
      <c r="D676" s="496" t="s">
        <v>512</v>
      </c>
      <c r="E676" s="496" t="s">
        <v>477</v>
      </c>
      <c r="F676" s="500"/>
      <c r="G676" s="500"/>
    </row>
    <row r="677" spans="1:7" ht="14.25" customHeight="1" x14ac:dyDescent="0.25">
      <c r="A677" s="500"/>
      <c r="B677" s="1194" t="s">
        <v>1836</v>
      </c>
      <c r="C677" s="496" t="s">
        <v>479</v>
      </c>
      <c r="D677" s="496" t="s">
        <v>513</v>
      </c>
      <c r="E677" s="496" t="s">
        <v>478</v>
      </c>
      <c r="F677" s="500"/>
      <c r="G677" s="500"/>
    </row>
    <row r="678" spans="1:7" ht="14.25" customHeight="1" x14ac:dyDescent="0.25">
      <c r="A678" s="500"/>
      <c r="B678" s="1194" t="s">
        <v>1837</v>
      </c>
      <c r="C678" s="496" t="s">
        <v>481</v>
      </c>
      <c r="D678" s="496" t="s">
        <v>514</v>
      </c>
      <c r="E678" s="496" t="s">
        <v>480</v>
      </c>
      <c r="F678" s="500"/>
      <c r="G678" s="500"/>
    </row>
    <row r="679" spans="1:7" ht="14.25" customHeight="1" x14ac:dyDescent="0.25">
      <c r="A679" s="500"/>
      <c r="B679" s="1194" t="s">
        <v>1838</v>
      </c>
      <c r="C679" s="496" t="s">
        <v>483</v>
      </c>
      <c r="D679" s="496" t="s">
        <v>515</v>
      </c>
      <c r="E679" s="496" t="s">
        <v>482</v>
      </c>
      <c r="F679" s="500"/>
      <c r="G679" s="500"/>
    </row>
    <row r="680" spans="1:7" ht="14.25" customHeight="1" x14ac:dyDescent="0.25">
      <c r="A680" s="500"/>
      <c r="B680" s="1194" t="s">
        <v>1839</v>
      </c>
      <c r="C680" s="496" t="s">
        <v>485</v>
      </c>
      <c r="D680" s="496" t="s">
        <v>516</v>
      </c>
      <c r="E680" s="496" t="s">
        <v>484</v>
      </c>
      <c r="F680" s="500"/>
      <c r="G680" s="500"/>
    </row>
    <row r="681" spans="1:7" ht="14.25" customHeight="1" x14ac:dyDescent="0.25">
      <c r="A681" s="500"/>
      <c r="B681" s="1194" t="s">
        <v>1840</v>
      </c>
      <c r="C681" s="496" t="s">
        <v>518</v>
      </c>
      <c r="D681" s="496" t="s">
        <v>519</v>
      </c>
      <c r="E681" s="496" t="s">
        <v>486</v>
      </c>
      <c r="F681" s="500"/>
      <c r="G681" s="500"/>
    </row>
    <row r="682" spans="1:7" ht="14.25" customHeight="1" x14ac:dyDescent="0.25">
      <c r="A682" s="500"/>
      <c r="B682" s="1194" t="s">
        <v>1841</v>
      </c>
      <c r="C682" s="496" t="s">
        <v>488</v>
      </c>
      <c r="D682" s="496" t="s">
        <v>517</v>
      </c>
      <c r="E682" s="496" t="s">
        <v>487</v>
      </c>
      <c r="F682" s="500"/>
      <c r="G682" s="500"/>
    </row>
    <row r="683" spans="1:7" ht="14.25" customHeight="1" x14ac:dyDescent="0.25">
      <c r="A683" s="500"/>
      <c r="B683" s="1194" t="s">
        <v>1842</v>
      </c>
      <c r="C683" s="496" t="s">
        <v>490</v>
      </c>
      <c r="D683" s="496" t="s">
        <v>520</v>
      </c>
      <c r="E683" s="496" t="s">
        <v>489</v>
      </c>
      <c r="F683" s="500"/>
      <c r="G683" s="500"/>
    </row>
    <row r="684" spans="1:7" ht="14.25" customHeight="1" x14ac:dyDescent="0.25">
      <c r="A684" s="500"/>
      <c r="B684" s="1194" t="s">
        <v>1843</v>
      </c>
      <c r="C684" s="496" t="s">
        <v>492</v>
      </c>
      <c r="D684" s="496" t="s">
        <v>521</v>
      </c>
      <c r="E684" s="496" t="s">
        <v>491</v>
      </c>
      <c r="F684" s="500"/>
      <c r="G684" s="500"/>
    </row>
    <row r="685" spans="1:7" ht="14.25" customHeight="1" x14ac:dyDescent="0.25">
      <c r="A685" s="500"/>
      <c r="B685" s="1194" t="s">
        <v>1844</v>
      </c>
      <c r="C685" s="496" t="s">
        <v>494</v>
      </c>
      <c r="D685" s="496" t="s">
        <v>522</v>
      </c>
      <c r="E685" s="496" t="s">
        <v>493</v>
      </c>
      <c r="F685" s="500"/>
      <c r="G685" s="500"/>
    </row>
    <row r="686" spans="1:7" ht="14.25" customHeight="1" x14ac:dyDescent="0.25">
      <c r="A686" s="500"/>
      <c r="B686" s="1194" t="s">
        <v>1845</v>
      </c>
      <c r="C686" s="1187" t="s">
        <v>4133</v>
      </c>
      <c r="D686" s="1185" t="s">
        <v>4130</v>
      </c>
      <c r="E686" s="1185" t="s">
        <v>4129</v>
      </c>
      <c r="F686" s="500"/>
      <c r="G686" s="500"/>
    </row>
    <row r="687" spans="1:7" ht="14.25" customHeight="1" x14ac:dyDescent="0.25">
      <c r="A687" s="500"/>
      <c r="B687" s="1194" t="s">
        <v>1846</v>
      </c>
      <c r="C687" s="1122" t="s">
        <v>496</v>
      </c>
      <c r="D687" s="1122" t="s">
        <v>554</v>
      </c>
      <c r="E687" s="1122" t="s">
        <v>495</v>
      </c>
      <c r="F687" s="500"/>
      <c r="G687" s="500"/>
    </row>
    <row r="688" spans="1:7" ht="14.25" customHeight="1" x14ac:dyDescent="0.25">
      <c r="A688" s="500"/>
      <c r="B688" s="1194" t="s">
        <v>1847</v>
      </c>
      <c r="C688" s="656" t="s">
        <v>3808</v>
      </c>
      <c r="D688" s="656" t="s">
        <v>3807</v>
      </c>
      <c r="E688" s="656" t="s">
        <v>3809</v>
      </c>
      <c r="F688" s="500"/>
      <c r="G688" s="500"/>
    </row>
    <row r="689" spans="1:7" ht="14.25" customHeight="1" x14ac:dyDescent="0.25">
      <c r="A689" s="500"/>
      <c r="B689" s="1194" t="s">
        <v>1848</v>
      </c>
      <c r="C689" s="508" t="s">
        <v>2249</v>
      </c>
      <c r="D689" s="654" t="s">
        <v>2208</v>
      </c>
      <c r="E689" s="496" t="s">
        <v>2131</v>
      </c>
      <c r="F689" s="500"/>
      <c r="G689" s="500"/>
    </row>
    <row r="690" spans="1:7" ht="14.25" customHeight="1" x14ac:dyDescent="0.25">
      <c r="A690" s="500"/>
      <c r="B690" s="500"/>
      <c r="C690" s="500"/>
      <c r="D690" s="500"/>
      <c r="E690" s="500"/>
      <c r="F690" s="500"/>
      <c r="G690" s="500"/>
    </row>
    <row r="691" spans="1:7" ht="14.25" customHeight="1" x14ac:dyDescent="0.25">
      <c r="A691" s="500"/>
      <c r="B691" s="500"/>
      <c r="C691" s="500"/>
      <c r="D691" s="500"/>
      <c r="E691" s="500"/>
      <c r="F691" s="500"/>
      <c r="G691" s="500"/>
    </row>
    <row r="692" spans="1:7" ht="14.25" customHeight="1" x14ac:dyDescent="0.25">
      <c r="A692" s="500"/>
      <c r="B692" s="505" t="s">
        <v>1462</v>
      </c>
      <c r="C692" s="505" t="s">
        <v>266</v>
      </c>
      <c r="D692" s="505" t="s">
        <v>546</v>
      </c>
      <c r="E692" s="505" t="s">
        <v>15</v>
      </c>
      <c r="F692" s="500"/>
      <c r="G692" s="500"/>
    </row>
    <row r="693" spans="1:7" ht="14.25" customHeight="1" x14ac:dyDescent="0.25">
      <c r="A693" s="500"/>
      <c r="B693" s="500"/>
      <c r="C693" s="511"/>
      <c r="D693" s="511"/>
      <c r="E693" s="511"/>
      <c r="F693" s="500"/>
      <c r="G693" s="500"/>
    </row>
    <row r="694" spans="1:7" ht="14.25" customHeight="1" x14ac:dyDescent="0.25">
      <c r="A694" s="500"/>
      <c r="B694" s="582" t="s">
        <v>1463</v>
      </c>
      <c r="C694" s="496" t="s">
        <v>395</v>
      </c>
      <c r="D694" s="496" t="s">
        <v>549</v>
      </c>
      <c r="E694" s="654" t="s">
        <v>579</v>
      </c>
      <c r="F694" s="500"/>
      <c r="G694" s="500"/>
    </row>
    <row r="695" spans="1:7" ht="14.25" customHeight="1" x14ac:dyDescent="0.25">
      <c r="A695" s="500"/>
      <c r="B695" s="582" t="s">
        <v>1464</v>
      </c>
      <c r="C695" s="496" t="s">
        <v>505</v>
      </c>
      <c r="D695" s="496" t="s">
        <v>506</v>
      </c>
      <c r="E695" s="496" t="s">
        <v>504</v>
      </c>
      <c r="F695" s="500"/>
      <c r="G695" s="500"/>
    </row>
    <row r="696" spans="1:7" ht="14.25" customHeight="1" x14ac:dyDescent="0.25">
      <c r="A696" s="500"/>
      <c r="B696" s="582" t="s">
        <v>1465</v>
      </c>
      <c r="C696" s="496" t="s">
        <v>110</v>
      </c>
      <c r="D696" s="496" t="s">
        <v>523</v>
      </c>
      <c r="E696" s="496" t="s">
        <v>501</v>
      </c>
      <c r="F696" s="500"/>
      <c r="G696" s="500"/>
    </row>
    <row r="697" spans="1:7" ht="14.25" customHeight="1" x14ac:dyDescent="0.25">
      <c r="A697" s="500"/>
      <c r="B697" s="582" t="s">
        <v>1466</v>
      </c>
      <c r="C697" s="496" t="s">
        <v>111</v>
      </c>
      <c r="D697" s="496" t="s">
        <v>510</v>
      </c>
      <c r="E697" s="496" t="s">
        <v>473</v>
      </c>
      <c r="F697" s="500"/>
      <c r="G697" s="500"/>
    </row>
    <row r="698" spans="1:7" ht="14.25" customHeight="1" x14ac:dyDescent="0.25">
      <c r="A698" s="500"/>
      <c r="B698" s="582" t="s">
        <v>1467</v>
      </c>
      <c r="C698" s="496" t="s">
        <v>112</v>
      </c>
      <c r="D698" s="496" t="s">
        <v>511</v>
      </c>
      <c r="E698" s="496" t="s">
        <v>475</v>
      </c>
      <c r="F698" s="500"/>
      <c r="G698" s="500"/>
    </row>
    <row r="699" spans="1:7" ht="14.25" customHeight="1" x14ac:dyDescent="0.25">
      <c r="A699" s="500"/>
      <c r="B699" s="582" t="s">
        <v>1468</v>
      </c>
      <c r="C699" s="496" t="s">
        <v>113</v>
      </c>
      <c r="D699" s="496" t="s">
        <v>557</v>
      </c>
      <c r="E699" s="508" t="s">
        <v>559</v>
      </c>
      <c r="F699" s="500"/>
      <c r="G699" s="500"/>
    </row>
    <row r="700" spans="1:7" ht="14.25" customHeight="1" x14ac:dyDescent="0.25">
      <c r="A700" s="500"/>
      <c r="B700" s="582" t="s">
        <v>1469</v>
      </c>
      <c r="C700" s="496" t="s">
        <v>114</v>
      </c>
      <c r="D700" s="496" t="s">
        <v>524</v>
      </c>
      <c r="E700" s="496" t="s">
        <v>497</v>
      </c>
      <c r="F700" s="500"/>
      <c r="G700" s="500"/>
    </row>
    <row r="701" spans="1:7" ht="14.25" customHeight="1" x14ac:dyDescent="0.25">
      <c r="A701" s="500"/>
      <c r="B701" s="582" t="s">
        <v>1470</v>
      </c>
      <c r="C701" s="496" t="s">
        <v>115</v>
      </c>
      <c r="D701" s="496" t="s">
        <v>512</v>
      </c>
      <c r="E701" s="496" t="s">
        <v>477</v>
      </c>
      <c r="F701" s="500"/>
      <c r="G701" s="500"/>
    </row>
    <row r="702" spans="1:7" ht="14.25" customHeight="1" x14ac:dyDescent="0.25">
      <c r="A702" s="500"/>
      <c r="B702" s="582" t="s">
        <v>1471</v>
      </c>
      <c r="C702" s="496" t="s">
        <v>116</v>
      </c>
      <c r="D702" s="496" t="s">
        <v>525</v>
      </c>
      <c r="E702" s="496" t="s">
        <v>498</v>
      </c>
      <c r="F702" s="500"/>
      <c r="G702" s="500"/>
    </row>
    <row r="703" spans="1:7" ht="14.25" customHeight="1" x14ac:dyDescent="0.25">
      <c r="A703" s="500"/>
      <c r="B703" s="582" t="s">
        <v>1996</v>
      </c>
      <c r="C703" s="496" t="s">
        <v>117</v>
      </c>
      <c r="D703" s="496" t="s">
        <v>555</v>
      </c>
      <c r="E703" s="496" t="s">
        <v>499</v>
      </c>
      <c r="F703" s="500"/>
      <c r="G703" s="500"/>
    </row>
    <row r="704" spans="1:7" ht="14.25" customHeight="1" x14ac:dyDescent="0.25">
      <c r="A704" s="500"/>
      <c r="B704" s="582" t="s">
        <v>1997</v>
      </c>
      <c r="C704" s="496" t="s">
        <v>118</v>
      </c>
      <c r="D704" s="496" t="s">
        <v>556</v>
      </c>
      <c r="E704" s="496" t="s">
        <v>500</v>
      </c>
      <c r="F704" s="500"/>
      <c r="G704" s="500"/>
    </row>
    <row r="705" spans="1:7" ht="14.25" customHeight="1" x14ac:dyDescent="0.25">
      <c r="A705" s="500"/>
      <c r="B705" s="582" t="s">
        <v>4601</v>
      </c>
      <c r="C705" s="508" t="s">
        <v>2503</v>
      </c>
      <c r="D705" s="758" t="s">
        <v>2504</v>
      </c>
      <c r="E705" s="758" t="s">
        <v>2505</v>
      </c>
      <c r="F705" s="500"/>
      <c r="G705" s="500"/>
    </row>
    <row r="706" spans="1:7" ht="14.25" customHeight="1" x14ac:dyDescent="0.25">
      <c r="A706" s="500"/>
      <c r="B706" s="582" t="s">
        <v>4602</v>
      </c>
      <c r="C706" s="508" t="s">
        <v>119</v>
      </c>
      <c r="D706" s="496" t="s">
        <v>2209</v>
      </c>
      <c r="E706" s="496" t="s">
        <v>2132</v>
      </c>
      <c r="F706" s="500"/>
      <c r="G706" s="500"/>
    </row>
    <row r="707" spans="1:7" ht="14.25" customHeight="1" x14ac:dyDescent="0.25">
      <c r="A707" s="500"/>
      <c r="B707" s="582" t="s">
        <v>4603</v>
      </c>
      <c r="C707" s="508" t="s">
        <v>120</v>
      </c>
      <c r="D707" s="496" t="s">
        <v>2210</v>
      </c>
      <c r="E707" s="496" t="s">
        <v>2133</v>
      </c>
      <c r="F707" s="500"/>
      <c r="G707" s="500"/>
    </row>
    <row r="708" spans="1:7" ht="14.25" customHeight="1" x14ac:dyDescent="0.25">
      <c r="A708" s="500"/>
      <c r="B708" s="582" t="s">
        <v>4604</v>
      </c>
      <c r="C708" s="508" t="s">
        <v>121</v>
      </c>
      <c r="D708" s="496" t="s">
        <v>2211</v>
      </c>
      <c r="E708" s="496" t="s">
        <v>2134</v>
      </c>
      <c r="F708" s="500"/>
      <c r="G708" s="500"/>
    </row>
    <row r="709" spans="1:7" ht="14.25" customHeight="1" x14ac:dyDescent="0.25">
      <c r="A709" s="500"/>
      <c r="B709" s="582" t="s">
        <v>4605</v>
      </c>
      <c r="C709" s="508" t="s">
        <v>586</v>
      </c>
      <c r="D709" s="496" t="s">
        <v>2212</v>
      </c>
      <c r="E709" s="496" t="s">
        <v>2135</v>
      </c>
      <c r="F709" s="500"/>
      <c r="G709" s="500"/>
    </row>
    <row r="710" spans="1:7" ht="14.25" customHeight="1" x14ac:dyDescent="0.25">
      <c r="A710" s="500"/>
      <c r="B710" s="582" t="s">
        <v>4606</v>
      </c>
      <c r="C710" s="656" t="s">
        <v>3263</v>
      </c>
      <c r="D710" s="656" t="s">
        <v>3264</v>
      </c>
      <c r="E710" s="656" t="s">
        <v>3265</v>
      </c>
      <c r="F710" s="500"/>
      <c r="G710" s="500"/>
    </row>
    <row r="711" spans="1:7" ht="14.25" customHeight="1" x14ac:dyDescent="0.25">
      <c r="A711" s="500"/>
      <c r="B711" s="582" t="s">
        <v>4607</v>
      </c>
      <c r="C711" s="508" t="s">
        <v>588</v>
      </c>
      <c r="D711" s="496" t="s">
        <v>2213</v>
      </c>
      <c r="E711" s="496" t="s">
        <v>2136</v>
      </c>
      <c r="F711" s="500"/>
      <c r="G711" s="500"/>
    </row>
    <row r="712" spans="1:7" ht="14.25" customHeight="1" x14ac:dyDescent="0.25">
      <c r="A712" s="500"/>
      <c r="B712" s="582" t="s">
        <v>4608</v>
      </c>
      <c r="C712" s="508" t="s">
        <v>587</v>
      </c>
      <c r="D712" s="496" t="s">
        <v>2214</v>
      </c>
      <c r="E712" s="496" t="s">
        <v>2137</v>
      </c>
      <c r="F712" s="500"/>
      <c r="G712" s="500"/>
    </row>
    <row r="713" spans="1:7" ht="14.25" customHeight="1" x14ac:dyDescent="0.25">
      <c r="A713" s="500"/>
      <c r="B713" s="582" t="s">
        <v>4609</v>
      </c>
      <c r="C713" s="508" t="s">
        <v>589</v>
      </c>
      <c r="D713" s="496" t="s">
        <v>2215</v>
      </c>
      <c r="E713" s="496" t="s">
        <v>2138</v>
      </c>
      <c r="F713" s="500"/>
      <c r="G713" s="500"/>
    </row>
    <row r="714" spans="1:7" ht="14.25" customHeight="1" x14ac:dyDescent="0.25">
      <c r="A714" s="500"/>
      <c r="B714" s="758" t="s">
        <v>4610</v>
      </c>
      <c r="C714" s="508" t="s">
        <v>2759</v>
      </c>
      <c r="D714" s="782" t="s">
        <v>2760</v>
      </c>
      <c r="E714" s="781" t="s">
        <v>2761</v>
      </c>
      <c r="F714" s="500"/>
      <c r="G714" s="500"/>
    </row>
    <row r="715" spans="1:7" ht="14.25" customHeight="1" x14ac:dyDescent="0.25">
      <c r="A715" s="500"/>
      <c r="B715" s="758" t="s">
        <v>4611</v>
      </c>
      <c r="C715" s="508" t="s">
        <v>3107</v>
      </c>
      <c r="D715" s="508" t="s">
        <v>3136</v>
      </c>
      <c r="E715" s="656" t="s">
        <v>3139</v>
      </c>
      <c r="F715" s="781"/>
      <c r="G715" s="500"/>
    </row>
    <row r="716" spans="1:7" ht="14.25" customHeight="1" x14ac:dyDescent="0.25">
      <c r="A716" s="500"/>
      <c r="B716" s="758" t="s">
        <v>4612</v>
      </c>
      <c r="C716" s="508" t="s">
        <v>3108</v>
      </c>
      <c r="D716" s="508" t="s">
        <v>3144</v>
      </c>
      <c r="E716" s="656" t="s">
        <v>3140</v>
      </c>
      <c r="F716" s="500"/>
      <c r="G716" s="500"/>
    </row>
    <row r="717" spans="1:7" ht="14.25" customHeight="1" x14ac:dyDescent="0.25">
      <c r="A717" s="500"/>
      <c r="B717" s="758" t="s">
        <v>4613</v>
      </c>
      <c r="C717" s="508" t="s">
        <v>3109</v>
      </c>
      <c r="D717" s="508" t="s">
        <v>3137</v>
      </c>
      <c r="E717" s="656" t="s">
        <v>3137</v>
      </c>
      <c r="F717" s="500"/>
      <c r="G717" s="500"/>
    </row>
    <row r="718" spans="1:7" ht="14.25" customHeight="1" x14ac:dyDescent="0.25">
      <c r="A718" s="500"/>
      <c r="B718" s="758" t="s">
        <v>4614</v>
      </c>
      <c r="C718" s="508" t="s">
        <v>3110</v>
      </c>
      <c r="D718" s="508" t="s">
        <v>3138</v>
      </c>
      <c r="E718" s="656" t="s">
        <v>3141</v>
      </c>
      <c r="F718" s="500"/>
      <c r="G718" s="500"/>
    </row>
    <row r="719" spans="1:7" ht="14.25" customHeight="1" x14ac:dyDescent="0.25">
      <c r="A719" s="500"/>
      <c r="B719" s="758" t="s">
        <v>4615</v>
      </c>
      <c r="C719" s="508" t="s">
        <v>3216</v>
      </c>
      <c r="D719" s="508" t="s">
        <v>3145</v>
      </c>
      <c r="E719" s="656" t="s">
        <v>3142</v>
      </c>
      <c r="F719" s="500"/>
      <c r="G719" s="500"/>
    </row>
    <row r="720" spans="1:7" ht="14.25" customHeight="1" x14ac:dyDescent="0.25">
      <c r="A720" s="500"/>
      <c r="B720" s="758" t="s">
        <v>4616</v>
      </c>
      <c r="C720" s="508" t="s">
        <v>3217</v>
      </c>
      <c r="D720" s="508" t="s">
        <v>3146</v>
      </c>
      <c r="E720" s="656" t="s">
        <v>3143</v>
      </c>
      <c r="F720" s="500"/>
      <c r="G720" s="500"/>
    </row>
    <row r="721" spans="1:7" ht="14.25" customHeight="1" x14ac:dyDescent="0.25">
      <c r="A721" s="500"/>
      <c r="B721" s="500"/>
      <c r="C721" s="500"/>
      <c r="D721" s="500"/>
      <c r="E721" s="500"/>
      <c r="F721" s="500"/>
      <c r="G721" s="500"/>
    </row>
    <row r="722" spans="1:7" ht="14.25" customHeight="1" x14ac:dyDescent="0.25">
      <c r="A722" s="500"/>
      <c r="B722" s="500"/>
      <c r="C722" s="500"/>
      <c r="D722" s="500"/>
      <c r="E722" s="500"/>
      <c r="F722" s="500"/>
      <c r="G722" s="500"/>
    </row>
    <row r="723" spans="1:7" ht="14.25" customHeight="1" x14ac:dyDescent="0.25">
      <c r="A723" s="500"/>
      <c r="B723" s="505" t="s">
        <v>1452</v>
      </c>
      <c r="C723" s="505" t="s">
        <v>568</v>
      </c>
      <c r="D723" s="505" t="s">
        <v>547</v>
      </c>
      <c r="E723" s="505" t="s">
        <v>237</v>
      </c>
      <c r="F723" s="500"/>
      <c r="G723" s="500"/>
    </row>
    <row r="724" spans="1:7" ht="14.25" customHeight="1" x14ac:dyDescent="0.25">
      <c r="A724" s="500"/>
      <c r="B724" s="500"/>
      <c r="C724" s="500"/>
      <c r="D724" s="500"/>
      <c r="E724" s="500"/>
      <c r="F724" s="500"/>
      <c r="G724" s="500"/>
    </row>
    <row r="725" spans="1:7" ht="14.25" customHeight="1" x14ac:dyDescent="0.25">
      <c r="A725" s="500"/>
      <c r="B725" s="582" t="s">
        <v>1453</v>
      </c>
      <c r="C725" s="496" t="s">
        <v>395</v>
      </c>
      <c r="D725" s="496" t="s">
        <v>549</v>
      </c>
      <c r="E725" s="654" t="s">
        <v>579</v>
      </c>
      <c r="F725" s="500"/>
      <c r="G725" s="500"/>
    </row>
    <row r="726" spans="1:7" ht="14.25" customHeight="1" x14ac:dyDescent="0.25">
      <c r="A726" s="500"/>
      <c r="B726" s="582" t="s">
        <v>1454</v>
      </c>
      <c r="C726" s="582" t="s">
        <v>2006</v>
      </c>
      <c r="D726" s="654" t="s">
        <v>2216</v>
      </c>
      <c r="E726" s="654" t="s">
        <v>727</v>
      </c>
      <c r="G726" s="500"/>
    </row>
    <row r="727" spans="1:7" ht="14.25" customHeight="1" x14ac:dyDescent="0.25">
      <c r="A727" s="500"/>
      <c r="B727" s="582" t="s">
        <v>1455</v>
      </c>
      <c r="C727" s="496" t="s">
        <v>110</v>
      </c>
      <c r="D727" s="496" t="s">
        <v>523</v>
      </c>
      <c r="E727" s="496" t="s">
        <v>501</v>
      </c>
      <c r="F727" s="500"/>
      <c r="G727" s="500"/>
    </row>
    <row r="728" spans="1:7" ht="14.25" customHeight="1" x14ac:dyDescent="0.25">
      <c r="A728" s="500"/>
      <c r="B728" s="582" t="s">
        <v>1456</v>
      </c>
      <c r="C728" s="496" t="s">
        <v>111</v>
      </c>
      <c r="D728" s="496" t="s">
        <v>510</v>
      </c>
      <c r="E728" s="496" t="s">
        <v>473</v>
      </c>
      <c r="F728" s="500"/>
      <c r="G728" s="500"/>
    </row>
    <row r="729" spans="1:7" ht="14.25" customHeight="1" x14ac:dyDescent="0.25">
      <c r="A729" s="500"/>
      <c r="B729" s="582" t="s">
        <v>1457</v>
      </c>
      <c r="C729" s="496" t="s">
        <v>112</v>
      </c>
      <c r="D729" s="496" t="s">
        <v>511</v>
      </c>
      <c r="E729" s="496" t="s">
        <v>475</v>
      </c>
      <c r="F729" s="500"/>
      <c r="G729" s="500"/>
    </row>
    <row r="730" spans="1:7" ht="14.25" customHeight="1" x14ac:dyDescent="0.25">
      <c r="A730" s="500"/>
      <c r="B730" s="582" t="s">
        <v>1458</v>
      </c>
      <c r="C730" s="496" t="s">
        <v>113</v>
      </c>
      <c r="D730" s="496" t="s">
        <v>557</v>
      </c>
      <c r="E730" s="508" t="s">
        <v>559</v>
      </c>
      <c r="F730" s="500"/>
      <c r="G730" s="500"/>
    </row>
    <row r="731" spans="1:7" ht="14.25" customHeight="1" x14ac:dyDescent="0.25">
      <c r="A731" s="500"/>
      <c r="B731" s="582" t="s">
        <v>1459</v>
      </c>
      <c r="C731" s="496" t="s">
        <v>114</v>
      </c>
      <c r="D731" s="496" t="s">
        <v>524</v>
      </c>
      <c r="E731" s="496" t="s">
        <v>497</v>
      </c>
      <c r="F731" s="500"/>
      <c r="G731" s="500"/>
    </row>
    <row r="732" spans="1:7" ht="14.25" customHeight="1" x14ac:dyDescent="0.25">
      <c r="A732" s="500"/>
      <c r="B732" s="582" t="s">
        <v>1460</v>
      </c>
      <c r="C732" s="496" t="s">
        <v>115</v>
      </c>
      <c r="D732" s="496" t="s">
        <v>512</v>
      </c>
      <c r="E732" s="496" t="s">
        <v>477</v>
      </c>
      <c r="F732" s="500"/>
      <c r="G732" s="500"/>
    </row>
    <row r="733" spans="1:7" ht="14.25" customHeight="1" x14ac:dyDescent="0.25">
      <c r="A733" s="500"/>
      <c r="B733" s="582" t="s">
        <v>1461</v>
      </c>
      <c r="C733" s="496" t="s">
        <v>116</v>
      </c>
      <c r="D733" s="496" t="s">
        <v>525</v>
      </c>
      <c r="E733" s="496" t="s">
        <v>498</v>
      </c>
      <c r="F733" s="500"/>
      <c r="G733" s="500"/>
    </row>
    <row r="734" spans="1:7" ht="14.25" customHeight="1" x14ac:dyDescent="0.25">
      <c r="A734" s="500"/>
      <c r="B734" s="582" t="s">
        <v>1849</v>
      </c>
      <c r="C734" s="496" t="s">
        <v>117</v>
      </c>
      <c r="D734" s="496" t="s">
        <v>555</v>
      </c>
      <c r="E734" s="496" t="s">
        <v>499</v>
      </c>
      <c r="F734" s="500"/>
      <c r="G734" s="500"/>
    </row>
    <row r="735" spans="1:7" ht="14.25" customHeight="1" x14ac:dyDescent="0.25">
      <c r="A735" s="500"/>
      <c r="B735" s="582" t="s">
        <v>1850</v>
      </c>
      <c r="C735" s="496" t="s">
        <v>118</v>
      </c>
      <c r="D735" s="496" t="s">
        <v>556</v>
      </c>
      <c r="E735" s="496" t="s">
        <v>500</v>
      </c>
      <c r="F735" s="500"/>
      <c r="G735" s="500"/>
    </row>
    <row r="736" spans="1:7" ht="14.25" customHeight="1" x14ac:dyDescent="0.25">
      <c r="A736" s="500"/>
      <c r="B736" s="582" t="s">
        <v>1851</v>
      </c>
      <c r="C736" s="508" t="s">
        <v>229</v>
      </c>
      <c r="D736" s="496" t="s">
        <v>2217</v>
      </c>
      <c r="E736" s="496" t="s">
        <v>2139</v>
      </c>
      <c r="F736" s="500"/>
      <c r="G736" s="500"/>
    </row>
    <row r="737" spans="1:7" ht="14.25" customHeight="1" x14ac:dyDescent="0.25">
      <c r="A737" s="500"/>
      <c r="B737" s="582" t="s">
        <v>1852</v>
      </c>
      <c r="C737" s="508" t="s">
        <v>230</v>
      </c>
      <c r="D737" s="496" t="s">
        <v>2218</v>
      </c>
      <c r="E737" s="496" t="s">
        <v>2140</v>
      </c>
      <c r="F737" s="500"/>
      <c r="G737" s="500"/>
    </row>
    <row r="738" spans="1:7" ht="14.25" customHeight="1" x14ac:dyDescent="0.25">
      <c r="A738" s="500"/>
      <c r="B738" s="582" t="s">
        <v>1853</v>
      </c>
      <c r="C738" s="508" t="s">
        <v>1513</v>
      </c>
      <c r="D738" s="496" t="s">
        <v>2219</v>
      </c>
      <c r="E738" s="496" t="s">
        <v>2141</v>
      </c>
      <c r="F738" s="500"/>
      <c r="G738" s="500"/>
    </row>
    <row r="739" spans="1:7" ht="14.25" customHeight="1" x14ac:dyDescent="0.25">
      <c r="A739" s="500"/>
      <c r="B739" s="582" t="s">
        <v>1854</v>
      </c>
      <c r="C739" s="508" t="s">
        <v>231</v>
      </c>
      <c r="D739" s="496" t="s">
        <v>2220</v>
      </c>
      <c r="E739" s="496" t="s">
        <v>2142</v>
      </c>
      <c r="F739" s="500"/>
      <c r="G739" s="500"/>
    </row>
    <row r="740" spans="1:7" ht="14.25" customHeight="1" x14ac:dyDescent="0.25">
      <c r="A740" s="500"/>
      <c r="B740" s="582" t="s">
        <v>1855</v>
      </c>
      <c r="C740" s="508" t="s">
        <v>232</v>
      </c>
      <c r="D740" s="496" t="s">
        <v>2221</v>
      </c>
      <c r="E740" s="496" t="s">
        <v>2143</v>
      </c>
      <c r="F740" s="500"/>
      <c r="G740" s="500"/>
    </row>
    <row r="741" spans="1:7" ht="14.25" customHeight="1" x14ac:dyDescent="0.25">
      <c r="A741" s="500"/>
      <c r="B741" s="582" t="s">
        <v>1856</v>
      </c>
      <c r="C741" s="508" t="s">
        <v>233</v>
      </c>
      <c r="D741" s="496" t="s">
        <v>2222</v>
      </c>
      <c r="E741" s="496" t="s">
        <v>2144</v>
      </c>
      <c r="F741" s="500"/>
      <c r="G741" s="500"/>
    </row>
    <row r="742" spans="1:7" ht="14.25" customHeight="1" x14ac:dyDescent="0.25">
      <c r="A742" s="500"/>
      <c r="B742" s="582" t="s">
        <v>1857</v>
      </c>
      <c r="C742" s="508" t="s">
        <v>234</v>
      </c>
      <c r="D742" s="496" t="s">
        <v>2223</v>
      </c>
      <c r="E742" s="496" t="s">
        <v>2145</v>
      </c>
      <c r="F742" s="500"/>
      <c r="G742" s="500"/>
    </row>
    <row r="743" spans="1:7" ht="14.25" customHeight="1" x14ac:dyDescent="0.25">
      <c r="A743" s="500"/>
      <c r="B743" s="582" t="s">
        <v>1858</v>
      </c>
      <c r="C743" s="508" t="s">
        <v>232</v>
      </c>
      <c r="D743" s="496" t="s">
        <v>2221</v>
      </c>
      <c r="E743" s="496" t="s">
        <v>2143</v>
      </c>
      <c r="F743" s="500"/>
      <c r="G743" s="500"/>
    </row>
    <row r="744" spans="1:7" ht="14.25" customHeight="1" x14ac:dyDescent="0.25">
      <c r="A744" s="500"/>
      <c r="B744" s="582" t="s">
        <v>1859</v>
      </c>
      <c r="C744" s="508" t="s">
        <v>233</v>
      </c>
      <c r="D744" s="496" t="s">
        <v>2222</v>
      </c>
      <c r="E744" s="496" t="s">
        <v>2144</v>
      </c>
      <c r="F744" s="500"/>
      <c r="G744" s="500"/>
    </row>
    <row r="745" spans="1:7" ht="14.25" customHeight="1" x14ac:dyDescent="0.25">
      <c r="A745" s="500"/>
      <c r="B745" s="758" t="s">
        <v>1860</v>
      </c>
      <c r="C745" s="508" t="s">
        <v>2759</v>
      </c>
      <c r="D745" s="782" t="s">
        <v>2760</v>
      </c>
      <c r="E745" s="781" t="s">
        <v>2761</v>
      </c>
      <c r="F745" s="500"/>
      <c r="G745" s="500"/>
    </row>
    <row r="746" spans="1:7" ht="14.25" customHeight="1" x14ac:dyDescent="0.25">
      <c r="A746" s="500"/>
      <c r="B746" s="768"/>
      <c r="C746" s="518"/>
      <c r="D746" s="511"/>
      <c r="E746" s="511"/>
      <c r="F746" s="500"/>
      <c r="G746" s="500"/>
    </row>
    <row r="747" spans="1:7" ht="14.25" customHeight="1" x14ac:dyDescent="0.25">
      <c r="A747" s="500"/>
      <c r="B747" s="500"/>
      <c r="C747" s="500"/>
      <c r="D747" s="500"/>
      <c r="E747" s="500"/>
      <c r="F747" s="500"/>
      <c r="G747" s="500"/>
    </row>
    <row r="748" spans="1:7" ht="14.25" customHeight="1" x14ac:dyDescent="0.25">
      <c r="A748" s="500"/>
      <c r="B748" s="505" t="s">
        <v>1877</v>
      </c>
      <c r="C748" s="505" t="s">
        <v>2061</v>
      </c>
      <c r="D748" s="505" t="s">
        <v>1727</v>
      </c>
      <c r="E748" s="505" t="s">
        <v>19</v>
      </c>
      <c r="F748" s="500"/>
      <c r="G748" s="500"/>
    </row>
    <row r="749" spans="1:7" ht="14.25" customHeight="1" x14ac:dyDescent="0.25">
      <c r="A749" s="500"/>
      <c r="B749" s="500"/>
      <c r="C749" s="500"/>
      <c r="D749" s="500"/>
      <c r="E749" s="500"/>
      <c r="F749" s="500"/>
      <c r="G749" s="500"/>
    </row>
    <row r="750" spans="1:7" ht="14.25" customHeight="1" x14ac:dyDescent="0.25">
      <c r="A750" s="500"/>
      <c r="B750" s="582" t="s">
        <v>1878</v>
      </c>
      <c r="C750" s="508" t="s">
        <v>2004</v>
      </c>
      <c r="D750" s="654" t="s">
        <v>2243</v>
      </c>
      <c r="E750" s="654" t="s">
        <v>2244</v>
      </c>
      <c r="F750" s="500"/>
      <c r="G750" s="500"/>
    </row>
    <row r="751" spans="1:7" ht="14.25" customHeight="1" x14ac:dyDescent="0.25">
      <c r="A751" s="500"/>
      <c r="B751" s="508" t="s">
        <v>1879</v>
      </c>
      <c r="C751" s="1258" t="s">
        <v>5001</v>
      </c>
      <c r="D751" s="1258" t="s">
        <v>5002</v>
      </c>
      <c r="E751" s="1258" t="s">
        <v>5003</v>
      </c>
      <c r="F751" s="500"/>
      <c r="G751" s="500"/>
    </row>
    <row r="752" spans="1:7" ht="14.25" customHeight="1" x14ac:dyDescent="0.25">
      <c r="A752" s="500"/>
      <c r="B752" s="582" t="s">
        <v>1880</v>
      </c>
      <c r="C752" s="508" t="s">
        <v>2059</v>
      </c>
      <c r="D752" s="496" t="s">
        <v>2224</v>
      </c>
      <c r="E752" s="496" t="s">
        <v>2146</v>
      </c>
      <c r="F752" s="500"/>
      <c r="G752" s="500"/>
    </row>
    <row r="753" spans="1:7" ht="14.25" customHeight="1" x14ac:dyDescent="0.25">
      <c r="A753" s="500"/>
      <c r="B753" s="582" t="s">
        <v>1881</v>
      </c>
      <c r="C753" s="508" t="s">
        <v>3964</v>
      </c>
      <c r="D753" s="1179" t="s">
        <v>3974</v>
      </c>
      <c r="E753" s="1179" t="s">
        <v>3973</v>
      </c>
      <c r="F753" s="500"/>
      <c r="G753" s="500"/>
    </row>
    <row r="754" spans="1:7" ht="14.25" customHeight="1" x14ac:dyDescent="0.25">
      <c r="A754" s="500"/>
      <c r="B754" s="582" t="s">
        <v>4617</v>
      </c>
      <c r="C754" s="508" t="s">
        <v>2060</v>
      </c>
      <c r="D754" s="496" t="s">
        <v>2225</v>
      </c>
      <c r="E754" s="496" t="s">
        <v>2147</v>
      </c>
      <c r="F754" s="500"/>
      <c r="G754" s="500"/>
    </row>
    <row r="755" spans="1:7" s="1086" customFormat="1" ht="14.25" customHeight="1" x14ac:dyDescent="0.25">
      <c r="A755" s="1083"/>
      <c r="B755" s="1169" t="s">
        <v>4618</v>
      </c>
      <c r="C755" s="1085" t="s">
        <v>2076</v>
      </c>
      <c r="D755" s="1170" t="s">
        <v>2945</v>
      </c>
      <c r="E755" s="1085" t="s">
        <v>767</v>
      </c>
      <c r="F755" s="1083"/>
      <c r="G755" s="1083"/>
    </row>
    <row r="756" spans="1:7" s="1086" customFormat="1" ht="14.25" customHeight="1" x14ac:dyDescent="0.25">
      <c r="A756" s="1083"/>
      <c r="B756" s="1169" t="s">
        <v>4619</v>
      </c>
      <c r="C756" s="1085" t="s">
        <v>3933</v>
      </c>
      <c r="D756" s="1170" t="s">
        <v>2946</v>
      </c>
      <c r="E756" s="1085" t="s">
        <v>2954</v>
      </c>
      <c r="F756" s="1083"/>
      <c r="G756" s="1083"/>
    </row>
    <row r="757" spans="1:7" s="1086" customFormat="1" ht="14.25" customHeight="1" x14ac:dyDescent="0.25">
      <c r="A757" s="1083"/>
      <c r="B757" s="1169" t="s">
        <v>4620</v>
      </c>
      <c r="C757" s="1085" t="s">
        <v>2078</v>
      </c>
      <c r="D757" s="1170" t="s">
        <v>2947</v>
      </c>
      <c r="E757" s="1085" t="s">
        <v>800</v>
      </c>
      <c r="F757" s="1083"/>
      <c r="G757" s="1083"/>
    </row>
    <row r="758" spans="1:7" s="1086" customFormat="1" ht="14.25" customHeight="1" x14ac:dyDescent="0.25">
      <c r="A758" s="1083"/>
      <c r="B758" s="1169" t="s">
        <v>4621</v>
      </c>
      <c r="C758" s="1085" t="s">
        <v>2079</v>
      </c>
      <c r="D758" s="1171" t="s">
        <v>2948</v>
      </c>
      <c r="E758" s="1085" t="s">
        <v>3906</v>
      </c>
      <c r="F758" s="1083"/>
      <c r="G758" s="1083"/>
    </row>
    <row r="759" spans="1:7" s="1086" customFormat="1" ht="14.25" customHeight="1" x14ac:dyDescent="0.25">
      <c r="A759" s="1083"/>
      <c r="B759" s="1169" t="s">
        <v>4622</v>
      </c>
      <c r="C759" s="1085" t="s">
        <v>2080</v>
      </c>
      <c r="D759" s="1171" t="s">
        <v>2240</v>
      </c>
      <c r="E759" s="1085" t="s">
        <v>3907</v>
      </c>
      <c r="F759" s="1083"/>
      <c r="G759" s="1083"/>
    </row>
    <row r="760" spans="1:7" s="1086" customFormat="1" ht="14.25" customHeight="1" x14ac:dyDescent="0.25">
      <c r="A760" s="1083"/>
      <c r="B760" s="1169" t="s">
        <v>4623</v>
      </c>
      <c r="C760" s="1085" t="s">
        <v>2081</v>
      </c>
      <c r="D760" s="1170" t="s">
        <v>2083</v>
      </c>
      <c r="E760" s="1085" t="s">
        <v>769</v>
      </c>
      <c r="F760" s="1083"/>
      <c r="G760" s="1083"/>
    </row>
    <row r="761" spans="1:7" s="1086" customFormat="1" ht="14.25" customHeight="1" x14ac:dyDescent="0.25">
      <c r="A761" s="1083"/>
      <c r="B761" s="1169" t="s">
        <v>4624</v>
      </c>
      <c r="C761" s="1085" t="s">
        <v>3910</v>
      </c>
      <c r="D761" s="1169" t="s">
        <v>3909</v>
      </c>
      <c r="E761" s="1085" t="s">
        <v>3908</v>
      </c>
      <c r="F761" s="1083"/>
      <c r="G761" s="1083"/>
    </row>
    <row r="762" spans="1:7" s="1086" customFormat="1" ht="14.25" customHeight="1" x14ac:dyDescent="0.25">
      <c r="A762" s="1083"/>
      <c r="B762" s="1169" t="s">
        <v>4625</v>
      </c>
      <c r="C762" s="1085" t="s">
        <v>3913</v>
      </c>
      <c r="D762" s="1169" t="s">
        <v>3912</v>
      </c>
      <c r="E762" s="1085" t="s">
        <v>3911</v>
      </c>
      <c r="F762" s="1083"/>
      <c r="G762" s="1083"/>
    </row>
    <row r="763" spans="1:7" s="1086" customFormat="1" ht="14.25" customHeight="1" x14ac:dyDescent="0.25">
      <c r="A763" s="1083"/>
      <c r="B763" s="1169" t="s">
        <v>4626</v>
      </c>
      <c r="C763" s="1085" t="s">
        <v>2935</v>
      </c>
      <c r="D763" s="1170" t="s">
        <v>2949</v>
      </c>
      <c r="E763" s="1085" t="s">
        <v>2955</v>
      </c>
      <c r="F763" s="1083"/>
      <c r="G763" s="1083"/>
    </row>
    <row r="764" spans="1:7" s="1086" customFormat="1" ht="14.25" customHeight="1" x14ac:dyDescent="0.25">
      <c r="A764" s="1083"/>
      <c r="B764" s="1169" t="s">
        <v>4627</v>
      </c>
      <c r="C764" s="1085" t="s">
        <v>2936</v>
      </c>
      <c r="D764" s="1170" t="s">
        <v>2950</v>
      </c>
      <c r="E764" s="1085" t="s">
        <v>2956</v>
      </c>
      <c r="F764" s="1083"/>
      <c r="G764" s="1083"/>
    </row>
    <row r="765" spans="1:7" s="1086" customFormat="1" ht="14.25" customHeight="1" x14ac:dyDescent="0.25">
      <c r="A765" s="1083"/>
      <c r="B765" s="1169" t="s">
        <v>4628</v>
      </c>
      <c r="C765" s="1085" t="s">
        <v>2937</v>
      </c>
      <c r="D765" s="1170" t="s">
        <v>2951</v>
      </c>
      <c r="E765" s="1085" t="s">
        <v>2957</v>
      </c>
      <c r="F765" s="1083"/>
      <c r="G765" s="1083"/>
    </row>
    <row r="766" spans="1:7" s="1086" customFormat="1" ht="14.25" customHeight="1" x14ac:dyDescent="0.25">
      <c r="A766" s="1083"/>
      <c r="B766" s="1169" t="s">
        <v>4629</v>
      </c>
      <c r="C766" s="1085" t="s">
        <v>3916</v>
      </c>
      <c r="D766" s="1169" t="s">
        <v>3914</v>
      </c>
      <c r="E766" s="1085" t="s">
        <v>3915</v>
      </c>
      <c r="F766" s="1083"/>
      <c r="G766" s="1083"/>
    </row>
    <row r="767" spans="1:7" s="1086" customFormat="1" ht="14.25" customHeight="1" x14ac:dyDescent="0.25">
      <c r="A767" s="1083"/>
      <c r="B767" s="1169" t="s">
        <v>4630</v>
      </c>
      <c r="C767" s="1085" t="s">
        <v>1908</v>
      </c>
      <c r="D767" s="1170" t="s">
        <v>2952</v>
      </c>
      <c r="E767" s="1085" t="s">
        <v>1905</v>
      </c>
      <c r="F767" s="1083"/>
      <c r="G767" s="1083"/>
    </row>
    <row r="768" spans="1:7" s="1086" customFormat="1" ht="14.25" customHeight="1" x14ac:dyDescent="0.25">
      <c r="A768" s="1083"/>
      <c r="B768" s="1169" t="s">
        <v>4631</v>
      </c>
      <c r="C768" s="1085" t="s">
        <v>2937</v>
      </c>
      <c r="D768" s="1170" t="s">
        <v>2951</v>
      </c>
      <c r="E768" s="1085" t="s">
        <v>2957</v>
      </c>
      <c r="F768" s="1083"/>
      <c r="G768" s="1083"/>
    </row>
    <row r="769" spans="1:7" s="1086" customFormat="1" ht="14.25" customHeight="1" x14ac:dyDescent="0.25">
      <c r="A769" s="1083"/>
      <c r="B769" s="1169" t="s">
        <v>4632</v>
      </c>
      <c r="C769" s="1085" t="s">
        <v>2938</v>
      </c>
      <c r="D769" s="1170" t="s">
        <v>1909</v>
      </c>
      <c r="E769" s="1085" t="s">
        <v>1906</v>
      </c>
      <c r="F769" s="1083"/>
      <c r="G769" s="1083"/>
    </row>
    <row r="770" spans="1:7" s="1086" customFormat="1" ht="14.25" customHeight="1" x14ac:dyDescent="0.25">
      <c r="A770" s="1083"/>
      <c r="B770" s="1169" t="s">
        <v>4633</v>
      </c>
      <c r="C770" s="1085" t="s">
        <v>2082</v>
      </c>
      <c r="D770" s="1170" t="s">
        <v>1907</v>
      </c>
      <c r="E770" s="1085" t="s">
        <v>1907</v>
      </c>
      <c r="F770" s="1083"/>
      <c r="G770" s="1083"/>
    </row>
    <row r="771" spans="1:7" s="1086" customFormat="1" ht="14.25" customHeight="1" x14ac:dyDescent="0.25">
      <c r="A771" s="1083"/>
      <c r="B771" s="1169" t="s">
        <v>4634</v>
      </c>
      <c r="C771" s="1085" t="s">
        <v>2939</v>
      </c>
      <c r="D771" s="1085" t="s">
        <v>2085</v>
      </c>
      <c r="E771" s="1085" t="s">
        <v>2085</v>
      </c>
      <c r="F771" s="1083"/>
      <c r="G771" s="1083"/>
    </row>
    <row r="772" spans="1:7" s="1086" customFormat="1" ht="14.25" customHeight="1" x14ac:dyDescent="0.25">
      <c r="A772" s="1083"/>
      <c r="B772" s="1169" t="s">
        <v>4635</v>
      </c>
      <c r="C772" s="1085" t="s">
        <v>2940</v>
      </c>
      <c r="D772" s="1085" t="s">
        <v>2086</v>
      </c>
      <c r="E772" s="1085" t="s">
        <v>2086</v>
      </c>
      <c r="F772" s="1083"/>
      <c r="G772" s="1083"/>
    </row>
    <row r="773" spans="1:7" s="1086" customFormat="1" ht="14.25" customHeight="1" x14ac:dyDescent="0.25">
      <c r="A773" s="1083"/>
      <c r="B773" s="1169" t="s">
        <v>4636</v>
      </c>
      <c r="C773" s="1085" t="s">
        <v>2941</v>
      </c>
      <c r="D773" s="1085" t="s">
        <v>2087</v>
      </c>
      <c r="E773" s="1085" t="s">
        <v>2087</v>
      </c>
      <c r="F773" s="1083"/>
      <c r="G773" s="1083"/>
    </row>
    <row r="774" spans="1:7" s="1086" customFormat="1" ht="14.25" customHeight="1" x14ac:dyDescent="0.25">
      <c r="A774" s="1083"/>
      <c r="B774" s="1169" t="s">
        <v>4637</v>
      </c>
      <c r="C774" s="1085" t="s">
        <v>2942</v>
      </c>
      <c r="D774" s="1085" t="s">
        <v>2088</v>
      </c>
      <c r="E774" s="1085" t="s">
        <v>2088</v>
      </c>
      <c r="F774" s="1083"/>
      <c r="G774" s="1083"/>
    </row>
    <row r="775" spans="1:7" s="1086" customFormat="1" ht="14.25" customHeight="1" x14ac:dyDescent="0.25">
      <c r="A775" s="1083"/>
      <c r="B775" s="1169" t="s">
        <v>4638</v>
      </c>
      <c r="C775" s="1085" t="s">
        <v>2943</v>
      </c>
      <c r="D775" s="1085" t="s">
        <v>2084</v>
      </c>
      <c r="E775" s="1085" t="s">
        <v>2084</v>
      </c>
      <c r="F775" s="1083"/>
      <c r="G775" s="1083"/>
    </row>
    <row r="776" spans="1:7" s="1086" customFormat="1" ht="14.25" customHeight="1" x14ac:dyDescent="0.25">
      <c r="A776" s="1083"/>
      <c r="B776" s="1169" t="s">
        <v>4639</v>
      </c>
      <c r="C776" s="1085" t="s">
        <v>2077</v>
      </c>
      <c r="D776" s="1170" t="s">
        <v>2953</v>
      </c>
      <c r="E776" s="1085" t="s">
        <v>768</v>
      </c>
      <c r="F776" s="1083"/>
      <c r="G776" s="1083"/>
    </row>
    <row r="777" spans="1:7" s="1086" customFormat="1" ht="14.25" customHeight="1" x14ac:dyDescent="0.25">
      <c r="A777" s="1083"/>
      <c r="B777" s="1169" t="s">
        <v>4640</v>
      </c>
      <c r="C777" s="1085" t="s">
        <v>3917</v>
      </c>
      <c r="D777" s="1174" t="s">
        <v>3918</v>
      </c>
      <c r="E777" s="1085" t="s">
        <v>3919</v>
      </c>
      <c r="F777" s="1083"/>
      <c r="G777" s="1083"/>
    </row>
    <row r="778" spans="1:7" s="1086" customFormat="1" ht="14.25" customHeight="1" x14ac:dyDescent="0.25">
      <c r="A778" s="1083"/>
      <c r="B778" s="1169" t="s">
        <v>4641</v>
      </c>
      <c r="C778" s="1085" t="s">
        <v>2944</v>
      </c>
      <c r="D778" s="1169" t="s">
        <v>3920</v>
      </c>
      <c r="E778" s="1085" t="s">
        <v>770</v>
      </c>
      <c r="F778" s="1083"/>
      <c r="G778" s="1083"/>
    </row>
    <row r="779" spans="1:7" s="1086" customFormat="1" ht="14.25" customHeight="1" x14ac:dyDescent="0.25">
      <c r="A779" s="1083"/>
      <c r="B779" s="1169" t="s">
        <v>4642</v>
      </c>
      <c r="C779" s="1085" t="s">
        <v>1910</v>
      </c>
      <c r="D779" s="1172" t="s">
        <v>1911</v>
      </c>
      <c r="E779" s="1085" t="s">
        <v>771</v>
      </c>
      <c r="F779" s="1083"/>
      <c r="G779" s="1083"/>
    </row>
    <row r="780" spans="1:7" s="1086" customFormat="1" ht="14.25" customHeight="1" x14ac:dyDescent="0.25">
      <c r="A780" s="1083"/>
      <c r="B780" s="1169" t="s">
        <v>4643</v>
      </c>
      <c r="C780" s="1173" t="s">
        <v>3940</v>
      </c>
      <c r="D780" s="1174" t="s">
        <v>3941</v>
      </c>
      <c r="E780" s="1174" t="s">
        <v>3934</v>
      </c>
      <c r="F780" s="1083"/>
      <c r="G780" s="1083"/>
    </row>
    <row r="781" spans="1:7" s="1086" customFormat="1" ht="14.25" customHeight="1" x14ac:dyDescent="0.25">
      <c r="A781" s="1083"/>
      <c r="B781" s="1169" t="s">
        <v>4644</v>
      </c>
      <c r="C781" s="1085" t="s">
        <v>3935</v>
      </c>
      <c r="D781" s="1174" t="s">
        <v>3930</v>
      </c>
      <c r="E781" s="1084" t="s">
        <v>3921</v>
      </c>
      <c r="F781" s="1083"/>
      <c r="G781" s="1083"/>
    </row>
    <row r="782" spans="1:7" s="1086" customFormat="1" ht="14.25" customHeight="1" x14ac:dyDescent="0.25">
      <c r="A782" s="1083"/>
      <c r="B782" s="1169" t="s">
        <v>4645</v>
      </c>
      <c r="C782" s="1085" t="s">
        <v>3936</v>
      </c>
      <c r="D782" s="1175" t="s">
        <v>3932</v>
      </c>
      <c r="E782" s="1084" t="s">
        <v>3922</v>
      </c>
      <c r="F782" s="1083"/>
      <c r="G782" s="1083"/>
    </row>
    <row r="783" spans="1:7" s="1086" customFormat="1" ht="14.25" customHeight="1" x14ac:dyDescent="0.25">
      <c r="A783" s="1083"/>
      <c r="B783" s="1169" t="s">
        <v>4646</v>
      </c>
      <c r="C783" s="1085" t="s">
        <v>3937</v>
      </c>
      <c r="D783" s="1174" t="s">
        <v>3938</v>
      </c>
      <c r="E783" s="1084" t="s">
        <v>3923</v>
      </c>
      <c r="F783" s="1083"/>
      <c r="G783" s="1083"/>
    </row>
    <row r="784" spans="1:7" s="1086" customFormat="1" ht="14.25" customHeight="1" x14ac:dyDescent="0.25">
      <c r="A784" s="1083"/>
      <c r="B784" s="1169" t="s">
        <v>4647</v>
      </c>
      <c r="C784" s="1085" t="s">
        <v>3939</v>
      </c>
      <c r="D784" s="1175" t="s">
        <v>3931</v>
      </c>
      <c r="E784" s="1084" t="s">
        <v>3924</v>
      </c>
      <c r="F784" s="1083"/>
      <c r="G784" s="1083"/>
    </row>
    <row r="785" spans="1:7" s="1086" customFormat="1" ht="14.25" customHeight="1" x14ac:dyDescent="0.25">
      <c r="A785" s="1083"/>
      <c r="B785" s="1169" t="s">
        <v>4648</v>
      </c>
      <c r="C785" s="1085" t="s">
        <v>3943</v>
      </c>
      <c r="D785" s="1175" t="s">
        <v>3944</v>
      </c>
      <c r="E785" s="1084" t="s">
        <v>3945</v>
      </c>
      <c r="F785" s="1083"/>
      <c r="G785" s="1083"/>
    </row>
    <row r="786" spans="1:7" ht="14.25" customHeight="1" x14ac:dyDescent="0.25">
      <c r="A786" s="500"/>
      <c r="B786" s="500"/>
      <c r="C786" s="500"/>
      <c r="D786" s="500"/>
      <c r="E786" s="500"/>
      <c r="F786" s="500"/>
      <c r="G786" s="500"/>
    </row>
    <row r="787" spans="1:7" ht="14.25" customHeight="1" x14ac:dyDescent="0.25">
      <c r="A787" s="500"/>
      <c r="B787" s="500"/>
      <c r="C787" s="500"/>
      <c r="D787" s="500"/>
      <c r="E787" s="500"/>
      <c r="F787" s="500"/>
      <c r="G787" s="500"/>
    </row>
    <row r="788" spans="1:7" ht="14.25" customHeight="1" x14ac:dyDescent="0.25">
      <c r="A788" s="500"/>
      <c r="B788" s="505" t="s">
        <v>1861</v>
      </c>
      <c r="C788" s="505" t="s">
        <v>265</v>
      </c>
      <c r="D788" s="505" t="s">
        <v>548</v>
      </c>
      <c r="E788" s="505" t="s">
        <v>17</v>
      </c>
      <c r="F788" s="500"/>
      <c r="G788" s="500"/>
    </row>
    <row r="789" spans="1:7" ht="14.25" customHeight="1" x14ac:dyDescent="0.25">
      <c r="A789" s="500"/>
      <c r="B789" s="500"/>
      <c r="C789" s="500"/>
      <c r="D789" s="500"/>
      <c r="E789" s="500"/>
      <c r="F789" s="500"/>
      <c r="G789" s="500"/>
    </row>
    <row r="790" spans="1:7" ht="14.25" customHeight="1" x14ac:dyDescent="0.25">
      <c r="A790" s="500"/>
      <c r="B790" s="509" t="s">
        <v>1862</v>
      </c>
      <c r="C790" s="496" t="s">
        <v>395</v>
      </c>
      <c r="D790" s="496" t="s">
        <v>549</v>
      </c>
      <c r="E790" s="654" t="s">
        <v>579</v>
      </c>
      <c r="F790" s="500"/>
      <c r="G790" s="500"/>
    </row>
    <row r="791" spans="1:7" ht="14.25" customHeight="1" x14ac:dyDescent="0.25">
      <c r="A791" s="500"/>
      <c r="B791" s="533" t="s">
        <v>1863</v>
      </c>
      <c r="C791" s="496" t="s">
        <v>726</v>
      </c>
      <c r="D791" s="496" t="s">
        <v>503</v>
      </c>
      <c r="E791" s="496" t="s">
        <v>502</v>
      </c>
      <c r="F791" s="500"/>
      <c r="G791" s="500"/>
    </row>
    <row r="792" spans="1:7" ht="14.25" customHeight="1" x14ac:dyDescent="0.25">
      <c r="A792" s="500"/>
      <c r="B792" s="508" t="s">
        <v>1864</v>
      </c>
      <c r="C792" s="582" t="s">
        <v>2026</v>
      </c>
      <c r="D792" s="582" t="s">
        <v>2027</v>
      </c>
      <c r="E792" s="508" t="s">
        <v>2028</v>
      </c>
      <c r="F792" s="500"/>
      <c r="G792" s="500"/>
    </row>
    <row r="793" spans="1:7" ht="14.25" customHeight="1" x14ac:dyDescent="0.25">
      <c r="A793" s="500"/>
      <c r="B793" s="508" t="s">
        <v>1865</v>
      </c>
      <c r="C793" s="496" t="s">
        <v>263</v>
      </c>
      <c r="D793" s="1247" t="s">
        <v>4969</v>
      </c>
      <c r="E793" s="508" t="s">
        <v>558</v>
      </c>
      <c r="F793" s="500"/>
      <c r="G793" s="500"/>
    </row>
    <row r="794" spans="1:7" ht="14.25" customHeight="1" x14ac:dyDescent="0.25">
      <c r="A794" s="500"/>
      <c r="B794" s="508" t="s">
        <v>1866</v>
      </c>
      <c r="C794" s="508" t="s">
        <v>3207</v>
      </c>
      <c r="D794" s="920" t="s">
        <v>3205</v>
      </c>
      <c r="E794" s="508" t="s">
        <v>3209</v>
      </c>
      <c r="F794" s="500"/>
      <c r="G794" s="500"/>
    </row>
    <row r="795" spans="1:7" ht="14.25" customHeight="1" x14ac:dyDescent="0.25">
      <c r="A795" s="500"/>
      <c r="B795" s="508" t="s">
        <v>1867</v>
      </c>
      <c r="C795" s="508" t="s">
        <v>3206</v>
      </c>
      <c r="D795" s="920" t="s">
        <v>3208</v>
      </c>
      <c r="E795" s="508" t="s">
        <v>3210</v>
      </c>
      <c r="F795" s="500"/>
      <c r="G795" s="500"/>
    </row>
    <row r="796" spans="1:7" ht="14.25" customHeight="1" x14ac:dyDescent="0.25">
      <c r="A796" s="500"/>
      <c r="B796" s="508" t="s">
        <v>1868</v>
      </c>
      <c r="C796" s="496" t="s">
        <v>528</v>
      </c>
      <c r="D796" s="496" t="s">
        <v>527</v>
      </c>
      <c r="E796" s="496" t="s">
        <v>78</v>
      </c>
      <c r="F796" s="500"/>
      <c r="G796" s="500"/>
    </row>
    <row r="797" spans="1:7" ht="14.25" customHeight="1" x14ac:dyDescent="0.25">
      <c r="A797" s="500"/>
      <c r="B797" s="508" t="s">
        <v>1869</v>
      </c>
      <c r="C797" s="508" t="s">
        <v>470</v>
      </c>
      <c r="D797" s="508" t="s">
        <v>553</v>
      </c>
      <c r="E797" s="508" t="s">
        <v>469</v>
      </c>
      <c r="F797" s="500"/>
      <c r="G797" s="500"/>
    </row>
    <row r="798" spans="1:7" ht="14.25" customHeight="1" x14ac:dyDescent="0.25">
      <c r="A798" s="500"/>
      <c r="B798" s="508" t="s">
        <v>1870</v>
      </c>
      <c r="C798" s="496" t="s">
        <v>686</v>
      </c>
      <c r="D798" s="496" t="s">
        <v>687</v>
      </c>
      <c r="E798" s="496" t="s">
        <v>584</v>
      </c>
      <c r="F798" s="500"/>
      <c r="G798" s="500"/>
    </row>
    <row r="799" spans="1:7" ht="14.25" customHeight="1" x14ac:dyDescent="0.25">
      <c r="A799" s="500"/>
      <c r="B799" s="508" t="s">
        <v>1871</v>
      </c>
      <c r="C799" s="508" t="s">
        <v>3132</v>
      </c>
      <c r="D799" s="508" t="s">
        <v>3133</v>
      </c>
      <c r="E799" s="496" t="s">
        <v>585</v>
      </c>
      <c r="F799" s="500"/>
      <c r="G799" s="500"/>
    </row>
    <row r="800" spans="1:7" ht="14.25" customHeight="1" x14ac:dyDescent="0.25">
      <c r="A800" s="500"/>
      <c r="B800" s="508" t="s">
        <v>1872</v>
      </c>
      <c r="C800" s="656" t="s">
        <v>3795</v>
      </c>
      <c r="D800" s="656" t="s">
        <v>3796</v>
      </c>
      <c r="E800" s="1116" t="s">
        <v>3797</v>
      </c>
      <c r="F800" s="500"/>
      <c r="G800" s="500"/>
    </row>
    <row r="801" spans="1:7" ht="14.25" customHeight="1" x14ac:dyDescent="0.25">
      <c r="A801" s="500"/>
      <c r="B801" s="500"/>
      <c r="C801" s="500"/>
      <c r="D801" s="500"/>
      <c r="E801" s="500"/>
      <c r="F801" s="500"/>
      <c r="G801" s="500"/>
    </row>
    <row r="802" spans="1:7" ht="14.25" customHeight="1" x14ac:dyDescent="0.25">
      <c r="A802" s="500"/>
      <c r="B802" s="500"/>
      <c r="C802" s="500"/>
      <c r="D802" s="500"/>
      <c r="E802" s="500"/>
      <c r="F802" s="500"/>
      <c r="G802" s="500"/>
    </row>
    <row r="803" spans="1:7" ht="14.25" customHeight="1" x14ac:dyDescent="0.25">
      <c r="B803" s="505" t="s">
        <v>1440</v>
      </c>
      <c r="C803" s="505" t="s">
        <v>3289</v>
      </c>
      <c r="D803" s="505" t="s">
        <v>3290</v>
      </c>
      <c r="E803" s="505" t="s">
        <v>3291</v>
      </c>
    </row>
    <row r="804" spans="1:7" ht="14.25" customHeight="1" x14ac:dyDescent="0.25"/>
    <row r="805" spans="1:7" ht="14.25" customHeight="1" x14ac:dyDescent="0.25">
      <c r="B805" s="899" t="s">
        <v>1441</v>
      </c>
      <c r="C805" s="836" t="s">
        <v>2786</v>
      </c>
      <c r="D805" s="836" t="s">
        <v>2787</v>
      </c>
      <c r="E805" s="836" t="s">
        <v>2788</v>
      </c>
    </row>
    <row r="806" spans="1:7" ht="14.25" customHeight="1" x14ac:dyDescent="0.25">
      <c r="B806" s="509" t="s">
        <v>1442</v>
      </c>
      <c r="C806" s="508" t="s">
        <v>1721</v>
      </c>
      <c r="D806" s="496" t="s">
        <v>2226</v>
      </c>
      <c r="E806" s="496" t="s">
        <v>2148</v>
      </c>
    </row>
    <row r="807" spans="1:7" ht="14.25" customHeight="1" x14ac:dyDescent="0.25">
      <c r="B807" s="509" t="s">
        <v>1443</v>
      </c>
      <c r="C807" s="508" t="s">
        <v>1722</v>
      </c>
      <c r="D807" s="496" t="s">
        <v>2227</v>
      </c>
      <c r="E807" s="508" t="s">
        <v>2149</v>
      </c>
    </row>
    <row r="808" spans="1:7" ht="14.25" customHeight="1" x14ac:dyDescent="0.25">
      <c r="B808" s="496" t="s">
        <v>1444</v>
      </c>
      <c r="C808" s="508" t="s">
        <v>1723</v>
      </c>
      <c r="D808" s="496" t="s">
        <v>2228</v>
      </c>
      <c r="E808" s="508" t="s">
        <v>2150</v>
      </c>
    </row>
    <row r="809" spans="1:7" ht="14.25" customHeight="1" x14ac:dyDescent="0.25">
      <c r="B809" s="496" t="s">
        <v>1445</v>
      </c>
      <c r="C809" s="508" t="s">
        <v>1724</v>
      </c>
      <c r="D809" s="496" t="s">
        <v>2229</v>
      </c>
      <c r="E809" s="508" t="s">
        <v>2151</v>
      </c>
    </row>
    <row r="810" spans="1:7" ht="14.25" customHeight="1" x14ac:dyDescent="0.25">
      <c r="B810" s="496" t="s">
        <v>1446</v>
      </c>
      <c r="C810" s="508" t="s">
        <v>1725</v>
      </c>
      <c r="D810" s="496" t="s">
        <v>2230</v>
      </c>
      <c r="E810" s="508" t="s">
        <v>2152</v>
      </c>
    </row>
    <row r="811" spans="1:7" ht="14.25" customHeight="1" x14ac:dyDescent="0.25">
      <c r="B811" s="1022" t="s">
        <v>1447</v>
      </c>
      <c r="C811" s="508" t="s">
        <v>1728</v>
      </c>
      <c r="D811" s="496" t="s">
        <v>2231</v>
      </c>
      <c r="E811" s="508" t="s">
        <v>3283</v>
      </c>
    </row>
    <row r="812" spans="1:7" ht="14.25" customHeight="1" x14ac:dyDescent="0.25">
      <c r="B812" s="496" t="s">
        <v>1448</v>
      </c>
      <c r="C812" s="508" t="s">
        <v>1970</v>
      </c>
      <c r="D812" s="496" t="s">
        <v>2232</v>
      </c>
      <c r="E812" s="508" t="s">
        <v>2153</v>
      </c>
    </row>
    <row r="813" spans="1:7" ht="14.25" customHeight="1" x14ac:dyDescent="0.25">
      <c r="B813" s="496" t="s">
        <v>1449</v>
      </c>
      <c r="C813" s="508" t="s">
        <v>2044</v>
      </c>
      <c r="D813" s="782" t="s">
        <v>2763</v>
      </c>
      <c r="E813" s="508" t="s">
        <v>3284</v>
      </c>
    </row>
    <row r="814" spans="1:7" ht="14.25" customHeight="1" x14ac:dyDescent="0.25">
      <c r="B814" s="496" t="s">
        <v>1450</v>
      </c>
      <c r="C814" s="508" t="s">
        <v>2045</v>
      </c>
      <c r="D814" s="782" t="s">
        <v>2764</v>
      </c>
      <c r="E814" s="508" t="s">
        <v>3285</v>
      </c>
    </row>
    <row r="815" spans="1:7" ht="14.25" customHeight="1" x14ac:dyDescent="0.25">
      <c r="B815" s="496" t="s">
        <v>1451</v>
      </c>
      <c r="C815" s="508" t="s">
        <v>2046</v>
      </c>
      <c r="D815" s="782" t="s">
        <v>2765</v>
      </c>
      <c r="E815" s="508" t="s">
        <v>3286</v>
      </c>
    </row>
    <row r="816" spans="1:7" ht="14.25" customHeight="1" x14ac:dyDescent="0.25">
      <c r="B816" s="496" t="s">
        <v>1876</v>
      </c>
      <c r="C816" s="508" t="s">
        <v>3266</v>
      </c>
      <c r="D816" s="782" t="s">
        <v>3267</v>
      </c>
      <c r="E816" s="508" t="s">
        <v>3268</v>
      </c>
    </row>
    <row r="817" spans="2:5" ht="14.25" customHeight="1" x14ac:dyDescent="0.25">
      <c r="B817" s="496" t="s">
        <v>2007</v>
      </c>
      <c r="C817" s="508" t="s">
        <v>2250</v>
      </c>
      <c r="D817" s="782" t="s">
        <v>2762</v>
      </c>
      <c r="E817" s="508" t="s">
        <v>2154</v>
      </c>
    </row>
    <row r="818" spans="2:5" ht="14.25" customHeight="1" x14ac:dyDescent="0.25">
      <c r="B818" s="496" t="s">
        <v>2008</v>
      </c>
      <c r="C818" s="508" t="s">
        <v>2251</v>
      </c>
      <c r="D818" s="782" t="s">
        <v>2766</v>
      </c>
      <c r="E818" s="508" t="s">
        <v>2155</v>
      </c>
    </row>
    <row r="819" spans="2:5" ht="14.25" customHeight="1" x14ac:dyDescent="0.25">
      <c r="B819" s="496" t="s">
        <v>2009</v>
      </c>
      <c r="C819" s="508" t="s">
        <v>2252</v>
      </c>
      <c r="D819" s="782" t="s">
        <v>2767</v>
      </c>
      <c r="E819" s="508" t="s">
        <v>2156</v>
      </c>
    </row>
    <row r="820" spans="2:5" ht="14.25" customHeight="1" x14ac:dyDescent="0.25">
      <c r="B820" s="496" t="s">
        <v>2010</v>
      </c>
      <c r="C820" s="508" t="s">
        <v>3278</v>
      </c>
      <c r="D820" s="783" t="s">
        <v>3279</v>
      </c>
      <c r="E820" s="508" t="s">
        <v>3280</v>
      </c>
    </row>
    <row r="821" spans="2:5" ht="14.25" customHeight="1" x14ac:dyDescent="0.25">
      <c r="B821" s="496" t="s">
        <v>2011</v>
      </c>
      <c r="C821" s="508" t="s">
        <v>2043</v>
      </c>
      <c r="D821" s="496" t="s">
        <v>2233</v>
      </c>
      <c r="E821" s="508" t="s">
        <v>2157</v>
      </c>
    </row>
    <row r="822" spans="2:5" ht="14.25" customHeight="1" x14ac:dyDescent="0.25">
      <c r="B822" s="496" t="s">
        <v>2012</v>
      </c>
      <c r="C822" s="508" t="s">
        <v>2253</v>
      </c>
      <c r="D822" s="782" t="s">
        <v>2768</v>
      </c>
      <c r="E822" s="508" t="s">
        <v>2158</v>
      </c>
    </row>
    <row r="823" spans="2:5" ht="14.25" customHeight="1" x14ac:dyDescent="0.25">
      <c r="B823" s="496" t="s">
        <v>2013</v>
      </c>
      <c r="C823" s="508" t="s">
        <v>1729</v>
      </c>
      <c r="D823" s="496" t="s">
        <v>2234</v>
      </c>
      <c r="E823" s="508" t="s">
        <v>2159</v>
      </c>
    </row>
    <row r="824" spans="2:5" ht="14.25" customHeight="1" x14ac:dyDescent="0.25">
      <c r="B824" s="496" t="s">
        <v>2014</v>
      </c>
      <c r="C824" s="508" t="s">
        <v>1894</v>
      </c>
      <c r="D824" s="496" t="s">
        <v>2235</v>
      </c>
      <c r="E824" s="508" t="s">
        <v>2160</v>
      </c>
    </row>
    <row r="825" spans="2:5" ht="14.25" customHeight="1" x14ac:dyDescent="0.25">
      <c r="B825" s="496" t="s">
        <v>2502</v>
      </c>
      <c r="C825" s="508" t="s">
        <v>1895</v>
      </c>
      <c r="D825" s="496" t="s">
        <v>2236</v>
      </c>
      <c r="E825" s="508" t="s">
        <v>2161</v>
      </c>
    </row>
    <row r="826" spans="2:5" ht="14.25" customHeight="1" x14ac:dyDescent="0.25">
      <c r="B826" s="496" t="s">
        <v>3111</v>
      </c>
      <c r="C826" s="508" t="s">
        <v>1896</v>
      </c>
      <c r="D826" s="496" t="s">
        <v>2237</v>
      </c>
      <c r="E826" s="508" t="s">
        <v>2162</v>
      </c>
    </row>
    <row r="827" spans="2:5" ht="14.25" customHeight="1" x14ac:dyDescent="0.25">
      <c r="B827" s="496" t="s">
        <v>3112</v>
      </c>
      <c r="C827" s="508" t="s">
        <v>1897</v>
      </c>
      <c r="D827" s="496" t="s">
        <v>2238</v>
      </c>
      <c r="E827" s="508" t="s">
        <v>2163</v>
      </c>
    </row>
    <row r="828" spans="2:5" ht="14.25" customHeight="1" x14ac:dyDescent="0.25">
      <c r="B828" s="496" t="s">
        <v>3113</v>
      </c>
      <c r="C828" s="508" t="s">
        <v>1726</v>
      </c>
      <c r="D828" s="682" t="s">
        <v>2239</v>
      </c>
      <c r="E828" s="508" t="s">
        <v>2164</v>
      </c>
    </row>
    <row r="829" spans="2:5" ht="14.25" customHeight="1" x14ac:dyDescent="0.25">
      <c r="B829" s="496" t="s">
        <v>3114</v>
      </c>
      <c r="C829" s="508" t="s">
        <v>1892</v>
      </c>
      <c r="D829" s="683" t="s">
        <v>2456</v>
      </c>
      <c r="E829" s="508" t="s">
        <v>2165</v>
      </c>
    </row>
    <row r="830" spans="2:5" ht="14.25" customHeight="1" x14ac:dyDescent="0.25">
      <c r="B830" s="496" t="s">
        <v>3115</v>
      </c>
      <c r="C830" s="508" t="s">
        <v>1893</v>
      </c>
      <c r="D830" s="683" t="s">
        <v>2457</v>
      </c>
      <c r="E830" s="508" t="s">
        <v>2166</v>
      </c>
    </row>
    <row r="831" spans="2:5" ht="14.25" customHeight="1" x14ac:dyDescent="0.25">
      <c r="B831" s="496" t="s">
        <v>4649</v>
      </c>
      <c r="C831" s="508" t="s">
        <v>3148</v>
      </c>
      <c r="D831" s="518" t="s">
        <v>3219</v>
      </c>
      <c r="E831" s="518" t="s">
        <v>3149</v>
      </c>
    </row>
    <row r="832" spans="2:5" ht="14.25" customHeight="1" x14ac:dyDescent="0.25">
      <c r="B832" s="496" t="s">
        <v>4650</v>
      </c>
      <c r="C832" s="508" t="s">
        <v>3150</v>
      </c>
      <c r="D832" s="508" t="s">
        <v>3154</v>
      </c>
      <c r="E832" s="508" t="s">
        <v>3157</v>
      </c>
    </row>
    <row r="833" spans="2:5" ht="14.25" customHeight="1" x14ac:dyDescent="0.25">
      <c r="B833" s="496" t="s">
        <v>4651</v>
      </c>
      <c r="C833" s="508" t="s">
        <v>3151</v>
      </c>
      <c r="D833" s="508" t="s">
        <v>3220</v>
      </c>
      <c r="E833" s="508" t="s">
        <v>3158</v>
      </c>
    </row>
    <row r="834" spans="2:5" ht="14.25" customHeight="1" x14ac:dyDescent="0.25">
      <c r="B834" s="496" t="s">
        <v>4652</v>
      </c>
      <c r="C834" s="508" t="s">
        <v>3152</v>
      </c>
      <c r="D834" s="508" t="s">
        <v>3155</v>
      </c>
      <c r="E834" s="508" t="s">
        <v>3159</v>
      </c>
    </row>
    <row r="835" spans="2:5" ht="14.25" customHeight="1" x14ac:dyDescent="0.25">
      <c r="B835" s="496" t="s">
        <v>4653</v>
      </c>
      <c r="C835" s="508" t="s">
        <v>3153</v>
      </c>
      <c r="D835" s="508" t="s">
        <v>3156</v>
      </c>
      <c r="E835" s="508" t="s">
        <v>3160</v>
      </c>
    </row>
    <row r="836" spans="2:5" ht="14.25" customHeight="1" x14ac:dyDescent="0.25">
      <c r="B836" s="496" t="s">
        <v>4654</v>
      </c>
      <c r="C836" s="508" t="s">
        <v>3102</v>
      </c>
      <c r="D836" s="508" t="s">
        <v>3221</v>
      </c>
      <c r="E836" s="508" t="s">
        <v>3131</v>
      </c>
    </row>
    <row r="837" spans="2:5" ht="14.25" customHeight="1" x14ac:dyDescent="0.25">
      <c r="B837" s="496" t="s">
        <v>4655</v>
      </c>
      <c r="C837" s="508" t="s">
        <v>2449</v>
      </c>
      <c r="D837" s="508" t="s">
        <v>2719</v>
      </c>
      <c r="E837" s="508" t="s">
        <v>2720</v>
      </c>
    </row>
    <row r="838" spans="2:5" ht="14.25" customHeight="1" x14ac:dyDescent="0.25">
      <c r="B838" s="496" t="s">
        <v>4656</v>
      </c>
      <c r="C838" s="508" t="s">
        <v>3103</v>
      </c>
      <c r="D838" s="508" t="s">
        <v>3222</v>
      </c>
      <c r="E838" s="508" t="s">
        <v>3130</v>
      </c>
    </row>
    <row r="839" spans="2:5" ht="14.25" customHeight="1" x14ac:dyDescent="0.25">
      <c r="B839" s="496" t="s">
        <v>4657</v>
      </c>
      <c r="C839" s="508" t="s">
        <v>3104</v>
      </c>
      <c r="D839" s="508" t="s">
        <v>3223</v>
      </c>
      <c r="E839" s="508" t="s">
        <v>3129</v>
      </c>
    </row>
    <row r="840" spans="2:5" ht="14.25" customHeight="1" x14ac:dyDescent="0.25"/>
    <row r="841" spans="2:5" ht="14.25" customHeight="1" x14ac:dyDescent="0.25"/>
    <row r="842" spans="2:5" ht="14.25" customHeight="1" x14ac:dyDescent="0.25">
      <c r="B842" s="505" t="s">
        <v>2005</v>
      </c>
      <c r="C842" s="505" t="s">
        <v>1976</v>
      </c>
      <c r="D842" s="505" t="s">
        <v>1977</v>
      </c>
      <c r="E842" s="505" t="s">
        <v>1978</v>
      </c>
    </row>
    <row r="843" spans="2:5" ht="14.25" customHeight="1" x14ac:dyDescent="0.25">
      <c r="B843" s="1194"/>
      <c r="C843" s="497"/>
      <c r="D843" s="497"/>
      <c r="E843" s="582"/>
    </row>
    <row r="844" spans="2:5" ht="14.25" customHeight="1" x14ac:dyDescent="0.25">
      <c r="B844" s="1194"/>
      <c r="C844" s="497"/>
      <c r="D844" s="497"/>
      <c r="E844" s="582"/>
    </row>
    <row r="845" spans="2:5" ht="14.25" customHeight="1" x14ac:dyDescent="0.25">
      <c r="B845" s="1226"/>
      <c r="C845" s="512"/>
      <c r="D845" s="512"/>
      <c r="E845" s="768"/>
    </row>
    <row r="846" spans="2:5" ht="14.25" customHeight="1" x14ac:dyDescent="0.25"/>
    <row r="847" spans="2:5" ht="14.25" customHeight="1" x14ac:dyDescent="0.25">
      <c r="B847" s="505" t="s">
        <v>1998</v>
      </c>
      <c r="C847" s="505" t="s">
        <v>1718</v>
      </c>
      <c r="D847" s="505" t="s">
        <v>1719</v>
      </c>
      <c r="E847" s="505" t="s">
        <v>1720</v>
      </c>
    </row>
    <row r="848" spans="2:5" ht="14.25" customHeight="1" x14ac:dyDescent="0.25"/>
    <row r="849" spans="2:5" ht="14.25" customHeight="1" x14ac:dyDescent="0.25">
      <c r="B849" s="556" t="s">
        <v>1999</v>
      </c>
      <c r="C849" s="497" t="s">
        <v>1530</v>
      </c>
      <c r="D849" s="497" t="s">
        <v>1555</v>
      </c>
      <c r="E849" s="497" t="s">
        <v>1542</v>
      </c>
    </row>
    <row r="850" spans="2:5" ht="14.25" customHeight="1" x14ac:dyDescent="0.25">
      <c r="B850" s="556" t="s">
        <v>2000</v>
      </c>
      <c r="C850" s="497" t="s">
        <v>1531</v>
      </c>
      <c r="D850" s="497" t="s">
        <v>1554</v>
      </c>
      <c r="E850" s="497" t="s">
        <v>1543</v>
      </c>
    </row>
    <row r="851" spans="2:5" ht="14.25" customHeight="1" x14ac:dyDescent="0.25">
      <c r="B851" s="556" t="s">
        <v>2001</v>
      </c>
      <c r="C851" s="497" t="s">
        <v>1532</v>
      </c>
      <c r="D851" s="497" t="s">
        <v>1556</v>
      </c>
      <c r="E851" s="497" t="s">
        <v>1544</v>
      </c>
    </row>
    <row r="852" spans="2:5" ht="14.25" customHeight="1" x14ac:dyDescent="0.25">
      <c r="B852" s="556" t="s">
        <v>2002</v>
      </c>
      <c r="C852" s="497" t="s">
        <v>1533</v>
      </c>
      <c r="D852" s="497" t="s">
        <v>1557</v>
      </c>
      <c r="E852" s="497" t="s">
        <v>1545</v>
      </c>
    </row>
    <row r="853" spans="2:5" ht="14.25" customHeight="1" x14ac:dyDescent="0.25">
      <c r="B853" s="556" t="s">
        <v>2003</v>
      </c>
      <c r="C853" s="497" t="s">
        <v>1536</v>
      </c>
      <c r="D853" s="497" t="s">
        <v>1558</v>
      </c>
      <c r="E853" s="497" t="s">
        <v>1546</v>
      </c>
    </row>
    <row r="854" spans="2:5" ht="14.25" customHeight="1" x14ac:dyDescent="0.25">
      <c r="B854" s="556" t="s">
        <v>3881</v>
      </c>
      <c r="C854" s="497" t="s">
        <v>1539</v>
      </c>
      <c r="D854" s="497" t="s">
        <v>1559</v>
      </c>
      <c r="E854" s="497" t="s">
        <v>1547</v>
      </c>
    </row>
    <row r="855" spans="2:5" ht="14.25" customHeight="1" x14ac:dyDescent="0.25">
      <c r="B855" s="556" t="s">
        <v>3882</v>
      </c>
      <c r="C855" s="497" t="s">
        <v>1534</v>
      </c>
      <c r="D855" s="497" t="s">
        <v>1560</v>
      </c>
      <c r="E855" s="497" t="s">
        <v>1548</v>
      </c>
    </row>
    <row r="856" spans="2:5" ht="14.25" customHeight="1" x14ac:dyDescent="0.25">
      <c r="B856" s="556" t="s">
        <v>3883</v>
      </c>
      <c r="C856" s="497" t="s">
        <v>1537</v>
      </c>
      <c r="D856" s="497" t="s">
        <v>1561</v>
      </c>
      <c r="E856" s="497" t="s">
        <v>1549</v>
      </c>
    </row>
    <row r="857" spans="2:5" ht="14.25" customHeight="1" x14ac:dyDescent="0.25">
      <c r="B857" s="556" t="s">
        <v>3884</v>
      </c>
      <c r="C857" s="497" t="s">
        <v>1540</v>
      </c>
      <c r="D857" s="497" t="s">
        <v>1562</v>
      </c>
      <c r="E857" s="497" t="s">
        <v>1550</v>
      </c>
    </row>
    <row r="858" spans="2:5" ht="14.25" customHeight="1" x14ac:dyDescent="0.25">
      <c r="B858" s="556" t="s">
        <v>3885</v>
      </c>
      <c r="C858" s="497" t="s">
        <v>1535</v>
      </c>
      <c r="D858" s="497" t="s">
        <v>1563</v>
      </c>
      <c r="E858" s="497" t="s">
        <v>1551</v>
      </c>
    </row>
    <row r="859" spans="2:5" ht="14.25" customHeight="1" x14ac:dyDescent="0.25">
      <c r="B859" s="556" t="s">
        <v>3886</v>
      </c>
      <c r="C859" s="497" t="s">
        <v>1538</v>
      </c>
      <c r="D859" s="497" t="s">
        <v>1564</v>
      </c>
      <c r="E859" s="497" t="s">
        <v>1552</v>
      </c>
    </row>
    <row r="860" spans="2:5" ht="14.25" customHeight="1" x14ac:dyDescent="0.25">
      <c r="B860" s="556" t="s">
        <v>3887</v>
      </c>
      <c r="C860" s="497" t="s">
        <v>1541</v>
      </c>
      <c r="D860" s="497" t="s">
        <v>1565</v>
      </c>
      <c r="E860" s="497" t="s">
        <v>1553</v>
      </c>
    </row>
    <row r="861" spans="2:5" ht="14.25" customHeight="1" x14ac:dyDescent="0.25">
      <c r="B861" s="556" t="s">
        <v>3888</v>
      </c>
      <c r="C861" s="496" t="s">
        <v>65</v>
      </c>
      <c r="D861" s="496" t="s">
        <v>580</v>
      </c>
      <c r="E861" s="496" t="s">
        <v>403</v>
      </c>
    </row>
    <row r="862" spans="2:5" ht="14.25" customHeight="1" x14ac:dyDescent="0.25">
      <c r="B862" s="556" t="s">
        <v>3889</v>
      </c>
      <c r="C862" s="497" t="s">
        <v>1519</v>
      </c>
      <c r="D862" s="497" t="s">
        <v>1519</v>
      </c>
      <c r="E862" s="497" t="s">
        <v>1519</v>
      </c>
    </row>
    <row r="863" spans="2:5" ht="14.25" customHeight="1" x14ac:dyDescent="0.25">
      <c r="B863" s="556" t="s">
        <v>3890</v>
      </c>
      <c r="C863" s="497" t="s">
        <v>1520</v>
      </c>
      <c r="D863" s="497" t="s">
        <v>1520</v>
      </c>
      <c r="E863" s="497" t="s">
        <v>1520</v>
      </c>
    </row>
    <row r="864" spans="2:5" ht="14.25" customHeight="1" x14ac:dyDescent="0.25">
      <c r="B864" s="556" t="s">
        <v>3891</v>
      </c>
      <c r="C864" s="497" t="s">
        <v>1521</v>
      </c>
      <c r="D864" s="497" t="s">
        <v>1521</v>
      </c>
      <c r="E864" s="497" t="s">
        <v>1521</v>
      </c>
    </row>
    <row r="865" spans="2:5" ht="14.25" customHeight="1" x14ac:dyDescent="0.25">
      <c r="B865" s="556" t="s">
        <v>3892</v>
      </c>
      <c r="C865" s="497" t="s">
        <v>1522</v>
      </c>
      <c r="D865" s="497" t="s">
        <v>1522</v>
      </c>
      <c r="E865" s="497" t="s">
        <v>1522</v>
      </c>
    </row>
    <row r="866" spans="2:5" ht="14.25" customHeight="1" x14ac:dyDescent="0.25">
      <c r="B866" s="556" t="s">
        <v>3893</v>
      </c>
      <c r="C866" s="497" t="s">
        <v>1523</v>
      </c>
      <c r="D866" s="497" t="s">
        <v>1523</v>
      </c>
      <c r="E866" s="497" t="s">
        <v>1523</v>
      </c>
    </row>
    <row r="867" spans="2:5" ht="14.25" customHeight="1" x14ac:dyDescent="0.25">
      <c r="B867" s="556" t="s">
        <v>3894</v>
      </c>
      <c r="C867" s="497" t="s">
        <v>1524</v>
      </c>
      <c r="D867" s="497" t="s">
        <v>1524</v>
      </c>
      <c r="E867" s="497" t="s">
        <v>1524</v>
      </c>
    </row>
    <row r="868" spans="2:5" ht="14.25" customHeight="1" x14ac:dyDescent="0.25">
      <c r="B868" s="556" t="s">
        <v>3895</v>
      </c>
      <c r="C868" s="497" t="s">
        <v>1525</v>
      </c>
      <c r="D868" s="497" t="s">
        <v>1525</v>
      </c>
      <c r="E868" s="497" t="s">
        <v>1525</v>
      </c>
    </row>
    <row r="869" spans="2:5" ht="14.25" customHeight="1" x14ac:dyDescent="0.25">
      <c r="B869" s="556" t="s">
        <v>3896</v>
      </c>
      <c r="C869" s="497" t="s">
        <v>1526</v>
      </c>
      <c r="D869" s="497" t="s">
        <v>1526</v>
      </c>
      <c r="E869" s="497" t="s">
        <v>1526</v>
      </c>
    </row>
    <row r="870" spans="2:5" ht="14.25" customHeight="1" x14ac:dyDescent="0.25">
      <c r="B870" s="556" t="s">
        <v>3897</v>
      </c>
      <c r="C870" s="497" t="s">
        <v>66</v>
      </c>
      <c r="D870" s="497" t="s">
        <v>1527</v>
      </c>
      <c r="E870" s="497" t="s">
        <v>271</v>
      </c>
    </row>
    <row r="871" spans="2:5" ht="14.25" customHeight="1" x14ac:dyDescent="0.25">
      <c r="B871" s="556" t="s">
        <v>3898</v>
      </c>
      <c r="C871" s="497" t="s">
        <v>67</v>
      </c>
      <c r="D871" s="497" t="s">
        <v>1528</v>
      </c>
      <c r="E871" s="497" t="s">
        <v>1529</v>
      </c>
    </row>
    <row r="872" spans="2:5" ht="14.25" customHeight="1" x14ac:dyDescent="0.25">
      <c r="B872" s="556" t="s">
        <v>3899</v>
      </c>
      <c r="C872" s="497" t="s">
        <v>68</v>
      </c>
      <c r="D872" s="497" t="s">
        <v>68</v>
      </c>
      <c r="E872" s="497" t="s">
        <v>68</v>
      </c>
    </row>
    <row r="873" spans="2:5" ht="14.25" customHeight="1" x14ac:dyDescent="0.25">
      <c r="B873" s="556" t="s">
        <v>3900</v>
      </c>
      <c r="C873" s="497" t="s">
        <v>69</v>
      </c>
      <c r="D873" s="497" t="s">
        <v>69</v>
      </c>
      <c r="E873" s="497" t="s">
        <v>400</v>
      </c>
    </row>
    <row r="874" spans="2:5" ht="14.25" customHeight="1" x14ac:dyDescent="0.25">
      <c r="B874" s="556" t="s">
        <v>3901</v>
      </c>
      <c r="C874" s="521" t="s">
        <v>1953</v>
      </c>
      <c r="D874" s="521" t="s">
        <v>1957</v>
      </c>
      <c r="E874" s="521" t="s">
        <v>1961</v>
      </c>
    </row>
    <row r="875" spans="2:5" ht="14.25" customHeight="1" x14ac:dyDescent="0.25">
      <c r="B875" s="556" t="s">
        <v>3902</v>
      </c>
      <c r="C875" s="521" t="s">
        <v>1954</v>
      </c>
      <c r="D875" s="521" t="s">
        <v>1958</v>
      </c>
      <c r="E875" s="521" t="s">
        <v>1962</v>
      </c>
    </row>
    <row r="876" spans="2:5" ht="14.25" customHeight="1" x14ac:dyDescent="0.25">
      <c r="B876" s="556" t="s">
        <v>3903</v>
      </c>
      <c r="C876" s="521" t="s">
        <v>1955</v>
      </c>
      <c r="D876" s="521" t="s">
        <v>1959</v>
      </c>
      <c r="E876" s="521" t="s">
        <v>1963</v>
      </c>
    </row>
    <row r="877" spans="2:5" ht="14.25" customHeight="1" x14ac:dyDescent="0.25">
      <c r="B877" s="556" t="s">
        <v>3904</v>
      </c>
      <c r="C877" s="521" t="s">
        <v>1956</v>
      </c>
      <c r="D877" s="521" t="s">
        <v>1960</v>
      </c>
      <c r="E877" s="521" t="s">
        <v>1964</v>
      </c>
    </row>
    <row r="878" spans="2:5" ht="14.25" customHeight="1" x14ac:dyDescent="0.25">
      <c r="B878" s="556" t="s">
        <v>3905</v>
      </c>
      <c r="C878" s="497" t="s">
        <v>70</v>
      </c>
      <c r="D878" s="497" t="s">
        <v>550</v>
      </c>
      <c r="E878" s="497" t="s">
        <v>402</v>
      </c>
    </row>
    <row r="879" spans="2:5" ht="14.25" customHeight="1" x14ac:dyDescent="0.25">
      <c r="B879" s="556" t="s">
        <v>3925</v>
      </c>
      <c r="C879" s="497" t="s">
        <v>71</v>
      </c>
      <c r="D879" s="497" t="s">
        <v>1518</v>
      </c>
      <c r="E879" s="497" t="s">
        <v>81</v>
      </c>
    </row>
    <row r="880" spans="2:5" ht="14.25" customHeight="1" x14ac:dyDescent="0.25">
      <c r="B880" s="556" t="s">
        <v>3926</v>
      </c>
      <c r="C880" s="497" t="s">
        <v>581</v>
      </c>
      <c r="D880" s="497" t="s">
        <v>1517</v>
      </c>
      <c r="E880" s="497" t="s">
        <v>582</v>
      </c>
    </row>
    <row r="881" spans="2:5" ht="14.25" customHeight="1" x14ac:dyDescent="0.25">
      <c r="B881" s="556" t="s">
        <v>3927</v>
      </c>
      <c r="C881" s="497" t="s">
        <v>72</v>
      </c>
      <c r="D881" s="497" t="s">
        <v>1516</v>
      </c>
      <c r="E881" s="497" t="s">
        <v>82</v>
      </c>
    </row>
    <row r="882" spans="2:5" ht="14.25" customHeight="1" x14ac:dyDescent="0.25">
      <c r="B882" s="556" t="s">
        <v>3928</v>
      </c>
      <c r="C882" s="497" t="s">
        <v>73</v>
      </c>
      <c r="D882" s="497" t="s">
        <v>1515</v>
      </c>
      <c r="E882" s="497" t="s">
        <v>583</v>
      </c>
    </row>
    <row r="883" spans="2:5" ht="14.25" customHeight="1" x14ac:dyDescent="0.25">
      <c r="B883" s="556" t="s">
        <v>3929</v>
      </c>
      <c r="C883" s="497" t="s">
        <v>74</v>
      </c>
      <c r="D883" s="497" t="s">
        <v>1514</v>
      </c>
      <c r="E883" s="497" t="s">
        <v>83</v>
      </c>
    </row>
    <row r="884" spans="2:5" ht="14.25" customHeight="1" x14ac:dyDescent="0.25">
      <c r="B884" s="556" t="s">
        <v>3942</v>
      </c>
      <c r="C884" s="497" t="s">
        <v>75</v>
      </c>
      <c r="D884" s="497" t="s">
        <v>404</v>
      </c>
      <c r="E884" s="497" t="s">
        <v>401</v>
      </c>
    </row>
    <row r="885" spans="2:5" ht="14.25" customHeight="1" x14ac:dyDescent="0.25">
      <c r="B885" s="556" t="s">
        <v>4658</v>
      </c>
      <c r="C885" s="514" t="s">
        <v>1711</v>
      </c>
      <c r="D885" s="497" t="s">
        <v>350</v>
      </c>
      <c r="E885" s="497" t="s">
        <v>84</v>
      </c>
    </row>
    <row r="886" spans="2:5" ht="14.25" customHeight="1" x14ac:dyDescent="0.25">
      <c r="B886" s="556" t="s">
        <v>4659</v>
      </c>
      <c r="C886" s="497" t="s">
        <v>76</v>
      </c>
      <c r="D886" s="497" t="s">
        <v>76</v>
      </c>
      <c r="E886" s="497" t="s">
        <v>85</v>
      </c>
    </row>
    <row r="887" spans="2:5" ht="14.25" customHeight="1" x14ac:dyDescent="0.25">
      <c r="B887" s="556" t="s">
        <v>4660</v>
      </c>
      <c r="C887" s="497" t="s">
        <v>77</v>
      </c>
      <c r="D887" s="497" t="s">
        <v>551</v>
      </c>
      <c r="E887" s="497" t="s">
        <v>405</v>
      </c>
    </row>
    <row r="888" spans="2:5" ht="14.25" customHeight="1" x14ac:dyDescent="0.25">
      <c r="B888" s="556" t="s">
        <v>4661</v>
      </c>
      <c r="C888" s="497" t="s">
        <v>1598</v>
      </c>
      <c r="D888" s="497" t="s">
        <v>590</v>
      </c>
      <c r="E888" s="497" t="s">
        <v>590</v>
      </c>
    </row>
    <row r="889" spans="2:5" ht="14.25" customHeight="1" x14ac:dyDescent="0.25">
      <c r="B889" s="1225"/>
      <c r="C889" s="512"/>
      <c r="D889" s="512"/>
      <c r="E889" s="512"/>
    </row>
    <row r="890" spans="2:5" ht="14.25" customHeight="1" x14ac:dyDescent="0.25">
      <c r="B890" s="1225"/>
      <c r="C890" s="512"/>
      <c r="D890" s="512"/>
      <c r="E890" s="512"/>
    </row>
    <row r="891" spans="2:5" ht="14.25" customHeight="1" x14ac:dyDescent="0.25">
      <c r="B891" s="505" t="s">
        <v>1873</v>
      </c>
      <c r="C891" s="505" t="s">
        <v>1696</v>
      </c>
      <c r="D891" s="505" t="s">
        <v>1697</v>
      </c>
      <c r="E891" s="505" t="s">
        <v>1698</v>
      </c>
    </row>
    <row r="892" spans="2:5" ht="14.25" customHeight="1" x14ac:dyDescent="0.25">
      <c r="B892" s="1194"/>
      <c r="C892" s="497"/>
      <c r="D892" s="497"/>
      <c r="E892" s="582"/>
    </row>
    <row r="893" spans="2:5" ht="14.25" customHeight="1" x14ac:dyDescent="0.25">
      <c r="B893" s="1194"/>
      <c r="C893" s="497"/>
      <c r="D893" s="497"/>
      <c r="E893" s="582"/>
    </row>
    <row r="894" spans="2:5" ht="14.25" customHeight="1" x14ac:dyDescent="0.25">
      <c r="B894" s="1226"/>
      <c r="C894" s="512"/>
      <c r="D894" s="512"/>
      <c r="E894" s="768"/>
    </row>
    <row r="895" spans="2:5" ht="14.25" customHeight="1" x14ac:dyDescent="0.25"/>
    <row r="896" spans="2:5" ht="14.25" customHeight="1" x14ac:dyDescent="0.25">
      <c r="B896" s="505" t="s">
        <v>1898</v>
      </c>
      <c r="C896" s="505" t="s">
        <v>268</v>
      </c>
      <c r="D896" s="505" t="s">
        <v>241</v>
      </c>
      <c r="E896" s="505" t="s">
        <v>240</v>
      </c>
    </row>
    <row r="897" spans="2:5" ht="14.25" customHeight="1" x14ac:dyDescent="0.25"/>
    <row r="898" spans="2:5" ht="14.25" customHeight="1" x14ac:dyDescent="0.25">
      <c r="B898" s="1194" t="s">
        <v>1904</v>
      </c>
      <c r="C898" s="497" t="s">
        <v>633</v>
      </c>
      <c r="D898" s="497" t="s">
        <v>639</v>
      </c>
      <c r="E898" s="582" t="s">
        <v>642</v>
      </c>
    </row>
    <row r="899" spans="2:5" ht="14.25" customHeight="1" x14ac:dyDescent="0.25">
      <c r="B899" s="1194" t="s">
        <v>1899</v>
      </c>
      <c r="C899" s="497" t="s">
        <v>634</v>
      </c>
      <c r="D899" s="497" t="s">
        <v>640</v>
      </c>
      <c r="E899" s="582" t="s">
        <v>643</v>
      </c>
    </row>
    <row r="900" spans="2:5" ht="14.25" customHeight="1" x14ac:dyDescent="0.25">
      <c r="B900" s="1194" t="s">
        <v>1900</v>
      </c>
      <c r="C900" s="497" t="s">
        <v>635</v>
      </c>
      <c r="D900" s="497" t="s">
        <v>641</v>
      </c>
      <c r="E900" s="582" t="s">
        <v>644</v>
      </c>
    </row>
    <row r="901" spans="2:5" ht="14.25" customHeight="1" x14ac:dyDescent="0.25">
      <c r="B901" s="1194" t="s">
        <v>1901</v>
      </c>
      <c r="C901" s="1181" t="s">
        <v>3978</v>
      </c>
      <c r="D901" s="1181" t="s">
        <v>3978</v>
      </c>
      <c r="E901" s="1181" t="s">
        <v>3978</v>
      </c>
    </row>
    <row r="902" spans="2:5" ht="14.25" customHeight="1" x14ac:dyDescent="0.25">
      <c r="B902" s="1194" t="s">
        <v>1902</v>
      </c>
      <c r="C902" s="497" t="s">
        <v>2021</v>
      </c>
      <c r="D902" s="497" t="s">
        <v>2025</v>
      </c>
      <c r="E902" s="497" t="s">
        <v>1688</v>
      </c>
    </row>
    <row r="903" spans="2:5" ht="14.25" customHeight="1" x14ac:dyDescent="0.25">
      <c r="B903" s="1194" t="s">
        <v>1903</v>
      </c>
      <c r="C903" s="497" t="s">
        <v>2022</v>
      </c>
      <c r="D903" s="497" t="s">
        <v>2024</v>
      </c>
      <c r="E903" s="497" t="s">
        <v>2023</v>
      </c>
    </row>
    <row r="906" spans="2:5" ht="12.75" customHeight="1" x14ac:dyDescent="0.25">
      <c r="B906" s="505" t="s">
        <v>4662</v>
      </c>
      <c r="C906" s="505" t="s">
        <v>1693</v>
      </c>
      <c r="D906" s="505" t="s">
        <v>1694</v>
      </c>
      <c r="E906" s="505" t="s">
        <v>1695</v>
      </c>
    </row>
    <row r="907" spans="2:5" ht="12.75" customHeight="1" x14ac:dyDescent="0.25">
      <c r="B907" s="1194"/>
      <c r="C907" s="497"/>
      <c r="D907" s="497"/>
      <c r="E907" s="582"/>
    </row>
    <row r="908" spans="2:5" ht="12.75" customHeight="1" x14ac:dyDescent="0.25">
      <c r="B908" s="1194"/>
      <c r="C908" s="497"/>
      <c r="D908" s="497"/>
      <c r="E908" s="582"/>
    </row>
    <row r="909" spans="2:5" ht="12.75" customHeight="1" x14ac:dyDescent="0.25">
      <c r="B909" s="1226"/>
      <c r="C909" s="512"/>
      <c r="D909" s="512"/>
      <c r="E909" s="768"/>
    </row>
    <row r="910" spans="2:5" ht="12.75" customHeight="1" x14ac:dyDescent="0.25">
      <c r="B910" s="1233"/>
      <c r="C910" s="1234"/>
      <c r="D910" s="1234"/>
      <c r="E910" s="1235"/>
    </row>
    <row r="911" spans="2:5" ht="12.75" customHeight="1" x14ac:dyDescent="0.25">
      <c r="B911" s="505" t="s">
        <v>4228</v>
      </c>
      <c r="C911" s="505" t="s">
        <v>3523</v>
      </c>
      <c r="D911" s="505" t="s">
        <v>3818</v>
      </c>
      <c r="E911" s="505" t="s">
        <v>3550</v>
      </c>
    </row>
    <row r="912" spans="2:5" ht="12.75" customHeight="1" x14ac:dyDescent="0.25">
      <c r="B912" s="1194"/>
      <c r="C912" s="497"/>
      <c r="D912" s="497"/>
      <c r="E912" s="582"/>
    </row>
    <row r="913" spans="2:5" ht="12.75" customHeight="1" x14ac:dyDescent="0.25">
      <c r="B913" s="1194"/>
      <c r="C913" s="497"/>
      <c r="D913" s="497"/>
      <c r="E913" s="582"/>
    </row>
    <row r="914" spans="2:5" ht="12.75" customHeight="1" x14ac:dyDescent="0.25">
      <c r="B914" s="1226"/>
      <c r="C914" s="512"/>
      <c r="D914" s="512"/>
      <c r="E914" s="768"/>
    </row>
    <row r="915" spans="2:5" ht="12.75" customHeight="1" x14ac:dyDescent="0.25">
      <c r="B915" s="1226"/>
      <c r="C915" s="512"/>
      <c r="D915" s="512"/>
      <c r="E915" s="768"/>
    </row>
    <row r="916" spans="2:5" ht="12.75" customHeight="1" x14ac:dyDescent="0.25">
      <c r="B916" s="505" t="s">
        <v>2015</v>
      </c>
      <c r="C916" s="505" t="s">
        <v>341</v>
      </c>
      <c r="D916" s="505" t="s">
        <v>342</v>
      </c>
      <c r="E916" s="505" t="s">
        <v>340</v>
      </c>
    </row>
    <row r="917" spans="2:5" ht="12.75" customHeight="1" x14ac:dyDescent="0.25">
      <c r="B917" s="534"/>
      <c r="C917" s="534"/>
      <c r="D917" s="534"/>
      <c r="E917" s="534"/>
    </row>
    <row r="918" spans="2:5" ht="12.75" customHeight="1" x14ac:dyDescent="0.25">
      <c r="B918" s="533" t="s">
        <v>2016</v>
      </c>
      <c r="C918" s="496" t="s">
        <v>531</v>
      </c>
      <c r="D918" s="533" t="s">
        <v>1882</v>
      </c>
      <c r="E918" s="533" t="s">
        <v>1883</v>
      </c>
    </row>
    <row r="919" spans="2:5" ht="12.75" customHeight="1" x14ac:dyDescent="0.25">
      <c r="B919" s="533" t="s">
        <v>2017</v>
      </c>
      <c r="C919" s="533" t="s">
        <v>1890</v>
      </c>
      <c r="D919" s="533" t="s">
        <v>1884</v>
      </c>
      <c r="E919" s="533" t="s">
        <v>1885</v>
      </c>
    </row>
    <row r="920" spans="2:5" ht="12.75" customHeight="1" x14ac:dyDescent="0.25">
      <c r="B920" s="533" t="s">
        <v>2018</v>
      </c>
      <c r="C920" s="496" t="s">
        <v>569</v>
      </c>
      <c r="D920" s="533" t="s">
        <v>1886</v>
      </c>
      <c r="E920" s="533" t="s">
        <v>1889</v>
      </c>
    </row>
    <row r="921" spans="2:5" ht="12.75" customHeight="1" x14ac:dyDescent="0.25">
      <c r="B921" s="533" t="s">
        <v>2019</v>
      </c>
      <c r="C921" s="533" t="s">
        <v>1891</v>
      </c>
      <c r="D921" s="533" t="s">
        <v>1888</v>
      </c>
      <c r="E921" s="533" t="s">
        <v>1887</v>
      </c>
    </row>
    <row r="922" spans="2:5" ht="12.75" customHeight="1" x14ac:dyDescent="0.25">
      <c r="B922" s="1226"/>
      <c r="C922" s="512"/>
      <c r="D922" s="512"/>
      <c r="E922" s="768"/>
    </row>
    <row r="923" spans="2:5" ht="12.75" customHeight="1" x14ac:dyDescent="0.25">
      <c r="B923" s="1226"/>
      <c r="C923" s="512"/>
      <c r="D923" s="512"/>
      <c r="E923" s="768"/>
    </row>
    <row r="924" spans="2:5" ht="12.75" customHeight="1" x14ac:dyDescent="0.25">
      <c r="B924" s="505" t="s">
        <v>4229</v>
      </c>
      <c r="C924" s="505" t="s">
        <v>3876</v>
      </c>
      <c r="D924" s="505" t="s">
        <v>3877</v>
      </c>
      <c r="E924" s="505" t="s">
        <v>3878</v>
      </c>
    </row>
    <row r="925" spans="2:5" ht="12.75" customHeight="1" x14ac:dyDescent="0.25">
      <c r="B925" s="1194"/>
      <c r="C925" s="497"/>
      <c r="D925" s="497"/>
      <c r="E925" s="582"/>
    </row>
    <row r="926" spans="2:5" ht="12.75" customHeight="1" x14ac:dyDescent="0.25">
      <c r="B926" s="1194"/>
      <c r="C926" s="497"/>
      <c r="D926" s="497"/>
      <c r="E926" s="582"/>
    </row>
    <row r="927" spans="2:5" ht="12.75" customHeight="1" x14ac:dyDescent="0.25">
      <c r="B927" s="1226"/>
      <c r="C927" s="512"/>
      <c r="D927" s="512"/>
      <c r="E927" s="768"/>
    </row>
    <row r="928" spans="2:5" ht="12.75" customHeight="1" x14ac:dyDescent="0.25">
      <c r="B928" s="505" t="s">
        <v>2020</v>
      </c>
      <c r="C928" s="505" t="s">
        <v>1715</v>
      </c>
      <c r="D928" s="505" t="s">
        <v>1716</v>
      </c>
      <c r="E928" s="505" t="s">
        <v>1717</v>
      </c>
    </row>
    <row r="929" spans="2:5" ht="12.75" customHeight="1" x14ac:dyDescent="0.25">
      <c r="B929" s="1194"/>
      <c r="C929" s="497"/>
      <c r="D929" s="497"/>
      <c r="E929" s="582"/>
    </row>
    <row r="930" spans="2:5" ht="12.75" customHeight="1" x14ac:dyDescent="0.25">
      <c r="B930" s="1194"/>
      <c r="C930" s="497"/>
      <c r="D930" s="497"/>
      <c r="E930" s="582"/>
    </row>
    <row r="933" spans="2:5" ht="12.75" customHeight="1" x14ac:dyDescent="0.25">
      <c r="B933" s="505" t="s">
        <v>4230</v>
      </c>
      <c r="C933" s="505" t="s">
        <v>3281</v>
      </c>
      <c r="D933" s="505" t="s">
        <v>3281</v>
      </c>
      <c r="E933" s="505" t="s">
        <v>3281</v>
      </c>
    </row>
    <row r="934" spans="2:5" ht="12.75" customHeight="1" x14ac:dyDescent="0.25">
      <c r="B934" s="1194"/>
      <c r="C934" s="497"/>
      <c r="D934" s="497"/>
      <c r="E934" s="582"/>
    </row>
    <row r="935" spans="2:5" ht="12.75" customHeight="1" x14ac:dyDescent="0.25">
      <c r="B935" s="1227" t="s">
        <v>4663</v>
      </c>
      <c r="C935" s="497" t="s">
        <v>3261</v>
      </c>
      <c r="D935" s="582" t="s">
        <v>3270</v>
      </c>
      <c r="E935" s="582" t="s">
        <v>3269</v>
      </c>
    </row>
    <row r="936" spans="2:5" ht="12.75" customHeight="1" x14ac:dyDescent="0.25">
      <c r="B936" s="1227" t="s">
        <v>4664</v>
      </c>
      <c r="C936" s="497" t="s">
        <v>3262</v>
      </c>
      <c r="D936" s="582" t="s">
        <v>3271</v>
      </c>
      <c r="E936" s="582" t="s">
        <v>2339</v>
      </c>
    </row>
    <row r="937" spans="2:5" ht="12.75" customHeight="1" x14ac:dyDescent="0.25">
      <c r="B937" s="1227" t="s">
        <v>4665</v>
      </c>
      <c r="C937" s="1018" t="s">
        <v>3274</v>
      </c>
      <c r="D937" s="582" t="s">
        <v>3272</v>
      </c>
      <c r="E937" s="582" t="s">
        <v>2340</v>
      </c>
    </row>
    <row r="938" spans="2:5" ht="12.75" customHeight="1" x14ac:dyDescent="0.25">
      <c r="B938" s="1227" t="s">
        <v>4666</v>
      </c>
      <c r="C938" s="497" t="s">
        <v>3260</v>
      </c>
      <c r="D938" s="582" t="s">
        <v>3273</v>
      </c>
      <c r="E938" s="582" t="s">
        <v>2341</v>
      </c>
    </row>
    <row r="939" spans="2:5" ht="12.75" customHeight="1" x14ac:dyDescent="0.25">
      <c r="B939" s="1227" t="s">
        <v>4667</v>
      </c>
      <c r="C939" s="1018" t="s">
        <v>3275</v>
      </c>
      <c r="D939" s="1018" t="s">
        <v>3276</v>
      </c>
      <c r="E939" s="1018" t="s">
        <v>3277</v>
      </c>
    </row>
    <row r="943" spans="2:5" ht="12.75" customHeight="1" x14ac:dyDescent="0.25">
      <c r="B943" s="505" t="s">
        <v>4671</v>
      </c>
      <c r="C943" s="505" t="s">
        <v>3979</v>
      </c>
      <c r="D943" s="505" t="s">
        <v>3979</v>
      </c>
      <c r="E943" s="505" t="s">
        <v>3979</v>
      </c>
    </row>
    <row r="945" spans="2:5" ht="12.75" customHeight="1" x14ac:dyDescent="0.25">
      <c r="B945" s="779" t="s">
        <v>4672</v>
      </c>
      <c r="C945" s="929" t="s">
        <v>3244</v>
      </c>
      <c r="D945" s="929" t="s">
        <v>3245</v>
      </c>
      <c r="E945" s="929" t="s">
        <v>3246</v>
      </c>
    </row>
    <row r="946" spans="2:5" ht="12.75" customHeight="1" x14ac:dyDescent="0.25">
      <c r="B946" s="779" t="s">
        <v>4673</v>
      </c>
      <c r="C946" s="929" t="s">
        <v>2343</v>
      </c>
      <c r="D946" s="929" t="s">
        <v>3247</v>
      </c>
      <c r="E946" s="929" t="s">
        <v>26</v>
      </c>
    </row>
    <row r="947" spans="2:5" ht="12.75" customHeight="1" x14ac:dyDescent="0.25">
      <c r="B947" s="779" t="s">
        <v>4674</v>
      </c>
      <c r="C947" s="497" t="s">
        <v>2344</v>
      </c>
      <c r="D947" s="582" t="s">
        <v>2524</v>
      </c>
      <c r="E947" s="582" t="s">
        <v>2525</v>
      </c>
    </row>
    <row r="948" spans="2:5" ht="12.75" customHeight="1" x14ac:dyDescent="0.25">
      <c r="B948" s="779" t="s">
        <v>4675</v>
      </c>
      <c r="C948" s="497" t="s">
        <v>275</v>
      </c>
      <c r="D948" s="582" t="s">
        <v>288</v>
      </c>
      <c r="E948" s="582" t="s">
        <v>289</v>
      </c>
    </row>
    <row r="949" spans="2:5" ht="12.75" customHeight="1" x14ac:dyDescent="0.25">
      <c r="B949" s="1197" t="s">
        <v>4676</v>
      </c>
      <c r="C949" s="497" t="s">
        <v>1438</v>
      </c>
      <c r="D949" s="582" t="s">
        <v>1439</v>
      </c>
      <c r="E949" s="582" t="s">
        <v>716</v>
      </c>
    </row>
    <row r="950" spans="2:5" ht="12.75" customHeight="1" x14ac:dyDescent="0.25">
      <c r="C950" s="497"/>
      <c r="D950" s="497"/>
      <c r="E950" s="582"/>
    </row>
    <row r="951" spans="2:5" ht="12.75" customHeight="1" x14ac:dyDescent="0.25">
      <c r="B951" s="906" t="s">
        <v>4677</v>
      </c>
      <c r="C951" s="497" t="s">
        <v>2345</v>
      </c>
      <c r="D951" s="582" t="s">
        <v>2526</v>
      </c>
      <c r="E951" s="582" t="s">
        <v>2527</v>
      </c>
    </row>
    <row r="952" spans="2:5" ht="12.75" customHeight="1" x14ac:dyDescent="0.25">
      <c r="B952" s="906" t="s">
        <v>4678</v>
      </c>
      <c r="C952" s="895" t="s">
        <v>3176</v>
      </c>
      <c r="D952" s="928" t="s">
        <v>3242</v>
      </c>
      <c r="E952" s="927" t="s">
        <v>3243</v>
      </c>
    </row>
    <row r="953" spans="2:5" ht="12.75" customHeight="1" x14ac:dyDescent="0.25">
      <c r="E953" s="582"/>
    </row>
    <row r="954" spans="2:5" ht="12.75" customHeight="1" x14ac:dyDescent="0.25">
      <c r="B954" s="906" t="s">
        <v>4679</v>
      </c>
      <c r="C954" s="497" t="s">
        <v>822</v>
      </c>
      <c r="D954" s="582" t="s">
        <v>1430</v>
      </c>
      <c r="E954" s="582" t="s">
        <v>1431</v>
      </c>
    </row>
    <row r="955" spans="2:5" ht="12.75" customHeight="1" x14ac:dyDescent="0.25">
      <c r="B955" s="779" t="s">
        <v>4680</v>
      </c>
      <c r="C955" s="497" t="s">
        <v>2346</v>
      </c>
      <c r="D955" s="919" t="s">
        <v>3189</v>
      </c>
      <c r="E955" s="582" t="s">
        <v>2528</v>
      </c>
    </row>
    <row r="956" spans="2:5" ht="12.75" customHeight="1" x14ac:dyDescent="0.25">
      <c r="B956" s="779" t="s">
        <v>4681</v>
      </c>
      <c r="C956" s="497" t="s">
        <v>413</v>
      </c>
      <c r="D956" s="582" t="s">
        <v>1049</v>
      </c>
      <c r="E956" s="582" t="s">
        <v>1713</v>
      </c>
    </row>
    <row r="957" spans="2:5" ht="12.75" customHeight="1" x14ac:dyDescent="0.25">
      <c r="B957" s="779" t="s">
        <v>4682</v>
      </c>
      <c r="C957" s="497" t="s">
        <v>2347</v>
      </c>
      <c r="D957" s="582" t="s">
        <v>2529</v>
      </c>
      <c r="E957" s="582" t="s">
        <v>2530</v>
      </c>
    </row>
    <row r="958" spans="2:5" ht="12.75" customHeight="1" x14ac:dyDescent="0.25">
      <c r="B958" s="779" t="s">
        <v>4683</v>
      </c>
      <c r="C958" s="497" t="s">
        <v>823</v>
      </c>
      <c r="D958" s="582" t="s">
        <v>896</v>
      </c>
      <c r="E958" s="582" t="s">
        <v>2815</v>
      </c>
    </row>
    <row r="959" spans="2:5" ht="12.75" customHeight="1" x14ac:dyDescent="0.25">
      <c r="B959" s="779" t="s">
        <v>4684</v>
      </c>
      <c r="C959" s="497" t="s">
        <v>824</v>
      </c>
      <c r="D959" s="582" t="s">
        <v>1493</v>
      </c>
      <c r="E959" s="582" t="s">
        <v>2816</v>
      </c>
    </row>
    <row r="960" spans="2:5" ht="12.75" customHeight="1" x14ac:dyDescent="0.25">
      <c r="B960" s="779" t="s">
        <v>4685</v>
      </c>
      <c r="C960" s="497" t="s">
        <v>2348</v>
      </c>
      <c r="D960" s="582" t="s">
        <v>2531</v>
      </c>
      <c r="E960" s="919" t="s">
        <v>3183</v>
      </c>
    </row>
    <row r="961" spans="2:5" ht="12.75" customHeight="1" x14ac:dyDescent="0.25">
      <c r="B961" s="779" t="s">
        <v>4686</v>
      </c>
      <c r="C961" s="497" t="s">
        <v>2349</v>
      </c>
      <c r="D961" s="582" t="s">
        <v>2532</v>
      </c>
      <c r="E961" s="582" t="s">
        <v>2533</v>
      </c>
    </row>
    <row r="962" spans="2:5" ht="12.75" customHeight="1" x14ac:dyDescent="0.25">
      <c r="B962" s="779" t="s">
        <v>4687</v>
      </c>
      <c r="C962" s="497" t="s">
        <v>2350</v>
      </c>
      <c r="D962" s="582" t="s">
        <v>2534</v>
      </c>
      <c r="E962" s="582" t="s">
        <v>2535</v>
      </c>
    </row>
    <row r="963" spans="2:5" ht="12.75" customHeight="1" x14ac:dyDescent="0.25">
      <c r="B963" s="779" t="s">
        <v>4688</v>
      </c>
      <c r="C963" s="497" t="s">
        <v>2351</v>
      </c>
      <c r="D963" s="582" t="s">
        <v>2536</v>
      </c>
      <c r="E963" s="582" t="s">
        <v>2537</v>
      </c>
    </row>
    <row r="964" spans="2:5" ht="12.75" customHeight="1" x14ac:dyDescent="0.25">
      <c r="B964" s="779" t="s">
        <v>4689</v>
      </c>
      <c r="C964" s="497" t="s">
        <v>2352</v>
      </c>
      <c r="D964" s="582" t="s">
        <v>2538</v>
      </c>
      <c r="E964" s="582" t="s">
        <v>2539</v>
      </c>
    </row>
    <row r="965" spans="2:5" ht="12.75" customHeight="1" x14ac:dyDescent="0.25">
      <c r="B965" s="779" t="s">
        <v>4690</v>
      </c>
      <c r="C965" s="497" t="s">
        <v>2353</v>
      </c>
      <c r="D965" s="582" t="s">
        <v>2540</v>
      </c>
      <c r="E965" s="919" t="s">
        <v>3184</v>
      </c>
    </row>
    <row r="966" spans="2:5" ht="12.75" customHeight="1" x14ac:dyDescent="0.25">
      <c r="B966" s="779" t="s">
        <v>4691</v>
      </c>
      <c r="C966" s="497" t="s">
        <v>411</v>
      </c>
      <c r="D966" s="582" t="s">
        <v>530</v>
      </c>
      <c r="E966" s="582" t="s">
        <v>725</v>
      </c>
    </row>
    <row r="967" spans="2:5" ht="12.75" customHeight="1" x14ac:dyDescent="0.25">
      <c r="B967" s="779" t="s">
        <v>4692</v>
      </c>
      <c r="C967" s="497" t="s">
        <v>348</v>
      </c>
      <c r="D967" s="582" t="s">
        <v>349</v>
      </c>
      <c r="E967" s="779" t="s">
        <v>2722</v>
      </c>
    </row>
    <row r="968" spans="2:5" ht="12.75" customHeight="1" x14ac:dyDescent="0.25">
      <c r="B968" s="779" t="s">
        <v>4693</v>
      </c>
      <c r="C968" s="497" t="s">
        <v>2354</v>
      </c>
      <c r="D968" s="919" t="s">
        <v>1059</v>
      </c>
      <c r="E968" s="582" t="s">
        <v>1027</v>
      </c>
    </row>
    <row r="969" spans="2:5" ht="12.75" customHeight="1" x14ac:dyDescent="0.25">
      <c r="B969" s="779" t="s">
        <v>4694</v>
      </c>
      <c r="C969" s="497" t="s">
        <v>825</v>
      </c>
      <c r="D969" s="582" t="s">
        <v>3021</v>
      </c>
      <c r="E969" s="582" t="s">
        <v>3027</v>
      </c>
    </row>
    <row r="970" spans="2:5" ht="12.75" customHeight="1" x14ac:dyDescent="0.25">
      <c r="B970" s="779" t="s">
        <v>4695</v>
      </c>
      <c r="C970" s="497" t="s">
        <v>826</v>
      </c>
      <c r="D970" s="582" t="s">
        <v>988</v>
      </c>
      <c r="E970" s="582" t="s">
        <v>989</v>
      </c>
    </row>
    <row r="971" spans="2:5" ht="12.75" customHeight="1" x14ac:dyDescent="0.25">
      <c r="B971" s="779" t="s">
        <v>4696</v>
      </c>
      <c r="C971" s="497" t="s">
        <v>827</v>
      </c>
      <c r="D971" s="582" t="s">
        <v>991</v>
      </c>
      <c r="E971" s="582" t="s">
        <v>992</v>
      </c>
    </row>
    <row r="972" spans="2:5" ht="12.75" customHeight="1" x14ac:dyDescent="0.25">
      <c r="B972" s="779" t="s">
        <v>4697</v>
      </c>
      <c r="C972" s="906" t="s">
        <v>2822</v>
      </c>
      <c r="D972" s="582" t="s">
        <v>994</v>
      </c>
      <c r="E972" s="582" t="s">
        <v>2823</v>
      </c>
    </row>
    <row r="973" spans="2:5" ht="12.75" customHeight="1" x14ac:dyDescent="0.25">
      <c r="B973" s="779" t="s">
        <v>4698</v>
      </c>
      <c r="C973" s="497" t="s">
        <v>829</v>
      </c>
      <c r="D973" s="582" t="s">
        <v>997</v>
      </c>
      <c r="E973" s="582" t="s">
        <v>998</v>
      </c>
    </row>
    <row r="974" spans="2:5" ht="12.75" customHeight="1" x14ac:dyDescent="0.25">
      <c r="B974" s="779" t="s">
        <v>4699</v>
      </c>
      <c r="C974" s="497" t="s">
        <v>830</v>
      </c>
      <c r="D974" s="582" t="s">
        <v>1000</v>
      </c>
      <c r="E974" s="582" t="s">
        <v>1001</v>
      </c>
    </row>
    <row r="975" spans="2:5" ht="12.75" customHeight="1" x14ac:dyDescent="0.25">
      <c r="B975" s="779" t="s">
        <v>4700</v>
      </c>
      <c r="C975" s="497" t="s">
        <v>831</v>
      </c>
      <c r="D975" s="582" t="s">
        <v>1003</v>
      </c>
      <c r="E975" s="582" t="s">
        <v>1004</v>
      </c>
    </row>
    <row r="976" spans="2:5" ht="12.75" customHeight="1" x14ac:dyDescent="0.25">
      <c r="B976" s="779" t="s">
        <v>4701</v>
      </c>
      <c r="C976" s="906" t="s">
        <v>2827</v>
      </c>
      <c r="D976" s="582" t="s">
        <v>2828</v>
      </c>
      <c r="E976" s="582" t="s">
        <v>1007</v>
      </c>
    </row>
    <row r="977" spans="2:5" ht="12.75" customHeight="1" x14ac:dyDescent="0.25">
      <c r="B977" s="779" t="s">
        <v>4702</v>
      </c>
      <c r="C977" s="497" t="s">
        <v>2492</v>
      </c>
      <c r="D977" s="779" t="s">
        <v>2723</v>
      </c>
      <c r="E977" s="582" t="s">
        <v>2542</v>
      </c>
    </row>
    <row r="978" spans="2:5" ht="12.75" customHeight="1" x14ac:dyDescent="0.25">
      <c r="B978" s="779" t="s">
        <v>4703</v>
      </c>
      <c r="C978" s="497" t="s">
        <v>2355</v>
      </c>
      <c r="D978" s="779" t="s">
        <v>2724</v>
      </c>
      <c r="E978" s="582" t="s">
        <v>2543</v>
      </c>
    </row>
    <row r="979" spans="2:5" ht="12.75" customHeight="1" x14ac:dyDescent="0.25">
      <c r="B979" s="779" t="s">
        <v>4704</v>
      </c>
      <c r="C979" s="497" t="s">
        <v>833</v>
      </c>
      <c r="D979" s="582" t="s">
        <v>2544</v>
      </c>
      <c r="E979" s="582" t="s">
        <v>2545</v>
      </c>
    </row>
    <row r="980" spans="2:5" ht="12.75" customHeight="1" x14ac:dyDescent="0.25">
      <c r="B980" s="779" t="s">
        <v>4705</v>
      </c>
      <c r="C980" s="497" t="s">
        <v>834</v>
      </c>
      <c r="D980" s="582" t="s">
        <v>1020</v>
      </c>
      <c r="E980" s="582" t="s">
        <v>1021</v>
      </c>
    </row>
    <row r="981" spans="2:5" ht="12.75" customHeight="1" x14ac:dyDescent="0.25">
      <c r="B981" s="906" t="s">
        <v>4706</v>
      </c>
      <c r="C981" s="497" t="s">
        <v>835</v>
      </c>
      <c r="D981" s="582" t="s">
        <v>2541</v>
      </c>
      <c r="E981" s="582" t="s">
        <v>1027</v>
      </c>
    </row>
    <row r="982" spans="2:5" ht="12.75" customHeight="1" x14ac:dyDescent="0.25">
      <c r="B982" s="906" t="s">
        <v>4707</v>
      </c>
      <c r="C982" s="497" t="s">
        <v>2356</v>
      </c>
      <c r="D982" s="582" t="s">
        <v>2546</v>
      </c>
      <c r="E982" s="582" t="s">
        <v>2547</v>
      </c>
    </row>
    <row r="983" spans="2:5" ht="12.75" customHeight="1" x14ac:dyDescent="0.25">
      <c r="B983" s="906" t="s">
        <v>4708</v>
      </c>
      <c r="C983" s="497" t="s">
        <v>1086</v>
      </c>
      <c r="D983" s="582" t="s">
        <v>1087</v>
      </c>
      <c r="E983" s="582" t="s">
        <v>1088</v>
      </c>
    </row>
    <row r="984" spans="2:5" ht="12.75" customHeight="1" x14ac:dyDescent="0.25">
      <c r="E984" s="582"/>
    </row>
    <row r="985" spans="2:5" ht="12.75" customHeight="1" x14ac:dyDescent="0.25">
      <c r="B985" s="779" t="s">
        <v>4709</v>
      </c>
      <c r="C985" s="497" t="s">
        <v>2357</v>
      </c>
      <c r="D985" s="582" t="s">
        <v>1090</v>
      </c>
      <c r="E985" s="582" t="s">
        <v>1091</v>
      </c>
    </row>
    <row r="986" spans="2:5" ht="12.75" customHeight="1" x14ac:dyDescent="0.25">
      <c r="B986" s="779" t="s">
        <v>4710</v>
      </c>
      <c r="C986" s="497" t="s">
        <v>2358</v>
      </c>
      <c r="D986" s="582" t="s">
        <v>2548</v>
      </c>
      <c r="E986" s="582" t="s">
        <v>3185</v>
      </c>
    </row>
    <row r="987" spans="2:5" ht="12.75" customHeight="1" x14ac:dyDescent="0.25">
      <c r="B987" s="779" t="s">
        <v>4711</v>
      </c>
      <c r="C987" s="497" t="s">
        <v>836</v>
      </c>
      <c r="D987" s="582" t="s">
        <v>1043</v>
      </c>
      <c r="E987" s="582" t="s">
        <v>1044</v>
      </c>
    </row>
    <row r="988" spans="2:5" ht="12.75" customHeight="1" x14ac:dyDescent="0.25">
      <c r="B988" s="779" t="s">
        <v>4712</v>
      </c>
      <c r="C988" s="497" t="s">
        <v>837</v>
      </c>
      <c r="D988" s="582" t="s">
        <v>1046</v>
      </c>
      <c r="E988" s="582" t="s">
        <v>1047</v>
      </c>
    </row>
    <row r="989" spans="2:5" ht="12.75" customHeight="1" x14ac:dyDescent="0.25">
      <c r="B989" s="779" t="s">
        <v>4713</v>
      </c>
      <c r="C989" s="497" t="s">
        <v>2359</v>
      </c>
      <c r="D989" s="582" t="s">
        <v>2549</v>
      </c>
      <c r="E989" s="582" t="s">
        <v>2550</v>
      </c>
    </row>
    <row r="990" spans="2:5" ht="12.75" customHeight="1" x14ac:dyDescent="0.25">
      <c r="B990" s="779" t="s">
        <v>4714</v>
      </c>
      <c r="C990" s="497" t="s">
        <v>2360</v>
      </c>
      <c r="D990" s="582" t="s">
        <v>2551</v>
      </c>
      <c r="E990" s="582" t="s">
        <v>2552</v>
      </c>
    </row>
    <row r="991" spans="2:5" ht="12.75" customHeight="1" x14ac:dyDescent="0.25">
      <c r="B991" s="779" t="s">
        <v>4715</v>
      </c>
      <c r="C991" s="497" t="s">
        <v>2361</v>
      </c>
      <c r="D991" s="582" t="s">
        <v>2553</v>
      </c>
      <c r="E991" s="582" t="s">
        <v>2554</v>
      </c>
    </row>
    <row r="992" spans="2:5" ht="12.75" customHeight="1" x14ac:dyDescent="0.25">
      <c r="B992" s="779" t="s">
        <v>4716</v>
      </c>
      <c r="C992" s="497" t="s">
        <v>2864</v>
      </c>
      <c r="D992" s="582" t="s">
        <v>2868</v>
      </c>
      <c r="E992" s="582" t="s">
        <v>2878</v>
      </c>
    </row>
    <row r="993" spans="2:5" ht="12.75" customHeight="1" x14ac:dyDescent="0.25">
      <c r="B993" s="779" t="s">
        <v>4717</v>
      </c>
      <c r="C993" s="497" t="s">
        <v>2865</v>
      </c>
      <c r="D993" s="582" t="s">
        <v>2870</v>
      </c>
      <c r="E993" s="582" t="s">
        <v>2880</v>
      </c>
    </row>
    <row r="994" spans="2:5" ht="12.75" customHeight="1" x14ac:dyDescent="0.25">
      <c r="B994" s="779" t="s">
        <v>4718</v>
      </c>
      <c r="C994" s="497" t="s">
        <v>2866</v>
      </c>
      <c r="D994" s="582" t="s">
        <v>2871</v>
      </c>
      <c r="E994" s="582" t="s">
        <v>2881</v>
      </c>
    </row>
    <row r="995" spans="2:5" ht="12.75" customHeight="1" x14ac:dyDescent="0.25">
      <c r="B995" s="779" t="s">
        <v>4719</v>
      </c>
      <c r="C995" s="497" t="s">
        <v>1270</v>
      </c>
      <c r="D995" s="582" t="s">
        <v>2874</v>
      </c>
      <c r="E995" s="582" t="s">
        <v>2884</v>
      </c>
    </row>
    <row r="996" spans="2:5" ht="12.75" customHeight="1" x14ac:dyDescent="0.25">
      <c r="B996" s="779" t="s">
        <v>4720</v>
      </c>
      <c r="C996" s="497" t="s">
        <v>2867</v>
      </c>
      <c r="D996" s="582" t="s">
        <v>2876</v>
      </c>
      <c r="E996" s="582" t="s">
        <v>2886</v>
      </c>
    </row>
    <row r="997" spans="2:5" ht="12.75" customHeight="1" x14ac:dyDescent="0.25">
      <c r="B997" s="779" t="s">
        <v>4721</v>
      </c>
      <c r="C997" s="497" t="s">
        <v>2362</v>
      </c>
      <c r="D997" s="582" t="s">
        <v>2555</v>
      </c>
      <c r="E997" s="582" t="s">
        <v>2556</v>
      </c>
    </row>
    <row r="998" spans="2:5" ht="12.75" customHeight="1" x14ac:dyDescent="0.25">
      <c r="B998" s="779" t="s">
        <v>4722</v>
      </c>
      <c r="C998" s="497" t="s">
        <v>2363</v>
      </c>
      <c r="D998" s="779" t="s">
        <v>2725</v>
      </c>
      <c r="E998" s="919" t="s">
        <v>3190</v>
      </c>
    </row>
    <row r="999" spans="2:5" ht="12.75" customHeight="1" x14ac:dyDescent="0.25">
      <c r="B999" s="906" t="s">
        <v>4723</v>
      </c>
      <c r="C999" s="497" t="s">
        <v>2364</v>
      </c>
      <c r="D999" s="779" t="s">
        <v>2726</v>
      </c>
      <c r="E999" s="919" t="s">
        <v>3186</v>
      </c>
    </row>
    <row r="1000" spans="2:5" ht="12.75" customHeight="1" x14ac:dyDescent="0.25">
      <c r="B1000" s="906" t="s">
        <v>4724</v>
      </c>
      <c r="C1000" s="497" t="s">
        <v>2365</v>
      </c>
      <c r="D1000" s="582" t="s">
        <v>2557</v>
      </c>
      <c r="E1000" s="582" t="s">
        <v>2558</v>
      </c>
    </row>
    <row r="1001" spans="2:5" ht="12.75" customHeight="1" x14ac:dyDescent="0.25">
      <c r="B1001" s="906" t="s">
        <v>4725</v>
      </c>
      <c r="C1001" s="497" t="s">
        <v>2366</v>
      </c>
      <c r="D1001" s="582" t="s">
        <v>1090</v>
      </c>
      <c r="E1001" s="582" t="s">
        <v>1091</v>
      </c>
    </row>
    <row r="1002" spans="2:5" ht="12.75" customHeight="1" x14ac:dyDescent="0.25">
      <c r="B1002" s="906" t="s">
        <v>4726</v>
      </c>
      <c r="C1002" s="497" t="s">
        <v>839</v>
      </c>
      <c r="D1002" s="582" t="s">
        <v>3022</v>
      </c>
      <c r="E1002" s="582" t="s">
        <v>1478</v>
      </c>
    </row>
    <row r="1003" spans="2:5" ht="12.75" customHeight="1" x14ac:dyDescent="0.25">
      <c r="E1003" s="582"/>
    </row>
    <row r="1004" spans="2:5" ht="12.75" customHeight="1" x14ac:dyDescent="0.25">
      <c r="B1004" s="906" t="s">
        <v>4727</v>
      </c>
      <c r="C1004" s="497" t="s">
        <v>2367</v>
      </c>
      <c r="D1004" s="582" t="s">
        <v>3191</v>
      </c>
      <c r="E1004" s="582" t="s">
        <v>2559</v>
      </c>
    </row>
    <row r="1005" spans="2:5" ht="12.75" customHeight="1" x14ac:dyDescent="0.25">
      <c r="E1005" s="582"/>
    </row>
    <row r="1006" spans="2:5" ht="12.75" customHeight="1" x14ac:dyDescent="0.25">
      <c r="B1006" s="779" t="s">
        <v>4728</v>
      </c>
      <c r="C1006" s="1197" t="s">
        <v>4195</v>
      </c>
      <c r="D1006" s="685" t="s">
        <v>4196</v>
      </c>
      <c r="E1006" s="1197" t="s">
        <v>11</v>
      </c>
    </row>
    <row r="1007" spans="2:5" ht="12.75" customHeight="1" x14ac:dyDescent="0.25">
      <c r="B1007" s="779" t="s">
        <v>4729</v>
      </c>
      <c r="C1007" s="497" t="s">
        <v>2368</v>
      </c>
      <c r="D1007" s="779" t="s">
        <v>2740</v>
      </c>
      <c r="E1007" s="582" t="s">
        <v>2560</v>
      </c>
    </row>
    <row r="1008" spans="2:5" ht="12.75" customHeight="1" x14ac:dyDescent="0.25">
      <c r="B1008" s="779" t="s">
        <v>4730</v>
      </c>
      <c r="C1008" s="497" t="s">
        <v>840</v>
      </c>
      <c r="D1008" s="582" t="s">
        <v>1220</v>
      </c>
      <c r="E1008" s="582" t="s">
        <v>1221</v>
      </c>
    </row>
    <row r="1009" spans="2:5" ht="12.75" customHeight="1" x14ac:dyDescent="0.25">
      <c r="B1009" s="779" t="s">
        <v>4731</v>
      </c>
      <c r="C1009" s="497" t="s">
        <v>841</v>
      </c>
      <c r="D1009" s="582" t="s">
        <v>1223</v>
      </c>
      <c r="E1009" s="582" t="s">
        <v>1224</v>
      </c>
    </row>
    <row r="1010" spans="2:5" ht="12.75" customHeight="1" x14ac:dyDescent="0.25">
      <c r="B1010" s="779" t="s">
        <v>4732</v>
      </c>
      <c r="C1010" s="497" t="s">
        <v>2369</v>
      </c>
      <c r="D1010" s="779" t="s">
        <v>2738</v>
      </c>
      <c r="E1010" s="779" t="s">
        <v>2739</v>
      </c>
    </row>
    <row r="1011" spans="2:5" ht="12.75" customHeight="1" x14ac:dyDescent="0.25">
      <c r="B1011" s="779" t="s">
        <v>4733</v>
      </c>
      <c r="C1011" s="497" t="s">
        <v>842</v>
      </c>
      <c r="D1011" s="582" t="s">
        <v>1234</v>
      </c>
      <c r="E1011" s="582" t="s">
        <v>1235</v>
      </c>
    </row>
    <row r="1012" spans="2:5" ht="12.75" customHeight="1" x14ac:dyDescent="0.25">
      <c r="B1012" s="779" t="s">
        <v>4734</v>
      </c>
      <c r="C1012" s="497" t="s">
        <v>1735</v>
      </c>
      <c r="D1012" s="919" t="s">
        <v>3193</v>
      </c>
      <c r="E1012" s="582" t="s">
        <v>1242</v>
      </c>
    </row>
    <row r="1013" spans="2:5" ht="12.75" customHeight="1" x14ac:dyDescent="0.25">
      <c r="B1013" s="779" t="s">
        <v>4735</v>
      </c>
      <c r="C1013" s="497" t="s">
        <v>843</v>
      </c>
      <c r="D1013" s="582" t="s">
        <v>1250</v>
      </c>
      <c r="E1013" s="582" t="s">
        <v>1251</v>
      </c>
    </row>
    <row r="1014" spans="2:5" ht="12.75" customHeight="1" x14ac:dyDescent="0.25">
      <c r="B1014" s="779" t="s">
        <v>4736</v>
      </c>
      <c r="C1014" s="497" t="s">
        <v>1736</v>
      </c>
      <c r="D1014" s="919" t="s">
        <v>3194</v>
      </c>
      <c r="E1014" s="582" t="s">
        <v>1257</v>
      </c>
    </row>
    <row r="1015" spans="2:5" ht="12.75" customHeight="1" x14ac:dyDescent="0.25">
      <c r="B1015" s="779" t="s">
        <v>4737</v>
      </c>
      <c r="C1015" s="497" t="s">
        <v>1737</v>
      </c>
      <c r="D1015" s="919" t="s">
        <v>3195</v>
      </c>
      <c r="E1015" s="582" t="s">
        <v>2467</v>
      </c>
    </row>
    <row r="1016" spans="2:5" ht="12.75" customHeight="1" x14ac:dyDescent="0.25">
      <c r="B1016" s="779" t="s">
        <v>4738</v>
      </c>
      <c r="C1016" s="497" t="s">
        <v>844</v>
      </c>
      <c r="D1016" s="582" t="s">
        <v>1263</v>
      </c>
      <c r="E1016" s="582" t="s">
        <v>1264</v>
      </c>
    </row>
    <row r="1017" spans="2:5" ht="12.75" customHeight="1" x14ac:dyDescent="0.25">
      <c r="B1017" s="779" t="s">
        <v>4739</v>
      </c>
      <c r="C1017" s="497" t="s">
        <v>2370</v>
      </c>
      <c r="D1017" s="919" t="s">
        <v>3196</v>
      </c>
      <c r="E1017" s="582" t="s">
        <v>3192</v>
      </c>
    </row>
    <row r="1018" spans="2:5" ht="12.75" customHeight="1" x14ac:dyDescent="0.25">
      <c r="B1018" s="779" t="s">
        <v>4740</v>
      </c>
      <c r="C1018" s="497" t="s">
        <v>2371</v>
      </c>
      <c r="D1018" s="582" t="s">
        <v>2561</v>
      </c>
      <c r="E1018" s="582" t="s">
        <v>2562</v>
      </c>
    </row>
    <row r="1019" spans="2:5" ht="12.75" customHeight="1" x14ac:dyDescent="0.25">
      <c r="B1019" s="779" t="s">
        <v>4741</v>
      </c>
      <c r="C1019" s="497" t="s">
        <v>1270</v>
      </c>
      <c r="D1019" s="919" t="s">
        <v>3023</v>
      </c>
      <c r="E1019" s="919" t="s">
        <v>2884</v>
      </c>
    </row>
    <row r="1020" spans="2:5" ht="12.75" customHeight="1" x14ac:dyDescent="0.25">
      <c r="B1020" s="779" t="s">
        <v>4742</v>
      </c>
      <c r="C1020" s="497" t="s">
        <v>845</v>
      </c>
      <c r="D1020" s="582" t="s">
        <v>1272</v>
      </c>
      <c r="E1020" s="582" t="s">
        <v>1273</v>
      </c>
    </row>
    <row r="1021" spans="2:5" ht="12.75" customHeight="1" x14ac:dyDescent="0.25">
      <c r="B1021" s="779" t="s">
        <v>4743</v>
      </c>
      <c r="C1021" s="1255" t="s">
        <v>4886</v>
      </c>
      <c r="D1021" s="1197" t="s">
        <v>2030</v>
      </c>
      <c r="E1021" s="1197" t="s">
        <v>2391</v>
      </c>
    </row>
    <row r="1022" spans="2:5" ht="12.75" customHeight="1" x14ac:dyDescent="0.25">
      <c r="B1022" s="779" t="s">
        <v>4744</v>
      </c>
      <c r="C1022" s="497" t="s">
        <v>2372</v>
      </c>
      <c r="D1022" s="582" t="s">
        <v>2563</v>
      </c>
      <c r="E1022" s="582" t="s">
        <v>2564</v>
      </c>
    </row>
    <row r="1023" spans="2:5" ht="12.75" customHeight="1" x14ac:dyDescent="0.25">
      <c r="B1023" s="919" t="s">
        <v>4745</v>
      </c>
      <c r="C1023" s="497" t="s">
        <v>2373</v>
      </c>
      <c r="D1023" s="582" t="s">
        <v>2565</v>
      </c>
      <c r="E1023" s="582" t="s">
        <v>2566</v>
      </c>
    </row>
    <row r="1024" spans="2:5" ht="12.75" customHeight="1" x14ac:dyDescent="0.25">
      <c r="B1024" s="919" t="s">
        <v>4746</v>
      </c>
      <c r="C1024" s="497" t="s">
        <v>2374</v>
      </c>
      <c r="D1024" s="582" t="s">
        <v>3187</v>
      </c>
      <c r="E1024" s="582" t="s">
        <v>2567</v>
      </c>
    </row>
    <row r="1025" spans="2:5" ht="12.75" customHeight="1" x14ac:dyDescent="0.25">
      <c r="B1025" s="919" t="s">
        <v>4747</v>
      </c>
      <c r="C1025" s="497" t="s">
        <v>2375</v>
      </c>
      <c r="D1025" s="582" t="s">
        <v>2568</v>
      </c>
      <c r="E1025" s="582" t="s">
        <v>3188</v>
      </c>
    </row>
    <row r="1026" spans="2:5" ht="12.75" customHeight="1" x14ac:dyDescent="0.25">
      <c r="B1026" s="919" t="s">
        <v>4748</v>
      </c>
      <c r="C1026" s="497" t="s">
        <v>2376</v>
      </c>
      <c r="D1026" s="582" t="s">
        <v>2569</v>
      </c>
      <c r="E1026" s="582" t="s">
        <v>2570</v>
      </c>
    </row>
    <row r="1027" spans="2:5" ht="12.75" customHeight="1" x14ac:dyDescent="0.25">
      <c r="B1027" s="906" t="s">
        <v>4749</v>
      </c>
      <c r="C1027" s="497" t="s">
        <v>2377</v>
      </c>
      <c r="D1027" s="582" t="s">
        <v>2571</v>
      </c>
      <c r="E1027" s="582" t="s">
        <v>2572</v>
      </c>
    </row>
    <row r="1028" spans="2:5" ht="12.75" customHeight="1" x14ac:dyDescent="0.25">
      <c r="B1028" s="906" t="s">
        <v>4750</v>
      </c>
      <c r="C1028" s="497" t="s">
        <v>2378</v>
      </c>
      <c r="D1028" s="582" t="s">
        <v>2573</v>
      </c>
      <c r="E1028" s="582" t="s">
        <v>1361</v>
      </c>
    </row>
    <row r="1029" spans="2:5" ht="12.75" customHeight="1" x14ac:dyDescent="0.25">
      <c r="E1029" s="582"/>
    </row>
    <row r="1030" spans="2:5" ht="12.75" customHeight="1" x14ac:dyDescent="0.25">
      <c r="B1030" s="906" t="s">
        <v>4751</v>
      </c>
      <c r="C1030" s="1197" t="s">
        <v>4197</v>
      </c>
      <c r="D1030" s="685" t="s">
        <v>4198</v>
      </c>
      <c r="E1030" s="1197" t="s">
        <v>4199</v>
      </c>
    </row>
    <row r="1031" spans="2:5" ht="12.75" customHeight="1" x14ac:dyDescent="0.25">
      <c r="E1031" s="582"/>
    </row>
    <row r="1032" spans="2:5" ht="12.75" customHeight="1" x14ac:dyDescent="0.25">
      <c r="B1032" s="779" t="s">
        <v>4752</v>
      </c>
      <c r="C1032" s="497" t="s">
        <v>2379</v>
      </c>
      <c r="D1032" s="582" t="s">
        <v>2574</v>
      </c>
      <c r="E1032" s="582" t="s">
        <v>2575</v>
      </c>
    </row>
    <row r="1033" spans="2:5" ht="12.75" customHeight="1" x14ac:dyDescent="0.25">
      <c r="B1033" s="779" t="s">
        <v>4753</v>
      </c>
      <c r="C1033" s="1197" t="s">
        <v>4201</v>
      </c>
      <c r="D1033" s="1197" t="s">
        <v>4202</v>
      </c>
      <c r="E1033" s="1255" t="s">
        <v>4989</v>
      </c>
    </row>
    <row r="1034" spans="2:5" ht="12.75" customHeight="1" x14ac:dyDescent="0.25">
      <c r="B1034" s="779" t="s">
        <v>4754</v>
      </c>
      <c r="C1034" s="497" t="s">
        <v>2380</v>
      </c>
      <c r="D1034" s="582" t="s">
        <v>2472</v>
      </c>
      <c r="E1034" s="582" t="s">
        <v>2473</v>
      </c>
    </row>
    <row r="1035" spans="2:5" ht="12.75" customHeight="1" x14ac:dyDescent="0.25">
      <c r="B1035" s="919" t="s">
        <v>4755</v>
      </c>
      <c r="C1035" s="497" t="s">
        <v>4142</v>
      </c>
      <c r="D1035" s="582" t="s">
        <v>4156</v>
      </c>
      <c r="E1035" s="582" t="s">
        <v>4157</v>
      </c>
    </row>
    <row r="1036" spans="2:5" ht="12.75" customHeight="1" x14ac:dyDescent="0.25">
      <c r="B1036" s="906" t="s">
        <v>4756</v>
      </c>
      <c r="C1036" s="497" t="s">
        <v>4200</v>
      </c>
      <c r="D1036" s="582" t="s">
        <v>4158</v>
      </c>
      <c r="E1036" s="582" t="s">
        <v>4161</v>
      </c>
    </row>
    <row r="1037" spans="2:5" ht="12.75" customHeight="1" x14ac:dyDescent="0.25">
      <c r="B1037" s="906" t="s">
        <v>4757</v>
      </c>
      <c r="C1037" s="497" t="s">
        <v>2381</v>
      </c>
      <c r="D1037" s="582" t="s">
        <v>2470</v>
      </c>
      <c r="E1037" s="582" t="s">
        <v>2471</v>
      </c>
    </row>
    <row r="1038" spans="2:5" ht="12.75" customHeight="1" x14ac:dyDescent="0.25">
      <c r="B1038" s="906" t="s">
        <v>4758</v>
      </c>
      <c r="C1038" s="497" t="s">
        <v>2382</v>
      </c>
      <c r="D1038" s="582" t="s">
        <v>2487</v>
      </c>
      <c r="E1038" s="582" t="s">
        <v>2488</v>
      </c>
    </row>
    <row r="1039" spans="2:5" ht="12.75" customHeight="1" x14ac:dyDescent="0.25">
      <c r="B1039" s="779" t="s">
        <v>4759</v>
      </c>
      <c r="C1039" s="497" t="s">
        <v>2383</v>
      </c>
      <c r="D1039" s="582" t="s">
        <v>2576</v>
      </c>
      <c r="E1039" s="582" t="s">
        <v>1432</v>
      </c>
    </row>
    <row r="1040" spans="2:5" ht="12.75" customHeight="1" x14ac:dyDescent="0.25">
      <c r="B1040" s="779"/>
      <c r="E1040" s="582"/>
    </row>
    <row r="1041" spans="2:5" ht="12.75" customHeight="1" x14ac:dyDescent="0.25">
      <c r="B1041" s="779" t="s">
        <v>4760</v>
      </c>
      <c r="C1041" s="497" t="s">
        <v>2384</v>
      </c>
      <c r="D1041" s="582" t="s">
        <v>2577</v>
      </c>
      <c r="E1041" s="582" t="s">
        <v>2578</v>
      </c>
    </row>
    <row r="1042" spans="2:5" ht="12.75" customHeight="1" x14ac:dyDescent="0.25">
      <c r="B1042" s="779" t="s">
        <v>4761</v>
      </c>
      <c r="C1042" s="497" t="s">
        <v>346</v>
      </c>
      <c r="D1042" s="582" t="s">
        <v>543</v>
      </c>
      <c r="E1042" s="582" t="s">
        <v>21</v>
      </c>
    </row>
    <row r="1043" spans="2:5" ht="12.75" customHeight="1" x14ac:dyDescent="0.25">
      <c r="B1043" s="779" t="s">
        <v>4762</v>
      </c>
      <c r="C1043" s="497" t="s">
        <v>2385</v>
      </c>
      <c r="D1043" s="783" t="s">
        <v>2770</v>
      </c>
      <c r="E1043" s="779" t="s">
        <v>2649</v>
      </c>
    </row>
    <row r="1044" spans="2:5" ht="12.75" customHeight="1" x14ac:dyDescent="0.25">
      <c r="B1044" s="779" t="s">
        <v>4763</v>
      </c>
      <c r="C1044" s="497" t="s">
        <v>2386</v>
      </c>
      <c r="D1044" s="779" t="s">
        <v>2714</v>
      </c>
      <c r="E1044" s="582" t="s">
        <v>2579</v>
      </c>
    </row>
    <row r="1045" spans="2:5" ht="12.75" customHeight="1" x14ac:dyDescent="0.25">
      <c r="B1045" s="779" t="s">
        <v>4764</v>
      </c>
      <c r="C1045" s="497" t="s">
        <v>2387</v>
      </c>
      <c r="D1045" s="779" t="s">
        <v>2715</v>
      </c>
      <c r="E1045" s="582" t="s">
        <v>2580</v>
      </c>
    </row>
    <row r="1046" spans="2:5" ht="12.75" customHeight="1" x14ac:dyDescent="0.25">
      <c r="B1046" s="779" t="s">
        <v>4765</v>
      </c>
      <c r="C1046" s="497" t="s">
        <v>2388</v>
      </c>
      <c r="D1046" s="779" t="s">
        <v>2718</v>
      </c>
      <c r="E1046" s="1252" t="s">
        <v>2650</v>
      </c>
    </row>
    <row r="1047" spans="2:5" ht="12.75" customHeight="1" x14ac:dyDescent="0.25">
      <c r="B1047" s="779" t="s">
        <v>4766</v>
      </c>
      <c r="C1047" s="497" t="s">
        <v>2389</v>
      </c>
      <c r="D1047" s="582" t="s">
        <v>2581</v>
      </c>
      <c r="E1047" s="582" t="s">
        <v>2582</v>
      </c>
    </row>
    <row r="1048" spans="2:5" ht="12.75" customHeight="1" x14ac:dyDescent="0.25">
      <c r="B1048" s="919" t="s">
        <v>4767</v>
      </c>
      <c r="C1048" s="497" t="s">
        <v>2390</v>
      </c>
      <c r="D1048" s="582" t="s">
        <v>2583</v>
      </c>
      <c r="E1048" s="582" t="s">
        <v>2584</v>
      </c>
    </row>
    <row r="1049" spans="2:5" ht="12.75" customHeight="1" x14ac:dyDescent="0.25">
      <c r="B1049" s="906" t="s">
        <v>4768</v>
      </c>
      <c r="C1049" s="1197" t="s">
        <v>3751</v>
      </c>
      <c r="D1049" s="1197" t="s">
        <v>4212</v>
      </c>
      <c r="E1049" s="1197" t="s">
        <v>4213</v>
      </c>
    </row>
    <row r="1050" spans="2:5" ht="12.75" customHeight="1" x14ac:dyDescent="0.25">
      <c r="B1050" s="906" t="s">
        <v>4769</v>
      </c>
      <c r="C1050" s="1260" t="s">
        <v>4982</v>
      </c>
      <c r="D1050" s="1260" t="s">
        <v>5005</v>
      </c>
      <c r="E1050" s="1260" t="s">
        <v>5006</v>
      </c>
    </row>
    <row r="1051" spans="2:5" ht="12.75" customHeight="1" x14ac:dyDescent="0.25">
      <c r="B1051" s="906" t="s">
        <v>4770</v>
      </c>
      <c r="C1051" s="1260" t="s">
        <v>4983</v>
      </c>
      <c r="D1051" s="1260" t="s">
        <v>5008</v>
      </c>
      <c r="E1051" s="1260" t="s">
        <v>5007</v>
      </c>
    </row>
    <row r="1052" spans="2:5" ht="12.75" customHeight="1" x14ac:dyDescent="0.25">
      <c r="B1052" s="906" t="s">
        <v>4771</v>
      </c>
      <c r="C1052" s="497" t="s">
        <v>2392</v>
      </c>
      <c r="D1052" s="779" t="s">
        <v>2191</v>
      </c>
      <c r="E1052" s="582" t="s">
        <v>1980</v>
      </c>
    </row>
    <row r="1053" spans="2:5" ht="12.75" customHeight="1" x14ac:dyDescent="0.25">
      <c r="B1053" s="906" t="s">
        <v>4772</v>
      </c>
      <c r="C1053" s="497" t="s">
        <v>2393</v>
      </c>
      <c r="D1053" s="582" t="s">
        <v>2585</v>
      </c>
      <c r="E1053" s="582" t="s">
        <v>2586</v>
      </c>
    </row>
    <row r="1054" spans="2:5" ht="12.75" customHeight="1" x14ac:dyDescent="0.25">
      <c r="B1054" s="1248" t="s">
        <v>4773</v>
      </c>
      <c r="C1054" s="497" t="s">
        <v>2394</v>
      </c>
      <c r="D1054" s="582" t="s">
        <v>2587</v>
      </c>
      <c r="E1054" s="582" t="s">
        <v>2588</v>
      </c>
    </row>
    <row r="1055" spans="2:5" ht="12.75" customHeight="1" x14ac:dyDescent="0.25">
      <c r="E1055" s="582"/>
    </row>
    <row r="1056" spans="2:5" ht="12.75" customHeight="1" x14ac:dyDescent="0.25">
      <c r="B1056" s="906" t="s">
        <v>4774</v>
      </c>
      <c r="C1056" s="497" t="s">
        <v>2395</v>
      </c>
      <c r="D1056" s="582" t="s">
        <v>2589</v>
      </c>
      <c r="E1056" s="582" t="s">
        <v>2590</v>
      </c>
    </row>
    <row r="1057" spans="2:5" ht="12.75" customHeight="1" x14ac:dyDescent="0.25">
      <c r="B1057" s="906" t="s">
        <v>4775</v>
      </c>
      <c r="C1057" s="497" t="s">
        <v>1721</v>
      </c>
      <c r="D1057" s="582" t="s">
        <v>2226</v>
      </c>
      <c r="E1057" s="582" t="s">
        <v>2148</v>
      </c>
    </row>
    <row r="1058" spans="2:5" ht="12.75" customHeight="1" x14ac:dyDescent="0.25">
      <c r="B1058" s="906" t="s">
        <v>4776</v>
      </c>
      <c r="C1058" s="497" t="s">
        <v>1722</v>
      </c>
      <c r="D1058" s="582" t="s">
        <v>2227</v>
      </c>
      <c r="E1058" s="582" t="s">
        <v>2149</v>
      </c>
    </row>
    <row r="1059" spans="2:5" ht="12.75" customHeight="1" x14ac:dyDescent="0.25">
      <c r="B1059" s="779" t="s">
        <v>4777</v>
      </c>
      <c r="C1059" s="497" t="s">
        <v>1723</v>
      </c>
      <c r="D1059" s="582" t="s">
        <v>2228</v>
      </c>
      <c r="E1059" s="582" t="s">
        <v>2150</v>
      </c>
    </row>
    <row r="1060" spans="2:5" ht="12.75" customHeight="1" x14ac:dyDescent="0.25">
      <c r="B1060" s="779" t="s">
        <v>4778</v>
      </c>
      <c r="C1060" s="497" t="s">
        <v>1724</v>
      </c>
      <c r="D1060" s="582" t="s">
        <v>2229</v>
      </c>
      <c r="E1060" s="582" t="s">
        <v>2151</v>
      </c>
    </row>
    <row r="1061" spans="2:5" ht="12.75" customHeight="1" x14ac:dyDescent="0.25">
      <c r="B1061" s="779" t="s">
        <v>4779</v>
      </c>
      <c r="C1061" s="497" t="s">
        <v>1725</v>
      </c>
      <c r="D1061" s="582" t="s">
        <v>2230</v>
      </c>
      <c r="E1061" s="582" t="s">
        <v>2152</v>
      </c>
    </row>
    <row r="1062" spans="2:5" ht="12.75" customHeight="1" x14ac:dyDescent="0.25">
      <c r="E1062" s="582"/>
    </row>
    <row r="1063" spans="2:5" ht="12.75" customHeight="1" x14ac:dyDescent="0.25">
      <c r="B1063" s="779" t="s">
        <v>4780</v>
      </c>
      <c r="C1063" s="497" t="s">
        <v>2396</v>
      </c>
      <c r="D1063" s="779" t="s">
        <v>2716</v>
      </c>
      <c r="E1063" s="582" t="s">
        <v>2591</v>
      </c>
    </row>
    <row r="1064" spans="2:5" ht="12.75" customHeight="1" x14ac:dyDescent="0.25">
      <c r="B1064" s="779" t="s">
        <v>4781</v>
      </c>
      <c r="C1064" s="497" t="s">
        <v>2397</v>
      </c>
      <c r="D1064" s="779" t="s">
        <v>2717</v>
      </c>
      <c r="E1064" s="779" t="s">
        <v>2606</v>
      </c>
    </row>
    <row r="1065" spans="2:5" ht="12.75" customHeight="1" x14ac:dyDescent="0.25">
      <c r="B1065" s="779" t="s">
        <v>4782</v>
      </c>
      <c r="C1065" s="497" t="s">
        <v>2398</v>
      </c>
      <c r="D1065" s="582" t="s">
        <v>2592</v>
      </c>
      <c r="E1065" s="779" t="s">
        <v>2607</v>
      </c>
    </row>
    <row r="1066" spans="2:5" ht="12.75" customHeight="1" x14ac:dyDescent="0.25">
      <c r="B1066" s="779" t="s">
        <v>4783</v>
      </c>
      <c r="C1066" s="497" t="s">
        <v>2399</v>
      </c>
      <c r="D1066" s="582" t="s">
        <v>2593</v>
      </c>
      <c r="E1066" s="779" t="s">
        <v>2608</v>
      </c>
    </row>
    <row r="1067" spans="2:5" ht="12.75" customHeight="1" x14ac:dyDescent="0.25">
      <c r="B1067" s="779" t="s">
        <v>4784</v>
      </c>
      <c r="C1067" s="497" t="s">
        <v>2400</v>
      </c>
      <c r="D1067" s="582" t="s">
        <v>2594</v>
      </c>
      <c r="E1067" s="779" t="s">
        <v>2609</v>
      </c>
    </row>
    <row r="1068" spans="2:5" ht="12.75" customHeight="1" x14ac:dyDescent="0.25">
      <c r="B1068" s="779" t="s">
        <v>4785</v>
      </c>
      <c r="C1068" s="497" t="s">
        <v>2401</v>
      </c>
      <c r="D1068" s="582" t="s">
        <v>2595</v>
      </c>
      <c r="E1068" s="779" t="s">
        <v>2610</v>
      </c>
    </row>
    <row r="1069" spans="2:5" ht="12.75" customHeight="1" x14ac:dyDescent="0.25">
      <c r="B1069" s="779" t="s">
        <v>4786</v>
      </c>
      <c r="C1069" s="497" t="s">
        <v>2402</v>
      </c>
      <c r="D1069" s="582" t="s">
        <v>2596</v>
      </c>
      <c r="E1069" s="779" t="s">
        <v>2611</v>
      </c>
    </row>
    <row r="1070" spans="2:5" ht="12.75" customHeight="1" x14ac:dyDescent="0.25">
      <c r="B1070" s="779" t="s">
        <v>4787</v>
      </c>
      <c r="C1070" s="497" t="s">
        <v>2403</v>
      </c>
      <c r="D1070" s="582" t="s">
        <v>2597</v>
      </c>
      <c r="E1070" s="779" t="s">
        <v>2612</v>
      </c>
    </row>
    <row r="1071" spans="2:5" ht="12.75" customHeight="1" x14ac:dyDescent="0.25">
      <c r="B1071" s="779" t="s">
        <v>4788</v>
      </c>
      <c r="C1071" s="497" t="s">
        <v>2404</v>
      </c>
      <c r="D1071" s="779" t="s">
        <v>2598</v>
      </c>
      <c r="E1071" s="779" t="s">
        <v>2613</v>
      </c>
    </row>
    <row r="1072" spans="2:5" ht="12.75" customHeight="1" x14ac:dyDescent="0.25">
      <c r="B1072" s="779" t="s">
        <v>4789</v>
      </c>
      <c r="C1072" s="497" t="s">
        <v>2405</v>
      </c>
      <c r="D1072" s="582" t="s">
        <v>2599</v>
      </c>
      <c r="E1072" s="779" t="s">
        <v>2614</v>
      </c>
    </row>
    <row r="1073" spans="2:5" ht="12.75" customHeight="1" x14ac:dyDescent="0.25">
      <c r="B1073" s="779" t="s">
        <v>4790</v>
      </c>
      <c r="C1073" s="497" t="s">
        <v>2406</v>
      </c>
      <c r="D1073" s="582" t="s">
        <v>2600</v>
      </c>
      <c r="E1073" s="779" t="s">
        <v>2622</v>
      </c>
    </row>
    <row r="1074" spans="2:5" ht="12.75" customHeight="1" x14ac:dyDescent="0.25">
      <c r="B1074" s="919" t="s">
        <v>4791</v>
      </c>
      <c r="C1074" s="497" t="s">
        <v>2407</v>
      </c>
      <c r="D1074" s="582" t="s">
        <v>2601</v>
      </c>
      <c r="E1074" s="779" t="s">
        <v>2615</v>
      </c>
    </row>
    <row r="1075" spans="2:5" ht="12.75" customHeight="1" x14ac:dyDescent="0.25">
      <c r="B1075" s="906" t="s">
        <v>4792</v>
      </c>
      <c r="C1075" s="497" t="s">
        <v>2408</v>
      </c>
      <c r="D1075" s="779" t="s">
        <v>2603</v>
      </c>
      <c r="E1075" s="779" t="s">
        <v>2616</v>
      </c>
    </row>
    <row r="1076" spans="2:5" ht="12.75" customHeight="1" x14ac:dyDescent="0.25">
      <c r="B1076" s="906" t="s">
        <v>4793</v>
      </c>
      <c r="C1076" s="497" t="s">
        <v>2409</v>
      </c>
      <c r="D1076" s="779" t="s">
        <v>2602</v>
      </c>
      <c r="E1076" s="779" t="s">
        <v>2617</v>
      </c>
    </row>
    <row r="1077" spans="2:5" ht="12.75" customHeight="1" x14ac:dyDescent="0.25">
      <c r="B1077" s="906" t="s">
        <v>4794</v>
      </c>
      <c r="C1077" s="497" t="s">
        <v>2410</v>
      </c>
      <c r="D1077" s="779" t="s">
        <v>2604</v>
      </c>
      <c r="E1077" s="779" t="s">
        <v>2618</v>
      </c>
    </row>
    <row r="1078" spans="2:5" ht="12.75" customHeight="1" x14ac:dyDescent="0.25">
      <c r="B1078" s="779" t="s">
        <v>4795</v>
      </c>
      <c r="C1078" s="497" t="s">
        <v>2411</v>
      </c>
      <c r="D1078" s="779" t="s">
        <v>2605</v>
      </c>
      <c r="E1078" s="779" t="s">
        <v>2619</v>
      </c>
    </row>
    <row r="1079" spans="2:5" ht="12.75" customHeight="1" x14ac:dyDescent="0.25">
      <c r="B1079" s="1197" t="s">
        <v>4796</v>
      </c>
      <c r="C1079" s="497" t="s">
        <v>2412</v>
      </c>
      <c r="D1079" s="779" t="s">
        <v>2712</v>
      </c>
      <c r="E1079" s="779" t="s">
        <v>2620</v>
      </c>
    </row>
    <row r="1080" spans="2:5" ht="12.75" customHeight="1" x14ac:dyDescent="0.25">
      <c r="B1080" s="779" t="s">
        <v>4797</v>
      </c>
      <c r="C1080" s="497" t="s">
        <v>2413</v>
      </c>
      <c r="D1080" s="779" t="s">
        <v>2713</v>
      </c>
      <c r="E1080" s="779" t="s">
        <v>2621</v>
      </c>
    </row>
    <row r="1081" spans="2:5" ht="12.75" customHeight="1" x14ac:dyDescent="0.25">
      <c r="E1081" s="582"/>
    </row>
    <row r="1082" spans="2:5" ht="12.75" customHeight="1" x14ac:dyDescent="0.25">
      <c r="B1082" s="779" t="s">
        <v>4798</v>
      </c>
      <c r="C1082" s="497" t="s">
        <v>14</v>
      </c>
      <c r="D1082" s="582" t="s">
        <v>468</v>
      </c>
      <c r="E1082" s="582" t="s">
        <v>13</v>
      </c>
    </row>
    <row r="1083" spans="2:5" ht="12.75" customHeight="1" x14ac:dyDescent="0.25">
      <c r="B1083" s="779" t="s">
        <v>4799</v>
      </c>
      <c r="C1083" s="1197" t="s">
        <v>3802</v>
      </c>
      <c r="D1083" s="1197" t="s">
        <v>4204</v>
      </c>
      <c r="E1083" s="1197" t="s">
        <v>4207</v>
      </c>
    </row>
    <row r="1084" spans="2:5" ht="12.75" customHeight="1" x14ac:dyDescent="0.25">
      <c r="B1084" s="779" t="s">
        <v>4800</v>
      </c>
      <c r="C1084" s="1197" t="s">
        <v>3803</v>
      </c>
      <c r="D1084" s="1197" t="s">
        <v>4205</v>
      </c>
      <c r="E1084" s="1197" t="s">
        <v>4208</v>
      </c>
    </row>
    <row r="1085" spans="2:5" ht="12.75" customHeight="1" x14ac:dyDescent="0.25">
      <c r="B1085" s="779" t="s">
        <v>4801</v>
      </c>
      <c r="C1085" s="1197" t="s">
        <v>3804</v>
      </c>
      <c r="D1085" s="1197" t="s">
        <v>4206</v>
      </c>
      <c r="E1085" s="1197" t="s">
        <v>4209</v>
      </c>
    </row>
    <row r="1086" spans="2:5" ht="12.75" customHeight="1" x14ac:dyDescent="0.25">
      <c r="B1086" s="779" t="s">
        <v>4802</v>
      </c>
      <c r="C1086" s="1197" t="s">
        <v>4203</v>
      </c>
      <c r="D1086" s="1197" t="s">
        <v>4203</v>
      </c>
      <c r="E1086" s="1197" t="s">
        <v>4203</v>
      </c>
    </row>
    <row r="1087" spans="2:5" ht="12.75" customHeight="1" x14ac:dyDescent="0.25">
      <c r="B1087" s="779" t="s">
        <v>4803</v>
      </c>
      <c r="C1087" s="497" t="s">
        <v>2414</v>
      </c>
      <c r="D1087" s="779" t="s">
        <v>2623</v>
      </c>
      <c r="E1087" s="779" t="s">
        <v>2636</v>
      </c>
    </row>
    <row r="1088" spans="2:5" ht="12.75" customHeight="1" x14ac:dyDescent="0.25">
      <c r="B1088" s="779" t="s">
        <v>4804</v>
      </c>
      <c r="C1088" s="497" t="s">
        <v>2415</v>
      </c>
      <c r="D1088" s="779" t="s">
        <v>2624</v>
      </c>
      <c r="E1088" s="779" t="s">
        <v>2637</v>
      </c>
    </row>
    <row r="1089" spans="2:5" ht="12.75" customHeight="1" x14ac:dyDescent="0.25">
      <c r="B1089" s="779" t="s">
        <v>4805</v>
      </c>
      <c r="C1089" s="497" t="s">
        <v>2416</v>
      </c>
      <c r="D1089" s="779" t="s">
        <v>2625</v>
      </c>
      <c r="E1089" s="779" t="s">
        <v>2638</v>
      </c>
    </row>
    <row r="1090" spans="2:5" ht="12.75" customHeight="1" x14ac:dyDescent="0.25">
      <c r="B1090" s="1197" t="s">
        <v>4806</v>
      </c>
      <c r="C1090" s="497" t="s">
        <v>2417</v>
      </c>
      <c r="D1090" s="779" t="s">
        <v>2626</v>
      </c>
      <c r="E1090" s="779" t="s">
        <v>2639</v>
      </c>
    </row>
    <row r="1091" spans="2:5" ht="12.75" customHeight="1" x14ac:dyDescent="0.25">
      <c r="B1091" s="779" t="s">
        <v>4807</v>
      </c>
      <c r="C1091" s="497" t="s">
        <v>2418</v>
      </c>
      <c r="D1091" s="779" t="s">
        <v>2627</v>
      </c>
      <c r="E1091" s="779" t="s">
        <v>2640</v>
      </c>
    </row>
    <row r="1092" spans="2:5" ht="12.75" customHeight="1" x14ac:dyDescent="0.25">
      <c r="B1092" s="779" t="s">
        <v>4808</v>
      </c>
      <c r="C1092" s="497" t="s">
        <v>2419</v>
      </c>
      <c r="D1092" s="779" t="s">
        <v>2628</v>
      </c>
      <c r="E1092" s="779" t="s">
        <v>2641</v>
      </c>
    </row>
    <row r="1093" spans="2:5" ht="12.75" customHeight="1" x14ac:dyDescent="0.25">
      <c r="B1093" s="779" t="s">
        <v>4809</v>
      </c>
      <c r="C1093" s="906" t="s">
        <v>3168</v>
      </c>
      <c r="D1093" s="779" t="s">
        <v>2629</v>
      </c>
      <c r="E1093" s="779" t="s">
        <v>2642</v>
      </c>
    </row>
    <row r="1094" spans="2:5" ht="12.75" customHeight="1" x14ac:dyDescent="0.25">
      <c r="B1094" s="919" t="s">
        <v>4810</v>
      </c>
      <c r="C1094" s="906" t="s">
        <v>3169</v>
      </c>
      <c r="D1094" s="779" t="s">
        <v>2632</v>
      </c>
      <c r="E1094" s="779" t="s">
        <v>2643</v>
      </c>
    </row>
    <row r="1095" spans="2:5" ht="12.75" customHeight="1" x14ac:dyDescent="0.25">
      <c r="B1095" s="906" t="s">
        <v>4811</v>
      </c>
      <c r="C1095" s="497" t="s">
        <v>2420</v>
      </c>
      <c r="D1095" s="779" t="s">
        <v>2630</v>
      </c>
      <c r="E1095" s="779" t="s">
        <v>2644</v>
      </c>
    </row>
    <row r="1096" spans="2:5" ht="12.75" customHeight="1" x14ac:dyDescent="0.25">
      <c r="B1096" s="906" t="s">
        <v>4812</v>
      </c>
      <c r="C1096" s="497" t="s">
        <v>2421</v>
      </c>
      <c r="D1096" s="779" t="s">
        <v>2631</v>
      </c>
      <c r="E1096" s="779" t="s">
        <v>2645</v>
      </c>
    </row>
    <row r="1097" spans="2:5" ht="12.75" customHeight="1" x14ac:dyDescent="0.25">
      <c r="B1097" s="906" t="s">
        <v>4813</v>
      </c>
      <c r="C1097" s="497" t="s">
        <v>2422</v>
      </c>
      <c r="D1097" s="779" t="s">
        <v>2633</v>
      </c>
      <c r="E1097" s="779" t="s">
        <v>2646</v>
      </c>
    </row>
    <row r="1098" spans="2:5" ht="12.75" customHeight="1" x14ac:dyDescent="0.25">
      <c r="B1098" s="1197" t="s">
        <v>4814</v>
      </c>
      <c r="C1098" s="497" t="s">
        <v>2423</v>
      </c>
      <c r="D1098" s="779" t="s">
        <v>2634</v>
      </c>
      <c r="E1098" s="779" t="s">
        <v>2647</v>
      </c>
    </row>
    <row r="1099" spans="2:5" ht="12.75" customHeight="1" x14ac:dyDescent="0.25">
      <c r="B1099" s="779" t="s">
        <v>4815</v>
      </c>
      <c r="C1099" s="497" t="s">
        <v>2424</v>
      </c>
      <c r="D1099" s="779" t="s">
        <v>2635</v>
      </c>
      <c r="E1099" s="779" t="s">
        <v>2648</v>
      </c>
    </row>
    <row r="1100" spans="2:5" ht="12.75" customHeight="1" x14ac:dyDescent="0.25">
      <c r="E1100" s="582"/>
    </row>
    <row r="1101" spans="2:5" ht="12.75" customHeight="1" x14ac:dyDescent="0.25">
      <c r="B1101" s="779" t="s">
        <v>4816</v>
      </c>
      <c r="C1101" s="497" t="s">
        <v>2425</v>
      </c>
      <c r="D1101" s="779" t="s">
        <v>2680</v>
      </c>
      <c r="E1101" s="779" t="s">
        <v>2681</v>
      </c>
    </row>
    <row r="1102" spans="2:5" ht="12.75" customHeight="1" x14ac:dyDescent="0.25">
      <c r="B1102" s="779" t="s">
        <v>4817</v>
      </c>
      <c r="C1102" s="497" t="s">
        <v>2506</v>
      </c>
      <c r="D1102" s="779" t="s">
        <v>2731</v>
      </c>
      <c r="E1102" s="779" t="s">
        <v>2732</v>
      </c>
    </row>
    <row r="1103" spans="2:5" ht="12.75" customHeight="1" x14ac:dyDescent="0.25">
      <c r="B1103" s="779" t="s">
        <v>4818</v>
      </c>
      <c r="C1103" s="497" t="s">
        <v>2520</v>
      </c>
      <c r="D1103" s="779" t="s">
        <v>2651</v>
      </c>
      <c r="E1103" s="779" t="s">
        <v>2652</v>
      </c>
    </row>
    <row r="1104" spans="2:5" ht="12.75" customHeight="1" x14ac:dyDescent="0.25">
      <c r="B1104" s="779" t="s">
        <v>4819</v>
      </c>
      <c r="C1104" s="497" t="s">
        <v>2521</v>
      </c>
      <c r="D1104" s="779" t="s">
        <v>2653</v>
      </c>
      <c r="E1104" s="779" t="s">
        <v>2654</v>
      </c>
    </row>
    <row r="1105" spans="2:5" ht="12.75" customHeight="1" x14ac:dyDescent="0.25">
      <c r="B1105" s="779" t="s">
        <v>4820</v>
      </c>
      <c r="C1105" s="497" t="s">
        <v>112</v>
      </c>
      <c r="D1105" s="582" t="s">
        <v>511</v>
      </c>
      <c r="E1105" s="582" t="s">
        <v>475</v>
      </c>
    </row>
    <row r="1106" spans="2:5" ht="12.75" customHeight="1" x14ac:dyDescent="0.25">
      <c r="B1106" s="919" t="s">
        <v>4821</v>
      </c>
      <c r="C1106" s="497" t="s">
        <v>2522</v>
      </c>
      <c r="D1106" s="779" t="s">
        <v>2655</v>
      </c>
      <c r="E1106" s="779" t="s">
        <v>2737</v>
      </c>
    </row>
    <row r="1107" spans="2:5" ht="12.75" customHeight="1" x14ac:dyDescent="0.25">
      <c r="B1107" s="906" t="s">
        <v>4822</v>
      </c>
      <c r="C1107" s="497" t="s">
        <v>2426</v>
      </c>
      <c r="D1107" s="779" t="s">
        <v>2733</v>
      </c>
      <c r="E1107" s="779" t="s">
        <v>2735</v>
      </c>
    </row>
    <row r="1108" spans="2:5" ht="12.75" customHeight="1" x14ac:dyDescent="0.25">
      <c r="B1108" s="906" t="s">
        <v>4823</v>
      </c>
      <c r="C1108" s="497" t="s">
        <v>2427</v>
      </c>
      <c r="D1108" s="779" t="s">
        <v>2734</v>
      </c>
      <c r="E1108" s="779" t="s">
        <v>2736</v>
      </c>
    </row>
    <row r="1109" spans="2:5" ht="12.75" customHeight="1" x14ac:dyDescent="0.25">
      <c r="B1109" s="906" t="s">
        <v>4824</v>
      </c>
      <c r="C1109" s="497" t="s">
        <v>2523</v>
      </c>
      <c r="D1109" s="582" t="s">
        <v>525</v>
      </c>
      <c r="E1109" s="582" t="s">
        <v>2656</v>
      </c>
    </row>
    <row r="1110" spans="2:5" ht="12.75" customHeight="1" x14ac:dyDescent="0.25">
      <c r="B1110" s="1197" t="s">
        <v>4825</v>
      </c>
      <c r="C1110" s="497" t="s">
        <v>2428</v>
      </c>
      <c r="D1110" s="779" t="s">
        <v>2727</v>
      </c>
      <c r="E1110" s="779" t="s">
        <v>2729</v>
      </c>
    </row>
    <row r="1111" spans="2:5" ht="12.75" customHeight="1" x14ac:dyDescent="0.25">
      <c r="B1111" s="779" t="s">
        <v>4826</v>
      </c>
      <c r="C1111" s="497" t="s">
        <v>2429</v>
      </c>
      <c r="D1111" s="779" t="s">
        <v>2728</v>
      </c>
      <c r="E1111" s="779" t="s">
        <v>2730</v>
      </c>
    </row>
    <row r="1112" spans="2:5" ht="12.75" customHeight="1" x14ac:dyDescent="0.25">
      <c r="E1112" s="582"/>
    </row>
    <row r="1113" spans="2:5" ht="12.75" customHeight="1" x14ac:dyDescent="0.25">
      <c r="B1113" s="779" t="s">
        <v>4827</v>
      </c>
      <c r="C1113" s="497" t="s">
        <v>2430</v>
      </c>
      <c r="D1113" s="779" t="s">
        <v>2677</v>
      </c>
      <c r="E1113" s="779" t="s">
        <v>2678</v>
      </c>
    </row>
    <row r="1114" spans="2:5" ht="12.75" customHeight="1" x14ac:dyDescent="0.25">
      <c r="B1114" s="779" t="s">
        <v>4828</v>
      </c>
      <c r="C1114" s="497" t="s">
        <v>2431</v>
      </c>
      <c r="D1114" s="779" t="s">
        <v>2721</v>
      </c>
      <c r="E1114" s="779" t="s">
        <v>2679</v>
      </c>
    </row>
    <row r="1115" spans="2:5" ht="12.75" customHeight="1" x14ac:dyDescent="0.25">
      <c r="B1115" s="779" t="s">
        <v>4829</v>
      </c>
      <c r="C1115" s="497" t="s">
        <v>2432</v>
      </c>
      <c r="D1115" s="779" t="s">
        <v>2657</v>
      </c>
      <c r="E1115" s="779" t="s">
        <v>2667</v>
      </c>
    </row>
    <row r="1116" spans="2:5" ht="12.75" customHeight="1" x14ac:dyDescent="0.25">
      <c r="B1116" s="779" t="s">
        <v>4830</v>
      </c>
      <c r="C1116" s="497" t="s">
        <v>2433</v>
      </c>
      <c r="D1116" s="779" t="s">
        <v>2658</v>
      </c>
      <c r="E1116" s="779" t="s">
        <v>2666</v>
      </c>
    </row>
    <row r="1117" spans="2:5" ht="12.75" customHeight="1" x14ac:dyDescent="0.25">
      <c r="B1117" s="779" t="s">
        <v>4831</v>
      </c>
      <c r="C1117" s="497" t="s">
        <v>2434</v>
      </c>
      <c r="D1117" s="779" t="s">
        <v>2659</v>
      </c>
      <c r="E1117" s="779" t="s">
        <v>2668</v>
      </c>
    </row>
    <row r="1118" spans="2:5" ht="12.75" customHeight="1" x14ac:dyDescent="0.25">
      <c r="B1118" s="779" t="s">
        <v>4832</v>
      </c>
      <c r="C1118" s="497" t="s">
        <v>2435</v>
      </c>
      <c r="D1118" s="779" t="s">
        <v>2660</v>
      </c>
      <c r="E1118" s="779" t="s">
        <v>2669</v>
      </c>
    </row>
    <row r="1119" spans="2:5" ht="12.75" customHeight="1" x14ac:dyDescent="0.25">
      <c r="B1119" s="779" t="s">
        <v>4833</v>
      </c>
      <c r="C1119" s="497" t="s">
        <v>2436</v>
      </c>
      <c r="D1119" s="779" t="s">
        <v>2661</v>
      </c>
      <c r="E1119" s="779" t="s">
        <v>2670</v>
      </c>
    </row>
    <row r="1120" spans="2:5" ht="12.75" customHeight="1" x14ac:dyDescent="0.25">
      <c r="B1120" s="925" t="s">
        <v>4834</v>
      </c>
      <c r="C1120" s="497" t="s">
        <v>2437</v>
      </c>
      <c r="D1120" s="779" t="s">
        <v>2662</v>
      </c>
      <c r="E1120" s="779" t="s">
        <v>2671</v>
      </c>
    </row>
    <row r="1121" spans="2:5" ht="12.75" customHeight="1" x14ac:dyDescent="0.25">
      <c r="B1121" s="925" t="s">
        <v>4835</v>
      </c>
      <c r="C1121" s="497" t="s">
        <v>2438</v>
      </c>
      <c r="D1121" s="779" t="s">
        <v>2663</v>
      </c>
      <c r="E1121" s="779" t="s">
        <v>2672</v>
      </c>
    </row>
    <row r="1122" spans="2:5" ht="12.75" customHeight="1" x14ac:dyDescent="0.25">
      <c r="B1122" s="906" t="s">
        <v>4836</v>
      </c>
      <c r="C1122" s="497" t="s">
        <v>2439</v>
      </c>
      <c r="D1122" s="779" t="s">
        <v>2664</v>
      </c>
      <c r="E1122" s="779" t="s">
        <v>2673</v>
      </c>
    </row>
    <row r="1123" spans="2:5" ht="12.75" customHeight="1" x14ac:dyDescent="0.25">
      <c r="B1123" s="906" t="s">
        <v>4837</v>
      </c>
      <c r="C1123" s="497" t="s">
        <v>2440</v>
      </c>
      <c r="D1123" s="783" t="s">
        <v>2771</v>
      </c>
      <c r="E1123" s="779" t="s">
        <v>2674</v>
      </c>
    </row>
    <row r="1124" spans="2:5" ht="12.75" customHeight="1" x14ac:dyDescent="0.25">
      <c r="B1124" s="1197" t="s">
        <v>4838</v>
      </c>
      <c r="C1124" s="497" t="s">
        <v>2441</v>
      </c>
      <c r="D1124" s="582" t="s">
        <v>2233</v>
      </c>
      <c r="E1124" s="779" t="s">
        <v>2675</v>
      </c>
    </row>
    <row r="1125" spans="2:5" ht="12.75" customHeight="1" x14ac:dyDescent="0.25">
      <c r="B1125" s="779" t="s">
        <v>4839</v>
      </c>
      <c r="C1125" s="497" t="s">
        <v>2442</v>
      </c>
      <c r="D1125" s="779" t="s">
        <v>2665</v>
      </c>
      <c r="E1125" s="779" t="s">
        <v>2676</v>
      </c>
    </row>
    <row r="1126" spans="2:5" ht="12.75" customHeight="1" x14ac:dyDescent="0.25">
      <c r="E1126" s="582"/>
    </row>
    <row r="1127" spans="2:5" ht="12.75" customHeight="1" x14ac:dyDescent="0.25">
      <c r="B1127" s="779" t="s">
        <v>4840</v>
      </c>
      <c r="C1127" s="497" t="s">
        <v>2443</v>
      </c>
      <c r="D1127" s="779" t="s">
        <v>2682</v>
      </c>
      <c r="E1127" s="779" t="s">
        <v>2683</v>
      </c>
    </row>
    <row r="1128" spans="2:5" ht="12.75" customHeight="1" x14ac:dyDescent="0.25">
      <c r="B1128" s="779" t="s">
        <v>4841</v>
      </c>
      <c r="C1128" s="926" t="s">
        <v>2444</v>
      </c>
      <c r="D1128" s="926" t="s">
        <v>3236</v>
      </c>
      <c r="E1128" s="926" t="s">
        <v>3237</v>
      </c>
    </row>
    <row r="1129" spans="2:5" ht="12.75" customHeight="1" x14ac:dyDescent="0.25">
      <c r="B1129" s="779" t="s">
        <v>4842</v>
      </c>
      <c r="C1129" s="508" t="s">
        <v>3116</v>
      </c>
      <c r="D1129" s="926" t="s">
        <v>3239</v>
      </c>
      <c r="E1129" s="926" t="s">
        <v>3238</v>
      </c>
    </row>
    <row r="1130" spans="2:5" ht="12.75" customHeight="1" x14ac:dyDescent="0.25">
      <c r="B1130" s="779" t="s">
        <v>4843</v>
      </c>
      <c r="C1130" s="508" t="s">
        <v>2445</v>
      </c>
      <c r="D1130" s="508" t="s">
        <v>3240</v>
      </c>
      <c r="E1130" s="508" t="s">
        <v>3241</v>
      </c>
    </row>
    <row r="1131" spans="2:5" ht="12.75" customHeight="1" x14ac:dyDescent="0.25">
      <c r="B1131" s="779" t="s">
        <v>4844</v>
      </c>
      <c r="C1131" s="508" t="s">
        <v>3147</v>
      </c>
      <c r="D1131" s="518" t="s">
        <v>3224</v>
      </c>
      <c r="E1131" s="518" t="s">
        <v>3225</v>
      </c>
    </row>
    <row r="1132" spans="2:5" ht="12.75" customHeight="1" x14ac:dyDescent="0.25">
      <c r="B1132" s="1015" t="s">
        <v>4845</v>
      </c>
      <c r="C1132" s="508" t="s">
        <v>3164</v>
      </c>
      <c r="D1132" s="508" t="s">
        <v>3226</v>
      </c>
      <c r="E1132" s="508" t="s">
        <v>3227</v>
      </c>
    </row>
    <row r="1133" spans="2:5" ht="12.75" customHeight="1" x14ac:dyDescent="0.25">
      <c r="B1133" s="906" t="s">
        <v>4846</v>
      </c>
      <c r="C1133" s="508" t="s">
        <v>3165</v>
      </c>
      <c r="D1133" s="508" t="s">
        <v>3229</v>
      </c>
      <c r="E1133" s="508" t="s">
        <v>3228</v>
      </c>
    </row>
    <row r="1134" spans="2:5" ht="12.75" customHeight="1" x14ac:dyDescent="0.25">
      <c r="B1134" s="906" t="s">
        <v>4847</v>
      </c>
      <c r="C1134" s="508" t="s">
        <v>3166</v>
      </c>
      <c r="D1134" s="508" t="s">
        <v>3230</v>
      </c>
      <c r="E1134" s="508" t="s">
        <v>3233</v>
      </c>
    </row>
    <row r="1135" spans="2:5" ht="12.75" customHeight="1" x14ac:dyDescent="0.25">
      <c r="B1135" s="919" t="s">
        <v>4848</v>
      </c>
      <c r="C1135" s="508" t="s">
        <v>3167</v>
      </c>
      <c r="D1135" s="508" t="s">
        <v>3231</v>
      </c>
      <c r="E1135" s="508" t="s">
        <v>3234</v>
      </c>
    </row>
    <row r="1136" spans="2:5" ht="12.75" customHeight="1" x14ac:dyDescent="0.25">
      <c r="B1136" s="906" t="s">
        <v>4849</v>
      </c>
      <c r="C1136" s="508" t="s">
        <v>3134</v>
      </c>
      <c r="D1136" s="508" t="s">
        <v>3232</v>
      </c>
      <c r="E1136" s="508" t="s">
        <v>3235</v>
      </c>
    </row>
    <row r="1137" spans="2:5" ht="12.75" customHeight="1" x14ac:dyDescent="0.25">
      <c r="B1137" s="906" t="s">
        <v>4850</v>
      </c>
      <c r="C1137" s="497" t="s">
        <v>2446</v>
      </c>
      <c r="D1137" s="779" t="s">
        <v>2685</v>
      </c>
      <c r="E1137" s="779" t="s">
        <v>2686</v>
      </c>
    </row>
    <row r="1138" spans="2:5" ht="12.75" customHeight="1" x14ac:dyDescent="0.25">
      <c r="B1138" s="906" t="s">
        <v>4851</v>
      </c>
      <c r="C1138" s="497" t="s">
        <v>2447</v>
      </c>
      <c r="D1138" s="779" t="s">
        <v>2684</v>
      </c>
      <c r="E1138" s="779" t="s">
        <v>2687</v>
      </c>
    </row>
    <row r="1139" spans="2:5" ht="12.75" customHeight="1" x14ac:dyDescent="0.25">
      <c r="B1139" s="1197" t="s">
        <v>4852</v>
      </c>
      <c r="C1139" s="497" t="s">
        <v>2448</v>
      </c>
      <c r="D1139" s="779" t="s">
        <v>2689</v>
      </c>
      <c r="E1139" s="779" t="s">
        <v>2688</v>
      </c>
    </row>
    <row r="1140" spans="2:5" ht="12.75" customHeight="1" x14ac:dyDescent="0.25">
      <c r="B1140" s="779" t="s">
        <v>4853</v>
      </c>
      <c r="C1140" s="927" t="s">
        <v>3135</v>
      </c>
      <c r="D1140" s="779" t="s">
        <v>2719</v>
      </c>
      <c r="E1140" s="779" t="s">
        <v>2720</v>
      </c>
    </row>
    <row r="1141" spans="2:5" ht="12.75" customHeight="1" x14ac:dyDescent="0.25">
      <c r="E1141" s="582"/>
    </row>
    <row r="1142" spans="2:5" ht="12.75" customHeight="1" x14ac:dyDescent="0.25">
      <c r="B1142" s="779" t="s">
        <v>4854</v>
      </c>
      <c r="C1142" s="497" t="s">
        <v>812</v>
      </c>
      <c r="D1142" s="582" t="s">
        <v>1758</v>
      </c>
      <c r="E1142" s="582" t="s">
        <v>1759</v>
      </c>
    </row>
    <row r="1143" spans="2:5" ht="12.75" customHeight="1" x14ac:dyDescent="0.25">
      <c r="B1143" s="1197" t="s">
        <v>4855</v>
      </c>
      <c r="C1143" s="497" t="s">
        <v>4128</v>
      </c>
      <c r="D1143" s="1197" t="s">
        <v>4214</v>
      </c>
      <c r="E1143" s="1197" t="s">
        <v>4215</v>
      </c>
    </row>
    <row r="1144" spans="2:5" ht="12.75" customHeight="1" x14ac:dyDescent="0.25">
      <c r="B1144" s="779" t="s">
        <v>4856</v>
      </c>
      <c r="C1144" s="497" t="s">
        <v>3673</v>
      </c>
      <c r="D1144" s="1197" t="s">
        <v>4216</v>
      </c>
      <c r="E1144" s="1197" t="s">
        <v>4217</v>
      </c>
    </row>
    <row r="1145" spans="2:5" ht="12.75" customHeight="1" x14ac:dyDescent="0.25">
      <c r="B1145" s="779" t="s">
        <v>4857</v>
      </c>
      <c r="C1145" s="497" t="s">
        <v>3674</v>
      </c>
      <c r="D1145" s="1197" t="s">
        <v>4218</v>
      </c>
      <c r="E1145" s="1197" t="s">
        <v>4219</v>
      </c>
    </row>
    <row r="1146" spans="2:5" ht="12.75" customHeight="1" x14ac:dyDescent="0.25">
      <c r="B1146" s="779" t="s">
        <v>4858</v>
      </c>
      <c r="C1146" s="1197" t="s">
        <v>3675</v>
      </c>
      <c r="D1146" s="1197" t="s">
        <v>4220</v>
      </c>
      <c r="E1146" s="1197" t="s">
        <v>4222</v>
      </c>
    </row>
    <row r="1147" spans="2:5" ht="12.75" customHeight="1" x14ac:dyDescent="0.25">
      <c r="B1147" s="779" t="s">
        <v>4859</v>
      </c>
      <c r="C1147" s="1197" t="s">
        <v>3676</v>
      </c>
      <c r="D1147" s="1197" t="s">
        <v>4221</v>
      </c>
      <c r="E1147" s="1197" t="s">
        <v>4223</v>
      </c>
    </row>
    <row r="1148" spans="2:5" ht="12.75" customHeight="1" x14ac:dyDescent="0.25">
      <c r="B1148" s="1197"/>
      <c r="E1148" s="582"/>
    </row>
    <row r="1149" spans="2:5" ht="12.75" customHeight="1" x14ac:dyDescent="0.25">
      <c r="B1149" s="779" t="s">
        <v>4860</v>
      </c>
      <c r="C1149" s="497" t="s">
        <v>2450</v>
      </c>
      <c r="D1149" s="783" t="s">
        <v>2772</v>
      </c>
      <c r="E1149" s="779" t="s">
        <v>2690</v>
      </c>
    </row>
    <row r="1150" spans="2:5" ht="12.75" customHeight="1" x14ac:dyDescent="0.25">
      <c r="B1150" s="919" t="s">
        <v>4861</v>
      </c>
      <c r="C1150" s="497" t="s">
        <v>3117</v>
      </c>
      <c r="D1150" s="508" t="s">
        <v>2699</v>
      </c>
      <c r="E1150" s="508" t="s">
        <v>3248</v>
      </c>
    </row>
    <row r="1151" spans="2:5" ht="12.75" customHeight="1" x14ac:dyDescent="0.25">
      <c r="B1151" s="906" t="s">
        <v>4862</v>
      </c>
      <c r="C1151" s="497" t="s">
        <v>3118</v>
      </c>
      <c r="D1151" s="508" t="s">
        <v>2700</v>
      </c>
      <c r="E1151" s="508" t="s">
        <v>3249</v>
      </c>
    </row>
    <row r="1152" spans="2:5" ht="12.75" customHeight="1" x14ac:dyDescent="0.25">
      <c r="B1152" s="906" t="s">
        <v>4863</v>
      </c>
      <c r="C1152" s="497" t="s">
        <v>3119</v>
      </c>
      <c r="D1152" s="508" t="s">
        <v>2701</v>
      </c>
      <c r="E1152" s="508" t="s">
        <v>3250</v>
      </c>
    </row>
    <row r="1153" spans="2:5" ht="12.75" customHeight="1" x14ac:dyDescent="0.25">
      <c r="B1153" s="1118" t="s">
        <v>4864</v>
      </c>
      <c r="C1153" s="497" t="s">
        <v>3120</v>
      </c>
      <c r="D1153" s="508" t="s">
        <v>2702</v>
      </c>
      <c r="E1153" s="508" t="s">
        <v>3251</v>
      </c>
    </row>
    <row r="1154" spans="2:5" ht="12.75" customHeight="1" x14ac:dyDescent="0.25">
      <c r="B1154" s="906" t="s">
        <v>4865</v>
      </c>
      <c r="C1154" s="497" t="s">
        <v>3121</v>
      </c>
      <c r="D1154" s="508" t="s">
        <v>2703</v>
      </c>
      <c r="E1154" s="508" t="s">
        <v>2691</v>
      </c>
    </row>
    <row r="1155" spans="2:5" ht="12.75" customHeight="1" x14ac:dyDescent="0.25">
      <c r="B1155" s="1197" t="s">
        <v>4866</v>
      </c>
      <c r="C1155" s="497" t="s">
        <v>3122</v>
      </c>
      <c r="D1155" s="508" t="s">
        <v>2704</v>
      </c>
      <c r="E1155" s="508" t="s">
        <v>2692</v>
      </c>
    </row>
    <row r="1156" spans="2:5" ht="12.75" customHeight="1" x14ac:dyDescent="0.25">
      <c r="B1156" s="1197" t="s">
        <v>4867</v>
      </c>
      <c r="C1156" s="497" t="s">
        <v>3123</v>
      </c>
      <c r="D1156" s="508" t="s">
        <v>2705</v>
      </c>
      <c r="E1156" s="508" t="s">
        <v>2693</v>
      </c>
    </row>
    <row r="1157" spans="2:5" ht="12.75" customHeight="1" x14ac:dyDescent="0.25">
      <c r="B1157" s="1197" t="s">
        <v>4868</v>
      </c>
      <c r="C1157" s="497" t="s">
        <v>3124</v>
      </c>
      <c r="D1157" s="508" t="s">
        <v>2706</v>
      </c>
      <c r="E1157" s="508" t="s">
        <v>2694</v>
      </c>
    </row>
    <row r="1158" spans="2:5" ht="12.75" customHeight="1" x14ac:dyDescent="0.25">
      <c r="B1158" s="1197" t="s">
        <v>4869</v>
      </c>
      <c r="C1158" s="497" t="s">
        <v>3125</v>
      </c>
      <c r="D1158" s="508" t="s">
        <v>2707</v>
      </c>
      <c r="E1158" s="508" t="s">
        <v>2695</v>
      </c>
    </row>
    <row r="1159" spans="2:5" ht="12.75" customHeight="1" x14ac:dyDescent="0.25">
      <c r="B1159" s="1197" t="s">
        <v>4870</v>
      </c>
      <c r="C1159" s="497" t="s">
        <v>3126</v>
      </c>
      <c r="D1159" s="508" t="s">
        <v>2708</v>
      </c>
      <c r="E1159" s="508" t="s">
        <v>2696</v>
      </c>
    </row>
    <row r="1160" spans="2:5" ht="12.75" customHeight="1" x14ac:dyDescent="0.25">
      <c r="B1160" s="1197" t="s">
        <v>4871</v>
      </c>
      <c r="C1160" s="497" t="s">
        <v>3127</v>
      </c>
      <c r="D1160" s="508" t="s">
        <v>2709</v>
      </c>
      <c r="E1160" s="508" t="s">
        <v>2697</v>
      </c>
    </row>
    <row r="1161" spans="2:5" ht="12.75" customHeight="1" x14ac:dyDescent="0.25">
      <c r="B1161" s="1248" t="s">
        <v>4872</v>
      </c>
      <c r="C1161" s="497" t="s">
        <v>3128</v>
      </c>
      <c r="D1161" s="508" t="s">
        <v>2710</v>
      </c>
      <c r="E1161" s="508" t="s">
        <v>2698</v>
      </c>
    </row>
    <row r="1162" spans="2:5" ht="12.75" customHeight="1" x14ac:dyDescent="0.25">
      <c r="E1162" s="582"/>
    </row>
    <row r="1163" spans="2:5" ht="12.75" customHeight="1" x14ac:dyDescent="0.25">
      <c r="B1163" s="1197" t="s">
        <v>4872</v>
      </c>
      <c r="C1163" s="497" t="s">
        <v>2451</v>
      </c>
      <c r="D1163" s="779" t="s">
        <v>2711</v>
      </c>
      <c r="E1163" s="779" t="s">
        <v>2451</v>
      </c>
    </row>
    <row r="1164" spans="2:5" ht="12.75" customHeight="1" x14ac:dyDescent="0.25">
      <c r="B1164" s="1197" t="s">
        <v>4873</v>
      </c>
      <c r="C1164" s="497" t="s">
        <v>1938</v>
      </c>
      <c r="D1164" s="582" t="s">
        <v>1946</v>
      </c>
      <c r="E1164" s="582" t="s">
        <v>1947</v>
      </c>
    </row>
    <row r="1165" spans="2:5" ht="12.75" customHeight="1" x14ac:dyDescent="0.25">
      <c r="B1165" s="1197" t="s">
        <v>4874</v>
      </c>
      <c r="C1165" s="497" t="s">
        <v>1939</v>
      </c>
      <c r="D1165" s="582" t="s">
        <v>1951</v>
      </c>
      <c r="E1165" s="582" t="s">
        <v>1950</v>
      </c>
    </row>
    <row r="1166" spans="2:5" ht="12.75" customHeight="1" x14ac:dyDescent="0.25">
      <c r="B1166" s="1197" t="s">
        <v>4875</v>
      </c>
      <c r="C1166" s="497" t="s">
        <v>1940</v>
      </c>
      <c r="D1166" s="582" t="s">
        <v>1948</v>
      </c>
      <c r="E1166" s="582" t="s">
        <v>1981</v>
      </c>
    </row>
    <row r="1167" spans="2:5" ht="12.75" customHeight="1" x14ac:dyDescent="0.25">
      <c r="B1167" s="1197" t="s">
        <v>4876</v>
      </c>
      <c r="C1167" s="497" t="s">
        <v>1941</v>
      </c>
      <c r="D1167" s="582" t="s">
        <v>1952</v>
      </c>
      <c r="E1167" s="582" t="s">
        <v>1949</v>
      </c>
    </row>
    <row r="1170" spans="2:7" ht="12.75" customHeight="1" x14ac:dyDescent="0.25">
      <c r="B1170" s="1182"/>
      <c r="C1170" s="518"/>
      <c r="D1170" s="518"/>
      <c r="E1170" s="518"/>
    </row>
    <row r="1171" spans="2:7" ht="12.75" customHeight="1" x14ac:dyDescent="0.25">
      <c r="F1171" s="498"/>
    </row>
    <row r="1172" spans="2:7" ht="12.75" customHeight="1" x14ac:dyDescent="0.25">
      <c r="G1172" s="498"/>
    </row>
    <row r="1173" spans="2:7" ht="12.75" customHeight="1" x14ac:dyDescent="0.25">
      <c r="G1173" s="498"/>
    </row>
    <row r="1174" spans="2:7" ht="12.75" customHeight="1" x14ac:dyDescent="0.25">
      <c r="G1174" s="498"/>
    </row>
    <row r="1175" spans="2:7" ht="12.75" customHeight="1" x14ac:dyDescent="0.25">
      <c r="G1175" s="498"/>
    </row>
    <row r="1176" spans="2:7" ht="12.75" customHeight="1" x14ac:dyDescent="0.25">
      <c r="G1176" s="498"/>
    </row>
    <row r="1177" spans="2:7" ht="12.75" customHeight="1" x14ac:dyDescent="0.25">
      <c r="G1177" s="498"/>
    </row>
    <row r="1178" spans="2:7" ht="12.75" customHeight="1" x14ac:dyDescent="0.25">
      <c r="F1178" s="498"/>
    </row>
    <row r="1179" spans="2:7" ht="12.75" customHeight="1" x14ac:dyDescent="0.25">
      <c r="F1179" s="498"/>
    </row>
    <row r="1180" spans="2:7" s="1123" customFormat="1" ht="12.75" customHeight="1" x14ac:dyDescent="0.25">
      <c r="G1180" s="1124"/>
    </row>
    <row r="1181" spans="2:7" ht="12.75" customHeight="1" x14ac:dyDescent="0.25">
      <c r="F1181" s="498"/>
    </row>
    <row r="1182" spans="2:7" ht="12.75" customHeight="1" x14ac:dyDescent="0.25">
      <c r="F1182" s="498"/>
    </row>
    <row r="1183" spans="2:7" ht="12.75" customHeight="1" x14ac:dyDescent="0.25">
      <c r="F1183" s="498"/>
    </row>
    <row r="1184" spans="2:7" ht="12.75" customHeight="1" x14ac:dyDescent="0.25">
      <c r="F1184" s="498"/>
    </row>
    <row r="1185" spans="6:6" ht="12.75" customHeight="1" x14ac:dyDescent="0.25">
      <c r="F1185" s="498"/>
    </row>
    <row r="1186" spans="6:6" ht="12.75" customHeight="1" x14ac:dyDescent="0.25">
      <c r="F1186" s="498"/>
    </row>
    <row r="1187" spans="6:6" ht="12.75" customHeight="1" x14ac:dyDescent="0.25">
      <c r="F1187" s="498"/>
    </row>
    <row r="1188" spans="6:6" ht="12.75" customHeight="1" x14ac:dyDescent="0.25">
      <c r="F1188" s="498"/>
    </row>
    <row r="1189" spans="6:6" ht="12.75" customHeight="1" x14ac:dyDescent="0.25">
      <c r="F1189" s="498"/>
    </row>
    <row r="1190" spans="6:6" ht="12.75" customHeight="1" x14ac:dyDescent="0.25">
      <c r="F1190" s="498"/>
    </row>
    <row r="1191" spans="6:6" ht="12.75" customHeight="1" x14ac:dyDescent="0.25">
      <c r="F1191" s="498"/>
    </row>
    <row r="1192" spans="6:6" ht="12.75" customHeight="1" x14ac:dyDescent="0.25">
      <c r="F1192" s="498"/>
    </row>
    <row r="1193" spans="6:6" ht="12.75" customHeight="1" x14ac:dyDescent="0.25">
      <c r="F1193" s="498"/>
    </row>
    <row r="1194" spans="6:6" ht="12.75" customHeight="1" x14ac:dyDescent="0.25">
      <c r="F1194" s="498"/>
    </row>
    <row r="1195" spans="6:6" ht="12.75" customHeight="1" x14ac:dyDescent="0.25">
      <c r="F1195" s="498"/>
    </row>
    <row r="1196" spans="6:6" ht="12.75" customHeight="1" x14ac:dyDescent="0.25">
      <c r="F1196" s="498"/>
    </row>
    <row r="1197" spans="6:6" ht="12.75" customHeight="1" x14ac:dyDescent="0.25">
      <c r="F1197" s="498"/>
    </row>
    <row r="1198" spans="6:6" ht="12.75" customHeight="1" x14ac:dyDescent="0.25">
      <c r="F1198" s="498"/>
    </row>
  </sheetData>
  <phoneticPr fontId="197" type="noConversion"/>
  <pageMargins left="0.70866141732283472" right="0.70866141732283472" top="0.74803149606299213" bottom="0.74803149606299213" header="0.31496062992125984" footer="0.31496062992125984"/>
  <pageSetup paperSize="9" scale="41" fitToHeight="3"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8">
    <tabColor rgb="FF002D64"/>
  </sheetPr>
  <dimension ref="A1:G10"/>
  <sheetViews>
    <sheetView showGridLines="0" zoomScale="90" zoomScaleNormal="90" workbookViewId="0"/>
  </sheetViews>
  <sheetFormatPr baseColWidth="10" defaultColWidth="8.5703125" defaultRowHeight="12.75" customHeight="1" x14ac:dyDescent="0.2"/>
  <cols>
    <col min="1" max="1" width="5.5703125" style="755" customWidth="1"/>
    <col min="2" max="2" width="83.42578125" style="755" customWidth="1"/>
    <col min="3" max="3" width="49.42578125" style="755" bestFit="1" customWidth="1"/>
    <col min="4" max="7" width="10.5703125" style="755" customWidth="1"/>
    <col min="8" max="16384" width="8.5703125" style="755"/>
  </cols>
  <sheetData>
    <row r="1" spans="1:7" ht="20.100000000000001" customHeight="1" x14ac:dyDescent="0.25">
      <c r="A1" s="679">
        <v>32</v>
      </c>
      <c r="B1" s="680" t="str">
        <f>VLOOKUP("T.32.01",Translation,LanguageNo+1,FALSE)</f>
        <v>General Parameters</v>
      </c>
      <c r="C1" s="726"/>
      <c r="D1" s="726"/>
      <c r="E1" s="726"/>
      <c r="F1" s="726"/>
      <c r="G1" s="726"/>
    </row>
    <row r="2" spans="1:7" ht="20.100000000000001" customHeight="1" x14ac:dyDescent="0.25">
      <c r="A2" s="679"/>
      <c r="B2" s="680"/>
      <c r="C2" s="726"/>
      <c r="D2" s="726"/>
      <c r="E2" s="726"/>
      <c r="F2" s="726"/>
      <c r="G2" s="726"/>
    </row>
    <row r="3" spans="1:7" ht="14.25" customHeight="1" x14ac:dyDescent="0.2">
      <c r="B3" s="1020" t="s">
        <v>3282</v>
      </c>
    </row>
    <row r="4" spans="1:7" ht="14.25" customHeight="1" x14ac:dyDescent="0.2"/>
    <row r="5" spans="1:7" ht="27" customHeight="1" x14ac:dyDescent="0.2">
      <c r="B5" s="1016" t="s">
        <v>3259</v>
      </c>
      <c r="C5" s="1021"/>
      <c r="D5" s="940" t="s">
        <v>49</v>
      </c>
    </row>
    <row r="6" spans="1:7" ht="14.25" customHeight="1" x14ac:dyDescent="0.2">
      <c r="B6" s="1012" t="str">
        <f>VLOOKUP("T.32.02",Translation,LanguageNo+1,FALSE)</f>
        <v>Erwartetes finanzielles Ergebnis Faktor</v>
      </c>
      <c r="C6" s="1025" t="s">
        <v>3287</v>
      </c>
      <c r="D6" s="941">
        <f>IF(OR(Branch="Leben",Branch = "Vie",Branch="Life"),0.8,0.9)</f>
        <v>0.9</v>
      </c>
    </row>
    <row r="7" spans="1:7" ht="12.75" customHeight="1" x14ac:dyDescent="0.2">
      <c r="B7" s="1011" t="str">
        <f>VLOOKUP("T.32.03",Translation,LanguageNo+1,FALSE)</f>
        <v>Kreditrisikofaktor Basel III</v>
      </c>
      <c r="C7" s="1024" t="s">
        <v>3287</v>
      </c>
      <c r="D7" s="938">
        <v>0.08</v>
      </c>
    </row>
    <row r="8" spans="1:7" ht="12.75" customHeight="1" x14ac:dyDescent="0.2">
      <c r="B8" s="1011" t="str">
        <f>VLOOKUP("T.32.04",Translation,LanguageNo+1,FALSE)</f>
        <v>MVM Kapitalkostensatz</v>
      </c>
      <c r="C8" s="1024" t="s">
        <v>3287</v>
      </c>
      <c r="D8" s="938">
        <v>0.06</v>
      </c>
    </row>
    <row r="9" spans="1:7" ht="12.75" customHeight="1" x14ac:dyDescent="0.2">
      <c r="B9" s="1011" t="str">
        <f>VLOOKUP("T.32.05",Translation,LanguageNo+1,FALSE)</f>
        <v>MVM nhmr Faktor</v>
      </c>
      <c r="C9" s="1024" t="s">
        <v>3287</v>
      </c>
      <c r="D9" s="937">
        <f>0.06*IF('General Inputs'!D12+'General Inputs'!D13+'General Inputs'!D15 &gt; 0, ('General Inputs'!D12+'General Inputs'!D15+'General Inputs'!D13*'General Inputs'!D14)/('General Inputs'!D12+'General Inputs'!D13+'General Inputs'!D15), 0)</f>
        <v>0</v>
      </c>
    </row>
    <row r="10" spans="1:7" ht="12.75" customHeight="1" x14ac:dyDescent="0.2">
      <c r="B10" s="1011" t="str">
        <f>VLOOKUP("T.32.06",Translation,LanguageNo+1,FALSE)</f>
        <v>Volatilität (immaterielle) Beteiligungen</v>
      </c>
      <c r="C10" s="1024" t="s">
        <v>3287</v>
      </c>
      <c r="D10" s="938">
        <v>0.25</v>
      </c>
    </row>
  </sheetData>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E9509-CD55-48F8-847F-2D8DE7797A40}">
  <sheetPr>
    <tabColor rgb="FF002D64"/>
  </sheetPr>
  <dimension ref="A1:AD779"/>
  <sheetViews>
    <sheetView workbookViewId="0"/>
  </sheetViews>
  <sheetFormatPr baseColWidth="10" defaultColWidth="9.140625" defaultRowHeight="15" x14ac:dyDescent="0.25"/>
  <sheetData>
    <row r="1" spans="1:30" x14ac:dyDescent="0.25">
      <c r="A1" t="s">
        <v>3292</v>
      </c>
      <c r="B1" t="s">
        <v>3293</v>
      </c>
      <c r="C1" t="s">
        <v>3294</v>
      </c>
      <c r="D1" t="s">
        <v>3295</v>
      </c>
      <c r="E1" t="s">
        <v>3296</v>
      </c>
      <c r="F1" t="s">
        <v>3297</v>
      </c>
      <c r="G1" t="s">
        <v>3298</v>
      </c>
      <c r="H1" t="s">
        <v>3299</v>
      </c>
      <c r="I1" t="s">
        <v>3300</v>
      </c>
      <c r="J1" t="s">
        <v>3301</v>
      </c>
      <c r="K1" t="s">
        <v>2335</v>
      </c>
      <c r="L1" t="s">
        <v>2336</v>
      </c>
      <c r="M1" t="s">
        <v>2337</v>
      </c>
      <c r="N1" t="s">
        <v>2338</v>
      </c>
      <c r="O1" t="s">
        <v>3302</v>
      </c>
      <c r="P1" t="s">
        <v>3303</v>
      </c>
      <c r="Q1" t="s">
        <v>3304</v>
      </c>
      <c r="R1" t="s">
        <v>3305</v>
      </c>
      <c r="T1" t="s">
        <v>3668</v>
      </c>
      <c r="U1" t="s">
        <v>3342</v>
      </c>
      <c r="V1" t="s">
        <v>3344</v>
      </c>
      <c r="W1" t="s">
        <v>3345</v>
      </c>
      <c r="X1" t="s">
        <v>3346</v>
      </c>
      <c r="Y1" t="s">
        <v>3348</v>
      </c>
      <c r="Z1" t="s">
        <v>3347</v>
      </c>
      <c r="AA1" t="s">
        <v>2337</v>
      </c>
      <c r="AB1" t="s">
        <v>3552</v>
      </c>
      <c r="AC1" t="s">
        <v>3501</v>
      </c>
      <c r="AD1" t="s">
        <v>3553</v>
      </c>
    </row>
    <row r="2" spans="1:30" x14ac:dyDescent="0.25">
      <c r="A2" t="s">
        <v>3292</v>
      </c>
      <c r="B2">
        <v>6</v>
      </c>
      <c r="C2" t="s">
        <v>3306</v>
      </c>
      <c r="D2" t="b">
        <v>1</v>
      </c>
      <c r="E2" t="b">
        <v>0</v>
      </c>
      <c r="F2" t="s">
        <v>3307</v>
      </c>
      <c r="G2" t="s">
        <v>3986</v>
      </c>
      <c r="H2" t="s">
        <v>3986</v>
      </c>
      <c r="I2" t="s">
        <v>3986</v>
      </c>
      <c r="J2" t="s">
        <v>3986</v>
      </c>
      <c r="K2" t="s">
        <v>3308</v>
      </c>
      <c r="L2" t="s">
        <v>3309</v>
      </c>
      <c r="M2" t="s">
        <v>3766</v>
      </c>
      <c r="N2">
        <v>7</v>
      </c>
      <c r="O2" t="b">
        <v>0</v>
      </c>
      <c r="P2" t="b">
        <v>1</v>
      </c>
      <c r="Q2" t="b">
        <v>0</v>
      </c>
      <c r="R2" t="b">
        <v>1</v>
      </c>
      <c r="T2" t="s">
        <v>3669</v>
      </c>
      <c r="U2">
        <v>0</v>
      </c>
      <c r="V2" t="s">
        <v>3986</v>
      </c>
      <c r="W2">
        <v>0</v>
      </c>
      <c r="X2" t="s">
        <v>3986</v>
      </c>
      <c r="Y2" t="s">
        <v>3986</v>
      </c>
      <c r="Z2">
        <v>1591400000</v>
      </c>
      <c r="AA2" t="s">
        <v>3986</v>
      </c>
      <c r="AB2" t="s">
        <v>3986</v>
      </c>
      <c r="AC2" t="s">
        <v>3986</v>
      </c>
      <c r="AD2" t="s">
        <v>3986</v>
      </c>
    </row>
    <row r="3" spans="1:30" x14ac:dyDescent="0.25">
      <c r="A3" t="s">
        <v>1612</v>
      </c>
      <c r="B3">
        <v>7</v>
      </c>
      <c r="C3" t="s">
        <v>3310</v>
      </c>
      <c r="D3" t="b">
        <v>1</v>
      </c>
      <c r="E3" t="b">
        <v>0</v>
      </c>
      <c r="F3" t="s">
        <v>3986</v>
      </c>
      <c r="G3" t="s">
        <v>3986</v>
      </c>
      <c r="H3" t="s">
        <v>3986</v>
      </c>
      <c r="I3" t="s">
        <v>3986</v>
      </c>
      <c r="J3" t="s">
        <v>3986</v>
      </c>
      <c r="K3" t="s">
        <v>3308</v>
      </c>
      <c r="L3" t="s">
        <v>3309</v>
      </c>
      <c r="M3" t="s">
        <v>3766</v>
      </c>
      <c r="N3">
        <v>7</v>
      </c>
      <c r="O3" t="b">
        <v>0</v>
      </c>
      <c r="P3" t="b">
        <v>1</v>
      </c>
      <c r="Q3" t="b">
        <v>0</v>
      </c>
      <c r="R3" t="b">
        <v>1</v>
      </c>
      <c r="T3" t="s">
        <v>3670</v>
      </c>
      <c r="U3">
        <v>300</v>
      </c>
      <c r="V3" t="s">
        <v>3986</v>
      </c>
      <c r="W3">
        <v>6</v>
      </c>
      <c r="X3" t="s">
        <v>3986</v>
      </c>
      <c r="Y3" t="s">
        <v>3986</v>
      </c>
      <c r="Z3">
        <v>0</v>
      </c>
      <c r="AA3" t="s">
        <v>2493</v>
      </c>
      <c r="AB3" t="s">
        <v>3986</v>
      </c>
      <c r="AC3" t="s">
        <v>3986</v>
      </c>
      <c r="AD3" t="s">
        <v>3986</v>
      </c>
    </row>
    <row r="4" spans="1:30" x14ac:dyDescent="0.25">
      <c r="A4" t="s">
        <v>1614</v>
      </c>
      <c r="B4">
        <v>8</v>
      </c>
      <c r="C4" t="s">
        <v>3310</v>
      </c>
      <c r="D4" t="b">
        <v>1</v>
      </c>
      <c r="E4" t="b">
        <v>0</v>
      </c>
      <c r="F4" t="s">
        <v>3986</v>
      </c>
      <c r="G4" t="s">
        <v>3986</v>
      </c>
      <c r="H4" t="s">
        <v>3986</v>
      </c>
      <c r="I4" t="s">
        <v>3986</v>
      </c>
      <c r="J4" t="s">
        <v>3986</v>
      </c>
      <c r="K4" t="s">
        <v>3308</v>
      </c>
      <c r="L4" t="s">
        <v>3309</v>
      </c>
      <c r="M4" t="s">
        <v>3766</v>
      </c>
      <c r="N4">
        <v>7</v>
      </c>
      <c r="O4" t="b">
        <v>0</v>
      </c>
      <c r="P4" t="b">
        <v>1</v>
      </c>
      <c r="Q4" t="b">
        <v>0</v>
      </c>
      <c r="R4" t="b">
        <v>1</v>
      </c>
      <c r="T4" t="s">
        <v>3671</v>
      </c>
      <c r="U4">
        <v>1</v>
      </c>
      <c r="V4" t="s">
        <v>3986</v>
      </c>
      <c r="W4">
        <v>2</v>
      </c>
      <c r="X4" t="s">
        <v>3986</v>
      </c>
      <c r="Y4" t="s">
        <v>2342</v>
      </c>
      <c r="Z4">
        <v>0</v>
      </c>
      <c r="AA4" t="s">
        <v>2493</v>
      </c>
      <c r="AB4" t="s">
        <v>3986</v>
      </c>
      <c r="AC4" t="s">
        <v>3986</v>
      </c>
      <c r="AD4" t="s">
        <v>3986</v>
      </c>
    </row>
    <row r="5" spans="1:30" x14ac:dyDescent="0.25">
      <c r="A5" t="s">
        <v>1615</v>
      </c>
      <c r="B5">
        <v>9</v>
      </c>
      <c r="C5" t="s">
        <v>3310</v>
      </c>
      <c r="D5" t="b">
        <v>1</v>
      </c>
      <c r="E5" t="b">
        <v>0</v>
      </c>
      <c r="F5" t="s">
        <v>3986</v>
      </c>
      <c r="G5" t="s">
        <v>3986</v>
      </c>
      <c r="H5" t="s">
        <v>3986</v>
      </c>
      <c r="I5" t="s">
        <v>3986</v>
      </c>
      <c r="J5" t="s">
        <v>3986</v>
      </c>
      <c r="K5" t="s">
        <v>3308</v>
      </c>
      <c r="L5" t="s">
        <v>3309</v>
      </c>
      <c r="M5" t="s">
        <v>3766</v>
      </c>
      <c r="N5">
        <v>7</v>
      </c>
      <c r="O5" t="b">
        <v>0</v>
      </c>
      <c r="P5" t="b">
        <v>1</v>
      </c>
      <c r="Q5" t="b">
        <v>0</v>
      </c>
      <c r="R5" t="b">
        <v>1</v>
      </c>
      <c r="T5" t="s">
        <v>3671</v>
      </c>
      <c r="U5">
        <v>5</v>
      </c>
      <c r="V5" t="s">
        <v>3986</v>
      </c>
      <c r="W5">
        <v>2</v>
      </c>
      <c r="X5" t="s">
        <v>3986</v>
      </c>
      <c r="Y5" t="s">
        <v>4135</v>
      </c>
      <c r="Z5">
        <v>0</v>
      </c>
      <c r="AA5" t="s">
        <v>2493</v>
      </c>
      <c r="AB5" t="s">
        <v>3986</v>
      </c>
      <c r="AC5" t="s">
        <v>3986</v>
      </c>
      <c r="AD5" t="s">
        <v>3986</v>
      </c>
    </row>
    <row r="6" spans="1:30" x14ac:dyDescent="0.25">
      <c r="A6" t="s">
        <v>1616</v>
      </c>
      <c r="B6">
        <v>10</v>
      </c>
      <c r="C6" t="s">
        <v>3310</v>
      </c>
      <c r="D6" t="b">
        <v>1</v>
      </c>
      <c r="E6" t="b">
        <v>0</v>
      </c>
      <c r="F6" t="s">
        <v>3986</v>
      </c>
      <c r="G6" t="s">
        <v>3986</v>
      </c>
      <c r="H6" t="s">
        <v>3986</v>
      </c>
      <c r="I6" t="s">
        <v>3986</v>
      </c>
      <c r="J6" t="s">
        <v>3986</v>
      </c>
      <c r="K6" t="s">
        <v>3308</v>
      </c>
      <c r="L6" t="s">
        <v>3309</v>
      </c>
      <c r="M6" t="s">
        <v>3766</v>
      </c>
      <c r="N6">
        <v>7</v>
      </c>
      <c r="O6" t="b">
        <v>0</v>
      </c>
      <c r="P6" t="b">
        <v>1</v>
      </c>
      <c r="Q6" t="b">
        <v>0</v>
      </c>
      <c r="R6" t="b">
        <v>1</v>
      </c>
      <c r="T6" t="s">
        <v>3671</v>
      </c>
      <c r="U6">
        <v>5</v>
      </c>
      <c r="V6" t="s">
        <v>3986</v>
      </c>
      <c r="W6">
        <v>4</v>
      </c>
      <c r="X6" t="s">
        <v>3986</v>
      </c>
      <c r="Y6" t="s">
        <v>3672</v>
      </c>
      <c r="Z6">
        <v>0</v>
      </c>
      <c r="AA6" t="s">
        <v>2493</v>
      </c>
      <c r="AB6" t="s">
        <v>3986</v>
      </c>
      <c r="AC6" t="s">
        <v>3986</v>
      </c>
      <c r="AD6" t="s">
        <v>3986</v>
      </c>
    </row>
    <row r="7" spans="1:30" x14ac:dyDescent="0.25">
      <c r="A7" t="s">
        <v>1617</v>
      </c>
      <c r="B7">
        <v>11</v>
      </c>
      <c r="C7" t="s">
        <v>3310</v>
      </c>
      <c r="D7" t="b">
        <v>1</v>
      </c>
      <c r="E7" t="b">
        <v>0</v>
      </c>
      <c r="F7" t="s">
        <v>3986</v>
      </c>
      <c r="G7" t="s">
        <v>3986</v>
      </c>
      <c r="H7" t="s">
        <v>3986</v>
      </c>
      <c r="I7" t="s">
        <v>3986</v>
      </c>
      <c r="J7" t="s">
        <v>3986</v>
      </c>
      <c r="K7" t="s">
        <v>3308</v>
      </c>
      <c r="L7" t="s">
        <v>3309</v>
      </c>
      <c r="M7" t="s">
        <v>3766</v>
      </c>
      <c r="N7">
        <v>7</v>
      </c>
      <c r="O7" t="b">
        <v>0</v>
      </c>
      <c r="P7" t="b">
        <v>1</v>
      </c>
      <c r="Q7" t="b">
        <v>0</v>
      </c>
      <c r="R7" t="b">
        <v>1</v>
      </c>
      <c r="T7" t="s">
        <v>3671</v>
      </c>
      <c r="U7">
        <v>8</v>
      </c>
      <c r="V7" t="s">
        <v>3986</v>
      </c>
      <c r="W7">
        <v>2</v>
      </c>
      <c r="X7" t="s">
        <v>3986</v>
      </c>
      <c r="Y7" t="s">
        <v>2344</v>
      </c>
      <c r="Z7">
        <v>0</v>
      </c>
      <c r="AA7" t="s">
        <v>2493</v>
      </c>
      <c r="AB7" t="s">
        <v>3986</v>
      </c>
      <c r="AC7" t="s">
        <v>3986</v>
      </c>
      <c r="AD7" t="s">
        <v>3986</v>
      </c>
    </row>
    <row r="8" spans="1:30" x14ac:dyDescent="0.25">
      <c r="A8" t="s">
        <v>1618</v>
      </c>
      <c r="B8">
        <v>12</v>
      </c>
      <c r="C8" t="s">
        <v>3310</v>
      </c>
      <c r="D8" t="b">
        <v>1</v>
      </c>
      <c r="E8" t="b">
        <v>0</v>
      </c>
      <c r="F8" t="s">
        <v>3986</v>
      </c>
      <c r="G8" t="s">
        <v>3986</v>
      </c>
      <c r="H8" t="s">
        <v>3986</v>
      </c>
      <c r="I8" t="s">
        <v>3986</v>
      </c>
      <c r="J8" t="s">
        <v>3986</v>
      </c>
      <c r="K8" t="s">
        <v>3308</v>
      </c>
      <c r="L8" t="s">
        <v>3309</v>
      </c>
      <c r="M8" t="s">
        <v>3766</v>
      </c>
      <c r="N8">
        <v>7</v>
      </c>
      <c r="O8" t="b">
        <v>0</v>
      </c>
      <c r="P8" t="b">
        <v>1</v>
      </c>
      <c r="Q8" t="b">
        <v>0</v>
      </c>
      <c r="R8" t="b">
        <v>1</v>
      </c>
      <c r="T8" t="s">
        <v>3671</v>
      </c>
      <c r="U8">
        <v>9</v>
      </c>
      <c r="V8" t="s">
        <v>3986</v>
      </c>
      <c r="W8">
        <v>2</v>
      </c>
      <c r="X8" t="s">
        <v>3986</v>
      </c>
      <c r="Y8" t="s">
        <v>275</v>
      </c>
      <c r="Z8">
        <v>0</v>
      </c>
      <c r="AA8" t="s">
        <v>2493</v>
      </c>
      <c r="AB8" t="s">
        <v>3986</v>
      </c>
      <c r="AC8" t="s">
        <v>3986</v>
      </c>
      <c r="AD8" t="s">
        <v>3986</v>
      </c>
    </row>
    <row r="9" spans="1:30" x14ac:dyDescent="0.25">
      <c r="A9" t="s">
        <v>1619</v>
      </c>
      <c r="B9">
        <v>13</v>
      </c>
      <c r="C9" t="s">
        <v>3310</v>
      </c>
      <c r="D9" t="b">
        <v>1</v>
      </c>
      <c r="E9" t="b">
        <v>0</v>
      </c>
      <c r="F9" t="s">
        <v>3986</v>
      </c>
      <c r="G9" t="s">
        <v>3986</v>
      </c>
      <c r="H9" t="s">
        <v>3986</v>
      </c>
      <c r="I9" t="s">
        <v>3986</v>
      </c>
      <c r="J9" t="s">
        <v>3986</v>
      </c>
      <c r="K9" t="s">
        <v>3308</v>
      </c>
      <c r="L9" t="s">
        <v>3309</v>
      </c>
      <c r="M9" t="s">
        <v>3766</v>
      </c>
      <c r="N9">
        <v>7</v>
      </c>
      <c r="O9" t="b">
        <v>0</v>
      </c>
      <c r="P9" t="b">
        <v>1</v>
      </c>
      <c r="Q9" t="b">
        <v>0</v>
      </c>
      <c r="R9" t="b">
        <v>1</v>
      </c>
      <c r="T9" t="s">
        <v>3671</v>
      </c>
      <c r="U9">
        <v>10</v>
      </c>
      <c r="V9" t="s">
        <v>3986</v>
      </c>
      <c r="W9">
        <v>2</v>
      </c>
      <c r="X9" t="s">
        <v>3986</v>
      </c>
      <c r="Y9" t="s">
        <v>1438</v>
      </c>
      <c r="Z9">
        <v>0</v>
      </c>
      <c r="AA9" t="s">
        <v>2493</v>
      </c>
      <c r="AB9" t="s">
        <v>3986</v>
      </c>
      <c r="AC9" t="s">
        <v>3986</v>
      </c>
      <c r="AD9" t="s">
        <v>3986</v>
      </c>
    </row>
    <row r="10" spans="1:30" x14ac:dyDescent="0.25">
      <c r="A10" t="s">
        <v>1620</v>
      </c>
      <c r="B10">
        <v>14</v>
      </c>
      <c r="C10" t="s">
        <v>3310</v>
      </c>
      <c r="D10" t="b">
        <v>1</v>
      </c>
      <c r="E10" t="b">
        <v>0</v>
      </c>
      <c r="F10" t="s">
        <v>3986</v>
      </c>
      <c r="G10" t="s">
        <v>3986</v>
      </c>
      <c r="H10" t="s">
        <v>3986</v>
      </c>
      <c r="I10" t="s">
        <v>3986</v>
      </c>
      <c r="J10" t="s">
        <v>3986</v>
      </c>
      <c r="K10" t="s">
        <v>3308</v>
      </c>
      <c r="L10" t="s">
        <v>3309</v>
      </c>
      <c r="M10" t="s">
        <v>3766</v>
      </c>
      <c r="N10">
        <v>7</v>
      </c>
      <c r="O10" t="b">
        <v>0</v>
      </c>
      <c r="P10" t="b">
        <v>1</v>
      </c>
      <c r="Q10" t="b">
        <v>0</v>
      </c>
      <c r="R10" t="b">
        <v>1</v>
      </c>
      <c r="T10" t="s">
        <v>3671</v>
      </c>
      <c r="U10">
        <v>12</v>
      </c>
      <c r="V10" t="s">
        <v>3986</v>
      </c>
      <c r="W10">
        <v>2</v>
      </c>
      <c r="X10" t="s">
        <v>3986</v>
      </c>
      <c r="Y10" t="s">
        <v>2345</v>
      </c>
      <c r="Z10">
        <v>0</v>
      </c>
      <c r="AA10" t="s">
        <v>2493</v>
      </c>
      <c r="AB10" t="s">
        <v>3986</v>
      </c>
      <c r="AC10" t="s">
        <v>3986</v>
      </c>
      <c r="AD10" t="s">
        <v>3986</v>
      </c>
    </row>
    <row r="11" spans="1:30" x14ac:dyDescent="0.25">
      <c r="A11" t="s">
        <v>1621</v>
      </c>
      <c r="B11">
        <v>15</v>
      </c>
      <c r="C11" t="s">
        <v>3310</v>
      </c>
      <c r="D11" t="b">
        <v>1</v>
      </c>
      <c r="E11" t="b">
        <v>0</v>
      </c>
      <c r="F11" t="s">
        <v>3986</v>
      </c>
      <c r="G11" t="s">
        <v>3986</v>
      </c>
      <c r="H11" t="s">
        <v>3986</v>
      </c>
      <c r="I11" t="s">
        <v>3986</v>
      </c>
      <c r="J11" t="s">
        <v>3986</v>
      </c>
      <c r="K11" t="s">
        <v>3308</v>
      </c>
      <c r="L11" t="s">
        <v>3309</v>
      </c>
      <c r="M11" t="s">
        <v>3766</v>
      </c>
      <c r="N11">
        <v>7</v>
      </c>
      <c r="O11" t="b">
        <v>0</v>
      </c>
      <c r="P11" t="b">
        <v>1</v>
      </c>
      <c r="Q11" t="b">
        <v>0</v>
      </c>
      <c r="R11" t="b">
        <v>1</v>
      </c>
      <c r="T11" t="s">
        <v>3671</v>
      </c>
      <c r="U11">
        <v>13</v>
      </c>
      <c r="V11" t="s">
        <v>3986</v>
      </c>
      <c r="W11">
        <v>2</v>
      </c>
      <c r="X11" t="s">
        <v>3986</v>
      </c>
      <c r="Y11" t="s">
        <v>2345</v>
      </c>
      <c r="Z11">
        <v>0</v>
      </c>
      <c r="AA11" t="s">
        <v>2493</v>
      </c>
      <c r="AB11" t="s">
        <v>3986</v>
      </c>
      <c r="AC11" t="s">
        <v>3986</v>
      </c>
      <c r="AD11" t="s">
        <v>3986</v>
      </c>
    </row>
    <row r="12" spans="1:30" x14ac:dyDescent="0.25">
      <c r="A12" t="s">
        <v>1622</v>
      </c>
      <c r="B12">
        <v>16</v>
      </c>
      <c r="C12" t="s">
        <v>3310</v>
      </c>
      <c r="D12" t="b">
        <v>1</v>
      </c>
      <c r="E12" t="b">
        <v>0</v>
      </c>
      <c r="F12" t="s">
        <v>3986</v>
      </c>
      <c r="G12" t="s">
        <v>3986</v>
      </c>
      <c r="H12" t="s">
        <v>3986</v>
      </c>
      <c r="I12" t="s">
        <v>3986</v>
      </c>
      <c r="J12" t="s">
        <v>3986</v>
      </c>
      <c r="K12" t="s">
        <v>3308</v>
      </c>
      <c r="L12" t="s">
        <v>3309</v>
      </c>
      <c r="M12" t="s">
        <v>3766</v>
      </c>
      <c r="N12">
        <v>7</v>
      </c>
      <c r="O12" t="b">
        <v>0</v>
      </c>
      <c r="P12" t="b">
        <v>1</v>
      </c>
      <c r="Q12" t="b">
        <v>0</v>
      </c>
      <c r="R12" t="b">
        <v>1</v>
      </c>
      <c r="T12" t="s">
        <v>3671</v>
      </c>
      <c r="U12">
        <v>14</v>
      </c>
      <c r="V12" t="s">
        <v>3986</v>
      </c>
      <c r="W12">
        <v>2</v>
      </c>
      <c r="X12" t="s">
        <v>3986</v>
      </c>
      <c r="Y12" t="s">
        <v>3176</v>
      </c>
      <c r="Z12">
        <v>0</v>
      </c>
      <c r="AA12" t="s">
        <v>2493</v>
      </c>
      <c r="AB12" t="s">
        <v>3986</v>
      </c>
      <c r="AC12" t="s">
        <v>3986</v>
      </c>
      <c r="AD12" t="s">
        <v>3986</v>
      </c>
    </row>
    <row r="13" spans="1:30" x14ac:dyDescent="0.25">
      <c r="A13" t="s">
        <v>1623</v>
      </c>
      <c r="B13">
        <v>17</v>
      </c>
      <c r="C13" t="s">
        <v>3310</v>
      </c>
      <c r="D13" t="b">
        <v>1</v>
      </c>
      <c r="E13" t="b">
        <v>0</v>
      </c>
      <c r="F13" t="s">
        <v>3986</v>
      </c>
      <c r="G13" t="s">
        <v>3986</v>
      </c>
      <c r="H13" t="s">
        <v>3986</v>
      </c>
      <c r="I13" t="s">
        <v>3986</v>
      </c>
      <c r="J13" t="s">
        <v>3986</v>
      </c>
      <c r="K13" t="s">
        <v>3308</v>
      </c>
      <c r="L13" t="s">
        <v>3309</v>
      </c>
      <c r="M13" t="s">
        <v>3766</v>
      </c>
      <c r="N13">
        <v>7</v>
      </c>
      <c r="O13" t="b">
        <v>0</v>
      </c>
      <c r="P13" t="b">
        <v>1</v>
      </c>
      <c r="Q13" t="b">
        <v>0</v>
      </c>
      <c r="R13" t="b">
        <v>1</v>
      </c>
      <c r="T13" t="s">
        <v>3671</v>
      </c>
      <c r="U13">
        <v>16</v>
      </c>
      <c r="V13" t="s">
        <v>3986</v>
      </c>
      <c r="W13">
        <v>2</v>
      </c>
      <c r="X13" t="s">
        <v>3986</v>
      </c>
      <c r="Y13" t="s">
        <v>822</v>
      </c>
      <c r="Z13">
        <v>0</v>
      </c>
      <c r="AA13" t="s">
        <v>2493</v>
      </c>
      <c r="AB13" t="s">
        <v>3986</v>
      </c>
      <c r="AC13" t="s">
        <v>3986</v>
      </c>
      <c r="AD13" t="s">
        <v>3986</v>
      </c>
    </row>
    <row r="14" spans="1:30" x14ac:dyDescent="0.25">
      <c r="A14" t="s">
        <v>1624</v>
      </c>
      <c r="B14">
        <v>18</v>
      </c>
      <c r="C14" t="s">
        <v>3310</v>
      </c>
      <c r="D14" t="b">
        <v>1</v>
      </c>
      <c r="E14" t="b">
        <v>0</v>
      </c>
      <c r="F14" t="s">
        <v>3986</v>
      </c>
      <c r="G14" t="s">
        <v>3986</v>
      </c>
      <c r="H14" t="s">
        <v>3986</v>
      </c>
      <c r="I14" t="s">
        <v>3986</v>
      </c>
      <c r="J14" t="s">
        <v>3986</v>
      </c>
      <c r="K14" t="s">
        <v>3308</v>
      </c>
      <c r="L14" t="s">
        <v>3309</v>
      </c>
      <c r="M14" t="s">
        <v>3766</v>
      </c>
      <c r="N14">
        <v>7</v>
      </c>
      <c r="O14" t="b">
        <v>0</v>
      </c>
      <c r="P14" t="b">
        <v>1</v>
      </c>
      <c r="Q14" t="b">
        <v>0</v>
      </c>
      <c r="R14" t="b">
        <v>1</v>
      </c>
      <c r="T14" t="s">
        <v>3671</v>
      </c>
      <c r="U14">
        <v>17</v>
      </c>
      <c r="V14" t="s">
        <v>3986</v>
      </c>
      <c r="W14">
        <v>2</v>
      </c>
      <c r="X14" t="s">
        <v>3986</v>
      </c>
      <c r="Y14" t="s">
        <v>2346</v>
      </c>
      <c r="Z14">
        <v>0</v>
      </c>
      <c r="AA14" t="s">
        <v>2493</v>
      </c>
      <c r="AB14" t="s">
        <v>3986</v>
      </c>
      <c r="AC14" t="s">
        <v>3986</v>
      </c>
      <c r="AD14" t="s">
        <v>3986</v>
      </c>
    </row>
    <row r="15" spans="1:30" x14ac:dyDescent="0.25">
      <c r="A15" t="s">
        <v>1625</v>
      </c>
      <c r="B15">
        <v>19</v>
      </c>
      <c r="C15" t="s">
        <v>3310</v>
      </c>
      <c r="D15" t="b">
        <v>1</v>
      </c>
      <c r="E15" t="b">
        <v>0</v>
      </c>
      <c r="F15" t="s">
        <v>3986</v>
      </c>
      <c r="G15" t="s">
        <v>3986</v>
      </c>
      <c r="H15" t="s">
        <v>3986</v>
      </c>
      <c r="I15" t="s">
        <v>3986</v>
      </c>
      <c r="J15" t="s">
        <v>3986</v>
      </c>
      <c r="K15" t="s">
        <v>3308</v>
      </c>
      <c r="L15" t="s">
        <v>3309</v>
      </c>
      <c r="M15" t="s">
        <v>3766</v>
      </c>
      <c r="N15">
        <v>7</v>
      </c>
      <c r="O15" t="b">
        <v>0</v>
      </c>
      <c r="P15" t="b">
        <v>1</v>
      </c>
      <c r="Q15" t="b">
        <v>0</v>
      </c>
      <c r="R15" t="b">
        <v>1</v>
      </c>
      <c r="T15" t="s">
        <v>3671</v>
      </c>
      <c r="U15">
        <v>18</v>
      </c>
      <c r="V15" t="s">
        <v>3986</v>
      </c>
      <c r="W15">
        <v>2</v>
      </c>
      <c r="X15" t="s">
        <v>3986</v>
      </c>
      <c r="Y15" t="s">
        <v>413</v>
      </c>
      <c r="Z15">
        <v>0</v>
      </c>
      <c r="AA15" t="s">
        <v>2493</v>
      </c>
      <c r="AB15" t="s">
        <v>3986</v>
      </c>
      <c r="AC15" t="s">
        <v>3986</v>
      </c>
      <c r="AD15" t="s">
        <v>3986</v>
      </c>
    </row>
    <row r="16" spans="1:30" x14ac:dyDescent="0.25">
      <c r="A16" t="s">
        <v>1626</v>
      </c>
      <c r="B16">
        <v>20</v>
      </c>
      <c r="C16" t="s">
        <v>3310</v>
      </c>
      <c r="D16" t="b">
        <v>1</v>
      </c>
      <c r="E16" t="b">
        <v>0</v>
      </c>
      <c r="F16" t="s">
        <v>3986</v>
      </c>
      <c r="G16" t="s">
        <v>3986</v>
      </c>
      <c r="H16" t="s">
        <v>3986</v>
      </c>
      <c r="I16" t="s">
        <v>3986</v>
      </c>
      <c r="J16" t="s">
        <v>3986</v>
      </c>
      <c r="K16" t="s">
        <v>3308</v>
      </c>
      <c r="L16" t="s">
        <v>3309</v>
      </c>
      <c r="M16" t="s">
        <v>3766</v>
      </c>
      <c r="N16">
        <v>7</v>
      </c>
      <c r="O16" t="b">
        <v>0</v>
      </c>
      <c r="P16" t="b">
        <v>1</v>
      </c>
      <c r="Q16" t="b">
        <v>0</v>
      </c>
      <c r="R16" t="b">
        <v>1</v>
      </c>
      <c r="T16" t="s">
        <v>3671</v>
      </c>
      <c r="U16">
        <v>19</v>
      </c>
      <c r="V16" t="s">
        <v>3986</v>
      </c>
      <c r="W16">
        <v>2</v>
      </c>
      <c r="X16" t="s">
        <v>3986</v>
      </c>
      <c r="Y16" t="s">
        <v>2347</v>
      </c>
      <c r="Z16">
        <v>0</v>
      </c>
      <c r="AA16" t="s">
        <v>2493</v>
      </c>
      <c r="AB16" t="s">
        <v>3986</v>
      </c>
      <c r="AC16" t="s">
        <v>3986</v>
      </c>
      <c r="AD16" t="s">
        <v>3986</v>
      </c>
    </row>
    <row r="17" spans="1:30" x14ac:dyDescent="0.25">
      <c r="A17" t="s">
        <v>1627</v>
      </c>
      <c r="B17">
        <v>21</v>
      </c>
      <c r="C17" t="s">
        <v>3310</v>
      </c>
      <c r="D17" t="b">
        <v>1</v>
      </c>
      <c r="E17" t="b">
        <v>0</v>
      </c>
      <c r="F17" t="s">
        <v>3986</v>
      </c>
      <c r="G17" t="s">
        <v>3986</v>
      </c>
      <c r="H17" t="s">
        <v>3986</v>
      </c>
      <c r="I17" t="s">
        <v>3986</v>
      </c>
      <c r="J17" t="s">
        <v>3986</v>
      </c>
      <c r="K17" t="s">
        <v>3308</v>
      </c>
      <c r="L17" t="s">
        <v>3309</v>
      </c>
      <c r="M17" t="s">
        <v>3766</v>
      </c>
      <c r="N17">
        <v>7</v>
      </c>
      <c r="O17" t="b">
        <v>0</v>
      </c>
      <c r="P17" t="b">
        <v>1</v>
      </c>
      <c r="Q17" t="b">
        <v>0</v>
      </c>
      <c r="R17" t="b">
        <v>1</v>
      </c>
      <c r="T17" t="s">
        <v>3671</v>
      </c>
      <c r="U17">
        <v>20</v>
      </c>
      <c r="V17" t="s">
        <v>3986</v>
      </c>
      <c r="W17">
        <v>2</v>
      </c>
      <c r="X17" t="s">
        <v>3986</v>
      </c>
      <c r="Y17" t="s">
        <v>823</v>
      </c>
      <c r="Z17">
        <v>0</v>
      </c>
      <c r="AA17" t="s">
        <v>2493</v>
      </c>
      <c r="AB17" t="s">
        <v>3986</v>
      </c>
      <c r="AC17" t="s">
        <v>3986</v>
      </c>
      <c r="AD17" t="s">
        <v>3986</v>
      </c>
    </row>
    <row r="18" spans="1:30" x14ac:dyDescent="0.25">
      <c r="A18" t="s">
        <v>1628</v>
      </c>
      <c r="B18">
        <v>22</v>
      </c>
      <c r="C18" t="s">
        <v>3310</v>
      </c>
      <c r="D18" t="b">
        <v>1</v>
      </c>
      <c r="E18" t="b">
        <v>0</v>
      </c>
      <c r="F18" t="s">
        <v>3986</v>
      </c>
      <c r="G18" t="s">
        <v>3986</v>
      </c>
      <c r="H18" t="s">
        <v>3986</v>
      </c>
      <c r="I18" t="s">
        <v>3986</v>
      </c>
      <c r="J18" t="s">
        <v>3986</v>
      </c>
      <c r="K18" t="s">
        <v>3308</v>
      </c>
      <c r="L18" t="s">
        <v>3309</v>
      </c>
      <c r="M18" t="s">
        <v>3766</v>
      </c>
      <c r="N18">
        <v>7</v>
      </c>
      <c r="O18" t="b">
        <v>0</v>
      </c>
      <c r="P18" t="b">
        <v>1</v>
      </c>
      <c r="Q18" t="b">
        <v>0</v>
      </c>
      <c r="R18" t="b">
        <v>1</v>
      </c>
      <c r="T18" t="s">
        <v>3671</v>
      </c>
      <c r="U18">
        <v>21</v>
      </c>
      <c r="V18" t="s">
        <v>3986</v>
      </c>
      <c r="W18">
        <v>2</v>
      </c>
      <c r="X18" t="s">
        <v>3986</v>
      </c>
      <c r="Y18" t="s">
        <v>824</v>
      </c>
      <c r="Z18">
        <v>0</v>
      </c>
      <c r="AA18" t="s">
        <v>2493</v>
      </c>
      <c r="AB18" t="s">
        <v>3986</v>
      </c>
      <c r="AC18" t="s">
        <v>3986</v>
      </c>
      <c r="AD18" t="s">
        <v>3986</v>
      </c>
    </row>
    <row r="19" spans="1:30" x14ac:dyDescent="0.25">
      <c r="A19" t="s">
        <v>1629</v>
      </c>
      <c r="B19">
        <v>23</v>
      </c>
      <c r="C19" t="s">
        <v>3310</v>
      </c>
      <c r="D19" t="b">
        <v>1</v>
      </c>
      <c r="E19" t="b">
        <v>0</v>
      </c>
      <c r="F19" t="s">
        <v>3986</v>
      </c>
      <c r="G19" t="s">
        <v>3986</v>
      </c>
      <c r="H19" t="s">
        <v>3986</v>
      </c>
      <c r="I19" t="s">
        <v>3986</v>
      </c>
      <c r="J19" t="s">
        <v>3986</v>
      </c>
      <c r="K19" t="s">
        <v>3308</v>
      </c>
      <c r="L19" t="s">
        <v>3309</v>
      </c>
      <c r="M19" t="s">
        <v>3766</v>
      </c>
      <c r="N19">
        <v>7</v>
      </c>
      <c r="O19" t="b">
        <v>0</v>
      </c>
      <c r="P19" t="b">
        <v>1</v>
      </c>
      <c r="Q19" t="b">
        <v>0</v>
      </c>
      <c r="R19" t="b">
        <v>1</v>
      </c>
      <c r="T19" t="s">
        <v>3671</v>
      </c>
      <c r="U19">
        <v>22</v>
      </c>
      <c r="V19" t="s">
        <v>3986</v>
      </c>
      <c r="W19">
        <v>2</v>
      </c>
      <c r="X19" t="s">
        <v>3986</v>
      </c>
      <c r="Y19" t="s">
        <v>2348</v>
      </c>
      <c r="Z19">
        <v>0</v>
      </c>
      <c r="AA19" t="s">
        <v>2493</v>
      </c>
      <c r="AB19" t="s">
        <v>3986</v>
      </c>
      <c r="AC19" t="s">
        <v>3986</v>
      </c>
      <c r="AD19" t="s">
        <v>3986</v>
      </c>
    </row>
    <row r="20" spans="1:30" x14ac:dyDescent="0.25">
      <c r="A20" t="s">
        <v>1630</v>
      </c>
      <c r="B20">
        <v>24</v>
      </c>
      <c r="C20" t="s">
        <v>3310</v>
      </c>
      <c r="D20" t="b">
        <v>1</v>
      </c>
      <c r="E20" t="b">
        <v>0</v>
      </c>
      <c r="F20" t="s">
        <v>3986</v>
      </c>
      <c r="G20" t="s">
        <v>3986</v>
      </c>
      <c r="H20" t="s">
        <v>3986</v>
      </c>
      <c r="I20" t="s">
        <v>3986</v>
      </c>
      <c r="J20" t="s">
        <v>3986</v>
      </c>
      <c r="K20" t="s">
        <v>3308</v>
      </c>
      <c r="L20" t="s">
        <v>3309</v>
      </c>
      <c r="M20" t="s">
        <v>3766</v>
      </c>
      <c r="N20">
        <v>7</v>
      </c>
      <c r="O20" t="b">
        <v>0</v>
      </c>
      <c r="P20" t="b">
        <v>1</v>
      </c>
      <c r="Q20" t="b">
        <v>0</v>
      </c>
      <c r="R20" t="b">
        <v>1</v>
      </c>
      <c r="T20" t="s">
        <v>3671</v>
      </c>
      <c r="U20">
        <v>23</v>
      </c>
      <c r="V20" t="s">
        <v>3986</v>
      </c>
      <c r="W20">
        <v>2</v>
      </c>
      <c r="X20" t="s">
        <v>3986</v>
      </c>
      <c r="Y20" t="s">
        <v>2349</v>
      </c>
      <c r="Z20">
        <v>0</v>
      </c>
      <c r="AA20" t="s">
        <v>2493</v>
      </c>
      <c r="AB20" t="s">
        <v>3986</v>
      </c>
      <c r="AC20" t="s">
        <v>3986</v>
      </c>
      <c r="AD20" t="s">
        <v>3986</v>
      </c>
    </row>
    <row r="21" spans="1:30" x14ac:dyDescent="0.25">
      <c r="A21" t="s">
        <v>1631</v>
      </c>
      <c r="B21">
        <v>25</v>
      </c>
      <c r="C21" t="s">
        <v>3310</v>
      </c>
      <c r="D21" t="b">
        <v>1</v>
      </c>
      <c r="E21" t="b">
        <v>0</v>
      </c>
      <c r="F21" t="s">
        <v>3986</v>
      </c>
      <c r="G21" t="s">
        <v>3986</v>
      </c>
      <c r="H21" t="s">
        <v>3986</v>
      </c>
      <c r="I21" t="s">
        <v>3986</v>
      </c>
      <c r="J21" t="s">
        <v>3986</v>
      </c>
      <c r="K21" t="s">
        <v>3308</v>
      </c>
      <c r="L21" t="s">
        <v>3309</v>
      </c>
      <c r="M21" t="s">
        <v>3766</v>
      </c>
      <c r="N21">
        <v>7</v>
      </c>
      <c r="O21" t="b">
        <v>0</v>
      </c>
      <c r="P21" t="b">
        <v>1</v>
      </c>
      <c r="Q21" t="b">
        <v>0</v>
      </c>
      <c r="R21" t="b">
        <v>1</v>
      </c>
      <c r="T21" t="s">
        <v>3671</v>
      </c>
      <c r="U21">
        <v>24</v>
      </c>
      <c r="V21" t="s">
        <v>3986</v>
      </c>
      <c r="W21">
        <v>2</v>
      </c>
      <c r="X21" t="s">
        <v>3986</v>
      </c>
      <c r="Y21" t="s">
        <v>2350</v>
      </c>
      <c r="Z21">
        <v>0</v>
      </c>
      <c r="AA21" t="s">
        <v>2493</v>
      </c>
      <c r="AB21" t="s">
        <v>3986</v>
      </c>
      <c r="AC21" t="s">
        <v>3986</v>
      </c>
      <c r="AD21" t="s">
        <v>3986</v>
      </c>
    </row>
    <row r="22" spans="1:30" x14ac:dyDescent="0.25">
      <c r="A22" t="s">
        <v>1632</v>
      </c>
      <c r="B22">
        <v>26</v>
      </c>
      <c r="C22" t="s">
        <v>3310</v>
      </c>
      <c r="D22" t="b">
        <v>1</v>
      </c>
      <c r="E22" t="b">
        <v>0</v>
      </c>
      <c r="F22" t="s">
        <v>3986</v>
      </c>
      <c r="G22" t="s">
        <v>3986</v>
      </c>
      <c r="H22" t="s">
        <v>3986</v>
      </c>
      <c r="I22" t="s">
        <v>3986</v>
      </c>
      <c r="J22" t="s">
        <v>3986</v>
      </c>
      <c r="K22" t="s">
        <v>3308</v>
      </c>
      <c r="L22" t="s">
        <v>3309</v>
      </c>
      <c r="M22" t="s">
        <v>3766</v>
      </c>
      <c r="N22">
        <v>7</v>
      </c>
      <c r="O22" t="b">
        <v>0</v>
      </c>
      <c r="P22" t="b">
        <v>1</v>
      </c>
      <c r="Q22" t="b">
        <v>0</v>
      </c>
      <c r="R22" t="b">
        <v>1</v>
      </c>
      <c r="T22" t="s">
        <v>3671</v>
      </c>
      <c r="U22">
        <v>25</v>
      </c>
      <c r="V22" t="s">
        <v>3986</v>
      </c>
      <c r="W22">
        <v>2</v>
      </c>
      <c r="X22" t="s">
        <v>3986</v>
      </c>
      <c r="Y22" t="s">
        <v>2351</v>
      </c>
      <c r="Z22">
        <v>0</v>
      </c>
      <c r="AA22" t="s">
        <v>2493</v>
      </c>
      <c r="AB22" t="s">
        <v>3986</v>
      </c>
      <c r="AC22" t="s">
        <v>3986</v>
      </c>
      <c r="AD22" t="s">
        <v>3986</v>
      </c>
    </row>
    <row r="23" spans="1:30" x14ac:dyDescent="0.25">
      <c r="A23" t="s">
        <v>1633</v>
      </c>
      <c r="B23">
        <v>27</v>
      </c>
      <c r="C23" t="s">
        <v>3310</v>
      </c>
      <c r="D23" t="b">
        <v>1</v>
      </c>
      <c r="E23" t="b">
        <v>0</v>
      </c>
      <c r="F23" t="s">
        <v>3986</v>
      </c>
      <c r="G23" t="s">
        <v>3986</v>
      </c>
      <c r="H23" t="s">
        <v>3986</v>
      </c>
      <c r="I23" t="s">
        <v>3986</v>
      </c>
      <c r="J23" t="s">
        <v>3986</v>
      </c>
      <c r="K23" t="s">
        <v>3308</v>
      </c>
      <c r="L23" t="s">
        <v>3309</v>
      </c>
      <c r="M23" t="s">
        <v>3766</v>
      </c>
      <c r="N23">
        <v>7</v>
      </c>
      <c r="O23" t="b">
        <v>0</v>
      </c>
      <c r="P23" t="b">
        <v>1</v>
      </c>
      <c r="Q23" t="b">
        <v>0</v>
      </c>
      <c r="R23" t="b">
        <v>1</v>
      </c>
      <c r="T23" t="s">
        <v>3671</v>
      </c>
      <c r="U23">
        <v>26</v>
      </c>
      <c r="V23" t="s">
        <v>3986</v>
      </c>
      <c r="W23">
        <v>2</v>
      </c>
      <c r="X23" t="s">
        <v>3986</v>
      </c>
      <c r="Y23" t="s">
        <v>2352</v>
      </c>
      <c r="Z23">
        <v>0</v>
      </c>
      <c r="AA23" t="s">
        <v>2493</v>
      </c>
      <c r="AB23" t="s">
        <v>3986</v>
      </c>
      <c r="AC23" t="s">
        <v>3986</v>
      </c>
      <c r="AD23" t="s">
        <v>3986</v>
      </c>
    </row>
    <row r="24" spans="1:30" x14ac:dyDescent="0.25">
      <c r="A24" t="s">
        <v>1634</v>
      </c>
      <c r="B24">
        <v>28</v>
      </c>
      <c r="C24" t="s">
        <v>3310</v>
      </c>
      <c r="D24" t="b">
        <v>1</v>
      </c>
      <c r="E24" t="b">
        <v>0</v>
      </c>
      <c r="F24" t="s">
        <v>3986</v>
      </c>
      <c r="G24" t="s">
        <v>3986</v>
      </c>
      <c r="H24" t="s">
        <v>3986</v>
      </c>
      <c r="I24" t="s">
        <v>3986</v>
      </c>
      <c r="J24" t="s">
        <v>3986</v>
      </c>
      <c r="K24" t="s">
        <v>3308</v>
      </c>
      <c r="L24" t="s">
        <v>3309</v>
      </c>
      <c r="M24" t="s">
        <v>3766</v>
      </c>
      <c r="N24">
        <v>7</v>
      </c>
      <c r="O24" t="b">
        <v>0</v>
      </c>
      <c r="P24" t="b">
        <v>1</v>
      </c>
      <c r="Q24" t="b">
        <v>0</v>
      </c>
      <c r="R24" t="b">
        <v>1</v>
      </c>
      <c r="T24" t="s">
        <v>3671</v>
      </c>
      <c r="U24">
        <v>27</v>
      </c>
      <c r="V24" t="s">
        <v>3986</v>
      </c>
      <c r="W24">
        <v>2</v>
      </c>
      <c r="X24" t="s">
        <v>3986</v>
      </c>
      <c r="Y24" t="s">
        <v>2353</v>
      </c>
      <c r="Z24">
        <v>0</v>
      </c>
      <c r="AA24" t="s">
        <v>2493</v>
      </c>
      <c r="AB24" t="s">
        <v>3986</v>
      </c>
      <c r="AC24" t="s">
        <v>3986</v>
      </c>
      <c r="AD24" t="s">
        <v>3986</v>
      </c>
    </row>
    <row r="25" spans="1:30" x14ac:dyDescent="0.25">
      <c r="A25" t="s">
        <v>1635</v>
      </c>
      <c r="B25">
        <v>29</v>
      </c>
      <c r="C25" t="s">
        <v>3310</v>
      </c>
      <c r="D25" t="b">
        <v>1</v>
      </c>
      <c r="E25" t="b">
        <v>0</v>
      </c>
      <c r="F25" t="s">
        <v>3986</v>
      </c>
      <c r="G25" t="s">
        <v>3986</v>
      </c>
      <c r="H25" t="s">
        <v>3986</v>
      </c>
      <c r="I25" t="s">
        <v>3986</v>
      </c>
      <c r="J25" t="s">
        <v>3986</v>
      </c>
      <c r="K25" t="s">
        <v>3308</v>
      </c>
      <c r="L25" t="s">
        <v>3309</v>
      </c>
      <c r="M25" t="s">
        <v>3766</v>
      </c>
      <c r="N25">
        <v>7</v>
      </c>
      <c r="O25" t="b">
        <v>0</v>
      </c>
      <c r="P25" t="b">
        <v>1</v>
      </c>
      <c r="Q25" t="b">
        <v>0</v>
      </c>
      <c r="R25" t="b">
        <v>1</v>
      </c>
      <c r="T25" t="s">
        <v>3671</v>
      </c>
      <c r="U25">
        <v>28</v>
      </c>
      <c r="V25" t="s">
        <v>3986</v>
      </c>
      <c r="W25">
        <v>2</v>
      </c>
      <c r="X25" t="s">
        <v>3986</v>
      </c>
      <c r="Y25" t="s">
        <v>411</v>
      </c>
      <c r="Z25">
        <v>0</v>
      </c>
      <c r="AA25" t="s">
        <v>2493</v>
      </c>
      <c r="AB25" t="s">
        <v>3986</v>
      </c>
      <c r="AC25" t="s">
        <v>3986</v>
      </c>
      <c r="AD25" t="s">
        <v>3986</v>
      </c>
    </row>
    <row r="26" spans="1:30" x14ac:dyDescent="0.25">
      <c r="A26" t="s">
        <v>1636</v>
      </c>
      <c r="B26">
        <v>30</v>
      </c>
      <c r="C26" t="s">
        <v>3310</v>
      </c>
      <c r="D26" t="b">
        <v>1</v>
      </c>
      <c r="E26" t="b">
        <v>0</v>
      </c>
      <c r="F26" t="s">
        <v>3986</v>
      </c>
      <c r="G26" t="s">
        <v>3986</v>
      </c>
      <c r="H26" t="s">
        <v>3986</v>
      </c>
      <c r="I26" t="s">
        <v>3986</v>
      </c>
      <c r="J26" t="s">
        <v>3986</v>
      </c>
      <c r="K26" t="s">
        <v>3308</v>
      </c>
      <c r="L26" t="s">
        <v>3309</v>
      </c>
      <c r="M26" t="s">
        <v>3766</v>
      </c>
      <c r="N26">
        <v>7</v>
      </c>
      <c r="O26" t="b">
        <v>0</v>
      </c>
      <c r="P26" t="b">
        <v>1</v>
      </c>
      <c r="Q26" t="b">
        <v>0</v>
      </c>
      <c r="R26" t="b">
        <v>1</v>
      </c>
      <c r="T26" t="s">
        <v>3671</v>
      </c>
      <c r="U26">
        <v>29</v>
      </c>
      <c r="V26" t="s">
        <v>3986</v>
      </c>
      <c r="W26">
        <v>2</v>
      </c>
      <c r="X26" t="s">
        <v>3986</v>
      </c>
      <c r="Y26" t="s">
        <v>348</v>
      </c>
      <c r="Z26">
        <v>0</v>
      </c>
      <c r="AA26" t="s">
        <v>2493</v>
      </c>
      <c r="AB26" t="s">
        <v>3986</v>
      </c>
      <c r="AC26" t="s">
        <v>3986</v>
      </c>
      <c r="AD26" t="s">
        <v>3986</v>
      </c>
    </row>
    <row r="27" spans="1:30" x14ac:dyDescent="0.25">
      <c r="A27" t="s">
        <v>1637</v>
      </c>
      <c r="B27">
        <v>31</v>
      </c>
      <c r="C27" t="s">
        <v>3310</v>
      </c>
      <c r="D27" t="b">
        <v>1</v>
      </c>
      <c r="E27" t="b">
        <v>0</v>
      </c>
      <c r="F27" t="s">
        <v>3986</v>
      </c>
      <c r="G27" t="s">
        <v>3986</v>
      </c>
      <c r="H27" t="s">
        <v>3986</v>
      </c>
      <c r="I27" t="s">
        <v>3986</v>
      </c>
      <c r="J27" t="s">
        <v>3986</v>
      </c>
      <c r="K27" t="s">
        <v>3308</v>
      </c>
      <c r="L27" t="s">
        <v>3309</v>
      </c>
      <c r="M27" t="s">
        <v>3766</v>
      </c>
      <c r="N27">
        <v>7</v>
      </c>
      <c r="O27" t="b">
        <v>0</v>
      </c>
      <c r="P27" t="b">
        <v>1</v>
      </c>
      <c r="Q27" t="b">
        <v>0</v>
      </c>
      <c r="R27" t="b">
        <v>1</v>
      </c>
      <c r="T27" t="s">
        <v>3671</v>
      </c>
      <c r="U27">
        <v>30</v>
      </c>
      <c r="V27" t="s">
        <v>3986</v>
      </c>
      <c r="W27">
        <v>2</v>
      </c>
      <c r="X27" t="s">
        <v>3986</v>
      </c>
      <c r="Y27" t="s">
        <v>2354</v>
      </c>
      <c r="Z27">
        <v>0</v>
      </c>
      <c r="AA27" t="s">
        <v>2493</v>
      </c>
      <c r="AB27" t="s">
        <v>3986</v>
      </c>
      <c r="AC27" t="s">
        <v>3986</v>
      </c>
      <c r="AD27" t="s">
        <v>3986</v>
      </c>
    </row>
    <row r="28" spans="1:30" x14ac:dyDescent="0.25">
      <c r="A28" t="s">
        <v>1638</v>
      </c>
      <c r="B28">
        <v>32</v>
      </c>
      <c r="C28" t="s">
        <v>3310</v>
      </c>
      <c r="D28" t="b">
        <v>1</v>
      </c>
      <c r="E28" t="b">
        <v>0</v>
      </c>
      <c r="F28" t="s">
        <v>3986</v>
      </c>
      <c r="G28" t="s">
        <v>3986</v>
      </c>
      <c r="H28" t="s">
        <v>3986</v>
      </c>
      <c r="I28" t="s">
        <v>3986</v>
      </c>
      <c r="J28" t="s">
        <v>3986</v>
      </c>
      <c r="K28" t="s">
        <v>3308</v>
      </c>
      <c r="L28" t="s">
        <v>3309</v>
      </c>
      <c r="M28" t="s">
        <v>3766</v>
      </c>
      <c r="N28">
        <v>7</v>
      </c>
      <c r="O28" t="b">
        <v>0</v>
      </c>
      <c r="P28" t="b">
        <v>1</v>
      </c>
      <c r="Q28" t="b">
        <v>0</v>
      </c>
      <c r="R28" t="b">
        <v>1</v>
      </c>
      <c r="T28" t="s">
        <v>3671</v>
      </c>
      <c r="U28">
        <v>31</v>
      </c>
      <c r="V28" t="s">
        <v>3986</v>
      </c>
      <c r="W28">
        <v>2</v>
      </c>
      <c r="X28" t="s">
        <v>3986</v>
      </c>
      <c r="Y28" t="s">
        <v>825</v>
      </c>
      <c r="Z28">
        <v>0</v>
      </c>
      <c r="AA28" t="s">
        <v>2493</v>
      </c>
      <c r="AB28" t="s">
        <v>3986</v>
      </c>
      <c r="AC28" t="s">
        <v>3986</v>
      </c>
      <c r="AD28" t="s">
        <v>3986</v>
      </c>
    </row>
    <row r="29" spans="1:30" x14ac:dyDescent="0.25">
      <c r="A29" t="s">
        <v>1639</v>
      </c>
      <c r="B29">
        <v>33</v>
      </c>
      <c r="C29" t="s">
        <v>3310</v>
      </c>
      <c r="D29" t="b">
        <v>1</v>
      </c>
      <c r="E29" t="b">
        <v>0</v>
      </c>
      <c r="F29" t="s">
        <v>3986</v>
      </c>
      <c r="G29" t="s">
        <v>3986</v>
      </c>
      <c r="H29" t="s">
        <v>3986</v>
      </c>
      <c r="I29" t="s">
        <v>3986</v>
      </c>
      <c r="J29" t="s">
        <v>3986</v>
      </c>
      <c r="K29" t="s">
        <v>3308</v>
      </c>
      <c r="L29" t="s">
        <v>3309</v>
      </c>
      <c r="M29" t="s">
        <v>3766</v>
      </c>
      <c r="N29">
        <v>7</v>
      </c>
      <c r="O29" t="b">
        <v>0</v>
      </c>
      <c r="P29" t="b">
        <v>1</v>
      </c>
      <c r="Q29" t="b">
        <v>0</v>
      </c>
      <c r="R29" t="b">
        <v>1</v>
      </c>
      <c r="T29" t="s">
        <v>3671</v>
      </c>
      <c r="U29">
        <v>32</v>
      </c>
      <c r="V29" t="s">
        <v>3986</v>
      </c>
      <c r="W29">
        <v>2</v>
      </c>
      <c r="X29" t="s">
        <v>3986</v>
      </c>
      <c r="Y29" t="s">
        <v>826</v>
      </c>
      <c r="Z29">
        <v>0</v>
      </c>
      <c r="AA29" t="s">
        <v>2493</v>
      </c>
      <c r="AB29" t="s">
        <v>3986</v>
      </c>
      <c r="AC29" t="s">
        <v>3986</v>
      </c>
      <c r="AD29" t="s">
        <v>3986</v>
      </c>
    </row>
    <row r="30" spans="1:30" x14ac:dyDescent="0.25">
      <c r="A30" t="s">
        <v>1640</v>
      </c>
      <c r="B30">
        <v>34</v>
      </c>
      <c r="C30" t="s">
        <v>3310</v>
      </c>
      <c r="D30" t="b">
        <v>1</v>
      </c>
      <c r="E30" t="b">
        <v>0</v>
      </c>
      <c r="F30" t="s">
        <v>3986</v>
      </c>
      <c r="G30" t="s">
        <v>3986</v>
      </c>
      <c r="H30" t="s">
        <v>3986</v>
      </c>
      <c r="I30" t="s">
        <v>3986</v>
      </c>
      <c r="J30" t="s">
        <v>3986</v>
      </c>
      <c r="K30" t="s">
        <v>3308</v>
      </c>
      <c r="L30" t="s">
        <v>3309</v>
      </c>
      <c r="M30" t="s">
        <v>3766</v>
      </c>
      <c r="N30">
        <v>7</v>
      </c>
      <c r="O30" t="b">
        <v>0</v>
      </c>
      <c r="P30" t="b">
        <v>1</v>
      </c>
      <c r="Q30" t="b">
        <v>0</v>
      </c>
      <c r="R30" t="b">
        <v>1</v>
      </c>
      <c r="T30" t="s">
        <v>3671</v>
      </c>
      <c r="U30">
        <v>33</v>
      </c>
      <c r="V30" t="s">
        <v>3986</v>
      </c>
      <c r="W30">
        <v>2</v>
      </c>
      <c r="X30" t="s">
        <v>3986</v>
      </c>
      <c r="Y30" t="s">
        <v>827</v>
      </c>
      <c r="Z30">
        <v>0</v>
      </c>
      <c r="AA30" t="s">
        <v>2493</v>
      </c>
      <c r="AB30" t="s">
        <v>3986</v>
      </c>
      <c r="AC30" t="s">
        <v>3986</v>
      </c>
      <c r="AD30" t="s">
        <v>3986</v>
      </c>
    </row>
    <row r="31" spans="1:30" x14ac:dyDescent="0.25">
      <c r="A31" t="s">
        <v>1641</v>
      </c>
      <c r="B31">
        <v>35</v>
      </c>
      <c r="C31" t="s">
        <v>3310</v>
      </c>
      <c r="D31" t="b">
        <v>1</v>
      </c>
      <c r="E31" t="b">
        <v>0</v>
      </c>
      <c r="F31" t="s">
        <v>3986</v>
      </c>
      <c r="G31" t="s">
        <v>3986</v>
      </c>
      <c r="H31" t="s">
        <v>3986</v>
      </c>
      <c r="I31" t="s">
        <v>3986</v>
      </c>
      <c r="J31" t="s">
        <v>3986</v>
      </c>
      <c r="K31" t="s">
        <v>3308</v>
      </c>
      <c r="L31" t="s">
        <v>3309</v>
      </c>
      <c r="M31" t="s">
        <v>3766</v>
      </c>
      <c r="N31">
        <v>7</v>
      </c>
      <c r="O31" t="b">
        <v>0</v>
      </c>
      <c r="P31" t="b">
        <v>1</v>
      </c>
      <c r="Q31" t="b">
        <v>0</v>
      </c>
      <c r="R31" t="b">
        <v>1</v>
      </c>
      <c r="T31" t="s">
        <v>3671</v>
      </c>
      <c r="U31">
        <v>34</v>
      </c>
      <c r="V31" t="s">
        <v>3986</v>
      </c>
      <c r="W31">
        <v>2</v>
      </c>
      <c r="X31" t="s">
        <v>3986</v>
      </c>
      <c r="Y31" t="s">
        <v>2822</v>
      </c>
      <c r="Z31">
        <v>0</v>
      </c>
      <c r="AA31" t="s">
        <v>2493</v>
      </c>
      <c r="AB31" t="s">
        <v>3986</v>
      </c>
      <c r="AC31" t="s">
        <v>3986</v>
      </c>
      <c r="AD31" t="s">
        <v>3986</v>
      </c>
    </row>
    <row r="32" spans="1:30" x14ac:dyDescent="0.25">
      <c r="A32" t="s">
        <v>1642</v>
      </c>
      <c r="B32">
        <v>36</v>
      </c>
      <c r="C32" t="s">
        <v>3310</v>
      </c>
      <c r="D32" t="b">
        <v>1</v>
      </c>
      <c r="E32" t="b">
        <v>0</v>
      </c>
      <c r="F32" t="s">
        <v>3986</v>
      </c>
      <c r="G32" t="s">
        <v>3986</v>
      </c>
      <c r="H32" t="s">
        <v>3986</v>
      </c>
      <c r="I32" t="s">
        <v>3986</v>
      </c>
      <c r="J32" t="s">
        <v>3986</v>
      </c>
      <c r="K32" t="s">
        <v>3308</v>
      </c>
      <c r="L32" t="s">
        <v>3309</v>
      </c>
      <c r="M32" t="s">
        <v>3766</v>
      </c>
      <c r="N32">
        <v>7</v>
      </c>
      <c r="O32" t="b">
        <v>0</v>
      </c>
      <c r="P32" t="b">
        <v>1</v>
      </c>
      <c r="Q32" t="b">
        <v>0</v>
      </c>
      <c r="R32" t="b">
        <v>1</v>
      </c>
      <c r="T32" t="s">
        <v>3671</v>
      </c>
      <c r="U32">
        <v>35</v>
      </c>
      <c r="V32" t="s">
        <v>3986</v>
      </c>
      <c r="W32">
        <v>2</v>
      </c>
      <c r="X32" t="s">
        <v>3986</v>
      </c>
      <c r="Y32" t="s">
        <v>829</v>
      </c>
      <c r="Z32">
        <v>0</v>
      </c>
      <c r="AA32" t="s">
        <v>2493</v>
      </c>
      <c r="AB32" t="s">
        <v>3986</v>
      </c>
      <c r="AC32" t="s">
        <v>3986</v>
      </c>
      <c r="AD32" t="s">
        <v>3986</v>
      </c>
    </row>
    <row r="33" spans="1:30" x14ac:dyDescent="0.25">
      <c r="A33" t="s">
        <v>1643</v>
      </c>
      <c r="B33">
        <v>37</v>
      </c>
      <c r="C33" t="s">
        <v>3310</v>
      </c>
      <c r="D33" t="b">
        <v>1</v>
      </c>
      <c r="E33" t="b">
        <v>0</v>
      </c>
      <c r="F33" t="s">
        <v>3986</v>
      </c>
      <c r="G33" t="s">
        <v>3986</v>
      </c>
      <c r="H33" t="s">
        <v>3986</v>
      </c>
      <c r="I33" t="s">
        <v>3986</v>
      </c>
      <c r="J33" t="s">
        <v>3986</v>
      </c>
      <c r="K33" t="s">
        <v>3308</v>
      </c>
      <c r="L33" t="s">
        <v>3309</v>
      </c>
      <c r="M33" t="s">
        <v>3766</v>
      </c>
      <c r="N33">
        <v>7</v>
      </c>
      <c r="O33" t="b">
        <v>0</v>
      </c>
      <c r="P33" t="b">
        <v>1</v>
      </c>
      <c r="Q33" t="b">
        <v>0</v>
      </c>
      <c r="R33" t="b">
        <v>1</v>
      </c>
      <c r="T33" t="s">
        <v>3671</v>
      </c>
      <c r="U33">
        <v>36</v>
      </c>
      <c r="V33" t="s">
        <v>3986</v>
      </c>
      <c r="W33">
        <v>2</v>
      </c>
      <c r="X33" t="s">
        <v>3986</v>
      </c>
      <c r="Y33" t="s">
        <v>830</v>
      </c>
      <c r="Z33">
        <v>0</v>
      </c>
      <c r="AA33" t="s">
        <v>2493</v>
      </c>
      <c r="AB33" t="s">
        <v>3986</v>
      </c>
      <c r="AC33" t="s">
        <v>3986</v>
      </c>
      <c r="AD33" t="s">
        <v>3986</v>
      </c>
    </row>
    <row r="34" spans="1:30" x14ac:dyDescent="0.25">
      <c r="A34" t="s">
        <v>1644</v>
      </c>
      <c r="B34">
        <v>38</v>
      </c>
      <c r="C34" t="s">
        <v>3310</v>
      </c>
      <c r="D34" t="b">
        <v>1</v>
      </c>
      <c r="E34" t="b">
        <v>0</v>
      </c>
      <c r="F34" t="s">
        <v>3986</v>
      </c>
      <c r="G34" t="s">
        <v>3986</v>
      </c>
      <c r="H34" t="s">
        <v>3986</v>
      </c>
      <c r="I34" t="s">
        <v>3986</v>
      </c>
      <c r="J34" t="s">
        <v>3986</v>
      </c>
      <c r="K34" t="s">
        <v>3308</v>
      </c>
      <c r="L34" t="s">
        <v>3309</v>
      </c>
      <c r="M34" t="s">
        <v>3766</v>
      </c>
      <c r="N34">
        <v>7</v>
      </c>
      <c r="O34" t="b">
        <v>0</v>
      </c>
      <c r="P34" t="b">
        <v>1</v>
      </c>
      <c r="Q34" t="b">
        <v>0</v>
      </c>
      <c r="R34" t="b">
        <v>1</v>
      </c>
      <c r="T34" t="s">
        <v>3671</v>
      </c>
      <c r="U34">
        <v>37</v>
      </c>
      <c r="V34" t="s">
        <v>3986</v>
      </c>
      <c r="W34">
        <v>2</v>
      </c>
      <c r="X34" t="s">
        <v>3986</v>
      </c>
      <c r="Y34" t="s">
        <v>831</v>
      </c>
      <c r="Z34">
        <v>0</v>
      </c>
      <c r="AA34" t="s">
        <v>2493</v>
      </c>
      <c r="AB34" t="s">
        <v>3986</v>
      </c>
      <c r="AC34" t="s">
        <v>3986</v>
      </c>
      <c r="AD34" t="s">
        <v>3986</v>
      </c>
    </row>
    <row r="35" spans="1:30" x14ac:dyDescent="0.25">
      <c r="A35" t="s">
        <v>1645</v>
      </c>
      <c r="B35">
        <v>39</v>
      </c>
      <c r="C35" t="s">
        <v>3310</v>
      </c>
      <c r="D35" t="b">
        <v>1</v>
      </c>
      <c r="E35" t="b">
        <v>0</v>
      </c>
      <c r="F35" t="s">
        <v>3986</v>
      </c>
      <c r="G35" t="s">
        <v>3986</v>
      </c>
      <c r="H35" t="s">
        <v>3986</v>
      </c>
      <c r="I35" t="s">
        <v>3986</v>
      </c>
      <c r="J35" t="s">
        <v>3986</v>
      </c>
      <c r="K35" t="s">
        <v>3308</v>
      </c>
      <c r="L35" t="s">
        <v>3309</v>
      </c>
      <c r="M35" t="s">
        <v>3766</v>
      </c>
      <c r="N35">
        <v>7</v>
      </c>
      <c r="O35" t="b">
        <v>0</v>
      </c>
      <c r="P35" t="b">
        <v>1</v>
      </c>
      <c r="Q35" t="b">
        <v>0</v>
      </c>
      <c r="R35" t="b">
        <v>1</v>
      </c>
      <c r="T35" t="s">
        <v>3671</v>
      </c>
      <c r="U35">
        <v>38</v>
      </c>
      <c r="V35" t="s">
        <v>3986</v>
      </c>
      <c r="W35">
        <v>2</v>
      </c>
      <c r="X35" t="s">
        <v>3986</v>
      </c>
      <c r="Y35" t="s">
        <v>2827</v>
      </c>
      <c r="Z35">
        <v>0</v>
      </c>
      <c r="AA35" t="s">
        <v>2493</v>
      </c>
      <c r="AB35" t="s">
        <v>3986</v>
      </c>
      <c r="AC35" t="s">
        <v>3986</v>
      </c>
      <c r="AD35" t="s">
        <v>3986</v>
      </c>
    </row>
    <row r="36" spans="1:30" x14ac:dyDescent="0.25">
      <c r="A36" t="s">
        <v>1646</v>
      </c>
      <c r="B36">
        <v>40</v>
      </c>
      <c r="C36" t="s">
        <v>3310</v>
      </c>
      <c r="D36" t="b">
        <v>1</v>
      </c>
      <c r="E36" t="b">
        <v>0</v>
      </c>
      <c r="F36" t="s">
        <v>3986</v>
      </c>
      <c r="G36" t="s">
        <v>3986</v>
      </c>
      <c r="H36" t="s">
        <v>3986</v>
      </c>
      <c r="I36" t="s">
        <v>3986</v>
      </c>
      <c r="J36" t="s">
        <v>3986</v>
      </c>
      <c r="K36" t="s">
        <v>3308</v>
      </c>
      <c r="L36" t="s">
        <v>3309</v>
      </c>
      <c r="M36" t="s">
        <v>3766</v>
      </c>
      <c r="N36">
        <v>7</v>
      </c>
      <c r="O36" t="b">
        <v>0</v>
      </c>
      <c r="P36" t="b">
        <v>1</v>
      </c>
      <c r="Q36" t="b">
        <v>0</v>
      </c>
      <c r="R36" t="b">
        <v>1</v>
      </c>
      <c r="T36" t="s">
        <v>3671</v>
      </c>
      <c r="U36">
        <v>39</v>
      </c>
      <c r="V36" t="s">
        <v>3986</v>
      </c>
      <c r="W36">
        <v>2</v>
      </c>
      <c r="X36" t="s">
        <v>3986</v>
      </c>
      <c r="Y36" t="s">
        <v>2492</v>
      </c>
      <c r="Z36">
        <v>0</v>
      </c>
      <c r="AA36" t="s">
        <v>2493</v>
      </c>
      <c r="AB36" t="s">
        <v>3986</v>
      </c>
      <c r="AC36" t="s">
        <v>3986</v>
      </c>
      <c r="AD36" t="s">
        <v>3986</v>
      </c>
    </row>
    <row r="37" spans="1:30" x14ac:dyDescent="0.25">
      <c r="A37" t="s">
        <v>1647</v>
      </c>
      <c r="B37">
        <v>41</v>
      </c>
      <c r="C37" t="s">
        <v>3310</v>
      </c>
      <c r="D37" t="b">
        <v>1</v>
      </c>
      <c r="E37" t="b">
        <v>0</v>
      </c>
      <c r="F37" t="s">
        <v>3986</v>
      </c>
      <c r="G37" t="s">
        <v>3986</v>
      </c>
      <c r="H37" t="s">
        <v>3986</v>
      </c>
      <c r="I37" t="s">
        <v>3986</v>
      </c>
      <c r="J37" t="s">
        <v>3986</v>
      </c>
      <c r="K37" t="s">
        <v>3308</v>
      </c>
      <c r="L37" t="s">
        <v>3309</v>
      </c>
      <c r="M37" t="s">
        <v>3766</v>
      </c>
      <c r="N37">
        <v>7</v>
      </c>
      <c r="O37" t="b">
        <v>0</v>
      </c>
      <c r="P37" t="b">
        <v>1</v>
      </c>
      <c r="Q37" t="b">
        <v>0</v>
      </c>
      <c r="R37" t="b">
        <v>1</v>
      </c>
      <c r="T37" t="s">
        <v>3671</v>
      </c>
      <c r="U37">
        <v>40</v>
      </c>
      <c r="V37" t="s">
        <v>3986</v>
      </c>
      <c r="W37">
        <v>2</v>
      </c>
      <c r="X37" t="s">
        <v>3986</v>
      </c>
      <c r="Y37" t="s">
        <v>2355</v>
      </c>
      <c r="Z37">
        <v>0</v>
      </c>
      <c r="AA37" t="s">
        <v>2493</v>
      </c>
      <c r="AB37" t="s">
        <v>3986</v>
      </c>
      <c r="AC37" t="s">
        <v>3986</v>
      </c>
      <c r="AD37" t="s">
        <v>3986</v>
      </c>
    </row>
    <row r="38" spans="1:30" x14ac:dyDescent="0.25">
      <c r="A38" t="s">
        <v>1648</v>
      </c>
      <c r="B38">
        <v>42</v>
      </c>
      <c r="C38" t="s">
        <v>3310</v>
      </c>
      <c r="D38" t="b">
        <v>1</v>
      </c>
      <c r="E38" t="b">
        <v>0</v>
      </c>
      <c r="F38" t="s">
        <v>3986</v>
      </c>
      <c r="G38" t="s">
        <v>3986</v>
      </c>
      <c r="H38" t="s">
        <v>3986</v>
      </c>
      <c r="I38" t="s">
        <v>3986</v>
      </c>
      <c r="J38" t="s">
        <v>3986</v>
      </c>
      <c r="K38" t="s">
        <v>3308</v>
      </c>
      <c r="L38" t="s">
        <v>3309</v>
      </c>
      <c r="M38" t="s">
        <v>3766</v>
      </c>
      <c r="N38">
        <v>7</v>
      </c>
      <c r="O38" t="b">
        <v>0</v>
      </c>
      <c r="P38" t="b">
        <v>1</v>
      </c>
      <c r="Q38" t="b">
        <v>0</v>
      </c>
      <c r="R38" t="b">
        <v>1</v>
      </c>
      <c r="T38" t="s">
        <v>3671</v>
      </c>
      <c r="U38">
        <v>41</v>
      </c>
      <c r="V38" t="s">
        <v>3986</v>
      </c>
      <c r="W38">
        <v>2</v>
      </c>
      <c r="X38" t="s">
        <v>3986</v>
      </c>
      <c r="Y38" t="s">
        <v>833</v>
      </c>
      <c r="Z38">
        <v>0</v>
      </c>
      <c r="AA38" t="s">
        <v>2493</v>
      </c>
      <c r="AB38" t="s">
        <v>3986</v>
      </c>
      <c r="AC38" t="s">
        <v>3986</v>
      </c>
      <c r="AD38" t="s">
        <v>3986</v>
      </c>
    </row>
    <row r="39" spans="1:30" x14ac:dyDescent="0.25">
      <c r="A39" t="s">
        <v>1649</v>
      </c>
      <c r="B39">
        <v>43</v>
      </c>
      <c r="C39" t="s">
        <v>3310</v>
      </c>
      <c r="D39" t="b">
        <v>1</v>
      </c>
      <c r="E39" t="b">
        <v>0</v>
      </c>
      <c r="F39" t="s">
        <v>3986</v>
      </c>
      <c r="G39" t="s">
        <v>3986</v>
      </c>
      <c r="H39" t="s">
        <v>3986</v>
      </c>
      <c r="I39" t="s">
        <v>3986</v>
      </c>
      <c r="J39" t="s">
        <v>3986</v>
      </c>
      <c r="K39" t="s">
        <v>3308</v>
      </c>
      <c r="L39" t="s">
        <v>3309</v>
      </c>
      <c r="M39" t="s">
        <v>3766</v>
      </c>
      <c r="N39">
        <v>7</v>
      </c>
      <c r="O39" t="b">
        <v>0</v>
      </c>
      <c r="P39" t="b">
        <v>1</v>
      </c>
      <c r="Q39" t="b">
        <v>0</v>
      </c>
      <c r="R39" t="b">
        <v>1</v>
      </c>
      <c r="T39" t="s">
        <v>3671</v>
      </c>
      <c r="U39">
        <v>42</v>
      </c>
      <c r="V39" t="s">
        <v>3986</v>
      </c>
      <c r="W39">
        <v>2</v>
      </c>
      <c r="X39" t="s">
        <v>3986</v>
      </c>
      <c r="Y39" t="s">
        <v>834</v>
      </c>
      <c r="Z39">
        <v>0</v>
      </c>
      <c r="AA39" t="s">
        <v>2493</v>
      </c>
      <c r="AB39" t="s">
        <v>3986</v>
      </c>
      <c r="AC39" t="s">
        <v>3986</v>
      </c>
      <c r="AD39" t="s">
        <v>3986</v>
      </c>
    </row>
    <row r="40" spans="1:30" x14ac:dyDescent="0.25">
      <c r="A40" t="s">
        <v>1650</v>
      </c>
      <c r="B40">
        <v>44</v>
      </c>
      <c r="C40" t="s">
        <v>3310</v>
      </c>
      <c r="D40" t="b">
        <v>1</v>
      </c>
      <c r="E40" t="b">
        <v>0</v>
      </c>
      <c r="F40" t="s">
        <v>3986</v>
      </c>
      <c r="G40" t="s">
        <v>3986</v>
      </c>
      <c r="H40" t="s">
        <v>3986</v>
      </c>
      <c r="I40" t="s">
        <v>3986</v>
      </c>
      <c r="J40" t="s">
        <v>3986</v>
      </c>
      <c r="K40" t="s">
        <v>3308</v>
      </c>
      <c r="L40" t="s">
        <v>3309</v>
      </c>
      <c r="M40" t="s">
        <v>3766</v>
      </c>
      <c r="N40">
        <v>7</v>
      </c>
      <c r="O40" t="b">
        <v>0</v>
      </c>
      <c r="P40" t="b">
        <v>1</v>
      </c>
      <c r="Q40" t="b">
        <v>0</v>
      </c>
      <c r="R40" t="b">
        <v>1</v>
      </c>
      <c r="T40" t="s">
        <v>3671</v>
      </c>
      <c r="U40">
        <v>43</v>
      </c>
      <c r="V40" t="s">
        <v>3986</v>
      </c>
      <c r="W40">
        <v>2</v>
      </c>
      <c r="X40" t="s">
        <v>3986</v>
      </c>
      <c r="Y40" t="s">
        <v>835</v>
      </c>
      <c r="Z40">
        <v>0</v>
      </c>
      <c r="AA40" t="s">
        <v>2493</v>
      </c>
      <c r="AB40" t="s">
        <v>3986</v>
      </c>
      <c r="AC40" t="s">
        <v>3986</v>
      </c>
      <c r="AD40" t="s">
        <v>3986</v>
      </c>
    </row>
    <row r="41" spans="1:30" x14ac:dyDescent="0.25">
      <c r="A41" t="s">
        <v>1651</v>
      </c>
      <c r="B41">
        <v>45</v>
      </c>
      <c r="C41" t="s">
        <v>3310</v>
      </c>
      <c r="D41" t="b">
        <v>1</v>
      </c>
      <c r="E41" t="b">
        <v>0</v>
      </c>
      <c r="F41" t="s">
        <v>3986</v>
      </c>
      <c r="G41" t="s">
        <v>3986</v>
      </c>
      <c r="H41" t="s">
        <v>3986</v>
      </c>
      <c r="I41" t="s">
        <v>3986</v>
      </c>
      <c r="J41" t="s">
        <v>3986</v>
      </c>
      <c r="K41" t="s">
        <v>3308</v>
      </c>
      <c r="L41" t="s">
        <v>3309</v>
      </c>
      <c r="M41" t="s">
        <v>3766</v>
      </c>
      <c r="N41">
        <v>7</v>
      </c>
      <c r="O41" t="b">
        <v>0</v>
      </c>
      <c r="P41" t="b">
        <v>1</v>
      </c>
      <c r="Q41" t="b">
        <v>0</v>
      </c>
      <c r="R41" t="b">
        <v>1</v>
      </c>
      <c r="T41" t="s">
        <v>3671</v>
      </c>
      <c r="U41">
        <v>44</v>
      </c>
      <c r="V41" t="s">
        <v>3986</v>
      </c>
      <c r="W41">
        <v>2</v>
      </c>
      <c r="X41" t="s">
        <v>3986</v>
      </c>
      <c r="Y41" t="s">
        <v>2356</v>
      </c>
      <c r="Z41">
        <v>0</v>
      </c>
      <c r="AA41" t="s">
        <v>2493</v>
      </c>
      <c r="AB41" t="s">
        <v>3986</v>
      </c>
      <c r="AC41" t="s">
        <v>3986</v>
      </c>
      <c r="AD41" t="s">
        <v>3986</v>
      </c>
    </row>
    <row r="42" spans="1:30" x14ac:dyDescent="0.25">
      <c r="A42" t="s">
        <v>1652</v>
      </c>
      <c r="B42">
        <v>46</v>
      </c>
      <c r="C42" t="s">
        <v>3310</v>
      </c>
      <c r="D42" t="b">
        <v>1</v>
      </c>
      <c r="E42" t="b">
        <v>0</v>
      </c>
      <c r="F42" t="s">
        <v>3986</v>
      </c>
      <c r="G42" t="s">
        <v>3986</v>
      </c>
      <c r="H42" t="s">
        <v>3986</v>
      </c>
      <c r="I42" t="s">
        <v>3986</v>
      </c>
      <c r="J42" t="s">
        <v>3986</v>
      </c>
      <c r="K42" t="s">
        <v>3308</v>
      </c>
      <c r="L42" t="s">
        <v>3309</v>
      </c>
      <c r="M42" t="s">
        <v>3766</v>
      </c>
      <c r="N42">
        <v>7</v>
      </c>
      <c r="O42" t="b">
        <v>0</v>
      </c>
      <c r="P42" t="b">
        <v>1</v>
      </c>
      <c r="Q42" t="b">
        <v>0</v>
      </c>
      <c r="R42" t="b">
        <v>1</v>
      </c>
      <c r="T42" t="s">
        <v>3671</v>
      </c>
      <c r="U42">
        <v>45</v>
      </c>
      <c r="V42" t="s">
        <v>3986</v>
      </c>
      <c r="W42">
        <v>2</v>
      </c>
      <c r="X42" t="s">
        <v>3986</v>
      </c>
      <c r="Y42" t="s">
        <v>1086</v>
      </c>
      <c r="Z42">
        <v>0</v>
      </c>
      <c r="AA42" t="s">
        <v>2493</v>
      </c>
      <c r="AB42" t="s">
        <v>3986</v>
      </c>
      <c r="AC42" t="s">
        <v>3986</v>
      </c>
      <c r="AD42" t="s">
        <v>3986</v>
      </c>
    </row>
    <row r="43" spans="1:30" x14ac:dyDescent="0.25">
      <c r="A43" t="s">
        <v>1653</v>
      </c>
      <c r="B43">
        <v>47</v>
      </c>
      <c r="C43" t="s">
        <v>3310</v>
      </c>
      <c r="D43" t="b">
        <v>1</v>
      </c>
      <c r="E43" t="b">
        <v>0</v>
      </c>
      <c r="F43" t="s">
        <v>3986</v>
      </c>
      <c r="G43" t="s">
        <v>3986</v>
      </c>
      <c r="H43" t="s">
        <v>3986</v>
      </c>
      <c r="I43" t="s">
        <v>3986</v>
      </c>
      <c r="J43" t="s">
        <v>3986</v>
      </c>
      <c r="K43" t="s">
        <v>3308</v>
      </c>
      <c r="L43" t="s">
        <v>3309</v>
      </c>
      <c r="M43" t="s">
        <v>3766</v>
      </c>
      <c r="N43">
        <v>7</v>
      </c>
      <c r="O43" t="b">
        <v>0</v>
      </c>
      <c r="P43" t="b">
        <v>1</v>
      </c>
      <c r="Q43" t="b">
        <v>0</v>
      </c>
      <c r="R43" t="b">
        <v>1</v>
      </c>
      <c r="T43" t="s">
        <v>3671</v>
      </c>
      <c r="U43">
        <v>47</v>
      </c>
      <c r="V43" t="s">
        <v>3986</v>
      </c>
      <c r="W43">
        <v>2</v>
      </c>
      <c r="X43" t="s">
        <v>3986</v>
      </c>
      <c r="Y43" t="s">
        <v>838</v>
      </c>
      <c r="Z43">
        <v>0</v>
      </c>
      <c r="AA43" t="s">
        <v>2493</v>
      </c>
      <c r="AB43" t="s">
        <v>3986</v>
      </c>
      <c r="AC43" t="s">
        <v>3986</v>
      </c>
      <c r="AD43" t="s">
        <v>3986</v>
      </c>
    </row>
    <row r="44" spans="1:30" x14ac:dyDescent="0.25">
      <c r="A44" t="s">
        <v>1654</v>
      </c>
      <c r="B44">
        <v>48</v>
      </c>
      <c r="C44" t="s">
        <v>3310</v>
      </c>
      <c r="D44" t="b">
        <v>1</v>
      </c>
      <c r="E44" t="b">
        <v>0</v>
      </c>
      <c r="F44" t="s">
        <v>3986</v>
      </c>
      <c r="G44" t="s">
        <v>3986</v>
      </c>
      <c r="H44" t="s">
        <v>3986</v>
      </c>
      <c r="I44" t="s">
        <v>3986</v>
      </c>
      <c r="J44" t="s">
        <v>3986</v>
      </c>
      <c r="K44" t="s">
        <v>3308</v>
      </c>
      <c r="L44" t="s">
        <v>3309</v>
      </c>
      <c r="M44" t="s">
        <v>3766</v>
      </c>
      <c r="N44">
        <v>7</v>
      </c>
      <c r="O44" t="b">
        <v>0</v>
      </c>
      <c r="P44" t="b">
        <v>1</v>
      </c>
      <c r="Q44" t="b">
        <v>0</v>
      </c>
      <c r="R44" t="b">
        <v>1</v>
      </c>
      <c r="T44" t="s">
        <v>3671</v>
      </c>
      <c r="U44">
        <v>48</v>
      </c>
      <c r="V44" t="s">
        <v>3986</v>
      </c>
      <c r="W44">
        <v>2</v>
      </c>
      <c r="X44" t="s">
        <v>3986</v>
      </c>
      <c r="Y44" t="s">
        <v>2358</v>
      </c>
      <c r="Z44">
        <v>0</v>
      </c>
      <c r="AA44" t="s">
        <v>2493</v>
      </c>
      <c r="AB44" t="s">
        <v>3986</v>
      </c>
      <c r="AC44" t="s">
        <v>3986</v>
      </c>
      <c r="AD44" t="s">
        <v>3986</v>
      </c>
    </row>
    <row r="45" spans="1:30" x14ac:dyDescent="0.25">
      <c r="A45" t="s">
        <v>1655</v>
      </c>
      <c r="B45">
        <v>49</v>
      </c>
      <c r="C45" t="s">
        <v>3310</v>
      </c>
      <c r="D45" t="b">
        <v>1</v>
      </c>
      <c r="E45" t="b">
        <v>0</v>
      </c>
      <c r="F45" t="s">
        <v>3986</v>
      </c>
      <c r="G45" t="s">
        <v>3986</v>
      </c>
      <c r="H45" t="s">
        <v>3986</v>
      </c>
      <c r="I45" t="s">
        <v>3986</v>
      </c>
      <c r="J45" t="s">
        <v>3986</v>
      </c>
      <c r="K45" t="s">
        <v>3308</v>
      </c>
      <c r="L45" t="s">
        <v>3309</v>
      </c>
      <c r="M45" t="s">
        <v>3766</v>
      </c>
      <c r="N45">
        <v>7</v>
      </c>
      <c r="O45" t="b">
        <v>0</v>
      </c>
      <c r="P45" t="b">
        <v>1</v>
      </c>
      <c r="Q45" t="b">
        <v>0</v>
      </c>
      <c r="R45" t="b">
        <v>1</v>
      </c>
      <c r="T45" t="s">
        <v>3671</v>
      </c>
      <c r="U45">
        <v>49</v>
      </c>
      <c r="V45" t="s">
        <v>3986</v>
      </c>
      <c r="W45">
        <v>2</v>
      </c>
      <c r="X45" t="s">
        <v>3986</v>
      </c>
      <c r="Y45" t="s">
        <v>836</v>
      </c>
      <c r="Z45">
        <v>0</v>
      </c>
      <c r="AA45" t="s">
        <v>2493</v>
      </c>
      <c r="AB45" t="s">
        <v>3986</v>
      </c>
      <c r="AC45" t="s">
        <v>3986</v>
      </c>
      <c r="AD45" t="s">
        <v>3986</v>
      </c>
    </row>
    <row r="46" spans="1:30" x14ac:dyDescent="0.25">
      <c r="A46" t="s">
        <v>1656</v>
      </c>
      <c r="B46">
        <v>50</v>
      </c>
      <c r="C46" t="s">
        <v>3310</v>
      </c>
      <c r="D46" t="b">
        <v>1</v>
      </c>
      <c r="E46" t="b">
        <v>0</v>
      </c>
      <c r="F46" t="s">
        <v>3986</v>
      </c>
      <c r="G46" t="s">
        <v>3986</v>
      </c>
      <c r="H46" t="s">
        <v>3986</v>
      </c>
      <c r="I46" t="s">
        <v>3986</v>
      </c>
      <c r="J46" t="s">
        <v>3986</v>
      </c>
      <c r="K46" t="s">
        <v>3308</v>
      </c>
      <c r="L46" t="s">
        <v>3309</v>
      </c>
      <c r="M46" t="s">
        <v>3766</v>
      </c>
      <c r="N46">
        <v>7</v>
      </c>
      <c r="O46" t="b">
        <v>0</v>
      </c>
      <c r="P46" t="b">
        <v>1</v>
      </c>
      <c r="Q46" t="b">
        <v>0</v>
      </c>
      <c r="R46" t="b">
        <v>1</v>
      </c>
      <c r="T46" t="s">
        <v>3671</v>
      </c>
      <c r="U46">
        <v>50</v>
      </c>
      <c r="V46" t="s">
        <v>3986</v>
      </c>
      <c r="W46">
        <v>2</v>
      </c>
      <c r="X46" t="s">
        <v>3986</v>
      </c>
      <c r="Y46" t="s">
        <v>837</v>
      </c>
      <c r="Z46">
        <v>0</v>
      </c>
      <c r="AA46" t="s">
        <v>2493</v>
      </c>
      <c r="AB46" t="s">
        <v>3986</v>
      </c>
      <c r="AC46" t="s">
        <v>3986</v>
      </c>
      <c r="AD46" t="s">
        <v>3986</v>
      </c>
    </row>
    <row r="47" spans="1:30" x14ac:dyDescent="0.25">
      <c r="A47" t="s">
        <v>1657</v>
      </c>
      <c r="B47">
        <v>51</v>
      </c>
      <c r="C47" t="s">
        <v>3310</v>
      </c>
      <c r="D47" t="b">
        <v>1</v>
      </c>
      <c r="E47" t="b">
        <v>0</v>
      </c>
      <c r="F47" t="s">
        <v>3986</v>
      </c>
      <c r="G47" t="s">
        <v>3986</v>
      </c>
      <c r="H47" t="s">
        <v>3986</v>
      </c>
      <c r="I47" t="s">
        <v>3986</v>
      </c>
      <c r="J47" t="s">
        <v>3986</v>
      </c>
      <c r="K47" t="s">
        <v>3308</v>
      </c>
      <c r="L47" t="s">
        <v>3309</v>
      </c>
      <c r="M47" t="s">
        <v>3766</v>
      </c>
      <c r="N47">
        <v>7</v>
      </c>
      <c r="O47" t="b">
        <v>0</v>
      </c>
      <c r="P47" t="b">
        <v>1</v>
      </c>
      <c r="Q47" t="b">
        <v>0</v>
      </c>
      <c r="R47" t="b">
        <v>1</v>
      </c>
      <c r="T47" t="s">
        <v>3671</v>
      </c>
      <c r="U47">
        <v>51</v>
      </c>
      <c r="V47" t="s">
        <v>3986</v>
      </c>
      <c r="W47">
        <v>2</v>
      </c>
      <c r="X47" t="s">
        <v>3986</v>
      </c>
      <c r="Y47" t="s">
        <v>2359</v>
      </c>
      <c r="Z47">
        <v>0</v>
      </c>
      <c r="AA47" t="s">
        <v>2493</v>
      </c>
      <c r="AB47" t="s">
        <v>3986</v>
      </c>
      <c r="AC47" t="s">
        <v>3986</v>
      </c>
      <c r="AD47" t="s">
        <v>3986</v>
      </c>
    </row>
    <row r="48" spans="1:30" x14ac:dyDescent="0.25">
      <c r="A48" t="s">
        <v>1658</v>
      </c>
      <c r="B48">
        <v>52</v>
      </c>
      <c r="C48" t="s">
        <v>3310</v>
      </c>
      <c r="D48" t="b">
        <v>1</v>
      </c>
      <c r="E48" t="b">
        <v>0</v>
      </c>
      <c r="F48" t="s">
        <v>3986</v>
      </c>
      <c r="G48" t="s">
        <v>3986</v>
      </c>
      <c r="H48" t="s">
        <v>3986</v>
      </c>
      <c r="I48" t="s">
        <v>3986</v>
      </c>
      <c r="J48" t="s">
        <v>3986</v>
      </c>
      <c r="K48" t="s">
        <v>3308</v>
      </c>
      <c r="L48" t="s">
        <v>3309</v>
      </c>
      <c r="M48" t="s">
        <v>3766</v>
      </c>
      <c r="N48">
        <v>7</v>
      </c>
      <c r="O48" t="b">
        <v>0</v>
      </c>
      <c r="P48" t="b">
        <v>1</v>
      </c>
      <c r="Q48" t="b">
        <v>0</v>
      </c>
      <c r="R48" t="b">
        <v>1</v>
      </c>
      <c r="T48" t="s">
        <v>3671</v>
      </c>
      <c r="U48">
        <v>52</v>
      </c>
      <c r="V48" t="s">
        <v>3986</v>
      </c>
      <c r="W48">
        <v>2</v>
      </c>
      <c r="X48" t="s">
        <v>3986</v>
      </c>
      <c r="Y48" t="s">
        <v>2360</v>
      </c>
      <c r="Z48">
        <v>0</v>
      </c>
      <c r="AA48" t="s">
        <v>2493</v>
      </c>
      <c r="AB48" t="s">
        <v>3986</v>
      </c>
      <c r="AC48" t="s">
        <v>3986</v>
      </c>
      <c r="AD48" t="s">
        <v>3986</v>
      </c>
    </row>
    <row r="49" spans="1:30" x14ac:dyDescent="0.25">
      <c r="A49" t="s">
        <v>1659</v>
      </c>
      <c r="B49">
        <v>53</v>
      </c>
      <c r="C49" t="s">
        <v>3310</v>
      </c>
      <c r="D49" t="b">
        <v>1</v>
      </c>
      <c r="E49" t="b">
        <v>0</v>
      </c>
      <c r="F49" t="s">
        <v>3986</v>
      </c>
      <c r="G49" t="s">
        <v>3986</v>
      </c>
      <c r="H49" t="s">
        <v>3986</v>
      </c>
      <c r="I49" t="s">
        <v>3986</v>
      </c>
      <c r="J49" t="s">
        <v>3986</v>
      </c>
      <c r="K49" t="s">
        <v>3308</v>
      </c>
      <c r="L49" t="s">
        <v>3309</v>
      </c>
      <c r="M49" t="s">
        <v>3766</v>
      </c>
      <c r="N49">
        <v>7</v>
      </c>
      <c r="O49" t="b">
        <v>0</v>
      </c>
      <c r="P49" t="b">
        <v>1</v>
      </c>
      <c r="Q49" t="b">
        <v>0</v>
      </c>
      <c r="R49" t="b">
        <v>1</v>
      </c>
      <c r="T49" t="s">
        <v>3671</v>
      </c>
      <c r="U49">
        <v>53</v>
      </c>
      <c r="V49" t="s">
        <v>3986</v>
      </c>
      <c r="W49">
        <v>2</v>
      </c>
      <c r="X49" t="s">
        <v>3986</v>
      </c>
      <c r="Y49" t="s">
        <v>2361</v>
      </c>
      <c r="Z49">
        <v>0</v>
      </c>
      <c r="AA49" t="s">
        <v>2493</v>
      </c>
      <c r="AB49" t="s">
        <v>3986</v>
      </c>
      <c r="AC49" t="s">
        <v>3986</v>
      </c>
      <c r="AD49" t="s">
        <v>3986</v>
      </c>
    </row>
    <row r="50" spans="1:30" x14ac:dyDescent="0.25">
      <c r="A50" t="s">
        <v>1660</v>
      </c>
      <c r="B50">
        <v>54</v>
      </c>
      <c r="C50" t="s">
        <v>3310</v>
      </c>
      <c r="D50" t="b">
        <v>1</v>
      </c>
      <c r="E50" t="b">
        <v>0</v>
      </c>
      <c r="F50" t="s">
        <v>3986</v>
      </c>
      <c r="G50" t="s">
        <v>3986</v>
      </c>
      <c r="H50" t="s">
        <v>3986</v>
      </c>
      <c r="I50" t="s">
        <v>3986</v>
      </c>
      <c r="J50" t="s">
        <v>3986</v>
      </c>
      <c r="K50" t="s">
        <v>3308</v>
      </c>
      <c r="L50" t="s">
        <v>3309</v>
      </c>
      <c r="M50" t="s">
        <v>3766</v>
      </c>
      <c r="N50">
        <v>7</v>
      </c>
      <c r="O50" t="b">
        <v>0</v>
      </c>
      <c r="P50" t="b">
        <v>1</v>
      </c>
      <c r="Q50" t="b">
        <v>0</v>
      </c>
      <c r="R50" t="b">
        <v>1</v>
      </c>
      <c r="T50" t="s">
        <v>3671</v>
      </c>
      <c r="U50">
        <v>54</v>
      </c>
      <c r="V50" t="s">
        <v>3986</v>
      </c>
      <c r="W50">
        <v>2</v>
      </c>
      <c r="X50" t="s">
        <v>3986</v>
      </c>
      <c r="Y50" t="s">
        <v>2864</v>
      </c>
      <c r="Z50">
        <v>0</v>
      </c>
      <c r="AA50" t="s">
        <v>2493</v>
      </c>
      <c r="AB50" t="s">
        <v>3986</v>
      </c>
      <c r="AC50" t="s">
        <v>3986</v>
      </c>
      <c r="AD50" t="s">
        <v>3986</v>
      </c>
    </row>
    <row r="51" spans="1:30" x14ac:dyDescent="0.25">
      <c r="A51" t="s">
        <v>1661</v>
      </c>
      <c r="B51">
        <v>55</v>
      </c>
      <c r="C51" t="s">
        <v>3310</v>
      </c>
      <c r="D51" t="b">
        <v>1</v>
      </c>
      <c r="E51" t="b">
        <v>0</v>
      </c>
      <c r="F51" t="s">
        <v>3986</v>
      </c>
      <c r="G51" t="s">
        <v>3986</v>
      </c>
      <c r="H51" t="s">
        <v>3986</v>
      </c>
      <c r="I51" t="s">
        <v>3986</v>
      </c>
      <c r="J51" t="s">
        <v>3986</v>
      </c>
      <c r="K51" t="s">
        <v>3308</v>
      </c>
      <c r="L51" t="s">
        <v>3309</v>
      </c>
      <c r="M51" t="s">
        <v>3766</v>
      </c>
      <c r="N51">
        <v>7</v>
      </c>
      <c r="O51" t="b">
        <v>0</v>
      </c>
      <c r="P51" t="b">
        <v>1</v>
      </c>
      <c r="Q51" t="b">
        <v>0</v>
      </c>
      <c r="R51" t="b">
        <v>1</v>
      </c>
      <c r="T51" t="s">
        <v>3671</v>
      </c>
      <c r="U51">
        <v>55</v>
      </c>
      <c r="V51" t="s">
        <v>3986</v>
      </c>
      <c r="W51">
        <v>2</v>
      </c>
      <c r="X51" t="s">
        <v>3986</v>
      </c>
      <c r="Y51" t="s">
        <v>2865</v>
      </c>
      <c r="Z51">
        <v>0</v>
      </c>
      <c r="AA51" t="s">
        <v>2493</v>
      </c>
      <c r="AB51" t="s">
        <v>3986</v>
      </c>
      <c r="AC51" t="s">
        <v>3986</v>
      </c>
      <c r="AD51" t="s">
        <v>3986</v>
      </c>
    </row>
    <row r="52" spans="1:30" x14ac:dyDescent="0.25">
      <c r="A52" t="s">
        <v>1662</v>
      </c>
      <c r="B52">
        <v>56</v>
      </c>
      <c r="C52" t="s">
        <v>3310</v>
      </c>
      <c r="D52" t="b">
        <v>1</v>
      </c>
      <c r="E52" t="b">
        <v>0</v>
      </c>
      <c r="F52" t="s">
        <v>3986</v>
      </c>
      <c r="G52" t="s">
        <v>3986</v>
      </c>
      <c r="H52" t="s">
        <v>3986</v>
      </c>
      <c r="I52" t="s">
        <v>3986</v>
      </c>
      <c r="J52" t="s">
        <v>3986</v>
      </c>
      <c r="K52" t="s">
        <v>3308</v>
      </c>
      <c r="L52" t="s">
        <v>3309</v>
      </c>
      <c r="M52" t="s">
        <v>3766</v>
      </c>
      <c r="N52">
        <v>7</v>
      </c>
      <c r="O52" t="b">
        <v>0</v>
      </c>
      <c r="P52" t="b">
        <v>1</v>
      </c>
      <c r="Q52" t="b">
        <v>0</v>
      </c>
      <c r="R52" t="b">
        <v>1</v>
      </c>
      <c r="T52" t="s">
        <v>3671</v>
      </c>
      <c r="U52">
        <v>56</v>
      </c>
      <c r="V52" t="s">
        <v>3986</v>
      </c>
      <c r="W52">
        <v>2</v>
      </c>
      <c r="X52" t="s">
        <v>3986</v>
      </c>
      <c r="Y52" t="s">
        <v>2866</v>
      </c>
      <c r="Z52">
        <v>0</v>
      </c>
      <c r="AA52" t="s">
        <v>2493</v>
      </c>
      <c r="AB52" t="s">
        <v>3986</v>
      </c>
      <c r="AC52" t="s">
        <v>3986</v>
      </c>
      <c r="AD52" t="s">
        <v>3986</v>
      </c>
    </row>
    <row r="53" spans="1:30" x14ac:dyDescent="0.25">
      <c r="A53" t="s">
        <v>1663</v>
      </c>
      <c r="B53">
        <v>57</v>
      </c>
      <c r="C53" t="s">
        <v>3310</v>
      </c>
      <c r="D53" t="b">
        <v>1</v>
      </c>
      <c r="E53" t="b">
        <v>0</v>
      </c>
      <c r="F53" t="s">
        <v>3986</v>
      </c>
      <c r="G53" t="s">
        <v>3986</v>
      </c>
      <c r="H53" t="s">
        <v>3986</v>
      </c>
      <c r="I53" t="s">
        <v>3986</v>
      </c>
      <c r="J53" t="s">
        <v>3986</v>
      </c>
      <c r="K53" t="s">
        <v>3308</v>
      </c>
      <c r="L53" t="s">
        <v>3309</v>
      </c>
      <c r="M53" t="s">
        <v>3766</v>
      </c>
      <c r="N53">
        <v>7</v>
      </c>
      <c r="O53" t="b">
        <v>0</v>
      </c>
      <c r="P53" t="b">
        <v>1</v>
      </c>
      <c r="Q53" t="b">
        <v>0</v>
      </c>
      <c r="R53" t="b">
        <v>1</v>
      </c>
      <c r="T53" t="s">
        <v>3671</v>
      </c>
      <c r="U53">
        <v>57</v>
      </c>
      <c r="V53" t="s">
        <v>3986</v>
      </c>
      <c r="W53">
        <v>2</v>
      </c>
      <c r="X53" t="s">
        <v>3986</v>
      </c>
      <c r="Y53" t="s">
        <v>1270</v>
      </c>
      <c r="Z53">
        <v>0</v>
      </c>
      <c r="AA53" t="s">
        <v>2493</v>
      </c>
      <c r="AB53" t="s">
        <v>3986</v>
      </c>
      <c r="AC53" t="s">
        <v>3986</v>
      </c>
      <c r="AD53" t="s">
        <v>3986</v>
      </c>
    </row>
    <row r="54" spans="1:30" x14ac:dyDescent="0.25">
      <c r="A54" t="s">
        <v>1664</v>
      </c>
      <c r="B54">
        <v>58</v>
      </c>
      <c r="C54" t="s">
        <v>3310</v>
      </c>
      <c r="D54" t="b">
        <v>1</v>
      </c>
      <c r="E54" t="b">
        <v>0</v>
      </c>
      <c r="F54" t="s">
        <v>3986</v>
      </c>
      <c r="G54" t="s">
        <v>3986</v>
      </c>
      <c r="H54" t="s">
        <v>3986</v>
      </c>
      <c r="I54" t="s">
        <v>3986</v>
      </c>
      <c r="J54" t="s">
        <v>3986</v>
      </c>
      <c r="K54" t="s">
        <v>3308</v>
      </c>
      <c r="L54" t="s">
        <v>3309</v>
      </c>
      <c r="M54" t="s">
        <v>3766</v>
      </c>
      <c r="N54">
        <v>7</v>
      </c>
      <c r="O54" t="b">
        <v>0</v>
      </c>
      <c r="P54" t="b">
        <v>1</v>
      </c>
      <c r="Q54" t="b">
        <v>0</v>
      </c>
      <c r="R54" t="b">
        <v>1</v>
      </c>
      <c r="T54" t="s">
        <v>3671</v>
      </c>
      <c r="U54">
        <v>58</v>
      </c>
      <c r="V54" t="s">
        <v>3986</v>
      </c>
      <c r="W54">
        <v>2</v>
      </c>
      <c r="X54" t="s">
        <v>3986</v>
      </c>
      <c r="Y54" t="s">
        <v>2867</v>
      </c>
      <c r="Z54">
        <v>0</v>
      </c>
      <c r="AA54" t="s">
        <v>2493</v>
      </c>
      <c r="AB54" t="s">
        <v>3986</v>
      </c>
      <c r="AC54" t="s">
        <v>3986</v>
      </c>
      <c r="AD54" t="s">
        <v>3986</v>
      </c>
    </row>
    <row r="55" spans="1:30" x14ac:dyDescent="0.25">
      <c r="A55" t="s">
        <v>1665</v>
      </c>
      <c r="B55">
        <v>59</v>
      </c>
      <c r="C55" t="s">
        <v>3310</v>
      </c>
      <c r="D55" t="b">
        <v>1</v>
      </c>
      <c r="E55" t="b">
        <v>0</v>
      </c>
      <c r="F55" t="s">
        <v>3986</v>
      </c>
      <c r="G55" t="s">
        <v>3986</v>
      </c>
      <c r="H55" t="s">
        <v>3986</v>
      </c>
      <c r="I55" t="s">
        <v>3986</v>
      </c>
      <c r="J55" t="s">
        <v>3986</v>
      </c>
      <c r="K55" t="s">
        <v>3308</v>
      </c>
      <c r="L55" t="s">
        <v>3309</v>
      </c>
      <c r="M55" t="s">
        <v>3766</v>
      </c>
      <c r="N55">
        <v>7</v>
      </c>
      <c r="O55" t="b">
        <v>0</v>
      </c>
      <c r="P55" t="b">
        <v>1</v>
      </c>
      <c r="Q55" t="b">
        <v>0</v>
      </c>
      <c r="R55" t="b">
        <v>1</v>
      </c>
      <c r="T55" t="s">
        <v>3671</v>
      </c>
      <c r="U55">
        <v>59</v>
      </c>
      <c r="V55" t="s">
        <v>3986</v>
      </c>
      <c r="W55">
        <v>2</v>
      </c>
      <c r="X55" t="s">
        <v>3986</v>
      </c>
      <c r="Y55" t="s">
        <v>2362</v>
      </c>
      <c r="Z55">
        <v>0</v>
      </c>
      <c r="AA55" t="s">
        <v>2493</v>
      </c>
      <c r="AB55" t="s">
        <v>3986</v>
      </c>
      <c r="AC55" t="s">
        <v>3986</v>
      </c>
      <c r="AD55" t="s">
        <v>3986</v>
      </c>
    </row>
    <row r="56" spans="1:30" x14ac:dyDescent="0.25">
      <c r="A56" t="s">
        <v>1666</v>
      </c>
      <c r="B56">
        <v>60</v>
      </c>
      <c r="C56" t="s">
        <v>3310</v>
      </c>
      <c r="D56" t="b">
        <v>1</v>
      </c>
      <c r="E56" t="b">
        <v>0</v>
      </c>
      <c r="F56" t="s">
        <v>3986</v>
      </c>
      <c r="G56" t="s">
        <v>3986</v>
      </c>
      <c r="H56" t="s">
        <v>3986</v>
      </c>
      <c r="I56" t="s">
        <v>3986</v>
      </c>
      <c r="J56" t="s">
        <v>3986</v>
      </c>
      <c r="K56" t="s">
        <v>3308</v>
      </c>
      <c r="L56" t="s">
        <v>3309</v>
      </c>
      <c r="M56" t="s">
        <v>3766</v>
      </c>
      <c r="N56">
        <v>7</v>
      </c>
      <c r="O56" t="b">
        <v>0</v>
      </c>
      <c r="P56" t="b">
        <v>1</v>
      </c>
      <c r="Q56" t="b">
        <v>0</v>
      </c>
      <c r="R56" t="b">
        <v>1</v>
      </c>
      <c r="T56" t="s">
        <v>3671</v>
      </c>
      <c r="U56">
        <v>60</v>
      </c>
      <c r="V56" t="s">
        <v>3986</v>
      </c>
      <c r="W56">
        <v>2</v>
      </c>
      <c r="X56" t="s">
        <v>3986</v>
      </c>
      <c r="Y56" t="s">
        <v>2363</v>
      </c>
      <c r="Z56">
        <v>0</v>
      </c>
      <c r="AA56" t="s">
        <v>2493</v>
      </c>
      <c r="AB56" t="s">
        <v>3986</v>
      </c>
      <c r="AC56" t="s">
        <v>3986</v>
      </c>
      <c r="AD56" t="s">
        <v>3986</v>
      </c>
    </row>
    <row r="57" spans="1:30" x14ac:dyDescent="0.25">
      <c r="A57" t="s">
        <v>1667</v>
      </c>
      <c r="B57">
        <v>61</v>
      </c>
      <c r="C57" t="s">
        <v>3310</v>
      </c>
      <c r="D57" t="b">
        <v>1</v>
      </c>
      <c r="E57" t="b">
        <v>0</v>
      </c>
      <c r="F57" t="s">
        <v>3986</v>
      </c>
      <c r="G57" t="s">
        <v>3986</v>
      </c>
      <c r="H57" t="s">
        <v>3986</v>
      </c>
      <c r="I57" t="s">
        <v>3986</v>
      </c>
      <c r="J57" t="s">
        <v>3986</v>
      </c>
      <c r="K57" t="s">
        <v>3308</v>
      </c>
      <c r="L57" t="s">
        <v>3309</v>
      </c>
      <c r="M57" t="s">
        <v>3766</v>
      </c>
      <c r="N57">
        <v>7</v>
      </c>
      <c r="O57" t="b">
        <v>0</v>
      </c>
      <c r="P57" t="b">
        <v>1</v>
      </c>
      <c r="Q57" t="b">
        <v>0</v>
      </c>
      <c r="R57" t="b">
        <v>1</v>
      </c>
      <c r="T57" t="s">
        <v>3671</v>
      </c>
      <c r="U57">
        <v>61</v>
      </c>
      <c r="V57" t="s">
        <v>3986</v>
      </c>
      <c r="W57">
        <v>2</v>
      </c>
      <c r="X57" t="s">
        <v>3986</v>
      </c>
      <c r="Y57" t="s">
        <v>2364</v>
      </c>
      <c r="Z57">
        <v>0</v>
      </c>
      <c r="AA57" t="s">
        <v>2493</v>
      </c>
      <c r="AB57" t="s">
        <v>3986</v>
      </c>
      <c r="AC57" t="s">
        <v>3986</v>
      </c>
      <c r="AD57" t="s">
        <v>3986</v>
      </c>
    </row>
    <row r="58" spans="1:30" x14ac:dyDescent="0.25">
      <c r="A58" t="s">
        <v>1668</v>
      </c>
      <c r="B58">
        <v>62</v>
      </c>
      <c r="C58" t="s">
        <v>3310</v>
      </c>
      <c r="D58" t="b">
        <v>1</v>
      </c>
      <c r="E58" t="b">
        <v>0</v>
      </c>
      <c r="F58" t="s">
        <v>3986</v>
      </c>
      <c r="G58" t="s">
        <v>3986</v>
      </c>
      <c r="H58" t="s">
        <v>3986</v>
      </c>
      <c r="I58" t="s">
        <v>3986</v>
      </c>
      <c r="J58" t="s">
        <v>3986</v>
      </c>
      <c r="K58" t="s">
        <v>3308</v>
      </c>
      <c r="L58" t="s">
        <v>3309</v>
      </c>
      <c r="M58" t="s">
        <v>3766</v>
      </c>
      <c r="N58">
        <v>7</v>
      </c>
      <c r="O58" t="b">
        <v>0</v>
      </c>
      <c r="P58" t="b">
        <v>1</v>
      </c>
      <c r="Q58" t="b">
        <v>0</v>
      </c>
      <c r="R58" t="b">
        <v>1</v>
      </c>
      <c r="T58" t="s">
        <v>3671</v>
      </c>
      <c r="U58">
        <v>62</v>
      </c>
      <c r="V58" t="s">
        <v>3986</v>
      </c>
      <c r="W58">
        <v>2</v>
      </c>
      <c r="X58" t="s">
        <v>3986</v>
      </c>
      <c r="Y58" t="s">
        <v>2365</v>
      </c>
      <c r="Z58">
        <v>0</v>
      </c>
      <c r="AA58" t="s">
        <v>2493</v>
      </c>
      <c r="AB58" t="s">
        <v>3986</v>
      </c>
      <c r="AC58" t="s">
        <v>3986</v>
      </c>
      <c r="AD58" t="s">
        <v>3986</v>
      </c>
    </row>
    <row r="59" spans="1:30" x14ac:dyDescent="0.25">
      <c r="A59" t="s">
        <v>1669</v>
      </c>
      <c r="B59">
        <v>63</v>
      </c>
      <c r="C59" t="s">
        <v>3310</v>
      </c>
      <c r="D59" t="b">
        <v>1</v>
      </c>
      <c r="E59" t="b">
        <v>0</v>
      </c>
      <c r="F59" t="s">
        <v>3986</v>
      </c>
      <c r="G59" t="s">
        <v>3986</v>
      </c>
      <c r="H59" t="s">
        <v>3986</v>
      </c>
      <c r="I59" t="s">
        <v>3986</v>
      </c>
      <c r="J59" t="s">
        <v>3986</v>
      </c>
      <c r="K59" t="s">
        <v>3308</v>
      </c>
      <c r="L59" t="s">
        <v>3309</v>
      </c>
      <c r="M59" t="s">
        <v>3766</v>
      </c>
      <c r="N59">
        <v>7</v>
      </c>
      <c r="O59" t="b">
        <v>0</v>
      </c>
      <c r="P59" t="b">
        <v>1</v>
      </c>
      <c r="Q59" t="b">
        <v>0</v>
      </c>
      <c r="R59" t="b">
        <v>1</v>
      </c>
      <c r="T59" t="s">
        <v>3671</v>
      </c>
      <c r="U59">
        <v>63</v>
      </c>
      <c r="V59" t="s">
        <v>3986</v>
      </c>
      <c r="W59">
        <v>2</v>
      </c>
      <c r="X59" t="s">
        <v>3986</v>
      </c>
      <c r="Y59" t="s">
        <v>2366</v>
      </c>
      <c r="Z59">
        <v>0</v>
      </c>
      <c r="AA59" t="s">
        <v>2493</v>
      </c>
      <c r="AB59" t="s">
        <v>3986</v>
      </c>
      <c r="AC59" t="s">
        <v>3986</v>
      </c>
      <c r="AD59" t="s">
        <v>3986</v>
      </c>
    </row>
    <row r="60" spans="1:30" x14ac:dyDescent="0.25">
      <c r="A60" t="s">
        <v>1670</v>
      </c>
      <c r="B60">
        <v>64</v>
      </c>
      <c r="C60" t="s">
        <v>3310</v>
      </c>
      <c r="D60" t="b">
        <v>1</v>
      </c>
      <c r="E60" t="b">
        <v>0</v>
      </c>
      <c r="F60" t="s">
        <v>3986</v>
      </c>
      <c r="G60" t="s">
        <v>3986</v>
      </c>
      <c r="H60" t="s">
        <v>3986</v>
      </c>
      <c r="I60" t="s">
        <v>3986</v>
      </c>
      <c r="J60" t="s">
        <v>3986</v>
      </c>
      <c r="K60" t="s">
        <v>3308</v>
      </c>
      <c r="L60" t="s">
        <v>3309</v>
      </c>
      <c r="M60" t="s">
        <v>3766</v>
      </c>
      <c r="N60">
        <v>7</v>
      </c>
      <c r="O60" t="b">
        <v>0</v>
      </c>
      <c r="P60" t="b">
        <v>1</v>
      </c>
      <c r="Q60" t="b">
        <v>0</v>
      </c>
      <c r="R60" t="b">
        <v>1</v>
      </c>
      <c r="T60" t="s">
        <v>3671</v>
      </c>
      <c r="U60">
        <v>64</v>
      </c>
      <c r="V60" t="s">
        <v>3986</v>
      </c>
      <c r="W60">
        <v>2</v>
      </c>
      <c r="X60" t="s">
        <v>3986</v>
      </c>
      <c r="Y60" t="s">
        <v>3961</v>
      </c>
      <c r="Z60">
        <v>0</v>
      </c>
      <c r="AA60" t="s">
        <v>2493</v>
      </c>
      <c r="AB60" t="s">
        <v>3986</v>
      </c>
      <c r="AC60" t="s">
        <v>3986</v>
      </c>
      <c r="AD60" t="s">
        <v>3986</v>
      </c>
    </row>
    <row r="61" spans="1:30" x14ac:dyDescent="0.25">
      <c r="A61" t="s">
        <v>1671</v>
      </c>
      <c r="B61">
        <v>65</v>
      </c>
      <c r="C61" t="s">
        <v>3310</v>
      </c>
      <c r="D61" t="b">
        <v>1</v>
      </c>
      <c r="E61" t="b">
        <v>0</v>
      </c>
      <c r="F61" t="s">
        <v>3986</v>
      </c>
      <c r="G61" t="s">
        <v>3986</v>
      </c>
      <c r="H61" t="s">
        <v>3986</v>
      </c>
      <c r="I61" t="s">
        <v>3986</v>
      </c>
      <c r="J61" t="s">
        <v>3986</v>
      </c>
      <c r="K61" t="s">
        <v>3308</v>
      </c>
      <c r="L61" t="s">
        <v>3309</v>
      </c>
      <c r="M61" t="s">
        <v>3766</v>
      </c>
      <c r="N61">
        <v>7</v>
      </c>
      <c r="O61" t="b">
        <v>0</v>
      </c>
      <c r="P61" t="b">
        <v>1</v>
      </c>
      <c r="Q61" t="b">
        <v>0</v>
      </c>
      <c r="R61" t="b">
        <v>1</v>
      </c>
      <c r="T61" t="s">
        <v>3671</v>
      </c>
      <c r="U61">
        <v>66</v>
      </c>
      <c r="V61" t="s">
        <v>3986</v>
      </c>
      <c r="W61">
        <v>2</v>
      </c>
      <c r="X61" t="s">
        <v>3986</v>
      </c>
      <c r="Y61" t="s">
        <v>2367</v>
      </c>
      <c r="Z61">
        <v>0</v>
      </c>
      <c r="AA61" t="s">
        <v>2493</v>
      </c>
      <c r="AB61" t="s">
        <v>3986</v>
      </c>
      <c r="AC61" t="s">
        <v>3986</v>
      </c>
      <c r="AD61" t="s">
        <v>3986</v>
      </c>
    </row>
    <row r="62" spans="1:30" x14ac:dyDescent="0.25">
      <c r="A62" t="s">
        <v>1672</v>
      </c>
      <c r="B62">
        <v>66</v>
      </c>
      <c r="C62" t="s">
        <v>3310</v>
      </c>
      <c r="D62" t="b">
        <v>1</v>
      </c>
      <c r="E62" t="b">
        <v>0</v>
      </c>
      <c r="F62" t="s">
        <v>3986</v>
      </c>
      <c r="G62" t="s">
        <v>3986</v>
      </c>
      <c r="H62" t="s">
        <v>3986</v>
      </c>
      <c r="I62" t="s">
        <v>3986</v>
      </c>
      <c r="J62" t="s">
        <v>3986</v>
      </c>
      <c r="K62" t="s">
        <v>3308</v>
      </c>
      <c r="L62" t="s">
        <v>3309</v>
      </c>
      <c r="M62" t="s">
        <v>3766</v>
      </c>
      <c r="N62">
        <v>7</v>
      </c>
      <c r="O62" t="b">
        <v>0</v>
      </c>
      <c r="P62" t="b">
        <v>1</v>
      </c>
      <c r="Q62" t="b">
        <v>0</v>
      </c>
      <c r="R62" t="b">
        <v>1</v>
      </c>
      <c r="T62" t="s">
        <v>3671</v>
      </c>
      <c r="U62">
        <v>68</v>
      </c>
      <c r="V62" t="s">
        <v>3986</v>
      </c>
      <c r="W62">
        <v>2</v>
      </c>
      <c r="X62" t="s">
        <v>3986</v>
      </c>
      <c r="Y62" t="s">
        <v>4195</v>
      </c>
      <c r="Z62">
        <v>0</v>
      </c>
      <c r="AA62" t="s">
        <v>2493</v>
      </c>
      <c r="AB62" t="s">
        <v>3986</v>
      </c>
      <c r="AC62" t="s">
        <v>3986</v>
      </c>
      <c r="AD62" t="s">
        <v>3986</v>
      </c>
    </row>
    <row r="63" spans="1:30" x14ac:dyDescent="0.25">
      <c r="A63" t="s">
        <v>1673</v>
      </c>
      <c r="B63">
        <v>67</v>
      </c>
      <c r="C63" t="s">
        <v>3310</v>
      </c>
      <c r="D63" t="b">
        <v>1</v>
      </c>
      <c r="E63" t="b">
        <v>0</v>
      </c>
      <c r="F63" t="s">
        <v>3986</v>
      </c>
      <c r="G63" t="s">
        <v>3986</v>
      </c>
      <c r="H63" t="s">
        <v>3986</v>
      </c>
      <c r="I63" t="s">
        <v>3986</v>
      </c>
      <c r="J63" t="s">
        <v>3986</v>
      </c>
      <c r="K63" t="s">
        <v>3308</v>
      </c>
      <c r="L63" t="s">
        <v>3309</v>
      </c>
      <c r="M63" t="s">
        <v>3766</v>
      </c>
      <c r="N63">
        <v>7</v>
      </c>
      <c r="O63" t="b">
        <v>0</v>
      </c>
      <c r="P63" t="b">
        <v>1</v>
      </c>
      <c r="Q63" t="b">
        <v>0</v>
      </c>
      <c r="R63" t="b">
        <v>1</v>
      </c>
      <c r="T63" t="s">
        <v>3671</v>
      </c>
      <c r="U63">
        <v>69</v>
      </c>
      <c r="V63" t="s">
        <v>3986</v>
      </c>
      <c r="W63">
        <v>2</v>
      </c>
      <c r="X63" t="s">
        <v>3986</v>
      </c>
      <c r="Y63" t="s">
        <v>2368</v>
      </c>
      <c r="Z63">
        <v>0</v>
      </c>
      <c r="AA63" t="s">
        <v>2493</v>
      </c>
      <c r="AB63" t="s">
        <v>3986</v>
      </c>
      <c r="AC63" t="s">
        <v>3986</v>
      </c>
      <c r="AD63" t="s">
        <v>3986</v>
      </c>
    </row>
    <row r="64" spans="1:30" x14ac:dyDescent="0.25">
      <c r="A64" t="s">
        <v>1674</v>
      </c>
      <c r="B64">
        <v>68</v>
      </c>
      <c r="C64" t="s">
        <v>3310</v>
      </c>
      <c r="D64" t="b">
        <v>1</v>
      </c>
      <c r="E64" t="b">
        <v>0</v>
      </c>
      <c r="F64" t="s">
        <v>3986</v>
      </c>
      <c r="G64" t="s">
        <v>3986</v>
      </c>
      <c r="H64" t="s">
        <v>3986</v>
      </c>
      <c r="I64" t="s">
        <v>3986</v>
      </c>
      <c r="J64" t="s">
        <v>3986</v>
      </c>
      <c r="K64" t="s">
        <v>3308</v>
      </c>
      <c r="L64" t="s">
        <v>3309</v>
      </c>
      <c r="M64" t="s">
        <v>3766</v>
      </c>
      <c r="N64">
        <v>7</v>
      </c>
      <c r="O64" t="b">
        <v>0</v>
      </c>
      <c r="P64" t="b">
        <v>1</v>
      </c>
      <c r="Q64" t="b">
        <v>0</v>
      </c>
      <c r="R64" t="b">
        <v>1</v>
      </c>
      <c r="T64" t="s">
        <v>3671</v>
      </c>
      <c r="U64">
        <v>70</v>
      </c>
      <c r="V64" t="s">
        <v>3986</v>
      </c>
      <c r="W64">
        <v>2</v>
      </c>
      <c r="X64" t="s">
        <v>3986</v>
      </c>
      <c r="Y64" t="s">
        <v>840</v>
      </c>
      <c r="Z64">
        <v>0</v>
      </c>
      <c r="AA64" t="s">
        <v>2493</v>
      </c>
      <c r="AB64" t="s">
        <v>3986</v>
      </c>
      <c r="AC64" t="s">
        <v>3986</v>
      </c>
      <c r="AD64" t="s">
        <v>3986</v>
      </c>
    </row>
    <row r="65" spans="1:30" x14ac:dyDescent="0.25">
      <c r="A65" t="s">
        <v>1675</v>
      </c>
      <c r="B65">
        <v>69</v>
      </c>
      <c r="C65" t="s">
        <v>3310</v>
      </c>
      <c r="D65" t="b">
        <v>1</v>
      </c>
      <c r="E65" t="b">
        <v>0</v>
      </c>
      <c r="F65" t="s">
        <v>3986</v>
      </c>
      <c r="G65" t="s">
        <v>3986</v>
      </c>
      <c r="H65" t="s">
        <v>3986</v>
      </c>
      <c r="I65" t="s">
        <v>3986</v>
      </c>
      <c r="J65" t="s">
        <v>3986</v>
      </c>
      <c r="K65" t="s">
        <v>3308</v>
      </c>
      <c r="L65" t="s">
        <v>3309</v>
      </c>
      <c r="M65" t="s">
        <v>3766</v>
      </c>
      <c r="N65">
        <v>7</v>
      </c>
      <c r="O65" t="b">
        <v>0</v>
      </c>
      <c r="P65" t="b">
        <v>1</v>
      </c>
      <c r="Q65" t="b">
        <v>0</v>
      </c>
      <c r="R65" t="b">
        <v>1</v>
      </c>
      <c r="T65" t="s">
        <v>3671</v>
      </c>
      <c r="U65">
        <v>71</v>
      </c>
      <c r="V65" t="s">
        <v>3986</v>
      </c>
      <c r="W65">
        <v>2</v>
      </c>
      <c r="X65" t="s">
        <v>3986</v>
      </c>
      <c r="Y65" t="s">
        <v>841</v>
      </c>
      <c r="Z65">
        <v>0</v>
      </c>
      <c r="AA65" t="s">
        <v>2493</v>
      </c>
      <c r="AB65" t="s">
        <v>3986</v>
      </c>
      <c r="AC65" t="s">
        <v>3986</v>
      </c>
      <c r="AD65" t="s">
        <v>3986</v>
      </c>
    </row>
    <row r="66" spans="1:30" x14ac:dyDescent="0.25">
      <c r="A66" t="s">
        <v>1676</v>
      </c>
      <c r="B66">
        <v>70</v>
      </c>
      <c r="C66" t="s">
        <v>3310</v>
      </c>
      <c r="D66" t="b">
        <v>1</v>
      </c>
      <c r="E66" t="b">
        <v>0</v>
      </c>
      <c r="F66" t="s">
        <v>3986</v>
      </c>
      <c r="G66" t="s">
        <v>3986</v>
      </c>
      <c r="H66" t="s">
        <v>3986</v>
      </c>
      <c r="I66" t="s">
        <v>3986</v>
      </c>
      <c r="J66" t="s">
        <v>3986</v>
      </c>
      <c r="K66" t="s">
        <v>3308</v>
      </c>
      <c r="L66" t="s">
        <v>3309</v>
      </c>
      <c r="M66" t="s">
        <v>3766</v>
      </c>
      <c r="N66">
        <v>7</v>
      </c>
      <c r="O66" t="b">
        <v>0</v>
      </c>
      <c r="P66" t="b">
        <v>1</v>
      </c>
      <c r="Q66" t="b">
        <v>0</v>
      </c>
      <c r="R66" t="b">
        <v>1</v>
      </c>
      <c r="T66" t="s">
        <v>3671</v>
      </c>
      <c r="U66">
        <v>72</v>
      </c>
      <c r="V66" t="s">
        <v>3986</v>
      </c>
      <c r="W66">
        <v>2</v>
      </c>
      <c r="X66" t="s">
        <v>3986</v>
      </c>
      <c r="Y66" t="s">
        <v>2369</v>
      </c>
      <c r="Z66">
        <v>0</v>
      </c>
      <c r="AA66" t="s">
        <v>2493</v>
      </c>
      <c r="AB66" t="s">
        <v>3986</v>
      </c>
      <c r="AC66" t="s">
        <v>3986</v>
      </c>
      <c r="AD66" t="s">
        <v>3986</v>
      </c>
    </row>
    <row r="67" spans="1:30" x14ac:dyDescent="0.25">
      <c r="A67" t="s">
        <v>1677</v>
      </c>
      <c r="B67">
        <v>71</v>
      </c>
      <c r="C67" t="s">
        <v>3310</v>
      </c>
      <c r="D67" t="b">
        <v>1</v>
      </c>
      <c r="E67" t="b">
        <v>0</v>
      </c>
      <c r="F67" t="s">
        <v>3986</v>
      </c>
      <c r="G67" t="s">
        <v>3986</v>
      </c>
      <c r="H67" t="s">
        <v>3986</v>
      </c>
      <c r="I67" t="s">
        <v>3986</v>
      </c>
      <c r="J67" t="s">
        <v>3986</v>
      </c>
      <c r="K67" t="s">
        <v>3308</v>
      </c>
      <c r="L67" t="s">
        <v>3309</v>
      </c>
      <c r="M67" t="s">
        <v>3766</v>
      </c>
      <c r="N67">
        <v>7</v>
      </c>
      <c r="O67" t="b">
        <v>0</v>
      </c>
      <c r="P67" t="b">
        <v>1</v>
      </c>
      <c r="Q67" t="b">
        <v>0</v>
      </c>
      <c r="R67" t="b">
        <v>1</v>
      </c>
      <c r="T67" t="s">
        <v>3671</v>
      </c>
      <c r="U67">
        <v>73</v>
      </c>
      <c r="V67" t="s">
        <v>3986</v>
      </c>
      <c r="W67">
        <v>2</v>
      </c>
      <c r="X67" t="s">
        <v>3986</v>
      </c>
      <c r="Y67" t="s">
        <v>842</v>
      </c>
      <c r="Z67">
        <v>0</v>
      </c>
      <c r="AA67" t="s">
        <v>2493</v>
      </c>
      <c r="AB67" t="s">
        <v>3986</v>
      </c>
      <c r="AC67" t="s">
        <v>3986</v>
      </c>
      <c r="AD67" t="s">
        <v>3986</v>
      </c>
    </row>
    <row r="68" spans="1:30" x14ac:dyDescent="0.25">
      <c r="A68" t="s">
        <v>1678</v>
      </c>
      <c r="B68">
        <v>72</v>
      </c>
      <c r="C68" t="s">
        <v>3310</v>
      </c>
      <c r="D68" t="b">
        <v>1</v>
      </c>
      <c r="E68" t="b">
        <v>0</v>
      </c>
      <c r="F68" t="s">
        <v>3986</v>
      </c>
      <c r="G68" t="s">
        <v>3986</v>
      </c>
      <c r="H68" t="s">
        <v>3986</v>
      </c>
      <c r="I68" t="s">
        <v>3986</v>
      </c>
      <c r="J68" t="s">
        <v>3986</v>
      </c>
      <c r="K68" t="s">
        <v>3308</v>
      </c>
      <c r="L68" t="s">
        <v>3309</v>
      </c>
      <c r="M68" t="s">
        <v>3766</v>
      </c>
      <c r="N68">
        <v>7</v>
      </c>
      <c r="O68" t="b">
        <v>0</v>
      </c>
      <c r="P68" t="b">
        <v>1</v>
      </c>
      <c r="Q68" t="b">
        <v>0</v>
      </c>
      <c r="R68" t="b">
        <v>1</v>
      </c>
      <c r="T68" t="s">
        <v>3671</v>
      </c>
      <c r="U68">
        <v>74</v>
      </c>
      <c r="V68" t="s">
        <v>3986</v>
      </c>
      <c r="W68">
        <v>2</v>
      </c>
      <c r="X68" t="s">
        <v>3986</v>
      </c>
      <c r="Y68" t="s">
        <v>1735</v>
      </c>
      <c r="Z68">
        <v>0</v>
      </c>
      <c r="AA68" t="s">
        <v>2493</v>
      </c>
      <c r="AB68" t="s">
        <v>3986</v>
      </c>
      <c r="AC68" t="s">
        <v>3986</v>
      </c>
      <c r="AD68" t="s">
        <v>3986</v>
      </c>
    </row>
    <row r="69" spans="1:30" x14ac:dyDescent="0.25">
      <c r="A69" t="s">
        <v>1679</v>
      </c>
      <c r="B69">
        <v>73</v>
      </c>
      <c r="C69" t="s">
        <v>3310</v>
      </c>
      <c r="D69" t="b">
        <v>1</v>
      </c>
      <c r="E69" t="b">
        <v>0</v>
      </c>
      <c r="F69" t="s">
        <v>3986</v>
      </c>
      <c r="G69" t="s">
        <v>3986</v>
      </c>
      <c r="H69" t="s">
        <v>3986</v>
      </c>
      <c r="I69" t="s">
        <v>3986</v>
      </c>
      <c r="J69" t="s">
        <v>3986</v>
      </c>
      <c r="K69" t="s">
        <v>3308</v>
      </c>
      <c r="L69" t="s">
        <v>3309</v>
      </c>
      <c r="M69" t="s">
        <v>3766</v>
      </c>
      <c r="N69">
        <v>7</v>
      </c>
      <c r="O69" t="b">
        <v>0</v>
      </c>
      <c r="P69" t="b">
        <v>1</v>
      </c>
      <c r="Q69" t="b">
        <v>0</v>
      </c>
      <c r="R69" t="b">
        <v>1</v>
      </c>
      <c r="T69" t="s">
        <v>3671</v>
      </c>
      <c r="U69">
        <v>75</v>
      </c>
      <c r="V69" t="s">
        <v>3986</v>
      </c>
      <c r="W69">
        <v>2</v>
      </c>
      <c r="X69" t="s">
        <v>3986</v>
      </c>
      <c r="Y69" t="s">
        <v>843</v>
      </c>
      <c r="Z69">
        <v>0</v>
      </c>
      <c r="AA69" t="s">
        <v>2493</v>
      </c>
      <c r="AB69" t="s">
        <v>3986</v>
      </c>
      <c r="AC69" t="s">
        <v>3986</v>
      </c>
      <c r="AD69" t="s">
        <v>3986</v>
      </c>
    </row>
    <row r="70" spans="1:30" x14ac:dyDescent="0.25">
      <c r="A70" t="s">
        <v>1680</v>
      </c>
      <c r="B70">
        <v>74</v>
      </c>
      <c r="C70" t="s">
        <v>3310</v>
      </c>
      <c r="D70" t="b">
        <v>1</v>
      </c>
      <c r="E70" t="b">
        <v>0</v>
      </c>
      <c r="F70" t="s">
        <v>3986</v>
      </c>
      <c r="G70" t="s">
        <v>3986</v>
      </c>
      <c r="H70" t="s">
        <v>3986</v>
      </c>
      <c r="I70" t="s">
        <v>3986</v>
      </c>
      <c r="J70" t="s">
        <v>3986</v>
      </c>
      <c r="K70" t="s">
        <v>3308</v>
      </c>
      <c r="L70" t="s">
        <v>3309</v>
      </c>
      <c r="M70" t="s">
        <v>3766</v>
      </c>
      <c r="N70">
        <v>7</v>
      </c>
      <c r="O70" t="b">
        <v>0</v>
      </c>
      <c r="P70" t="b">
        <v>1</v>
      </c>
      <c r="Q70" t="b">
        <v>0</v>
      </c>
      <c r="R70" t="b">
        <v>1</v>
      </c>
      <c r="T70" t="s">
        <v>3671</v>
      </c>
      <c r="U70">
        <v>76</v>
      </c>
      <c r="V70" t="s">
        <v>3986</v>
      </c>
      <c r="W70">
        <v>2</v>
      </c>
      <c r="X70" t="s">
        <v>3986</v>
      </c>
      <c r="Y70" t="s">
        <v>1736</v>
      </c>
      <c r="Z70">
        <v>0</v>
      </c>
      <c r="AA70" t="s">
        <v>2493</v>
      </c>
      <c r="AB70" t="s">
        <v>3986</v>
      </c>
      <c r="AC70" t="s">
        <v>3986</v>
      </c>
      <c r="AD70" t="s">
        <v>3986</v>
      </c>
    </row>
    <row r="71" spans="1:30" x14ac:dyDescent="0.25">
      <c r="A71" t="s">
        <v>1681</v>
      </c>
      <c r="B71">
        <v>75</v>
      </c>
      <c r="C71" t="s">
        <v>3310</v>
      </c>
      <c r="D71" t="b">
        <v>1</v>
      </c>
      <c r="E71" t="b">
        <v>0</v>
      </c>
      <c r="F71" t="s">
        <v>3986</v>
      </c>
      <c r="G71" t="s">
        <v>3986</v>
      </c>
      <c r="H71" t="s">
        <v>3986</v>
      </c>
      <c r="I71" t="s">
        <v>3986</v>
      </c>
      <c r="J71" t="s">
        <v>3986</v>
      </c>
      <c r="K71" t="s">
        <v>3308</v>
      </c>
      <c r="L71" t="s">
        <v>3309</v>
      </c>
      <c r="M71" t="s">
        <v>3766</v>
      </c>
      <c r="N71">
        <v>7</v>
      </c>
      <c r="O71" t="b">
        <v>0</v>
      </c>
      <c r="P71" t="b">
        <v>1</v>
      </c>
      <c r="Q71" t="b">
        <v>0</v>
      </c>
      <c r="R71" t="b">
        <v>1</v>
      </c>
      <c r="T71" t="s">
        <v>3671</v>
      </c>
      <c r="U71">
        <v>77</v>
      </c>
      <c r="V71" t="s">
        <v>3986</v>
      </c>
      <c r="W71">
        <v>2</v>
      </c>
      <c r="X71" t="s">
        <v>3986</v>
      </c>
      <c r="Y71" t="s">
        <v>1737</v>
      </c>
      <c r="Z71">
        <v>0</v>
      </c>
      <c r="AA71" t="s">
        <v>2493</v>
      </c>
      <c r="AB71" t="s">
        <v>3986</v>
      </c>
      <c r="AC71" t="s">
        <v>3986</v>
      </c>
      <c r="AD71" t="s">
        <v>3986</v>
      </c>
    </row>
    <row r="72" spans="1:30" x14ac:dyDescent="0.25">
      <c r="A72" t="s">
        <v>1683</v>
      </c>
      <c r="B72">
        <v>76</v>
      </c>
      <c r="C72" t="s">
        <v>3310</v>
      </c>
      <c r="D72" t="b">
        <v>1</v>
      </c>
      <c r="E72" t="b">
        <v>0</v>
      </c>
      <c r="F72" t="s">
        <v>3986</v>
      </c>
      <c r="G72" t="s">
        <v>3986</v>
      </c>
      <c r="H72" t="s">
        <v>3986</v>
      </c>
      <c r="I72" t="s">
        <v>3986</v>
      </c>
      <c r="J72" t="s">
        <v>3986</v>
      </c>
      <c r="K72" t="s">
        <v>3308</v>
      </c>
      <c r="L72" t="s">
        <v>3309</v>
      </c>
      <c r="M72" t="s">
        <v>3766</v>
      </c>
      <c r="N72">
        <v>7</v>
      </c>
      <c r="O72" t="b">
        <v>0</v>
      </c>
      <c r="P72" t="b">
        <v>1</v>
      </c>
      <c r="Q72" t="b">
        <v>0</v>
      </c>
      <c r="R72" t="b">
        <v>1</v>
      </c>
      <c r="T72" t="s">
        <v>3671</v>
      </c>
      <c r="U72">
        <v>78</v>
      </c>
      <c r="V72" t="s">
        <v>3986</v>
      </c>
      <c r="W72">
        <v>2</v>
      </c>
      <c r="X72" t="s">
        <v>3986</v>
      </c>
      <c r="Y72" t="s">
        <v>844</v>
      </c>
      <c r="Z72">
        <v>0</v>
      </c>
      <c r="AA72" t="s">
        <v>2493</v>
      </c>
      <c r="AB72" t="s">
        <v>3986</v>
      </c>
      <c r="AC72" t="s">
        <v>3986</v>
      </c>
      <c r="AD72" t="s">
        <v>3986</v>
      </c>
    </row>
    <row r="73" spans="1:30" x14ac:dyDescent="0.25">
      <c r="A73" t="s">
        <v>1684</v>
      </c>
      <c r="B73">
        <v>77</v>
      </c>
      <c r="C73" t="s">
        <v>3310</v>
      </c>
      <c r="D73" t="b">
        <v>1</v>
      </c>
      <c r="E73" t="b">
        <v>0</v>
      </c>
      <c r="F73" t="s">
        <v>3986</v>
      </c>
      <c r="G73" t="s">
        <v>3986</v>
      </c>
      <c r="H73" t="s">
        <v>3986</v>
      </c>
      <c r="I73" t="s">
        <v>3986</v>
      </c>
      <c r="J73" t="s">
        <v>3986</v>
      </c>
      <c r="K73" t="s">
        <v>3308</v>
      </c>
      <c r="L73" t="s">
        <v>3309</v>
      </c>
      <c r="M73" t="s">
        <v>3766</v>
      </c>
      <c r="N73">
        <v>7</v>
      </c>
      <c r="O73" t="b">
        <v>0</v>
      </c>
      <c r="P73" t="b">
        <v>1</v>
      </c>
      <c r="Q73" t="b">
        <v>0</v>
      </c>
      <c r="R73" t="b">
        <v>1</v>
      </c>
      <c r="T73" t="s">
        <v>3671</v>
      </c>
      <c r="U73">
        <v>79</v>
      </c>
      <c r="V73" t="s">
        <v>3986</v>
      </c>
      <c r="W73">
        <v>2</v>
      </c>
      <c r="X73" t="s">
        <v>3986</v>
      </c>
      <c r="Y73" t="s">
        <v>2370</v>
      </c>
      <c r="Z73">
        <v>0</v>
      </c>
      <c r="AA73" t="s">
        <v>2493</v>
      </c>
      <c r="AB73" t="s">
        <v>3986</v>
      </c>
      <c r="AC73" t="s">
        <v>3986</v>
      </c>
      <c r="AD73" t="s">
        <v>3986</v>
      </c>
    </row>
    <row r="74" spans="1:30" x14ac:dyDescent="0.25">
      <c r="A74" t="s">
        <v>1685</v>
      </c>
      <c r="B74">
        <v>78</v>
      </c>
      <c r="C74" t="s">
        <v>3310</v>
      </c>
      <c r="D74" t="b">
        <v>1</v>
      </c>
      <c r="E74" t="b">
        <v>0</v>
      </c>
      <c r="F74" t="s">
        <v>3986</v>
      </c>
      <c r="G74" t="s">
        <v>3986</v>
      </c>
      <c r="H74" t="s">
        <v>3986</v>
      </c>
      <c r="I74" t="s">
        <v>3986</v>
      </c>
      <c r="J74" t="s">
        <v>3986</v>
      </c>
      <c r="K74" t="s">
        <v>3308</v>
      </c>
      <c r="L74" t="s">
        <v>3309</v>
      </c>
      <c r="M74" t="s">
        <v>3766</v>
      </c>
      <c r="N74">
        <v>7</v>
      </c>
      <c r="O74" t="b">
        <v>0</v>
      </c>
      <c r="P74" t="b">
        <v>1</v>
      </c>
      <c r="Q74" t="b">
        <v>0</v>
      </c>
      <c r="R74" t="b">
        <v>1</v>
      </c>
      <c r="T74" t="s">
        <v>3671</v>
      </c>
      <c r="U74">
        <v>80</v>
      </c>
      <c r="V74" t="s">
        <v>3986</v>
      </c>
      <c r="W74">
        <v>2</v>
      </c>
      <c r="X74" t="s">
        <v>3986</v>
      </c>
      <c r="Y74" t="s">
        <v>2371</v>
      </c>
      <c r="Z74">
        <v>0</v>
      </c>
      <c r="AA74" t="s">
        <v>2493</v>
      </c>
      <c r="AB74" t="s">
        <v>3986</v>
      </c>
      <c r="AC74" t="s">
        <v>3986</v>
      </c>
      <c r="AD74" t="s">
        <v>3986</v>
      </c>
    </row>
    <row r="75" spans="1:30" x14ac:dyDescent="0.25">
      <c r="A75" t="s">
        <v>3311</v>
      </c>
      <c r="B75">
        <v>79</v>
      </c>
      <c r="C75" t="s">
        <v>3310</v>
      </c>
      <c r="D75" t="b">
        <v>1</v>
      </c>
      <c r="E75" t="b">
        <v>0</v>
      </c>
      <c r="F75" t="s">
        <v>3986</v>
      </c>
      <c r="G75" t="s">
        <v>3986</v>
      </c>
      <c r="H75" t="s">
        <v>3986</v>
      </c>
      <c r="I75" t="s">
        <v>3986</v>
      </c>
      <c r="J75" t="s">
        <v>3986</v>
      </c>
      <c r="K75" t="s">
        <v>3308</v>
      </c>
      <c r="L75" t="s">
        <v>3309</v>
      </c>
      <c r="M75" t="s">
        <v>3766</v>
      </c>
      <c r="N75">
        <v>7</v>
      </c>
      <c r="O75" t="b">
        <v>0</v>
      </c>
      <c r="P75" t="b">
        <v>1</v>
      </c>
      <c r="Q75" t="b">
        <v>0</v>
      </c>
      <c r="R75" t="b">
        <v>1</v>
      </c>
      <c r="T75" t="s">
        <v>3671</v>
      </c>
      <c r="U75">
        <v>81</v>
      </c>
      <c r="V75" t="s">
        <v>3986</v>
      </c>
      <c r="W75">
        <v>2</v>
      </c>
      <c r="X75" t="s">
        <v>3986</v>
      </c>
      <c r="Y75" t="s">
        <v>1270</v>
      </c>
      <c r="Z75">
        <v>0</v>
      </c>
      <c r="AA75" t="s">
        <v>2493</v>
      </c>
      <c r="AB75" t="s">
        <v>3986</v>
      </c>
      <c r="AC75" t="s">
        <v>3986</v>
      </c>
      <c r="AD75" t="s">
        <v>3986</v>
      </c>
    </row>
    <row r="76" spans="1:30" x14ac:dyDescent="0.25">
      <c r="A76" t="s">
        <v>3312</v>
      </c>
      <c r="B76">
        <v>80</v>
      </c>
      <c r="C76" t="s">
        <v>3310</v>
      </c>
      <c r="D76" t="b">
        <v>1</v>
      </c>
      <c r="E76" t="b">
        <v>0</v>
      </c>
      <c r="F76" t="s">
        <v>3986</v>
      </c>
      <c r="G76" t="s">
        <v>3986</v>
      </c>
      <c r="H76" t="s">
        <v>3986</v>
      </c>
      <c r="I76" t="s">
        <v>3986</v>
      </c>
      <c r="J76" t="s">
        <v>3986</v>
      </c>
      <c r="K76" t="s">
        <v>3308</v>
      </c>
      <c r="L76" t="s">
        <v>3309</v>
      </c>
      <c r="M76" t="s">
        <v>3766</v>
      </c>
      <c r="N76">
        <v>7</v>
      </c>
      <c r="O76" t="b">
        <v>0</v>
      </c>
      <c r="P76" t="b">
        <v>1</v>
      </c>
      <c r="Q76" t="b">
        <v>0</v>
      </c>
      <c r="R76" t="b">
        <v>1</v>
      </c>
      <c r="T76" t="s">
        <v>3671</v>
      </c>
      <c r="U76">
        <v>82</v>
      </c>
      <c r="V76" t="s">
        <v>3986</v>
      </c>
      <c r="W76">
        <v>2</v>
      </c>
      <c r="X76" t="s">
        <v>3986</v>
      </c>
      <c r="Y76" t="s">
        <v>845</v>
      </c>
      <c r="Z76">
        <v>0</v>
      </c>
      <c r="AA76" t="s">
        <v>2493</v>
      </c>
      <c r="AB76" t="s">
        <v>3986</v>
      </c>
      <c r="AC76" t="s">
        <v>3986</v>
      </c>
      <c r="AD76" t="s">
        <v>3986</v>
      </c>
    </row>
    <row r="77" spans="1:30" x14ac:dyDescent="0.25">
      <c r="A77" t="s">
        <v>3313</v>
      </c>
      <c r="B77">
        <v>81</v>
      </c>
      <c r="C77" t="s">
        <v>3310</v>
      </c>
      <c r="D77" t="b">
        <v>1</v>
      </c>
      <c r="E77" t="b">
        <v>0</v>
      </c>
      <c r="F77" t="s">
        <v>3986</v>
      </c>
      <c r="G77" t="s">
        <v>3986</v>
      </c>
      <c r="H77" t="s">
        <v>3986</v>
      </c>
      <c r="I77" t="s">
        <v>3986</v>
      </c>
      <c r="J77" t="s">
        <v>3986</v>
      </c>
      <c r="K77" t="s">
        <v>3308</v>
      </c>
      <c r="L77" t="s">
        <v>3309</v>
      </c>
      <c r="M77" t="s">
        <v>3766</v>
      </c>
      <c r="N77">
        <v>7</v>
      </c>
      <c r="O77" t="b">
        <v>0</v>
      </c>
      <c r="P77" t="b">
        <v>1</v>
      </c>
      <c r="Q77" t="b">
        <v>0</v>
      </c>
      <c r="R77" t="b">
        <v>1</v>
      </c>
      <c r="T77" t="s">
        <v>3671</v>
      </c>
      <c r="U77">
        <v>83</v>
      </c>
      <c r="V77" t="s">
        <v>3986</v>
      </c>
      <c r="W77">
        <v>2</v>
      </c>
      <c r="X77" t="s">
        <v>3986</v>
      </c>
      <c r="Y77" t="s">
        <v>4886</v>
      </c>
      <c r="Z77">
        <v>0</v>
      </c>
      <c r="AA77" t="s">
        <v>2493</v>
      </c>
      <c r="AB77" t="s">
        <v>3986</v>
      </c>
      <c r="AC77" t="s">
        <v>3986</v>
      </c>
      <c r="AD77" t="s">
        <v>3986</v>
      </c>
    </row>
    <row r="78" spans="1:30" x14ac:dyDescent="0.25">
      <c r="A78" t="s">
        <v>3314</v>
      </c>
      <c r="B78">
        <v>82</v>
      </c>
      <c r="C78" t="s">
        <v>3310</v>
      </c>
      <c r="D78" t="b">
        <v>1</v>
      </c>
      <c r="E78" t="b">
        <v>0</v>
      </c>
      <c r="F78" t="s">
        <v>3986</v>
      </c>
      <c r="G78" t="s">
        <v>3986</v>
      </c>
      <c r="H78" t="s">
        <v>3986</v>
      </c>
      <c r="I78" t="s">
        <v>3986</v>
      </c>
      <c r="J78" t="s">
        <v>3986</v>
      </c>
      <c r="K78" t="s">
        <v>3308</v>
      </c>
      <c r="L78" t="s">
        <v>3309</v>
      </c>
      <c r="M78" t="s">
        <v>3766</v>
      </c>
      <c r="N78">
        <v>7</v>
      </c>
      <c r="O78" t="b">
        <v>0</v>
      </c>
      <c r="P78" t="b">
        <v>1</v>
      </c>
      <c r="Q78" t="b">
        <v>0</v>
      </c>
      <c r="R78" t="b">
        <v>1</v>
      </c>
      <c r="T78" t="s">
        <v>3671</v>
      </c>
      <c r="U78">
        <v>84</v>
      </c>
      <c r="V78" t="s">
        <v>3986</v>
      </c>
      <c r="W78">
        <v>2</v>
      </c>
      <c r="X78" t="s">
        <v>3986</v>
      </c>
      <c r="Y78" t="s">
        <v>2372</v>
      </c>
      <c r="Z78">
        <v>0</v>
      </c>
      <c r="AA78" t="s">
        <v>2493</v>
      </c>
      <c r="AB78" t="s">
        <v>3986</v>
      </c>
      <c r="AC78" t="s">
        <v>3986</v>
      </c>
      <c r="AD78" t="s">
        <v>3986</v>
      </c>
    </row>
    <row r="79" spans="1:30" x14ac:dyDescent="0.25">
      <c r="A79" t="s">
        <v>3315</v>
      </c>
      <c r="B79">
        <v>83</v>
      </c>
      <c r="C79" t="s">
        <v>3310</v>
      </c>
      <c r="D79" t="b">
        <v>1</v>
      </c>
      <c r="E79" t="b">
        <v>0</v>
      </c>
      <c r="F79" t="s">
        <v>3986</v>
      </c>
      <c r="G79" t="s">
        <v>3986</v>
      </c>
      <c r="H79" t="s">
        <v>3986</v>
      </c>
      <c r="I79" t="s">
        <v>3986</v>
      </c>
      <c r="J79" t="s">
        <v>3986</v>
      </c>
      <c r="K79" t="s">
        <v>3308</v>
      </c>
      <c r="L79" t="s">
        <v>3309</v>
      </c>
      <c r="M79" t="s">
        <v>3766</v>
      </c>
      <c r="N79">
        <v>7</v>
      </c>
      <c r="O79" t="b">
        <v>0</v>
      </c>
      <c r="P79" t="b">
        <v>1</v>
      </c>
      <c r="Q79" t="b">
        <v>0</v>
      </c>
      <c r="R79" t="b">
        <v>1</v>
      </c>
      <c r="T79" t="s">
        <v>3671</v>
      </c>
      <c r="U79">
        <v>85</v>
      </c>
      <c r="V79" t="s">
        <v>3986</v>
      </c>
      <c r="W79">
        <v>2</v>
      </c>
      <c r="X79" t="s">
        <v>3986</v>
      </c>
      <c r="Y79" t="s">
        <v>2373</v>
      </c>
      <c r="Z79">
        <v>0</v>
      </c>
      <c r="AA79" t="s">
        <v>2493</v>
      </c>
      <c r="AB79" t="s">
        <v>3986</v>
      </c>
      <c r="AC79" t="s">
        <v>3986</v>
      </c>
      <c r="AD79" t="s">
        <v>3986</v>
      </c>
    </row>
    <row r="80" spans="1:30" x14ac:dyDescent="0.25">
      <c r="A80" t="s">
        <v>3316</v>
      </c>
      <c r="B80">
        <v>84</v>
      </c>
      <c r="C80" t="s">
        <v>3310</v>
      </c>
      <c r="D80" t="b">
        <v>1</v>
      </c>
      <c r="E80" t="b">
        <v>0</v>
      </c>
      <c r="F80" t="s">
        <v>3986</v>
      </c>
      <c r="G80" t="s">
        <v>3986</v>
      </c>
      <c r="H80" t="s">
        <v>3986</v>
      </c>
      <c r="I80" t="s">
        <v>3986</v>
      </c>
      <c r="J80" t="s">
        <v>3986</v>
      </c>
      <c r="K80" t="s">
        <v>3308</v>
      </c>
      <c r="L80" t="s">
        <v>3309</v>
      </c>
      <c r="M80" t="s">
        <v>3766</v>
      </c>
      <c r="N80">
        <v>7</v>
      </c>
      <c r="O80" t="b">
        <v>0</v>
      </c>
      <c r="P80" t="b">
        <v>1</v>
      </c>
      <c r="Q80" t="b">
        <v>0</v>
      </c>
      <c r="R80" t="b">
        <v>1</v>
      </c>
      <c r="T80" t="s">
        <v>3671</v>
      </c>
      <c r="U80">
        <v>86</v>
      </c>
      <c r="V80" t="s">
        <v>3986</v>
      </c>
      <c r="W80">
        <v>2</v>
      </c>
      <c r="X80" t="s">
        <v>3986</v>
      </c>
      <c r="Y80" t="s">
        <v>2374</v>
      </c>
      <c r="Z80">
        <v>0</v>
      </c>
      <c r="AA80" t="s">
        <v>2493</v>
      </c>
      <c r="AB80" t="s">
        <v>3986</v>
      </c>
      <c r="AC80" t="s">
        <v>3986</v>
      </c>
      <c r="AD80" t="s">
        <v>3986</v>
      </c>
    </row>
    <row r="81" spans="1:30" x14ac:dyDescent="0.25">
      <c r="A81" t="s">
        <v>3317</v>
      </c>
      <c r="B81">
        <v>85</v>
      </c>
      <c r="C81" t="s">
        <v>3310</v>
      </c>
      <c r="D81" t="b">
        <v>1</v>
      </c>
      <c r="E81" t="b">
        <v>0</v>
      </c>
      <c r="F81" t="s">
        <v>3986</v>
      </c>
      <c r="G81" t="s">
        <v>3986</v>
      </c>
      <c r="H81" t="s">
        <v>3986</v>
      </c>
      <c r="I81" t="s">
        <v>3986</v>
      </c>
      <c r="J81" t="s">
        <v>3986</v>
      </c>
      <c r="K81" t="s">
        <v>3308</v>
      </c>
      <c r="L81" t="s">
        <v>3309</v>
      </c>
      <c r="M81" t="s">
        <v>3766</v>
      </c>
      <c r="N81">
        <v>7</v>
      </c>
      <c r="O81" t="b">
        <v>0</v>
      </c>
      <c r="P81" t="b">
        <v>1</v>
      </c>
      <c r="Q81" t="b">
        <v>0</v>
      </c>
      <c r="R81" t="b">
        <v>1</v>
      </c>
      <c r="T81" t="s">
        <v>3671</v>
      </c>
      <c r="U81">
        <v>87</v>
      </c>
      <c r="V81" t="s">
        <v>3986</v>
      </c>
      <c r="W81">
        <v>2</v>
      </c>
      <c r="X81" t="s">
        <v>3986</v>
      </c>
      <c r="Y81" t="s">
        <v>2375</v>
      </c>
      <c r="Z81">
        <v>0</v>
      </c>
      <c r="AA81" t="s">
        <v>2493</v>
      </c>
      <c r="AB81" t="s">
        <v>3986</v>
      </c>
      <c r="AC81" t="s">
        <v>3986</v>
      </c>
      <c r="AD81" t="s">
        <v>3986</v>
      </c>
    </row>
    <row r="82" spans="1:30" x14ac:dyDescent="0.25">
      <c r="A82" t="s">
        <v>3318</v>
      </c>
      <c r="B82">
        <v>86</v>
      </c>
      <c r="C82" t="s">
        <v>3310</v>
      </c>
      <c r="D82" t="b">
        <v>1</v>
      </c>
      <c r="E82" t="b">
        <v>0</v>
      </c>
      <c r="F82" t="s">
        <v>3986</v>
      </c>
      <c r="G82" t="s">
        <v>3986</v>
      </c>
      <c r="H82" t="s">
        <v>3986</v>
      </c>
      <c r="I82" t="s">
        <v>3986</v>
      </c>
      <c r="J82" t="s">
        <v>3986</v>
      </c>
      <c r="K82" t="s">
        <v>3308</v>
      </c>
      <c r="L82" t="s">
        <v>3309</v>
      </c>
      <c r="M82" t="s">
        <v>3766</v>
      </c>
      <c r="N82">
        <v>7</v>
      </c>
      <c r="O82" t="b">
        <v>0</v>
      </c>
      <c r="P82" t="b">
        <v>1</v>
      </c>
      <c r="Q82" t="b">
        <v>0</v>
      </c>
      <c r="R82" t="b">
        <v>1</v>
      </c>
      <c r="T82" t="s">
        <v>3671</v>
      </c>
      <c r="U82">
        <v>88</v>
      </c>
      <c r="V82" t="s">
        <v>3986</v>
      </c>
      <c r="W82">
        <v>2</v>
      </c>
      <c r="X82" t="s">
        <v>3986</v>
      </c>
      <c r="Y82" t="s">
        <v>2376</v>
      </c>
      <c r="Z82">
        <v>0</v>
      </c>
      <c r="AA82" t="s">
        <v>2493</v>
      </c>
      <c r="AB82" t="s">
        <v>3986</v>
      </c>
      <c r="AC82" t="s">
        <v>3986</v>
      </c>
      <c r="AD82" t="s">
        <v>3986</v>
      </c>
    </row>
    <row r="83" spans="1:30" x14ac:dyDescent="0.25">
      <c r="A83" t="s">
        <v>3319</v>
      </c>
      <c r="B83">
        <v>87</v>
      </c>
      <c r="C83" t="s">
        <v>3310</v>
      </c>
      <c r="D83" t="b">
        <v>1</v>
      </c>
      <c r="E83" t="b">
        <v>0</v>
      </c>
      <c r="F83" t="s">
        <v>3986</v>
      </c>
      <c r="G83" t="s">
        <v>3986</v>
      </c>
      <c r="H83" t="s">
        <v>3986</v>
      </c>
      <c r="I83" t="s">
        <v>3986</v>
      </c>
      <c r="J83" t="s">
        <v>3986</v>
      </c>
      <c r="K83" t="s">
        <v>3308</v>
      </c>
      <c r="L83" t="s">
        <v>3309</v>
      </c>
      <c r="M83" t="s">
        <v>3766</v>
      </c>
      <c r="N83">
        <v>7</v>
      </c>
      <c r="O83" t="b">
        <v>0</v>
      </c>
      <c r="P83" t="b">
        <v>1</v>
      </c>
      <c r="Q83" t="b">
        <v>0</v>
      </c>
      <c r="R83" t="b">
        <v>1</v>
      </c>
      <c r="T83" t="s">
        <v>3671</v>
      </c>
      <c r="U83">
        <v>89</v>
      </c>
      <c r="V83" t="s">
        <v>3986</v>
      </c>
      <c r="W83">
        <v>2</v>
      </c>
      <c r="X83" t="s">
        <v>3986</v>
      </c>
      <c r="Y83" t="s">
        <v>2377</v>
      </c>
      <c r="Z83">
        <v>0</v>
      </c>
      <c r="AA83" t="s">
        <v>2493</v>
      </c>
      <c r="AB83" t="s">
        <v>3986</v>
      </c>
      <c r="AC83" t="s">
        <v>3986</v>
      </c>
      <c r="AD83" t="s">
        <v>3986</v>
      </c>
    </row>
    <row r="84" spans="1:30" x14ac:dyDescent="0.25">
      <c r="A84" t="s">
        <v>3320</v>
      </c>
      <c r="B84">
        <v>88</v>
      </c>
      <c r="C84" t="s">
        <v>3310</v>
      </c>
      <c r="D84" t="b">
        <v>1</v>
      </c>
      <c r="E84" t="b">
        <v>0</v>
      </c>
      <c r="F84" t="s">
        <v>3986</v>
      </c>
      <c r="G84" t="s">
        <v>3986</v>
      </c>
      <c r="H84" t="s">
        <v>3986</v>
      </c>
      <c r="I84" t="s">
        <v>3986</v>
      </c>
      <c r="J84" t="s">
        <v>3986</v>
      </c>
      <c r="K84" t="s">
        <v>3308</v>
      </c>
      <c r="L84" t="s">
        <v>3309</v>
      </c>
      <c r="M84" t="s">
        <v>3766</v>
      </c>
      <c r="N84">
        <v>7</v>
      </c>
      <c r="O84" t="b">
        <v>0</v>
      </c>
      <c r="P84" t="b">
        <v>1</v>
      </c>
      <c r="Q84" t="b">
        <v>0</v>
      </c>
      <c r="R84" t="b">
        <v>1</v>
      </c>
      <c r="T84" t="s">
        <v>3671</v>
      </c>
      <c r="U84">
        <v>90</v>
      </c>
      <c r="V84" t="s">
        <v>3986</v>
      </c>
      <c r="W84">
        <v>2</v>
      </c>
      <c r="X84" t="s">
        <v>3986</v>
      </c>
      <c r="Y84" t="s">
        <v>2378</v>
      </c>
      <c r="Z84">
        <v>0</v>
      </c>
      <c r="AA84" t="s">
        <v>2493</v>
      </c>
      <c r="AB84" t="s">
        <v>3986</v>
      </c>
      <c r="AC84" t="s">
        <v>3986</v>
      </c>
      <c r="AD84" t="s">
        <v>3986</v>
      </c>
    </row>
    <row r="85" spans="1:30" x14ac:dyDescent="0.25">
      <c r="A85" t="s">
        <v>3321</v>
      </c>
      <c r="B85">
        <v>89</v>
      </c>
      <c r="C85" t="s">
        <v>3310</v>
      </c>
      <c r="D85" t="b">
        <v>1</v>
      </c>
      <c r="E85" t="b">
        <v>0</v>
      </c>
      <c r="F85" t="s">
        <v>3986</v>
      </c>
      <c r="G85" t="s">
        <v>3986</v>
      </c>
      <c r="H85" t="s">
        <v>3986</v>
      </c>
      <c r="I85" t="s">
        <v>3986</v>
      </c>
      <c r="J85" t="s">
        <v>3986</v>
      </c>
      <c r="K85" t="s">
        <v>3308</v>
      </c>
      <c r="L85" t="s">
        <v>3309</v>
      </c>
      <c r="M85" t="s">
        <v>3766</v>
      </c>
      <c r="N85">
        <v>7</v>
      </c>
      <c r="O85" t="b">
        <v>0</v>
      </c>
      <c r="P85" t="b">
        <v>1</v>
      </c>
      <c r="Q85" t="b">
        <v>0</v>
      </c>
      <c r="R85" t="b">
        <v>1</v>
      </c>
      <c r="T85" t="s">
        <v>3671</v>
      </c>
      <c r="U85">
        <v>92</v>
      </c>
      <c r="V85" t="s">
        <v>3986</v>
      </c>
      <c r="W85">
        <v>2</v>
      </c>
      <c r="X85" t="s">
        <v>3986</v>
      </c>
      <c r="Y85" t="s">
        <v>4197</v>
      </c>
      <c r="Z85">
        <v>0</v>
      </c>
      <c r="AA85" t="s">
        <v>2493</v>
      </c>
      <c r="AB85" t="s">
        <v>3986</v>
      </c>
      <c r="AC85" t="s">
        <v>3986</v>
      </c>
      <c r="AD85" t="s">
        <v>3986</v>
      </c>
    </row>
    <row r="86" spans="1:30" x14ac:dyDescent="0.25">
      <c r="A86" t="s">
        <v>3322</v>
      </c>
      <c r="B86">
        <v>90</v>
      </c>
      <c r="C86" t="s">
        <v>3310</v>
      </c>
      <c r="D86" t="b">
        <v>1</v>
      </c>
      <c r="E86" t="b">
        <v>0</v>
      </c>
      <c r="F86" t="s">
        <v>3986</v>
      </c>
      <c r="G86" t="s">
        <v>3986</v>
      </c>
      <c r="H86" t="s">
        <v>3986</v>
      </c>
      <c r="I86" t="s">
        <v>3986</v>
      </c>
      <c r="J86" t="s">
        <v>3986</v>
      </c>
      <c r="K86" t="s">
        <v>3308</v>
      </c>
      <c r="L86" t="s">
        <v>3309</v>
      </c>
      <c r="M86" t="s">
        <v>3766</v>
      </c>
      <c r="N86">
        <v>7</v>
      </c>
      <c r="O86" t="b">
        <v>0</v>
      </c>
      <c r="P86" t="b">
        <v>1</v>
      </c>
      <c r="Q86" t="b">
        <v>0</v>
      </c>
      <c r="R86" t="b">
        <v>1</v>
      </c>
      <c r="T86" t="s">
        <v>3671</v>
      </c>
      <c r="U86">
        <v>94</v>
      </c>
      <c r="V86" t="s">
        <v>3986</v>
      </c>
      <c r="W86">
        <v>2</v>
      </c>
      <c r="X86" t="s">
        <v>3986</v>
      </c>
      <c r="Y86" t="s">
        <v>2379</v>
      </c>
      <c r="Z86">
        <v>0</v>
      </c>
      <c r="AA86" t="s">
        <v>2493</v>
      </c>
      <c r="AB86" t="s">
        <v>3986</v>
      </c>
      <c r="AC86" t="s">
        <v>3986</v>
      </c>
      <c r="AD86" t="s">
        <v>3986</v>
      </c>
    </row>
    <row r="87" spans="1:30" x14ac:dyDescent="0.25">
      <c r="A87" t="s">
        <v>3323</v>
      </c>
      <c r="B87">
        <v>91</v>
      </c>
      <c r="C87" t="s">
        <v>3310</v>
      </c>
      <c r="D87" t="b">
        <v>1</v>
      </c>
      <c r="E87" t="b">
        <v>0</v>
      </c>
      <c r="F87" t="s">
        <v>3986</v>
      </c>
      <c r="G87" t="s">
        <v>3986</v>
      </c>
      <c r="H87" t="s">
        <v>3986</v>
      </c>
      <c r="I87" t="s">
        <v>3986</v>
      </c>
      <c r="J87" t="s">
        <v>3986</v>
      </c>
      <c r="K87" t="s">
        <v>3308</v>
      </c>
      <c r="L87" t="s">
        <v>3309</v>
      </c>
      <c r="M87" t="s">
        <v>3766</v>
      </c>
      <c r="N87">
        <v>7</v>
      </c>
      <c r="O87" t="b">
        <v>0</v>
      </c>
      <c r="P87" t="b">
        <v>1</v>
      </c>
      <c r="Q87" t="b">
        <v>0</v>
      </c>
      <c r="R87" t="b">
        <v>1</v>
      </c>
      <c r="T87" t="s">
        <v>3671</v>
      </c>
      <c r="U87">
        <v>95</v>
      </c>
      <c r="V87" t="s">
        <v>3986</v>
      </c>
      <c r="W87">
        <v>2</v>
      </c>
      <c r="X87" t="s">
        <v>3986</v>
      </c>
      <c r="Y87" t="s">
        <v>4925</v>
      </c>
      <c r="Z87">
        <v>0</v>
      </c>
      <c r="AA87" t="s">
        <v>2493</v>
      </c>
      <c r="AB87" t="s">
        <v>3986</v>
      </c>
      <c r="AC87" t="s">
        <v>3986</v>
      </c>
      <c r="AD87" t="s">
        <v>3986</v>
      </c>
    </row>
    <row r="88" spans="1:30" x14ac:dyDescent="0.25">
      <c r="A88" t="s">
        <v>3324</v>
      </c>
      <c r="B88">
        <v>92</v>
      </c>
      <c r="C88" t="s">
        <v>3310</v>
      </c>
      <c r="D88" t="b">
        <v>1</v>
      </c>
      <c r="E88" t="b">
        <v>0</v>
      </c>
      <c r="F88" t="s">
        <v>3986</v>
      </c>
      <c r="G88" t="s">
        <v>3986</v>
      </c>
      <c r="H88" t="s">
        <v>3986</v>
      </c>
      <c r="I88" t="s">
        <v>3986</v>
      </c>
      <c r="J88" t="s">
        <v>3986</v>
      </c>
      <c r="K88" t="s">
        <v>3308</v>
      </c>
      <c r="L88" t="s">
        <v>3309</v>
      </c>
      <c r="M88" t="s">
        <v>3766</v>
      </c>
      <c r="N88">
        <v>7</v>
      </c>
      <c r="O88" t="b">
        <v>0</v>
      </c>
      <c r="P88" t="b">
        <v>1</v>
      </c>
      <c r="Q88" t="b">
        <v>0</v>
      </c>
      <c r="R88" t="b">
        <v>1</v>
      </c>
      <c r="T88" t="s">
        <v>3671</v>
      </c>
      <c r="U88">
        <v>96</v>
      </c>
      <c r="V88" t="s">
        <v>3986</v>
      </c>
      <c r="W88">
        <v>2</v>
      </c>
      <c r="X88" t="s">
        <v>3986</v>
      </c>
      <c r="Y88" t="s">
        <v>2380</v>
      </c>
      <c r="Z88">
        <v>0</v>
      </c>
      <c r="AA88" t="s">
        <v>2493</v>
      </c>
      <c r="AB88" t="s">
        <v>3986</v>
      </c>
      <c r="AC88" t="s">
        <v>3986</v>
      </c>
      <c r="AD88" t="s">
        <v>3986</v>
      </c>
    </row>
    <row r="89" spans="1:30" x14ac:dyDescent="0.25">
      <c r="A89" t="s">
        <v>3325</v>
      </c>
      <c r="B89">
        <v>93</v>
      </c>
      <c r="C89" t="s">
        <v>3310</v>
      </c>
      <c r="D89" t="b">
        <v>1</v>
      </c>
      <c r="E89" t="b">
        <v>0</v>
      </c>
      <c r="F89" t="s">
        <v>3986</v>
      </c>
      <c r="G89" t="s">
        <v>3986</v>
      </c>
      <c r="H89" t="s">
        <v>3986</v>
      </c>
      <c r="I89" t="s">
        <v>3986</v>
      </c>
      <c r="J89" t="s">
        <v>3986</v>
      </c>
      <c r="K89" t="s">
        <v>3308</v>
      </c>
      <c r="L89" t="s">
        <v>3309</v>
      </c>
      <c r="M89" t="s">
        <v>3766</v>
      </c>
      <c r="N89">
        <v>7</v>
      </c>
      <c r="O89" t="b">
        <v>0</v>
      </c>
      <c r="P89" t="b">
        <v>1</v>
      </c>
      <c r="Q89" t="b">
        <v>0</v>
      </c>
      <c r="R89" t="b">
        <v>1</v>
      </c>
      <c r="T89" t="s">
        <v>3671</v>
      </c>
      <c r="U89">
        <v>97</v>
      </c>
      <c r="V89" t="s">
        <v>3986</v>
      </c>
      <c r="W89">
        <v>2</v>
      </c>
      <c r="X89" t="s">
        <v>3986</v>
      </c>
      <c r="Y89" t="s">
        <v>4142</v>
      </c>
      <c r="Z89">
        <v>0</v>
      </c>
      <c r="AA89" t="s">
        <v>2493</v>
      </c>
      <c r="AB89" t="s">
        <v>3986</v>
      </c>
      <c r="AC89" t="s">
        <v>3986</v>
      </c>
      <c r="AD89" t="s">
        <v>3986</v>
      </c>
    </row>
    <row r="90" spans="1:30" x14ac:dyDescent="0.25">
      <c r="A90" t="s">
        <v>3326</v>
      </c>
      <c r="B90">
        <v>94</v>
      </c>
      <c r="C90" t="s">
        <v>3310</v>
      </c>
      <c r="D90" t="b">
        <v>1</v>
      </c>
      <c r="E90" t="b">
        <v>0</v>
      </c>
      <c r="F90" t="s">
        <v>3986</v>
      </c>
      <c r="G90" t="s">
        <v>3986</v>
      </c>
      <c r="H90" t="s">
        <v>3986</v>
      </c>
      <c r="I90" t="s">
        <v>3986</v>
      </c>
      <c r="J90" t="s">
        <v>3986</v>
      </c>
      <c r="K90" t="s">
        <v>3308</v>
      </c>
      <c r="L90" t="s">
        <v>3309</v>
      </c>
      <c r="M90" t="s">
        <v>3766</v>
      </c>
      <c r="N90">
        <v>7</v>
      </c>
      <c r="O90" t="b">
        <v>0</v>
      </c>
      <c r="P90" t="b">
        <v>1</v>
      </c>
      <c r="Q90" t="b">
        <v>0</v>
      </c>
      <c r="R90" t="b">
        <v>1</v>
      </c>
      <c r="T90" t="s">
        <v>3671</v>
      </c>
      <c r="U90">
        <v>98</v>
      </c>
      <c r="V90" t="s">
        <v>3986</v>
      </c>
      <c r="W90">
        <v>2</v>
      </c>
      <c r="X90" t="s">
        <v>3986</v>
      </c>
      <c r="Y90" t="s">
        <v>4200</v>
      </c>
      <c r="Z90">
        <v>0</v>
      </c>
      <c r="AA90" t="s">
        <v>2493</v>
      </c>
      <c r="AB90" t="s">
        <v>3986</v>
      </c>
      <c r="AC90" t="s">
        <v>3986</v>
      </c>
      <c r="AD90" t="s">
        <v>3986</v>
      </c>
    </row>
    <row r="91" spans="1:30" x14ac:dyDescent="0.25">
      <c r="A91" t="s">
        <v>3327</v>
      </c>
      <c r="B91">
        <v>95</v>
      </c>
      <c r="C91" t="s">
        <v>3310</v>
      </c>
      <c r="D91" t="b">
        <v>1</v>
      </c>
      <c r="E91" t="b">
        <v>0</v>
      </c>
      <c r="F91" t="s">
        <v>3986</v>
      </c>
      <c r="G91" t="s">
        <v>3986</v>
      </c>
      <c r="H91" t="s">
        <v>3986</v>
      </c>
      <c r="I91" t="s">
        <v>3986</v>
      </c>
      <c r="J91" t="s">
        <v>3986</v>
      </c>
      <c r="K91" t="s">
        <v>3308</v>
      </c>
      <c r="L91" t="s">
        <v>3309</v>
      </c>
      <c r="M91" t="s">
        <v>3766</v>
      </c>
      <c r="N91">
        <v>7</v>
      </c>
      <c r="O91" t="b">
        <v>0</v>
      </c>
      <c r="P91" t="b">
        <v>1</v>
      </c>
      <c r="Q91" t="b">
        <v>0</v>
      </c>
      <c r="R91" t="b">
        <v>1</v>
      </c>
      <c r="T91" t="s">
        <v>3671</v>
      </c>
      <c r="U91">
        <v>99</v>
      </c>
      <c r="V91" t="s">
        <v>3986</v>
      </c>
      <c r="W91">
        <v>2</v>
      </c>
      <c r="X91" t="s">
        <v>3986</v>
      </c>
      <c r="Y91" t="s">
        <v>2381</v>
      </c>
      <c r="Z91">
        <v>0</v>
      </c>
      <c r="AA91" t="s">
        <v>2493</v>
      </c>
      <c r="AB91" t="s">
        <v>3986</v>
      </c>
      <c r="AC91" t="s">
        <v>3986</v>
      </c>
      <c r="AD91" t="s">
        <v>3986</v>
      </c>
    </row>
    <row r="92" spans="1:30" x14ac:dyDescent="0.25">
      <c r="A92" t="s">
        <v>3328</v>
      </c>
      <c r="B92">
        <v>96</v>
      </c>
      <c r="C92" t="s">
        <v>3310</v>
      </c>
      <c r="D92" t="b">
        <v>1</v>
      </c>
      <c r="E92" t="b">
        <v>0</v>
      </c>
      <c r="F92" t="s">
        <v>3986</v>
      </c>
      <c r="G92" t="s">
        <v>3986</v>
      </c>
      <c r="H92" t="s">
        <v>3986</v>
      </c>
      <c r="I92" t="s">
        <v>3986</v>
      </c>
      <c r="J92" t="s">
        <v>3986</v>
      </c>
      <c r="K92" t="s">
        <v>3308</v>
      </c>
      <c r="L92" t="s">
        <v>3309</v>
      </c>
      <c r="M92" t="s">
        <v>3766</v>
      </c>
      <c r="N92">
        <v>7</v>
      </c>
      <c r="O92" t="b">
        <v>0</v>
      </c>
      <c r="P92" t="b">
        <v>1</v>
      </c>
      <c r="Q92" t="b">
        <v>0</v>
      </c>
      <c r="R92" t="b">
        <v>1</v>
      </c>
      <c r="T92" t="s">
        <v>3671</v>
      </c>
      <c r="U92">
        <v>100</v>
      </c>
      <c r="V92" t="s">
        <v>3986</v>
      </c>
      <c r="W92">
        <v>2</v>
      </c>
      <c r="X92" t="s">
        <v>3986</v>
      </c>
      <c r="Y92" t="s">
        <v>2382</v>
      </c>
      <c r="Z92">
        <v>0</v>
      </c>
      <c r="AA92" t="s">
        <v>2493</v>
      </c>
      <c r="AB92" t="s">
        <v>3986</v>
      </c>
      <c r="AC92" t="s">
        <v>3986</v>
      </c>
      <c r="AD92" t="s">
        <v>3986</v>
      </c>
    </row>
    <row r="93" spans="1:30" x14ac:dyDescent="0.25">
      <c r="A93" t="s">
        <v>3329</v>
      </c>
      <c r="B93">
        <v>97</v>
      </c>
      <c r="C93" t="s">
        <v>3310</v>
      </c>
      <c r="D93" t="b">
        <v>1</v>
      </c>
      <c r="E93" t="b">
        <v>0</v>
      </c>
      <c r="F93" t="s">
        <v>3986</v>
      </c>
      <c r="G93" t="s">
        <v>3986</v>
      </c>
      <c r="H93" t="s">
        <v>3986</v>
      </c>
      <c r="I93" t="s">
        <v>3986</v>
      </c>
      <c r="J93" t="s">
        <v>3986</v>
      </c>
      <c r="K93" t="s">
        <v>3308</v>
      </c>
      <c r="L93" t="s">
        <v>3309</v>
      </c>
      <c r="M93" t="s">
        <v>3766</v>
      </c>
      <c r="N93">
        <v>7</v>
      </c>
      <c r="O93" t="b">
        <v>0</v>
      </c>
      <c r="P93" t="b">
        <v>1</v>
      </c>
      <c r="Q93" t="b">
        <v>0</v>
      </c>
      <c r="R93" t="b">
        <v>1</v>
      </c>
      <c r="T93" t="s">
        <v>3671</v>
      </c>
      <c r="U93">
        <v>101</v>
      </c>
      <c r="V93" t="s">
        <v>3986</v>
      </c>
      <c r="W93">
        <v>2</v>
      </c>
      <c r="X93" t="s">
        <v>3986</v>
      </c>
      <c r="Y93" t="s">
        <v>2383</v>
      </c>
      <c r="Z93">
        <v>0</v>
      </c>
      <c r="AA93" t="s">
        <v>2493</v>
      </c>
      <c r="AB93" t="s">
        <v>3986</v>
      </c>
      <c r="AC93" t="s">
        <v>3986</v>
      </c>
      <c r="AD93" t="s">
        <v>3986</v>
      </c>
    </row>
    <row r="94" spans="1:30" x14ac:dyDescent="0.25">
      <c r="A94" t="s">
        <v>3330</v>
      </c>
      <c r="B94">
        <v>98</v>
      </c>
      <c r="C94" t="s">
        <v>3310</v>
      </c>
      <c r="D94" t="b">
        <v>1</v>
      </c>
      <c r="E94" t="b">
        <v>0</v>
      </c>
      <c r="F94" t="s">
        <v>3986</v>
      </c>
      <c r="G94" t="s">
        <v>3986</v>
      </c>
      <c r="H94" t="s">
        <v>3986</v>
      </c>
      <c r="I94" t="s">
        <v>3986</v>
      </c>
      <c r="J94" t="s">
        <v>3986</v>
      </c>
      <c r="K94" t="s">
        <v>3308</v>
      </c>
      <c r="L94" t="s">
        <v>3309</v>
      </c>
      <c r="M94" t="s">
        <v>3766</v>
      </c>
      <c r="N94">
        <v>7</v>
      </c>
      <c r="O94" t="b">
        <v>0</v>
      </c>
      <c r="P94" t="b">
        <v>1</v>
      </c>
      <c r="Q94" t="b">
        <v>0</v>
      </c>
      <c r="R94" t="b">
        <v>1</v>
      </c>
      <c r="T94" t="s">
        <v>3671</v>
      </c>
      <c r="U94">
        <v>103</v>
      </c>
      <c r="V94" t="s">
        <v>3986</v>
      </c>
      <c r="W94">
        <v>2</v>
      </c>
      <c r="X94" t="s">
        <v>3986</v>
      </c>
      <c r="Y94" t="s">
        <v>2384</v>
      </c>
      <c r="Z94">
        <v>0</v>
      </c>
      <c r="AA94" t="s">
        <v>2493</v>
      </c>
      <c r="AB94" t="s">
        <v>3986</v>
      </c>
      <c r="AC94" t="s">
        <v>3986</v>
      </c>
      <c r="AD94" t="s">
        <v>3986</v>
      </c>
    </row>
    <row r="95" spans="1:30" x14ac:dyDescent="0.25">
      <c r="A95" t="s">
        <v>3331</v>
      </c>
      <c r="B95">
        <v>99</v>
      </c>
      <c r="C95" t="s">
        <v>3310</v>
      </c>
      <c r="D95" t="b">
        <v>1</v>
      </c>
      <c r="E95" t="b">
        <v>0</v>
      </c>
      <c r="F95" t="s">
        <v>3986</v>
      </c>
      <c r="G95" t="s">
        <v>3986</v>
      </c>
      <c r="H95" t="s">
        <v>3986</v>
      </c>
      <c r="I95" t="s">
        <v>3986</v>
      </c>
      <c r="J95" t="s">
        <v>3986</v>
      </c>
      <c r="K95" t="s">
        <v>3308</v>
      </c>
      <c r="L95" t="s">
        <v>3309</v>
      </c>
      <c r="M95" t="s">
        <v>3766</v>
      </c>
      <c r="N95">
        <v>7</v>
      </c>
      <c r="O95" t="b">
        <v>0</v>
      </c>
      <c r="P95" t="b">
        <v>1</v>
      </c>
      <c r="Q95" t="b">
        <v>0</v>
      </c>
      <c r="R95" t="b">
        <v>1</v>
      </c>
      <c r="T95" t="s">
        <v>3671</v>
      </c>
      <c r="U95">
        <v>104</v>
      </c>
      <c r="V95" t="s">
        <v>3986</v>
      </c>
      <c r="W95">
        <v>2</v>
      </c>
      <c r="X95" t="s">
        <v>3986</v>
      </c>
      <c r="Y95" t="s">
        <v>346</v>
      </c>
      <c r="Z95">
        <v>0</v>
      </c>
      <c r="AA95" t="s">
        <v>2493</v>
      </c>
      <c r="AB95" t="s">
        <v>3986</v>
      </c>
      <c r="AC95" t="s">
        <v>3986</v>
      </c>
      <c r="AD95" t="s">
        <v>3986</v>
      </c>
    </row>
    <row r="96" spans="1:30" x14ac:dyDescent="0.25">
      <c r="A96" t="s">
        <v>3332</v>
      </c>
      <c r="B96">
        <v>100</v>
      </c>
      <c r="C96" t="s">
        <v>3310</v>
      </c>
      <c r="D96" t="b">
        <v>1</v>
      </c>
      <c r="E96" t="b">
        <v>0</v>
      </c>
      <c r="F96" t="s">
        <v>3986</v>
      </c>
      <c r="G96" t="s">
        <v>3986</v>
      </c>
      <c r="H96" t="s">
        <v>3986</v>
      </c>
      <c r="I96" t="s">
        <v>3986</v>
      </c>
      <c r="J96" t="s">
        <v>3986</v>
      </c>
      <c r="K96" t="s">
        <v>3308</v>
      </c>
      <c r="L96" t="s">
        <v>3309</v>
      </c>
      <c r="M96" t="s">
        <v>3766</v>
      </c>
      <c r="N96">
        <v>7</v>
      </c>
      <c r="O96" t="b">
        <v>0</v>
      </c>
      <c r="P96" t="b">
        <v>1</v>
      </c>
      <c r="Q96" t="b">
        <v>0</v>
      </c>
      <c r="R96" t="b">
        <v>1</v>
      </c>
      <c r="T96" t="s">
        <v>3671</v>
      </c>
      <c r="U96">
        <v>105</v>
      </c>
      <c r="V96" t="s">
        <v>3986</v>
      </c>
      <c r="W96">
        <v>2</v>
      </c>
      <c r="X96" t="s">
        <v>3986</v>
      </c>
      <c r="Y96" t="s">
        <v>2385</v>
      </c>
      <c r="Z96">
        <v>0</v>
      </c>
      <c r="AA96" t="s">
        <v>2493</v>
      </c>
      <c r="AB96" t="s">
        <v>3986</v>
      </c>
      <c r="AC96" t="s">
        <v>3986</v>
      </c>
      <c r="AD96" t="s">
        <v>3986</v>
      </c>
    </row>
    <row r="97" spans="1:30" x14ac:dyDescent="0.25">
      <c r="A97" t="s">
        <v>3333</v>
      </c>
      <c r="B97">
        <v>101</v>
      </c>
      <c r="C97" t="s">
        <v>3310</v>
      </c>
      <c r="D97" t="b">
        <v>1</v>
      </c>
      <c r="E97" t="b">
        <v>0</v>
      </c>
      <c r="F97" t="s">
        <v>3986</v>
      </c>
      <c r="G97" t="s">
        <v>3986</v>
      </c>
      <c r="H97" t="s">
        <v>3986</v>
      </c>
      <c r="I97" t="s">
        <v>3986</v>
      </c>
      <c r="J97" t="s">
        <v>3986</v>
      </c>
      <c r="K97" t="s">
        <v>3308</v>
      </c>
      <c r="L97" t="s">
        <v>3309</v>
      </c>
      <c r="M97" t="s">
        <v>3766</v>
      </c>
      <c r="N97">
        <v>7</v>
      </c>
      <c r="O97" t="b">
        <v>0</v>
      </c>
      <c r="P97" t="b">
        <v>1</v>
      </c>
      <c r="Q97" t="b">
        <v>0</v>
      </c>
      <c r="R97" t="b">
        <v>1</v>
      </c>
      <c r="T97" t="s">
        <v>3671</v>
      </c>
      <c r="U97">
        <v>106</v>
      </c>
      <c r="V97" t="s">
        <v>3986</v>
      </c>
      <c r="W97">
        <v>2</v>
      </c>
      <c r="X97" t="s">
        <v>3986</v>
      </c>
      <c r="Y97" t="s">
        <v>2386</v>
      </c>
      <c r="Z97">
        <v>0</v>
      </c>
      <c r="AA97" t="s">
        <v>2493</v>
      </c>
      <c r="AB97" t="s">
        <v>3986</v>
      </c>
      <c r="AC97" t="s">
        <v>3986</v>
      </c>
      <c r="AD97" t="s">
        <v>3986</v>
      </c>
    </row>
    <row r="98" spans="1:30" x14ac:dyDescent="0.25">
      <c r="A98" t="s">
        <v>3334</v>
      </c>
      <c r="B98">
        <v>102</v>
      </c>
      <c r="C98" t="s">
        <v>3310</v>
      </c>
      <c r="D98" t="b">
        <v>1</v>
      </c>
      <c r="E98" t="b">
        <v>0</v>
      </c>
      <c r="F98" t="s">
        <v>3986</v>
      </c>
      <c r="G98" t="s">
        <v>3986</v>
      </c>
      <c r="H98" t="s">
        <v>3986</v>
      </c>
      <c r="I98" t="s">
        <v>3986</v>
      </c>
      <c r="J98" t="s">
        <v>3986</v>
      </c>
      <c r="K98" t="s">
        <v>3308</v>
      </c>
      <c r="L98" t="s">
        <v>3309</v>
      </c>
      <c r="M98" t="s">
        <v>3766</v>
      </c>
      <c r="N98">
        <v>7</v>
      </c>
      <c r="O98" t="b">
        <v>0</v>
      </c>
      <c r="P98" t="b">
        <v>1</v>
      </c>
      <c r="Q98" t="b">
        <v>0</v>
      </c>
      <c r="R98" t="b">
        <v>1</v>
      </c>
      <c r="T98" t="s">
        <v>3671</v>
      </c>
      <c r="U98">
        <v>107</v>
      </c>
      <c r="V98" t="s">
        <v>3986</v>
      </c>
      <c r="W98">
        <v>2</v>
      </c>
      <c r="X98" t="s">
        <v>3986</v>
      </c>
      <c r="Y98" t="s">
        <v>2387</v>
      </c>
      <c r="Z98">
        <v>0</v>
      </c>
      <c r="AA98" t="s">
        <v>2493</v>
      </c>
      <c r="AB98" t="s">
        <v>3986</v>
      </c>
      <c r="AC98" t="s">
        <v>3986</v>
      </c>
      <c r="AD98" t="s">
        <v>3986</v>
      </c>
    </row>
    <row r="99" spans="1:30" x14ac:dyDescent="0.25">
      <c r="A99" t="s">
        <v>3335</v>
      </c>
      <c r="B99">
        <v>103</v>
      </c>
      <c r="C99" t="s">
        <v>3310</v>
      </c>
      <c r="D99" t="b">
        <v>1</v>
      </c>
      <c r="E99" t="b">
        <v>0</v>
      </c>
      <c r="F99" t="s">
        <v>3986</v>
      </c>
      <c r="G99" t="s">
        <v>3986</v>
      </c>
      <c r="H99" t="s">
        <v>3986</v>
      </c>
      <c r="I99" t="s">
        <v>3986</v>
      </c>
      <c r="J99" t="s">
        <v>3986</v>
      </c>
      <c r="K99" t="s">
        <v>3308</v>
      </c>
      <c r="L99" t="s">
        <v>3309</v>
      </c>
      <c r="M99" t="s">
        <v>3766</v>
      </c>
      <c r="N99">
        <v>7</v>
      </c>
      <c r="O99" t="b">
        <v>0</v>
      </c>
      <c r="P99" t="b">
        <v>1</v>
      </c>
      <c r="Q99" t="b">
        <v>0</v>
      </c>
      <c r="R99" t="b">
        <v>1</v>
      </c>
      <c r="T99" t="s">
        <v>3671</v>
      </c>
      <c r="U99">
        <v>108</v>
      </c>
      <c r="V99" t="s">
        <v>3986</v>
      </c>
      <c r="W99">
        <v>2</v>
      </c>
      <c r="X99" t="s">
        <v>3986</v>
      </c>
      <c r="Y99" t="s">
        <v>2388</v>
      </c>
      <c r="Z99">
        <v>0</v>
      </c>
      <c r="AA99" t="s">
        <v>2493</v>
      </c>
      <c r="AB99" t="s">
        <v>3986</v>
      </c>
      <c r="AC99" t="s">
        <v>3986</v>
      </c>
      <c r="AD99" t="s">
        <v>3986</v>
      </c>
    </row>
    <row r="100" spans="1:30" x14ac:dyDescent="0.25">
      <c r="A100" t="s">
        <v>3336</v>
      </c>
      <c r="B100">
        <v>104</v>
      </c>
      <c r="C100" t="s">
        <v>3310</v>
      </c>
      <c r="D100" t="b">
        <v>1</v>
      </c>
      <c r="E100" t="b">
        <v>0</v>
      </c>
      <c r="F100" t="s">
        <v>3986</v>
      </c>
      <c r="G100" t="s">
        <v>3986</v>
      </c>
      <c r="H100" t="s">
        <v>3986</v>
      </c>
      <c r="I100" t="s">
        <v>3986</v>
      </c>
      <c r="J100" t="s">
        <v>3986</v>
      </c>
      <c r="K100" t="s">
        <v>3308</v>
      </c>
      <c r="L100" t="s">
        <v>3309</v>
      </c>
      <c r="M100" t="s">
        <v>3766</v>
      </c>
      <c r="N100">
        <v>7</v>
      </c>
      <c r="O100" t="b">
        <v>0</v>
      </c>
      <c r="P100" t="b">
        <v>1</v>
      </c>
      <c r="Q100" t="b">
        <v>0</v>
      </c>
      <c r="R100" t="b">
        <v>1</v>
      </c>
      <c r="T100" t="s">
        <v>3671</v>
      </c>
      <c r="U100">
        <v>109</v>
      </c>
      <c r="V100" t="s">
        <v>3986</v>
      </c>
      <c r="W100">
        <v>2</v>
      </c>
      <c r="X100" t="s">
        <v>3986</v>
      </c>
      <c r="Y100" t="s">
        <v>2389</v>
      </c>
      <c r="Z100">
        <v>0</v>
      </c>
      <c r="AA100" t="s">
        <v>2493</v>
      </c>
      <c r="AB100" t="s">
        <v>3986</v>
      </c>
      <c r="AC100" t="s">
        <v>3986</v>
      </c>
      <c r="AD100" t="s">
        <v>3986</v>
      </c>
    </row>
    <row r="101" spans="1:30" x14ac:dyDescent="0.25">
      <c r="A101" t="s">
        <v>3337</v>
      </c>
      <c r="B101">
        <v>105</v>
      </c>
      <c r="C101" t="s">
        <v>3310</v>
      </c>
      <c r="D101" t="b">
        <v>1</v>
      </c>
      <c r="E101" t="b">
        <v>0</v>
      </c>
      <c r="F101" t="s">
        <v>3986</v>
      </c>
      <c r="G101" t="s">
        <v>3986</v>
      </c>
      <c r="H101" t="s">
        <v>3986</v>
      </c>
      <c r="I101" t="s">
        <v>3986</v>
      </c>
      <c r="J101" t="s">
        <v>3986</v>
      </c>
      <c r="K101" t="s">
        <v>3308</v>
      </c>
      <c r="L101" t="s">
        <v>3309</v>
      </c>
      <c r="M101" t="s">
        <v>3766</v>
      </c>
      <c r="N101">
        <v>7</v>
      </c>
      <c r="O101" t="b">
        <v>0</v>
      </c>
      <c r="P101" t="b">
        <v>1</v>
      </c>
      <c r="Q101" t="b">
        <v>0</v>
      </c>
      <c r="R101" t="b">
        <v>1</v>
      </c>
      <c r="T101" t="s">
        <v>3671</v>
      </c>
      <c r="U101">
        <v>110</v>
      </c>
      <c r="V101" t="s">
        <v>3986</v>
      </c>
      <c r="W101">
        <v>2</v>
      </c>
      <c r="X101" t="s">
        <v>3986</v>
      </c>
      <c r="Y101" t="s">
        <v>2390</v>
      </c>
      <c r="Z101">
        <v>0</v>
      </c>
      <c r="AA101" t="s">
        <v>2493</v>
      </c>
      <c r="AB101" t="s">
        <v>3986</v>
      </c>
      <c r="AC101" t="s">
        <v>3986</v>
      </c>
      <c r="AD101" t="s">
        <v>3986</v>
      </c>
    </row>
    <row r="102" spans="1:30" x14ac:dyDescent="0.25">
      <c r="A102" t="s">
        <v>3338</v>
      </c>
      <c r="B102">
        <v>106</v>
      </c>
      <c r="C102" t="s">
        <v>3310</v>
      </c>
      <c r="D102" t="b">
        <v>1</v>
      </c>
      <c r="E102" t="b">
        <v>0</v>
      </c>
      <c r="F102" t="s">
        <v>3986</v>
      </c>
      <c r="G102" t="s">
        <v>3986</v>
      </c>
      <c r="H102" t="s">
        <v>3986</v>
      </c>
      <c r="I102" t="s">
        <v>3986</v>
      </c>
      <c r="J102" t="s">
        <v>3986</v>
      </c>
      <c r="K102" t="s">
        <v>3308</v>
      </c>
      <c r="L102" t="s">
        <v>3309</v>
      </c>
      <c r="M102" t="s">
        <v>3766</v>
      </c>
      <c r="N102">
        <v>7</v>
      </c>
      <c r="O102" t="b">
        <v>0</v>
      </c>
      <c r="P102" t="b">
        <v>1</v>
      </c>
      <c r="Q102" t="b">
        <v>0</v>
      </c>
      <c r="R102" t="b">
        <v>1</v>
      </c>
      <c r="T102" t="s">
        <v>3671</v>
      </c>
      <c r="U102">
        <v>111</v>
      </c>
      <c r="V102" t="s">
        <v>3986</v>
      </c>
      <c r="W102">
        <v>2</v>
      </c>
      <c r="X102" t="s">
        <v>3986</v>
      </c>
      <c r="Y102" t="s">
        <v>3751</v>
      </c>
      <c r="Z102">
        <v>0</v>
      </c>
      <c r="AA102" t="s">
        <v>2493</v>
      </c>
      <c r="AB102" t="s">
        <v>3986</v>
      </c>
      <c r="AC102" t="s">
        <v>3986</v>
      </c>
      <c r="AD102" t="s">
        <v>3986</v>
      </c>
    </row>
    <row r="103" spans="1:30" x14ac:dyDescent="0.25">
      <c r="A103" t="s">
        <v>3551</v>
      </c>
      <c r="B103">
        <v>20</v>
      </c>
      <c r="C103" t="s">
        <v>3306</v>
      </c>
      <c r="D103" t="b">
        <v>1</v>
      </c>
      <c r="E103" t="b">
        <v>0</v>
      </c>
      <c r="F103" t="s">
        <v>3986</v>
      </c>
      <c r="G103" t="s">
        <v>3986</v>
      </c>
      <c r="H103" t="s">
        <v>3986</v>
      </c>
      <c r="I103" t="s">
        <v>3986</v>
      </c>
      <c r="J103" t="s">
        <v>3986</v>
      </c>
      <c r="K103" t="s">
        <v>3339</v>
      </c>
      <c r="L103" t="s">
        <v>3340</v>
      </c>
      <c r="M103" t="s">
        <v>3341</v>
      </c>
      <c r="N103">
        <v>3</v>
      </c>
      <c r="O103" t="b">
        <v>0</v>
      </c>
      <c r="P103" t="b">
        <v>1</v>
      </c>
      <c r="Q103" t="b">
        <v>0</v>
      </c>
      <c r="R103" t="b">
        <v>0</v>
      </c>
      <c r="T103" t="s">
        <v>3671</v>
      </c>
      <c r="U103">
        <v>112</v>
      </c>
      <c r="V103" t="s">
        <v>3986</v>
      </c>
      <c r="W103">
        <v>2</v>
      </c>
      <c r="X103" t="s">
        <v>3986</v>
      </c>
      <c r="Y103" t="s">
        <v>4982</v>
      </c>
      <c r="Z103">
        <v>0</v>
      </c>
      <c r="AA103" t="s">
        <v>2493</v>
      </c>
      <c r="AB103" t="s">
        <v>3986</v>
      </c>
      <c r="AC103" t="s">
        <v>3986</v>
      </c>
      <c r="AD103" t="s">
        <v>3986</v>
      </c>
    </row>
    <row r="104" spans="1:30" x14ac:dyDescent="0.25">
      <c r="A104" t="s">
        <v>3342</v>
      </c>
      <c r="B104">
        <v>21</v>
      </c>
      <c r="C104" t="s">
        <v>3343</v>
      </c>
      <c r="D104" t="b">
        <v>1</v>
      </c>
      <c r="E104" t="b">
        <v>0</v>
      </c>
      <c r="F104" t="s">
        <v>3986</v>
      </c>
      <c r="G104" t="s">
        <v>3986</v>
      </c>
      <c r="H104" t="s">
        <v>3986</v>
      </c>
      <c r="I104" t="s">
        <v>3986</v>
      </c>
      <c r="J104" t="s">
        <v>3986</v>
      </c>
      <c r="K104" t="s">
        <v>3339</v>
      </c>
      <c r="L104" t="s">
        <v>3340</v>
      </c>
      <c r="M104" t="s">
        <v>3341</v>
      </c>
      <c r="N104">
        <v>3</v>
      </c>
      <c r="O104" t="b">
        <v>0</v>
      </c>
      <c r="P104" t="b">
        <v>1</v>
      </c>
      <c r="Q104" t="b">
        <v>0</v>
      </c>
      <c r="R104" t="b">
        <v>0</v>
      </c>
      <c r="T104" t="s">
        <v>3671</v>
      </c>
      <c r="U104">
        <v>113</v>
      </c>
      <c r="V104" t="s">
        <v>3986</v>
      </c>
      <c r="W104">
        <v>2</v>
      </c>
      <c r="X104" t="s">
        <v>3986</v>
      </c>
      <c r="Y104" t="s">
        <v>4983</v>
      </c>
      <c r="Z104">
        <v>0</v>
      </c>
      <c r="AA104" t="s">
        <v>2493</v>
      </c>
      <c r="AB104" t="s">
        <v>3986</v>
      </c>
      <c r="AC104" t="s">
        <v>3986</v>
      </c>
      <c r="AD104" t="s">
        <v>3986</v>
      </c>
    </row>
    <row r="105" spans="1:30" x14ac:dyDescent="0.25">
      <c r="A105" t="s">
        <v>3344</v>
      </c>
      <c r="B105">
        <v>22</v>
      </c>
      <c r="C105" t="s">
        <v>3343</v>
      </c>
      <c r="D105" t="b">
        <v>0</v>
      </c>
      <c r="E105" t="b">
        <v>0</v>
      </c>
      <c r="F105" t="s">
        <v>3986</v>
      </c>
      <c r="G105" t="s">
        <v>3986</v>
      </c>
      <c r="H105" t="s">
        <v>3986</v>
      </c>
      <c r="I105" t="s">
        <v>3986</v>
      </c>
      <c r="J105" t="s">
        <v>3986</v>
      </c>
      <c r="K105" t="s">
        <v>3339</v>
      </c>
      <c r="L105" t="s">
        <v>3340</v>
      </c>
      <c r="M105" t="s">
        <v>3341</v>
      </c>
      <c r="N105">
        <v>3</v>
      </c>
      <c r="O105" t="b">
        <v>0</v>
      </c>
      <c r="P105" t="b">
        <v>1</v>
      </c>
      <c r="Q105" t="b">
        <v>0</v>
      </c>
      <c r="R105" t="b">
        <v>0</v>
      </c>
      <c r="T105" t="s">
        <v>3671</v>
      </c>
      <c r="U105">
        <v>114</v>
      </c>
      <c r="V105" t="s">
        <v>3986</v>
      </c>
      <c r="W105">
        <v>2</v>
      </c>
      <c r="X105" t="s">
        <v>3986</v>
      </c>
      <c r="Y105" t="s">
        <v>2392</v>
      </c>
      <c r="Z105">
        <v>0</v>
      </c>
      <c r="AA105" t="s">
        <v>2493</v>
      </c>
      <c r="AB105" t="s">
        <v>3986</v>
      </c>
      <c r="AC105" t="s">
        <v>3986</v>
      </c>
      <c r="AD105" t="s">
        <v>3986</v>
      </c>
    </row>
    <row r="106" spans="1:30" x14ac:dyDescent="0.25">
      <c r="A106" t="s">
        <v>3345</v>
      </c>
      <c r="B106">
        <v>23</v>
      </c>
      <c r="C106" t="s">
        <v>3343</v>
      </c>
      <c r="D106" t="b">
        <v>1</v>
      </c>
      <c r="E106" t="b">
        <v>0</v>
      </c>
      <c r="F106" t="s">
        <v>3986</v>
      </c>
      <c r="G106" t="s">
        <v>3986</v>
      </c>
      <c r="H106" t="s">
        <v>3986</v>
      </c>
      <c r="I106" t="s">
        <v>3986</v>
      </c>
      <c r="J106" t="s">
        <v>3986</v>
      </c>
      <c r="K106" t="s">
        <v>3339</v>
      </c>
      <c r="L106" t="s">
        <v>3340</v>
      </c>
      <c r="M106" t="s">
        <v>3341</v>
      </c>
      <c r="N106">
        <v>3</v>
      </c>
      <c r="O106" t="b">
        <v>0</v>
      </c>
      <c r="P106" t="b">
        <v>1</v>
      </c>
      <c r="Q106" t="b">
        <v>0</v>
      </c>
      <c r="R106" t="b">
        <v>0</v>
      </c>
      <c r="T106" t="s">
        <v>3671</v>
      </c>
      <c r="U106">
        <v>115</v>
      </c>
      <c r="V106" t="s">
        <v>3986</v>
      </c>
      <c r="W106">
        <v>2</v>
      </c>
      <c r="X106" t="s">
        <v>3986</v>
      </c>
      <c r="Y106" t="s">
        <v>2393</v>
      </c>
      <c r="Z106">
        <v>0</v>
      </c>
      <c r="AA106" t="s">
        <v>2493</v>
      </c>
      <c r="AB106" t="s">
        <v>3986</v>
      </c>
      <c r="AC106" t="s">
        <v>3986</v>
      </c>
      <c r="AD106" t="s">
        <v>3986</v>
      </c>
    </row>
    <row r="107" spans="1:30" x14ac:dyDescent="0.25">
      <c r="A107" t="s">
        <v>3346</v>
      </c>
      <c r="B107">
        <v>24</v>
      </c>
      <c r="C107" t="s">
        <v>3343</v>
      </c>
      <c r="D107" t="b">
        <v>0</v>
      </c>
      <c r="E107" t="b">
        <v>0</v>
      </c>
      <c r="F107" t="s">
        <v>3986</v>
      </c>
      <c r="G107" t="s">
        <v>3986</v>
      </c>
      <c r="H107" t="s">
        <v>3986</v>
      </c>
      <c r="I107" t="s">
        <v>3986</v>
      </c>
      <c r="J107" t="s">
        <v>3986</v>
      </c>
      <c r="K107" t="s">
        <v>3339</v>
      </c>
      <c r="L107" t="s">
        <v>3340</v>
      </c>
      <c r="M107" t="s">
        <v>3341</v>
      </c>
      <c r="N107">
        <v>3</v>
      </c>
      <c r="O107" t="b">
        <v>0</v>
      </c>
      <c r="P107" t="b">
        <v>1</v>
      </c>
      <c r="Q107" t="b">
        <v>0</v>
      </c>
      <c r="R107" t="b">
        <v>0</v>
      </c>
      <c r="T107" t="s">
        <v>3671</v>
      </c>
      <c r="U107">
        <v>116</v>
      </c>
      <c r="V107" t="s">
        <v>3986</v>
      </c>
      <c r="W107">
        <v>2</v>
      </c>
      <c r="X107" t="s">
        <v>3986</v>
      </c>
      <c r="Y107" t="s">
        <v>2394</v>
      </c>
      <c r="Z107">
        <v>0</v>
      </c>
      <c r="AA107" t="s">
        <v>2493</v>
      </c>
      <c r="AB107" t="s">
        <v>3986</v>
      </c>
      <c r="AC107" t="s">
        <v>3986</v>
      </c>
      <c r="AD107" t="s">
        <v>3986</v>
      </c>
    </row>
    <row r="108" spans="1:30" x14ac:dyDescent="0.25">
      <c r="A108" t="s">
        <v>3348</v>
      </c>
      <c r="B108">
        <v>25</v>
      </c>
      <c r="C108" t="s">
        <v>3306</v>
      </c>
      <c r="D108" t="b">
        <v>0</v>
      </c>
      <c r="E108" t="b">
        <v>0</v>
      </c>
      <c r="F108" t="s">
        <v>3986</v>
      </c>
      <c r="G108" t="s">
        <v>3986</v>
      </c>
      <c r="H108" t="s">
        <v>3986</v>
      </c>
      <c r="I108" t="s">
        <v>3986</v>
      </c>
      <c r="J108" t="s">
        <v>3986</v>
      </c>
      <c r="K108" t="s">
        <v>3339</v>
      </c>
      <c r="L108" t="s">
        <v>3340</v>
      </c>
      <c r="M108" t="s">
        <v>3341</v>
      </c>
      <c r="N108">
        <v>3</v>
      </c>
      <c r="O108" t="b">
        <v>0</v>
      </c>
      <c r="P108" t="b">
        <v>1</v>
      </c>
      <c r="Q108" t="b">
        <v>0</v>
      </c>
      <c r="R108" t="b">
        <v>0</v>
      </c>
      <c r="T108" t="s">
        <v>3671</v>
      </c>
      <c r="U108">
        <v>118</v>
      </c>
      <c r="V108" t="s">
        <v>3986</v>
      </c>
      <c r="W108">
        <v>2</v>
      </c>
      <c r="X108" t="s">
        <v>3986</v>
      </c>
      <c r="Y108" t="s">
        <v>2395</v>
      </c>
      <c r="Z108">
        <v>0</v>
      </c>
      <c r="AA108" t="s">
        <v>2493</v>
      </c>
      <c r="AB108" t="s">
        <v>3986</v>
      </c>
      <c r="AC108" t="s">
        <v>3986</v>
      </c>
      <c r="AD108" t="s">
        <v>3986</v>
      </c>
    </row>
    <row r="109" spans="1:30" x14ac:dyDescent="0.25">
      <c r="A109" t="s">
        <v>3347</v>
      </c>
      <c r="B109">
        <v>26</v>
      </c>
      <c r="C109" t="s">
        <v>3310</v>
      </c>
      <c r="D109" t="b">
        <v>0</v>
      </c>
      <c r="E109" t="b">
        <v>1</v>
      </c>
      <c r="F109" t="s">
        <v>3986</v>
      </c>
      <c r="G109" t="s">
        <v>3986</v>
      </c>
      <c r="H109" t="s">
        <v>3986</v>
      </c>
      <c r="I109" t="s">
        <v>3986</v>
      </c>
      <c r="J109" t="s">
        <v>3986</v>
      </c>
      <c r="K109" t="s">
        <v>3339</v>
      </c>
      <c r="L109" t="s">
        <v>3340</v>
      </c>
      <c r="M109" t="s">
        <v>3341</v>
      </c>
      <c r="N109">
        <v>3</v>
      </c>
      <c r="O109" t="b">
        <v>0</v>
      </c>
      <c r="P109" t="b">
        <v>1</v>
      </c>
      <c r="Q109" t="b">
        <v>0</v>
      </c>
      <c r="R109" t="b">
        <v>0</v>
      </c>
      <c r="T109" t="s">
        <v>3671</v>
      </c>
      <c r="U109">
        <v>119</v>
      </c>
      <c r="V109" t="s">
        <v>3986</v>
      </c>
      <c r="W109">
        <v>2</v>
      </c>
      <c r="X109" t="s">
        <v>3986</v>
      </c>
      <c r="Y109" t="s">
        <v>1721</v>
      </c>
      <c r="Z109">
        <v>0</v>
      </c>
      <c r="AA109" t="s">
        <v>2493</v>
      </c>
      <c r="AB109" t="s">
        <v>3986</v>
      </c>
      <c r="AC109" t="s">
        <v>3986</v>
      </c>
      <c r="AD109" t="s">
        <v>3986</v>
      </c>
    </row>
    <row r="110" spans="1:30" x14ac:dyDescent="0.25">
      <c r="A110" t="s">
        <v>2337</v>
      </c>
      <c r="B110">
        <v>27</v>
      </c>
      <c r="C110" t="s">
        <v>3306</v>
      </c>
      <c r="D110" t="b">
        <v>0</v>
      </c>
      <c r="E110" t="b">
        <v>0</v>
      </c>
      <c r="F110" t="s">
        <v>3986</v>
      </c>
      <c r="G110" t="s">
        <v>3986</v>
      </c>
      <c r="H110" t="s">
        <v>3986</v>
      </c>
      <c r="I110" t="s">
        <v>3986</v>
      </c>
      <c r="J110" t="s">
        <v>3986</v>
      </c>
      <c r="K110" t="s">
        <v>3339</v>
      </c>
      <c r="L110" t="s">
        <v>3340</v>
      </c>
      <c r="M110" t="s">
        <v>3341</v>
      </c>
      <c r="N110">
        <v>3</v>
      </c>
      <c r="O110" t="b">
        <v>0</v>
      </c>
      <c r="P110" t="b">
        <v>1</v>
      </c>
      <c r="Q110" t="b">
        <v>0</v>
      </c>
      <c r="R110" t="b">
        <v>0</v>
      </c>
      <c r="T110" t="s">
        <v>3671</v>
      </c>
      <c r="U110">
        <v>120</v>
      </c>
      <c r="V110" t="s">
        <v>3986</v>
      </c>
      <c r="W110">
        <v>2</v>
      </c>
      <c r="X110" t="s">
        <v>3986</v>
      </c>
      <c r="Y110" t="s">
        <v>1722</v>
      </c>
      <c r="Z110">
        <v>0</v>
      </c>
      <c r="AA110" t="s">
        <v>2493</v>
      </c>
      <c r="AB110" t="s">
        <v>3986</v>
      </c>
      <c r="AC110" t="s">
        <v>3986</v>
      </c>
      <c r="AD110" t="s">
        <v>3986</v>
      </c>
    </row>
    <row r="111" spans="1:30" x14ac:dyDescent="0.25">
      <c r="A111" t="s">
        <v>3552</v>
      </c>
      <c r="B111">
        <v>28</v>
      </c>
      <c r="C111" t="s">
        <v>3343</v>
      </c>
      <c r="D111" t="b">
        <v>0</v>
      </c>
      <c r="E111" t="b">
        <v>0</v>
      </c>
      <c r="F111" t="s">
        <v>3986</v>
      </c>
      <c r="G111" t="s">
        <v>3986</v>
      </c>
      <c r="H111" t="s">
        <v>3986</v>
      </c>
      <c r="I111" t="s">
        <v>3986</v>
      </c>
      <c r="J111" t="s">
        <v>3986</v>
      </c>
      <c r="K111" t="s">
        <v>3339</v>
      </c>
      <c r="L111" t="s">
        <v>3340</v>
      </c>
      <c r="M111" t="s">
        <v>3341</v>
      </c>
      <c r="N111">
        <v>3</v>
      </c>
      <c r="O111" t="b">
        <v>0</v>
      </c>
      <c r="P111" t="b">
        <v>1</v>
      </c>
      <c r="Q111" t="b">
        <v>0</v>
      </c>
      <c r="R111" t="b">
        <v>0</v>
      </c>
      <c r="T111" t="s">
        <v>3671</v>
      </c>
      <c r="U111">
        <v>121</v>
      </c>
      <c r="V111" t="s">
        <v>3986</v>
      </c>
      <c r="W111">
        <v>2</v>
      </c>
      <c r="X111" t="s">
        <v>3986</v>
      </c>
      <c r="Y111" t="s">
        <v>1723</v>
      </c>
      <c r="Z111">
        <v>0</v>
      </c>
      <c r="AA111" t="s">
        <v>2493</v>
      </c>
      <c r="AB111" t="s">
        <v>3986</v>
      </c>
      <c r="AC111" t="s">
        <v>3986</v>
      </c>
      <c r="AD111" t="s">
        <v>3986</v>
      </c>
    </row>
    <row r="112" spans="1:30" x14ac:dyDescent="0.25">
      <c r="A112" t="s">
        <v>3501</v>
      </c>
      <c r="B112">
        <v>29</v>
      </c>
      <c r="C112" t="s">
        <v>3306</v>
      </c>
      <c r="D112" t="b">
        <v>0</v>
      </c>
      <c r="E112" t="b">
        <v>0</v>
      </c>
      <c r="F112" t="s">
        <v>3986</v>
      </c>
      <c r="G112" t="s">
        <v>3986</v>
      </c>
      <c r="H112" t="s">
        <v>3986</v>
      </c>
      <c r="I112" t="s">
        <v>3986</v>
      </c>
      <c r="J112" t="s">
        <v>3986</v>
      </c>
      <c r="K112" t="s">
        <v>3339</v>
      </c>
      <c r="L112" t="s">
        <v>3340</v>
      </c>
      <c r="M112" t="s">
        <v>3341</v>
      </c>
      <c r="N112">
        <v>3</v>
      </c>
      <c r="O112" t="b">
        <v>0</v>
      </c>
      <c r="P112" t="b">
        <v>1</v>
      </c>
      <c r="Q112" t="b">
        <v>0</v>
      </c>
      <c r="R112" t="b">
        <v>0</v>
      </c>
      <c r="T112" t="s">
        <v>3671</v>
      </c>
      <c r="U112">
        <v>122</v>
      </c>
      <c r="V112" t="s">
        <v>3986</v>
      </c>
      <c r="W112">
        <v>2</v>
      </c>
      <c r="X112" t="s">
        <v>3986</v>
      </c>
      <c r="Y112" t="s">
        <v>1724</v>
      </c>
      <c r="Z112">
        <v>0</v>
      </c>
      <c r="AA112" t="s">
        <v>2493</v>
      </c>
      <c r="AB112" t="s">
        <v>3986</v>
      </c>
      <c r="AC112" t="s">
        <v>3986</v>
      </c>
      <c r="AD112" t="s">
        <v>3986</v>
      </c>
    </row>
    <row r="113" spans="1:30" x14ac:dyDescent="0.25">
      <c r="A113" t="s">
        <v>3553</v>
      </c>
      <c r="B113">
        <v>30</v>
      </c>
      <c r="C113" t="s">
        <v>3306</v>
      </c>
      <c r="D113" t="b">
        <v>0</v>
      </c>
      <c r="E113" t="b">
        <v>0</v>
      </c>
      <c r="F113" t="s">
        <v>3986</v>
      </c>
      <c r="G113" t="s">
        <v>3986</v>
      </c>
      <c r="H113" t="s">
        <v>3986</v>
      </c>
      <c r="I113" t="s">
        <v>3986</v>
      </c>
      <c r="J113" t="s">
        <v>3986</v>
      </c>
      <c r="K113" t="s">
        <v>3339</v>
      </c>
      <c r="L113" t="s">
        <v>3340</v>
      </c>
      <c r="M113" t="s">
        <v>3341</v>
      </c>
      <c r="N113">
        <v>3</v>
      </c>
      <c r="O113" t="b">
        <v>0</v>
      </c>
      <c r="P113" t="b">
        <v>1</v>
      </c>
      <c r="Q113" t="b">
        <v>0</v>
      </c>
      <c r="R113" t="b">
        <v>0</v>
      </c>
      <c r="T113" t="s">
        <v>3671</v>
      </c>
      <c r="U113">
        <v>123</v>
      </c>
      <c r="V113" t="s">
        <v>3986</v>
      </c>
      <c r="W113">
        <v>2</v>
      </c>
      <c r="X113" t="s">
        <v>3986</v>
      </c>
      <c r="Y113" t="s">
        <v>1725</v>
      </c>
      <c r="Z113">
        <v>0</v>
      </c>
      <c r="AA113" t="s">
        <v>2493</v>
      </c>
      <c r="AB113" t="s">
        <v>3986</v>
      </c>
      <c r="AC113" t="s">
        <v>3986</v>
      </c>
      <c r="AD113" t="s">
        <v>3986</v>
      </c>
    </row>
    <row r="114" spans="1:30" x14ac:dyDescent="0.25">
      <c r="A114" t="s">
        <v>3292</v>
      </c>
      <c r="B114">
        <v>14</v>
      </c>
      <c r="C114" t="s">
        <v>3306</v>
      </c>
      <c r="D114" t="b">
        <v>1</v>
      </c>
      <c r="E114" t="b">
        <v>0</v>
      </c>
      <c r="F114" t="s">
        <v>3307</v>
      </c>
      <c r="G114" t="s">
        <v>3986</v>
      </c>
      <c r="H114" t="s">
        <v>3986</v>
      </c>
      <c r="I114" t="s">
        <v>3986</v>
      </c>
      <c r="J114" t="s">
        <v>3986</v>
      </c>
      <c r="K114" t="s">
        <v>3349</v>
      </c>
      <c r="L114" t="s">
        <v>3350</v>
      </c>
      <c r="M114" t="s">
        <v>1692</v>
      </c>
      <c r="N114">
        <v>7</v>
      </c>
      <c r="O114" t="b">
        <v>0</v>
      </c>
      <c r="P114" t="b">
        <v>1</v>
      </c>
      <c r="Q114" t="b">
        <v>0</v>
      </c>
      <c r="R114" t="b">
        <v>1</v>
      </c>
      <c r="T114" t="s">
        <v>3671</v>
      </c>
      <c r="U114">
        <v>125</v>
      </c>
      <c r="V114" t="s">
        <v>3986</v>
      </c>
      <c r="W114">
        <v>2</v>
      </c>
      <c r="X114" t="s">
        <v>3986</v>
      </c>
      <c r="Y114" t="s">
        <v>2396</v>
      </c>
      <c r="Z114">
        <v>0</v>
      </c>
      <c r="AA114" t="s">
        <v>2493</v>
      </c>
      <c r="AB114" t="s">
        <v>3986</v>
      </c>
      <c r="AC114" t="s">
        <v>3986</v>
      </c>
      <c r="AD114" t="s">
        <v>3986</v>
      </c>
    </row>
    <row r="115" spans="1:30" x14ac:dyDescent="0.25">
      <c r="A115" t="s">
        <v>2028</v>
      </c>
      <c r="B115">
        <v>15</v>
      </c>
      <c r="C115" t="s">
        <v>3310</v>
      </c>
      <c r="D115" t="b">
        <v>1</v>
      </c>
      <c r="E115" t="b">
        <v>0</v>
      </c>
      <c r="F115" t="s">
        <v>3986</v>
      </c>
      <c r="G115" t="s">
        <v>3986</v>
      </c>
      <c r="H115" t="s">
        <v>3986</v>
      </c>
      <c r="I115" t="s">
        <v>3986</v>
      </c>
      <c r="J115" t="s">
        <v>3986</v>
      </c>
      <c r="K115" t="s">
        <v>3349</v>
      </c>
      <c r="L115" t="s">
        <v>3350</v>
      </c>
      <c r="M115" t="s">
        <v>1692</v>
      </c>
      <c r="N115">
        <v>7</v>
      </c>
      <c r="O115" t="b">
        <v>0</v>
      </c>
      <c r="P115" t="b">
        <v>1</v>
      </c>
      <c r="Q115" t="b">
        <v>0</v>
      </c>
      <c r="R115" t="b">
        <v>1</v>
      </c>
      <c r="T115" t="s">
        <v>3671</v>
      </c>
      <c r="U115">
        <v>126</v>
      </c>
      <c r="V115" t="s">
        <v>3986</v>
      </c>
      <c r="W115">
        <v>2</v>
      </c>
      <c r="X115" t="s">
        <v>3986</v>
      </c>
      <c r="Y115" t="s">
        <v>2397</v>
      </c>
      <c r="Z115">
        <v>0</v>
      </c>
      <c r="AA115" t="s">
        <v>2493</v>
      </c>
      <c r="AB115" t="s">
        <v>3986</v>
      </c>
      <c r="AC115" t="s">
        <v>3986</v>
      </c>
      <c r="AD115" t="s">
        <v>3986</v>
      </c>
    </row>
    <row r="116" spans="1:30" x14ac:dyDescent="0.25">
      <c r="A116" t="s">
        <v>1969</v>
      </c>
      <c r="B116">
        <v>16</v>
      </c>
      <c r="C116" t="s">
        <v>3310</v>
      </c>
      <c r="D116" t="b">
        <v>1</v>
      </c>
      <c r="E116" t="b">
        <v>0</v>
      </c>
      <c r="F116" t="s">
        <v>3986</v>
      </c>
      <c r="G116" t="s">
        <v>3986</v>
      </c>
      <c r="H116" t="s">
        <v>3986</v>
      </c>
      <c r="I116" t="s">
        <v>3986</v>
      </c>
      <c r="J116" t="s">
        <v>3986</v>
      </c>
      <c r="K116" t="s">
        <v>3349</v>
      </c>
      <c r="L116" t="s">
        <v>3350</v>
      </c>
      <c r="M116" t="s">
        <v>1692</v>
      </c>
      <c r="N116">
        <v>7</v>
      </c>
      <c r="O116" t="b">
        <v>0</v>
      </c>
      <c r="P116" t="b">
        <v>1</v>
      </c>
      <c r="Q116" t="b">
        <v>0</v>
      </c>
      <c r="R116" t="b">
        <v>1</v>
      </c>
      <c r="T116" t="s">
        <v>3671</v>
      </c>
      <c r="U116">
        <v>127</v>
      </c>
      <c r="V116" t="s">
        <v>3986</v>
      </c>
      <c r="W116">
        <v>2</v>
      </c>
      <c r="X116" t="s">
        <v>3986</v>
      </c>
      <c r="Y116" t="s">
        <v>2398</v>
      </c>
      <c r="Z116">
        <v>0</v>
      </c>
      <c r="AA116" t="s">
        <v>2493</v>
      </c>
      <c r="AB116" t="s">
        <v>3986</v>
      </c>
      <c r="AC116" t="s">
        <v>3986</v>
      </c>
      <c r="AD116" t="s">
        <v>3986</v>
      </c>
    </row>
    <row r="117" spans="1:30" x14ac:dyDescent="0.25">
      <c r="A117" t="s">
        <v>3292</v>
      </c>
      <c r="B117">
        <v>2</v>
      </c>
      <c r="C117" t="s">
        <v>3306</v>
      </c>
      <c r="D117" t="b">
        <v>1</v>
      </c>
      <c r="E117" t="b">
        <v>0</v>
      </c>
      <c r="F117" t="s">
        <v>3307</v>
      </c>
      <c r="G117" t="s">
        <v>3986</v>
      </c>
      <c r="H117" t="s">
        <v>3986</v>
      </c>
      <c r="I117" t="s">
        <v>3986</v>
      </c>
      <c r="J117" t="s">
        <v>3986</v>
      </c>
      <c r="K117" t="s">
        <v>3351</v>
      </c>
      <c r="L117" t="s">
        <v>3352</v>
      </c>
      <c r="M117" t="s">
        <v>1692</v>
      </c>
      <c r="N117">
        <v>7</v>
      </c>
      <c r="O117" t="b">
        <v>0</v>
      </c>
      <c r="P117" t="b">
        <v>1</v>
      </c>
      <c r="Q117" t="b">
        <v>0</v>
      </c>
      <c r="R117" t="b">
        <v>1</v>
      </c>
      <c r="T117" t="s">
        <v>3671</v>
      </c>
      <c r="U117">
        <v>128</v>
      </c>
      <c r="V117" t="s">
        <v>3986</v>
      </c>
      <c r="W117">
        <v>2</v>
      </c>
      <c r="X117" t="s">
        <v>3986</v>
      </c>
      <c r="Y117" t="s">
        <v>2399</v>
      </c>
      <c r="Z117">
        <v>0</v>
      </c>
      <c r="AA117" t="s">
        <v>2493</v>
      </c>
      <c r="AB117" t="s">
        <v>3986</v>
      </c>
      <c r="AC117" t="s">
        <v>3986</v>
      </c>
      <c r="AD117" t="s">
        <v>3986</v>
      </c>
    </row>
    <row r="118" spans="1:30" x14ac:dyDescent="0.25">
      <c r="A118" t="s">
        <v>501</v>
      </c>
      <c r="B118">
        <v>4</v>
      </c>
      <c r="C118" t="s">
        <v>3310</v>
      </c>
      <c r="D118" t="b">
        <v>1</v>
      </c>
      <c r="E118" t="b">
        <v>0</v>
      </c>
      <c r="F118" t="s">
        <v>3986</v>
      </c>
      <c r="G118" t="s">
        <v>3986</v>
      </c>
      <c r="H118" t="s">
        <v>3986</v>
      </c>
      <c r="I118" t="s">
        <v>3986</v>
      </c>
      <c r="J118" t="s">
        <v>3986</v>
      </c>
      <c r="K118" t="s">
        <v>3351</v>
      </c>
      <c r="L118" t="s">
        <v>3352</v>
      </c>
      <c r="M118" t="s">
        <v>1692</v>
      </c>
      <c r="N118">
        <v>7</v>
      </c>
      <c r="O118" t="b">
        <v>0</v>
      </c>
      <c r="P118" t="b">
        <v>1</v>
      </c>
      <c r="Q118" t="b">
        <v>0</v>
      </c>
      <c r="R118" t="b">
        <v>1</v>
      </c>
      <c r="T118" t="s">
        <v>3671</v>
      </c>
      <c r="U118">
        <v>129</v>
      </c>
      <c r="V118" t="s">
        <v>3986</v>
      </c>
      <c r="W118">
        <v>2</v>
      </c>
      <c r="X118" t="s">
        <v>3986</v>
      </c>
      <c r="Y118" t="s">
        <v>2400</v>
      </c>
      <c r="Z118">
        <v>0</v>
      </c>
      <c r="AA118" t="s">
        <v>2493</v>
      </c>
      <c r="AB118" t="s">
        <v>3986</v>
      </c>
      <c r="AC118" t="s">
        <v>3986</v>
      </c>
      <c r="AD118" t="s">
        <v>3986</v>
      </c>
    </row>
    <row r="119" spans="1:30" x14ac:dyDescent="0.25">
      <c r="A119" t="s">
        <v>473</v>
      </c>
      <c r="B119">
        <v>5</v>
      </c>
      <c r="C119" t="s">
        <v>3310</v>
      </c>
      <c r="D119" t="b">
        <v>1</v>
      </c>
      <c r="E119" t="b">
        <v>0</v>
      </c>
      <c r="F119" t="s">
        <v>3986</v>
      </c>
      <c r="G119" t="s">
        <v>3986</v>
      </c>
      <c r="H119" t="s">
        <v>3986</v>
      </c>
      <c r="I119" t="s">
        <v>3986</v>
      </c>
      <c r="J119" t="s">
        <v>3986</v>
      </c>
      <c r="K119" t="s">
        <v>3351</v>
      </c>
      <c r="L119" t="s">
        <v>3352</v>
      </c>
      <c r="M119" t="s">
        <v>1692</v>
      </c>
      <c r="N119">
        <v>7</v>
      </c>
      <c r="O119" t="b">
        <v>0</v>
      </c>
      <c r="P119" t="b">
        <v>1</v>
      </c>
      <c r="Q119" t="b">
        <v>0</v>
      </c>
      <c r="R119" t="b">
        <v>1</v>
      </c>
      <c r="T119" t="s">
        <v>3671</v>
      </c>
      <c r="U119">
        <v>130</v>
      </c>
      <c r="V119" t="s">
        <v>3986</v>
      </c>
      <c r="W119">
        <v>2</v>
      </c>
      <c r="X119" t="s">
        <v>3986</v>
      </c>
      <c r="Y119" t="s">
        <v>2401</v>
      </c>
      <c r="Z119">
        <v>0</v>
      </c>
      <c r="AA119" t="s">
        <v>2493</v>
      </c>
      <c r="AB119" t="s">
        <v>3986</v>
      </c>
      <c r="AC119" t="s">
        <v>3986</v>
      </c>
      <c r="AD119" t="s">
        <v>3986</v>
      </c>
    </row>
    <row r="120" spans="1:30" x14ac:dyDescent="0.25">
      <c r="A120" t="s">
        <v>475</v>
      </c>
      <c r="B120">
        <v>6</v>
      </c>
      <c r="C120" t="s">
        <v>3310</v>
      </c>
      <c r="D120" t="b">
        <v>1</v>
      </c>
      <c r="E120" t="b">
        <v>0</v>
      </c>
      <c r="F120" t="s">
        <v>3986</v>
      </c>
      <c r="G120" t="s">
        <v>3986</v>
      </c>
      <c r="H120" t="s">
        <v>3986</v>
      </c>
      <c r="I120" t="s">
        <v>3986</v>
      </c>
      <c r="J120" t="s">
        <v>3986</v>
      </c>
      <c r="K120" t="s">
        <v>3351</v>
      </c>
      <c r="L120" t="s">
        <v>3352</v>
      </c>
      <c r="M120" t="s">
        <v>1692</v>
      </c>
      <c r="N120">
        <v>7</v>
      </c>
      <c r="O120" t="b">
        <v>0</v>
      </c>
      <c r="P120" t="b">
        <v>1</v>
      </c>
      <c r="Q120" t="b">
        <v>0</v>
      </c>
      <c r="R120" t="b">
        <v>1</v>
      </c>
      <c r="T120" t="s">
        <v>3671</v>
      </c>
      <c r="U120">
        <v>131</v>
      </c>
      <c r="V120" t="s">
        <v>3986</v>
      </c>
      <c r="W120">
        <v>2</v>
      </c>
      <c r="X120" t="s">
        <v>3986</v>
      </c>
      <c r="Y120" t="s">
        <v>2402</v>
      </c>
      <c r="Z120">
        <v>0</v>
      </c>
      <c r="AA120" t="s">
        <v>2493</v>
      </c>
      <c r="AB120" t="s">
        <v>3986</v>
      </c>
      <c r="AC120" t="s">
        <v>3986</v>
      </c>
      <c r="AD120" t="s">
        <v>3986</v>
      </c>
    </row>
    <row r="121" spans="1:30" x14ac:dyDescent="0.25">
      <c r="A121" t="s">
        <v>559</v>
      </c>
      <c r="B121">
        <v>7</v>
      </c>
      <c r="C121" t="s">
        <v>3310</v>
      </c>
      <c r="D121" t="b">
        <v>1</v>
      </c>
      <c r="E121" t="b">
        <v>0</v>
      </c>
      <c r="F121" t="s">
        <v>3986</v>
      </c>
      <c r="G121" t="s">
        <v>3986</v>
      </c>
      <c r="H121" t="s">
        <v>3986</v>
      </c>
      <c r="I121" t="s">
        <v>3986</v>
      </c>
      <c r="J121" t="s">
        <v>3986</v>
      </c>
      <c r="K121" t="s">
        <v>3351</v>
      </c>
      <c r="L121" t="s">
        <v>3352</v>
      </c>
      <c r="M121" t="s">
        <v>1692</v>
      </c>
      <c r="N121">
        <v>7</v>
      </c>
      <c r="O121" t="b">
        <v>0</v>
      </c>
      <c r="P121" t="b">
        <v>1</v>
      </c>
      <c r="Q121" t="b">
        <v>0</v>
      </c>
      <c r="R121" t="b">
        <v>1</v>
      </c>
      <c r="T121" t="s">
        <v>3671</v>
      </c>
      <c r="U121">
        <v>132</v>
      </c>
      <c r="V121" t="s">
        <v>3986</v>
      </c>
      <c r="W121">
        <v>2</v>
      </c>
      <c r="X121" t="s">
        <v>3986</v>
      </c>
      <c r="Y121" t="s">
        <v>2403</v>
      </c>
      <c r="Z121">
        <v>0</v>
      </c>
      <c r="AA121" t="s">
        <v>2493</v>
      </c>
      <c r="AB121" t="s">
        <v>3986</v>
      </c>
      <c r="AC121" t="s">
        <v>3986</v>
      </c>
      <c r="AD121" t="s">
        <v>3986</v>
      </c>
    </row>
    <row r="122" spans="1:30" x14ac:dyDescent="0.25">
      <c r="A122" t="s">
        <v>497</v>
      </c>
      <c r="B122">
        <v>8</v>
      </c>
      <c r="C122" t="s">
        <v>3310</v>
      </c>
      <c r="D122" t="b">
        <v>1</v>
      </c>
      <c r="E122" t="b">
        <v>0</v>
      </c>
      <c r="F122" t="s">
        <v>3986</v>
      </c>
      <c r="G122" t="s">
        <v>3986</v>
      </c>
      <c r="H122" t="s">
        <v>3986</v>
      </c>
      <c r="I122" t="s">
        <v>3986</v>
      </c>
      <c r="J122" t="s">
        <v>3986</v>
      </c>
      <c r="K122" t="s">
        <v>3351</v>
      </c>
      <c r="L122" t="s">
        <v>3352</v>
      </c>
      <c r="M122" t="s">
        <v>1692</v>
      </c>
      <c r="N122">
        <v>7</v>
      </c>
      <c r="O122" t="b">
        <v>0</v>
      </c>
      <c r="P122" t="b">
        <v>1</v>
      </c>
      <c r="Q122" t="b">
        <v>0</v>
      </c>
      <c r="R122" t="b">
        <v>1</v>
      </c>
      <c r="T122" t="s">
        <v>3671</v>
      </c>
      <c r="U122">
        <v>133</v>
      </c>
      <c r="V122" t="s">
        <v>3986</v>
      </c>
      <c r="W122">
        <v>2</v>
      </c>
      <c r="X122" t="s">
        <v>3986</v>
      </c>
      <c r="Y122" t="s">
        <v>2404</v>
      </c>
      <c r="Z122">
        <v>0</v>
      </c>
      <c r="AA122" t="s">
        <v>2493</v>
      </c>
      <c r="AB122" t="s">
        <v>3986</v>
      </c>
      <c r="AC122" t="s">
        <v>3986</v>
      </c>
      <c r="AD122" t="s">
        <v>3986</v>
      </c>
    </row>
    <row r="123" spans="1:30" x14ac:dyDescent="0.25">
      <c r="A123" t="s">
        <v>477</v>
      </c>
      <c r="B123">
        <v>9</v>
      </c>
      <c r="C123" t="s">
        <v>3310</v>
      </c>
      <c r="D123" t="b">
        <v>1</v>
      </c>
      <c r="E123" t="b">
        <v>0</v>
      </c>
      <c r="F123" t="s">
        <v>3986</v>
      </c>
      <c r="G123" t="s">
        <v>3986</v>
      </c>
      <c r="H123" t="s">
        <v>3986</v>
      </c>
      <c r="I123" t="s">
        <v>3986</v>
      </c>
      <c r="J123" t="s">
        <v>3986</v>
      </c>
      <c r="K123" t="s">
        <v>3351</v>
      </c>
      <c r="L123" t="s">
        <v>3352</v>
      </c>
      <c r="M123" t="s">
        <v>1692</v>
      </c>
      <c r="N123">
        <v>7</v>
      </c>
      <c r="O123" t="b">
        <v>0</v>
      </c>
      <c r="P123" t="b">
        <v>1</v>
      </c>
      <c r="Q123" t="b">
        <v>0</v>
      </c>
      <c r="R123" t="b">
        <v>1</v>
      </c>
      <c r="T123" t="s">
        <v>3671</v>
      </c>
      <c r="U123">
        <v>134</v>
      </c>
      <c r="V123" t="s">
        <v>3986</v>
      </c>
      <c r="W123">
        <v>2</v>
      </c>
      <c r="X123" t="s">
        <v>3986</v>
      </c>
      <c r="Y123" t="s">
        <v>2405</v>
      </c>
      <c r="Z123">
        <v>0</v>
      </c>
      <c r="AA123" t="s">
        <v>2493</v>
      </c>
      <c r="AB123" t="s">
        <v>3986</v>
      </c>
      <c r="AC123" t="s">
        <v>3986</v>
      </c>
      <c r="AD123" t="s">
        <v>3986</v>
      </c>
    </row>
    <row r="124" spans="1:30" x14ac:dyDescent="0.25">
      <c r="A124" t="s">
        <v>498</v>
      </c>
      <c r="B124">
        <v>10</v>
      </c>
      <c r="C124" t="s">
        <v>3310</v>
      </c>
      <c r="D124" t="b">
        <v>1</v>
      </c>
      <c r="E124" t="b">
        <v>0</v>
      </c>
      <c r="F124" t="s">
        <v>3986</v>
      </c>
      <c r="G124" t="s">
        <v>3986</v>
      </c>
      <c r="H124" t="s">
        <v>3986</v>
      </c>
      <c r="I124" t="s">
        <v>3986</v>
      </c>
      <c r="J124" t="s">
        <v>3986</v>
      </c>
      <c r="K124" t="s">
        <v>3351</v>
      </c>
      <c r="L124" t="s">
        <v>3352</v>
      </c>
      <c r="M124" t="s">
        <v>1692</v>
      </c>
      <c r="N124">
        <v>7</v>
      </c>
      <c r="O124" t="b">
        <v>0</v>
      </c>
      <c r="P124" t="b">
        <v>1</v>
      </c>
      <c r="Q124" t="b">
        <v>0</v>
      </c>
      <c r="R124" t="b">
        <v>1</v>
      </c>
      <c r="T124" t="s">
        <v>3671</v>
      </c>
      <c r="U124">
        <v>135</v>
      </c>
      <c r="V124" t="s">
        <v>3986</v>
      </c>
      <c r="W124">
        <v>2</v>
      </c>
      <c r="X124" t="s">
        <v>3986</v>
      </c>
      <c r="Y124" t="s">
        <v>2406</v>
      </c>
      <c r="Z124">
        <v>0</v>
      </c>
      <c r="AA124" t="s">
        <v>2493</v>
      </c>
      <c r="AB124" t="s">
        <v>3986</v>
      </c>
      <c r="AC124" t="s">
        <v>3986</v>
      </c>
      <c r="AD124" t="s">
        <v>3986</v>
      </c>
    </row>
    <row r="125" spans="1:30" x14ac:dyDescent="0.25">
      <c r="A125" t="s">
        <v>499</v>
      </c>
      <c r="B125">
        <v>11</v>
      </c>
      <c r="C125" t="s">
        <v>3310</v>
      </c>
      <c r="D125" t="b">
        <v>1</v>
      </c>
      <c r="E125" t="b">
        <v>0</v>
      </c>
      <c r="F125" t="s">
        <v>3986</v>
      </c>
      <c r="G125" t="s">
        <v>3986</v>
      </c>
      <c r="H125" t="s">
        <v>3986</v>
      </c>
      <c r="I125" t="s">
        <v>3986</v>
      </c>
      <c r="J125" t="s">
        <v>3986</v>
      </c>
      <c r="K125" t="s">
        <v>3351</v>
      </c>
      <c r="L125" t="s">
        <v>3352</v>
      </c>
      <c r="M125" t="s">
        <v>1692</v>
      </c>
      <c r="N125">
        <v>7</v>
      </c>
      <c r="O125" t="b">
        <v>0</v>
      </c>
      <c r="P125" t="b">
        <v>1</v>
      </c>
      <c r="Q125" t="b">
        <v>0</v>
      </c>
      <c r="R125" t="b">
        <v>1</v>
      </c>
      <c r="T125" t="s">
        <v>3671</v>
      </c>
      <c r="U125">
        <v>136</v>
      </c>
      <c r="V125" t="s">
        <v>3986</v>
      </c>
      <c r="W125">
        <v>2</v>
      </c>
      <c r="X125" t="s">
        <v>3986</v>
      </c>
      <c r="Y125" t="s">
        <v>2407</v>
      </c>
      <c r="Z125">
        <v>0</v>
      </c>
      <c r="AA125" t="s">
        <v>2493</v>
      </c>
      <c r="AB125" t="s">
        <v>3986</v>
      </c>
      <c r="AC125" t="s">
        <v>3986</v>
      </c>
      <c r="AD125" t="s">
        <v>3986</v>
      </c>
    </row>
    <row r="126" spans="1:30" x14ac:dyDescent="0.25">
      <c r="A126" t="s">
        <v>500</v>
      </c>
      <c r="B126">
        <v>12</v>
      </c>
      <c r="C126" t="s">
        <v>3310</v>
      </c>
      <c r="D126" t="b">
        <v>1</v>
      </c>
      <c r="E126" t="b">
        <v>0</v>
      </c>
      <c r="F126" t="s">
        <v>3986</v>
      </c>
      <c r="G126" t="s">
        <v>3986</v>
      </c>
      <c r="H126" t="s">
        <v>3986</v>
      </c>
      <c r="I126" t="s">
        <v>3986</v>
      </c>
      <c r="J126" t="s">
        <v>3986</v>
      </c>
      <c r="K126" t="s">
        <v>3351</v>
      </c>
      <c r="L126" t="s">
        <v>3352</v>
      </c>
      <c r="M126" t="s">
        <v>1692</v>
      </c>
      <c r="N126">
        <v>7</v>
      </c>
      <c r="O126" t="b">
        <v>0</v>
      </c>
      <c r="P126" t="b">
        <v>1</v>
      </c>
      <c r="Q126" t="b">
        <v>0</v>
      </c>
      <c r="R126" t="b">
        <v>1</v>
      </c>
      <c r="T126" t="s">
        <v>3671</v>
      </c>
      <c r="U126">
        <v>137</v>
      </c>
      <c r="V126" t="s">
        <v>3986</v>
      </c>
      <c r="W126">
        <v>2</v>
      </c>
      <c r="X126" t="s">
        <v>3986</v>
      </c>
      <c r="Y126" t="s">
        <v>2408</v>
      </c>
      <c r="Z126">
        <v>0</v>
      </c>
      <c r="AA126" t="s">
        <v>2493</v>
      </c>
      <c r="AB126" t="s">
        <v>3986</v>
      </c>
      <c r="AC126" t="s">
        <v>3986</v>
      </c>
      <c r="AD126" t="s">
        <v>3986</v>
      </c>
    </row>
    <row r="127" spans="1:30" x14ac:dyDescent="0.25">
      <c r="A127" t="s">
        <v>3292</v>
      </c>
      <c r="B127">
        <v>18</v>
      </c>
      <c r="C127" t="s">
        <v>3306</v>
      </c>
      <c r="D127" t="b">
        <v>1</v>
      </c>
      <c r="E127" t="b">
        <v>0</v>
      </c>
      <c r="F127" t="s">
        <v>3307</v>
      </c>
      <c r="G127" t="s">
        <v>3986</v>
      </c>
      <c r="H127" t="s">
        <v>3986</v>
      </c>
      <c r="I127" t="s">
        <v>3986</v>
      </c>
      <c r="J127" t="s">
        <v>3986</v>
      </c>
      <c r="K127" t="s">
        <v>3353</v>
      </c>
      <c r="L127" t="s">
        <v>3354</v>
      </c>
      <c r="M127" t="s">
        <v>1692</v>
      </c>
      <c r="N127">
        <v>7</v>
      </c>
      <c r="O127" t="b">
        <v>0</v>
      </c>
      <c r="P127" t="b">
        <v>1</v>
      </c>
      <c r="Q127" t="b">
        <v>0</v>
      </c>
      <c r="R127" t="b">
        <v>1</v>
      </c>
      <c r="T127" t="s">
        <v>3671</v>
      </c>
      <c r="U127">
        <v>138</v>
      </c>
      <c r="V127" t="s">
        <v>3986</v>
      </c>
      <c r="W127">
        <v>2</v>
      </c>
      <c r="X127" t="s">
        <v>3986</v>
      </c>
      <c r="Y127" t="s">
        <v>2409</v>
      </c>
      <c r="Z127">
        <v>0</v>
      </c>
      <c r="AA127" t="s">
        <v>2493</v>
      </c>
      <c r="AB127" t="s">
        <v>3986</v>
      </c>
      <c r="AC127" t="s">
        <v>3986</v>
      </c>
      <c r="AD127" t="s">
        <v>3986</v>
      </c>
    </row>
    <row r="128" spans="1:30" x14ac:dyDescent="0.25">
      <c r="A128" t="s">
        <v>96</v>
      </c>
      <c r="B128">
        <v>19</v>
      </c>
      <c r="C128" t="s">
        <v>3310</v>
      </c>
      <c r="D128" t="b">
        <v>1</v>
      </c>
      <c r="E128" t="b">
        <v>0</v>
      </c>
      <c r="F128" t="s">
        <v>3986</v>
      </c>
      <c r="G128" t="s">
        <v>3986</v>
      </c>
      <c r="H128" t="s">
        <v>3986</v>
      </c>
      <c r="I128" t="s">
        <v>3986</v>
      </c>
      <c r="J128" t="s">
        <v>3986</v>
      </c>
      <c r="K128" t="s">
        <v>3353</v>
      </c>
      <c r="L128" t="s">
        <v>3354</v>
      </c>
      <c r="M128" t="s">
        <v>1692</v>
      </c>
      <c r="N128">
        <v>7</v>
      </c>
      <c r="O128" t="b">
        <v>0</v>
      </c>
      <c r="P128" t="b">
        <v>1</v>
      </c>
      <c r="Q128" t="b">
        <v>0</v>
      </c>
      <c r="R128" t="b">
        <v>1</v>
      </c>
      <c r="T128" t="s">
        <v>3671</v>
      </c>
      <c r="U128">
        <v>139</v>
      </c>
      <c r="V128" t="s">
        <v>3986</v>
      </c>
      <c r="W128">
        <v>2</v>
      </c>
      <c r="X128" t="s">
        <v>3986</v>
      </c>
      <c r="Y128" t="s">
        <v>2410</v>
      </c>
      <c r="Z128">
        <v>0</v>
      </c>
      <c r="AA128" t="s">
        <v>2493</v>
      </c>
      <c r="AB128" t="s">
        <v>3986</v>
      </c>
      <c r="AC128" t="s">
        <v>3986</v>
      </c>
      <c r="AD128" t="s">
        <v>3986</v>
      </c>
    </row>
    <row r="129" spans="1:30" x14ac:dyDescent="0.25">
      <c r="A129" t="s">
        <v>16</v>
      </c>
      <c r="B129">
        <v>20</v>
      </c>
      <c r="C129" t="s">
        <v>3310</v>
      </c>
      <c r="D129" t="b">
        <v>1</v>
      </c>
      <c r="E129" t="b">
        <v>0</v>
      </c>
      <c r="F129" t="s">
        <v>3986</v>
      </c>
      <c r="G129" t="s">
        <v>3986</v>
      </c>
      <c r="H129" t="s">
        <v>3986</v>
      </c>
      <c r="I129" t="s">
        <v>3986</v>
      </c>
      <c r="J129" t="s">
        <v>3986</v>
      </c>
      <c r="K129" t="s">
        <v>3353</v>
      </c>
      <c r="L129" t="s">
        <v>3354</v>
      </c>
      <c r="M129" t="s">
        <v>1692</v>
      </c>
      <c r="N129">
        <v>7</v>
      </c>
      <c r="O129" t="b">
        <v>0</v>
      </c>
      <c r="P129" t="b">
        <v>1</v>
      </c>
      <c r="Q129" t="b">
        <v>0</v>
      </c>
      <c r="R129" t="b">
        <v>1</v>
      </c>
      <c r="T129" t="s">
        <v>3671</v>
      </c>
      <c r="U129">
        <v>140</v>
      </c>
      <c r="V129" t="s">
        <v>3986</v>
      </c>
      <c r="W129">
        <v>2</v>
      </c>
      <c r="X129" t="s">
        <v>3986</v>
      </c>
      <c r="Y129" t="s">
        <v>2411</v>
      </c>
      <c r="Z129">
        <v>0</v>
      </c>
      <c r="AA129" t="s">
        <v>2493</v>
      </c>
      <c r="AB129" t="s">
        <v>3986</v>
      </c>
      <c r="AC129" t="s">
        <v>3986</v>
      </c>
      <c r="AD129" t="s">
        <v>3986</v>
      </c>
    </row>
    <row r="130" spans="1:30" x14ac:dyDescent="0.25">
      <c r="A130" t="s">
        <v>20</v>
      </c>
      <c r="B130">
        <v>21</v>
      </c>
      <c r="C130" t="s">
        <v>3310</v>
      </c>
      <c r="D130" t="b">
        <v>1</v>
      </c>
      <c r="E130" t="b">
        <v>0</v>
      </c>
      <c r="F130" t="s">
        <v>3986</v>
      </c>
      <c r="G130" t="s">
        <v>3986</v>
      </c>
      <c r="H130" t="s">
        <v>3986</v>
      </c>
      <c r="I130" t="s">
        <v>3986</v>
      </c>
      <c r="J130" t="s">
        <v>3986</v>
      </c>
      <c r="K130" t="s">
        <v>3353</v>
      </c>
      <c r="L130" t="s">
        <v>3354</v>
      </c>
      <c r="M130" t="s">
        <v>1692</v>
      </c>
      <c r="N130">
        <v>7</v>
      </c>
      <c r="O130" t="b">
        <v>0</v>
      </c>
      <c r="P130" t="b">
        <v>1</v>
      </c>
      <c r="Q130" t="b">
        <v>0</v>
      </c>
      <c r="R130" t="b">
        <v>1</v>
      </c>
      <c r="T130" t="s">
        <v>3671</v>
      </c>
      <c r="U130">
        <v>141</v>
      </c>
      <c r="V130" t="s">
        <v>3986</v>
      </c>
      <c r="W130">
        <v>2</v>
      </c>
      <c r="X130" t="s">
        <v>3986</v>
      </c>
      <c r="Y130" t="s">
        <v>2412</v>
      </c>
      <c r="Z130">
        <v>0</v>
      </c>
      <c r="AA130" t="s">
        <v>2493</v>
      </c>
      <c r="AB130" t="s">
        <v>3986</v>
      </c>
      <c r="AC130" t="s">
        <v>3986</v>
      </c>
      <c r="AD130" t="s">
        <v>3986</v>
      </c>
    </row>
    <row r="131" spans="1:30" x14ac:dyDescent="0.25">
      <c r="A131" t="s">
        <v>18</v>
      </c>
      <c r="B131">
        <v>22</v>
      </c>
      <c r="C131" t="s">
        <v>3310</v>
      </c>
      <c r="D131" t="b">
        <v>1</v>
      </c>
      <c r="E131" t="b">
        <v>0</v>
      </c>
      <c r="F131" t="s">
        <v>3986</v>
      </c>
      <c r="G131" t="s">
        <v>3986</v>
      </c>
      <c r="H131" t="s">
        <v>3986</v>
      </c>
      <c r="I131" t="s">
        <v>3986</v>
      </c>
      <c r="J131" t="s">
        <v>3986</v>
      </c>
      <c r="K131" t="s">
        <v>3353</v>
      </c>
      <c r="L131" t="s">
        <v>3354</v>
      </c>
      <c r="M131" t="s">
        <v>1692</v>
      </c>
      <c r="N131">
        <v>7</v>
      </c>
      <c r="O131" t="b">
        <v>0</v>
      </c>
      <c r="P131" t="b">
        <v>1</v>
      </c>
      <c r="Q131" t="b">
        <v>0</v>
      </c>
      <c r="R131" t="b">
        <v>1</v>
      </c>
      <c r="T131" t="s">
        <v>3671</v>
      </c>
      <c r="U131">
        <v>142</v>
      </c>
      <c r="V131" t="s">
        <v>3986</v>
      </c>
      <c r="W131">
        <v>2</v>
      </c>
      <c r="X131" t="s">
        <v>3986</v>
      </c>
      <c r="Y131" t="s">
        <v>2413</v>
      </c>
      <c r="Z131">
        <v>0</v>
      </c>
      <c r="AA131" t="s">
        <v>2493</v>
      </c>
      <c r="AB131" t="s">
        <v>3986</v>
      </c>
      <c r="AC131" t="s">
        <v>3986</v>
      </c>
      <c r="AD131" t="s">
        <v>3986</v>
      </c>
    </row>
    <row r="132" spans="1:30" x14ac:dyDescent="0.25">
      <c r="A132" t="s">
        <v>3522</v>
      </c>
      <c r="B132">
        <v>23</v>
      </c>
      <c r="C132" t="s">
        <v>3310</v>
      </c>
      <c r="D132" t="b">
        <v>1</v>
      </c>
      <c r="E132" t="b">
        <v>0</v>
      </c>
      <c r="F132" t="s">
        <v>3986</v>
      </c>
      <c r="G132" t="s">
        <v>3986</v>
      </c>
      <c r="H132" t="s">
        <v>3986</v>
      </c>
      <c r="I132" t="s">
        <v>3986</v>
      </c>
      <c r="J132" t="s">
        <v>3986</v>
      </c>
      <c r="K132" t="s">
        <v>3353</v>
      </c>
      <c r="L132" t="s">
        <v>3354</v>
      </c>
      <c r="M132" t="s">
        <v>1692</v>
      </c>
      <c r="N132">
        <v>7</v>
      </c>
      <c r="O132" t="b">
        <v>0</v>
      </c>
      <c r="P132" t="b">
        <v>1</v>
      </c>
      <c r="Q132" t="b">
        <v>0</v>
      </c>
      <c r="R132" t="b">
        <v>1</v>
      </c>
      <c r="T132" t="s">
        <v>3671</v>
      </c>
      <c r="U132">
        <v>144</v>
      </c>
      <c r="V132" t="s">
        <v>3986</v>
      </c>
      <c r="W132">
        <v>2</v>
      </c>
      <c r="X132" t="s">
        <v>3986</v>
      </c>
      <c r="Y132" t="s">
        <v>14</v>
      </c>
      <c r="Z132">
        <v>0</v>
      </c>
      <c r="AA132" t="s">
        <v>2493</v>
      </c>
      <c r="AB132" t="s">
        <v>3986</v>
      </c>
      <c r="AC132" t="s">
        <v>3986</v>
      </c>
      <c r="AD132" t="s">
        <v>3986</v>
      </c>
    </row>
    <row r="133" spans="1:30" x14ac:dyDescent="0.25">
      <c r="A133" t="s">
        <v>3294</v>
      </c>
      <c r="B133">
        <v>2</v>
      </c>
      <c r="C133" t="s">
        <v>3306</v>
      </c>
      <c r="D133" t="b">
        <v>1</v>
      </c>
      <c r="E133" t="b">
        <v>0</v>
      </c>
      <c r="F133" t="s">
        <v>3307</v>
      </c>
      <c r="G133" t="s">
        <v>3986</v>
      </c>
      <c r="H133" t="s">
        <v>3986</v>
      </c>
      <c r="I133" t="s">
        <v>3986</v>
      </c>
      <c r="J133" t="s">
        <v>3986</v>
      </c>
      <c r="K133" t="s">
        <v>3355</v>
      </c>
      <c r="L133" t="s">
        <v>3356</v>
      </c>
      <c r="M133" t="s">
        <v>235</v>
      </c>
      <c r="N133">
        <v>7</v>
      </c>
      <c r="O133" t="b">
        <v>0</v>
      </c>
      <c r="P133" t="b">
        <v>1</v>
      </c>
      <c r="Q133" t="b">
        <v>0</v>
      </c>
      <c r="R133" t="b">
        <v>0</v>
      </c>
      <c r="T133" t="s">
        <v>3671</v>
      </c>
      <c r="U133">
        <v>145</v>
      </c>
      <c r="V133" t="s">
        <v>3986</v>
      </c>
      <c r="W133">
        <v>2</v>
      </c>
      <c r="X133" t="s">
        <v>3986</v>
      </c>
      <c r="Y133" t="s">
        <v>3802</v>
      </c>
      <c r="Z133">
        <v>0</v>
      </c>
      <c r="AA133" t="s">
        <v>2493</v>
      </c>
      <c r="AB133" t="s">
        <v>3986</v>
      </c>
      <c r="AC133" t="s">
        <v>3986</v>
      </c>
      <c r="AD133" t="s">
        <v>3986</v>
      </c>
    </row>
    <row r="134" spans="1:30" x14ac:dyDescent="0.25">
      <c r="A134" t="s">
        <v>3357</v>
      </c>
      <c r="B134">
        <v>3</v>
      </c>
      <c r="C134" t="s">
        <v>3310</v>
      </c>
      <c r="D134" t="b">
        <v>0</v>
      </c>
      <c r="E134" t="b">
        <v>1</v>
      </c>
      <c r="F134" t="s">
        <v>3986</v>
      </c>
      <c r="G134" t="s">
        <v>3986</v>
      </c>
      <c r="H134" t="s">
        <v>3986</v>
      </c>
      <c r="I134" t="s">
        <v>3986</v>
      </c>
      <c r="J134" t="s">
        <v>3986</v>
      </c>
      <c r="K134" t="s">
        <v>3355</v>
      </c>
      <c r="L134" t="s">
        <v>3356</v>
      </c>
      <c r="M134" t="s">
        <v>235</v>
      </c>
      <c r="N134">
        <v>7</v>
      </c>
      <c r="O134" t="b">
        <v>0</v>
      </c>
      <c r="P134" t="b">
        <v>1</v>
      </c>
      <c r="Q134" t="b">
        <v>0</v>
      </c>
      <c r="R134" t="b">
        <v>0</v>
      </c>
      <c r="T134" t="s">
        <v>3671</v>
      </c>
      <c r="U134">
        <v>146</v>
      </c>
      <c r="V134" t="s">
        <v>3986</v>
      </c>
      <c r="W134">
        <v>2</v>
      </c>
      <c r="X134" t="s">
        <v>3986</v>
      </c>
      <c r="Y134" t="s">
        <v>3803</v>
      </c>
      <c r="Z134">
        <v>0</v>
      </c>
      <c r="AA134" t="s">
        <v>2493</v>
      </c>
      <c r="AB134" t="s">
        <v>3986</v>
      </c>
      <c r="AC134" t="s">
        <v>3986</v>
      </c>
      <c r="AD134" t="s">
        <v>3986</v>
      </c>
    </row>
    <row r="135" spans="1:30" x14ac:dyDescent="0.25">
      <c r="A135" t="s">
        <v>3358</v>
      </c>
      <c r="B135">
        <v>5</v>
      </c>
      <c r="C135" t="s">
        <v>3310</v>
      </c>
      <c r="D135" t="b">
        <v>0</v>
      </c>
      <c r="E135" t="b">
        <v>1</v>
      </c>
      <c r="F135" t="s">
        <v>3986</v>
      </c>
      <c r="G135" t="s">
        <v>3986</v>
      </c>
      <c r="H135" t="s">
        <v>3986</v>
      </c>
      <c r="I135" t="s">
        <v>3359</v>
      </c>
      <c r="J135" t="s">
        <v>3986</v>
      </c>
      <c r="K135" t="s">
        <v>3355</v>
      </c>
      <c r="L135" t="s">
        <v>3356</v>
      </c>
      <c r="M135" t="s">
        <v>235</v>
      </c>
      <c r="N135">
        <v>7</v>
      </c>
      <c r="O135" t="b">
        <v>0</v>
      </c>
      <c r="P135" t="b">
        <v>1</v>
      </c>
      <c r="Q135" t="b">
        <v>0</v>
      </c>
      <c r="R135" t="b">
        <v>0</v>
      </c>
      <c r="T135" t="s">
        <v>3671</v>
      </c>
      <c r="U135">
        <v>147</v>
      </c>
      <c r="V135" t="s">
        <v>3986</v>
      </c>
      <c r="W135">
        <v>2</v>
      </c>
      <c r="X135" t="s">
        <v>3986</v>
      </c>
      <c r="Y135" t="s">
        <v>3804</v>
      </c>
      <c r="Z135">
        <v>0</v>
      </c>
      <c r="AA135" t="s">
        <v>2493</v>
      </c>
      <c r="AB135" t="s">
        <v>3986</v>
      </c>
      <c r="AC135" t="s">
        <v>3986</v>
      </c>
      <c r="AD135" t="s">
        <v>3986</v>
      </c>
    </row>
    <row r="136" spans="1:30" x14ac:dyDescent="0.25">
      <c r="A136" t="s">
        <v>3360</v>
      </c>
      <c r="B136">
        <v>15</v>
      </c>
      <c r="C136" t="s">
        <v>3343</v>
      </c>
      <c r="D136" t="b">
        <v>1</v>
      </c>
      <c r="E136" t="b">
        <v>0</v>
      </c>
      <c r="F136" t="s">
        <v>3307</v>
      </c>
      <c r="G136" t="s">
        <v>3986</v>
      </c>
      <c r="H136" t="s">
        <v>3986</v>
      </c>
      <c r="I136" t="s">
        <v>3986</v>
      </c>
      <c r="J136" t="s">
        <v>3986</v>
      </c>
      <c r="K136" t="s">
        <v>3361</v>
      </c>
      <c r="L136" t="s">
        <v>3362</v>
      </c>
      <c r="M136" t="s">
        <v>3767</v>
      </c>
      <c r="N136">
        <v>7</v>
      </c>
      <c r="O136" t="b">
        <v>0</v>
      </c>
      <c r="P136" t="b">
        <v>0</v>
      </c>
      <c r="Q136" t="b">
        <v>0</v>
      </c>
      <c r="R136" t="b">
        <v>0</v>
      </c>
      <c r="T136" t="s">
        <v>3671</v>
      </c>
      <c r="U136">
        <v>148</v>
      </c>
      <c r="V136" t="s">
        <v>3986</v>
      </c>
      <c r="W136">
        <v>2</v>
      </c>
      <c r="X136" t="s">
        <v>3986</v>
      </c>
      <c r="Y136" t="s">
        <v>4203</v>
      </c>
      <c r="Z136">
        <v>0</v>
      </c>
      <c r="AA136" t="s">
        <v>2493</v>
      </c>
      <c r="AB136" t="s">
        <v>3986</v>
      </c>
      <c r="AC136" t="s">
        <v>3986</v>
      </c>
      <c r="AD136" t="s">
        <v>3986</v>
      </c>
    </row>
    <row r="137" spans="1:30" x14ac:dyDescent="0.25">
      <c r="A137" t="s">
        <v>3363</v>
      </c>
      <c r="B137">
        <v>16</v>
      </c>
      <c r="C137" t="s">
        <v>3306</v>
      </c>
      <c r="D137" t="b">
        <v>0</v>
      </c>
      <c r="E137" t="b">
        <v>1</v>
      </c>
      <c r="F137" t="s">
        <v>3986</v>
      </c>
      <c r="G137" t="s">
        <v>3986</v>
      </c>
      <c r="H137" t="s">
        <v>3986</v>
      </c>
      <c r="I137" t="s">
        <v>3986</v>
      </c>
      <c r="J137" t="s">
        <v>3986</v>
      </c>
      <c r="K137" t="s">
        <v>3361</v>
      </c>
      <c r="L137" t="s">
        <v>3362</v>
      </c>
      <c r="M137" t="s">
        <v>3767</v>
      </c>
      <c r="N137">
        <v>7</v>
      </c>
      <c r="O137" t="b">
        <v>0</v>
      </c>
      <c r="P137" t="b">
        <v>0</v>
      </c>
      <c r="Q137" t="b">
        <v>0</v>
      </c>
      <c r="R137" t="b">
        <v>0</v>
      </c>
      <c r="T137" t="s">
        <v>3671</v>
      </c>
      <c r="U137">
        <v>149</v>
      </c>
      <c r="V137" t="s">
        <v>3986</v>
      </c>
      <c r="W137">
        <v>2</v>
      </c>
      <c r="X137" t="s">
        <v>3986</v>
      </c>
      <c r="Y137" t="s">
        <v>2414</v>
      </c>
      <c r="Z137">
        <v>0</v>
      </c>
      <c r="AA137" t="s">
        <v>2493</v>
      </c>
      <c r="AB137" t="s">
        <v>3986</v>
      </c>
      <c r="AC137" t="s">
        <v>3986</v>
      </c>
      <c r="AD137" t="s">
        <v>3986</v>
      </c>
    </row>
    <row r="138" spans="1:30" x14ac:dyDescent="0.25">
      <c r="A138" t="s">
        <v>3364</v>
      </c>
      <c r="B138">
        <v>2</v>
      </c>
      <c r="C138" t="s">
        <v>3306</v>
      </c>
      <c r="D138" t="b">
        <v>1</v>
      </c>
      <c r="E138" t="b">
        <v>0</v>
      </c>
      <c r="F138" t="s">
        <v>3307</v>
      </c>
      <c r="G138" t="s">
        <v>3986</v>
      </c>
      <c r="H138" t="s">
        <v>3986</v>
      </c>
      <c r="I138" t="s">
        <v>3986</v>
      </c>
      <c r="J138" t="s">
        <v>3986</v>
      </c>
      <c r="K138" t="s">
        <v>3365</v>
      </c>
      <c r="L138" t="s">
        <v>3366</v>
      </c>
      <c r="M138" t="s">
        <v>1975</v>
      </c>
      <c r="N138">
        <v>7</v>
      </c>
      <c r="O138" t="b">
        <v>0</v>
      </c>
      <c r="P138" t="b">
        <v>0</v>
      </c>
      <c r="Q138" t="b">
        <v>0</v>
      </c>
      <c r="R138" t="b">
        <v>0</v>
      </c>
      <c r="T138" t="s">
        <v>3671</v>
      </c>
      <c r="U138">
        <v>150</v>
      </c>
      <c r="V138" t="s">
        <v>3986</v>
      </c>
      <c r="W138">
        <v>2</v>
      </c>
      <c r="X138" t="s">
        <v>3986</v>
      </c>
      <c r="Y138" t="s">
        <v>2415</v>
      </c>
      <c r="Z138">
        <v>0</v>
      </c>
      <c r="AA138" t="s">
        <v>2493</v>
      </c>
      <c r="AB138" t="s">
        <v>3986</v>
      </c>
      <c r="AC138" t="s">
        <v>3986</v>
      </c>
      <c r="AD138" t="s">
        <v>3986</v>
      </c>
    </row>
    <row r="139" spans="1:30" x14ac:dyDescent="0.25">
      <c r="A139" t="s">
        <v>3367</v>
      </c>
      <c r="B139">
        <v>3</v>
      </c>
      <c r="C139" t="s">
        <v>3306</v>
      </c>
      <c r="D139" t="b">
        <v>1</v>
      </c>
      <c r="E139" t="b">
        <v>0</v>
      </c>
      <c r="F139" t="s">
        <v>3307</v>
      </c>
      <c r="G139" t="s">
        <v>3986</v>
      </c>
      <c r="H139" t="s">
        <v>3986</v>
      </c>
      <c r="I139" t="s">
        <v>3986</v>
      </c>
      <c r="J139" t="s">
        <v>3986</v>
      </c>
      <c r="K139" t="s">
        <v>3365</v>
      </c>
      <c r="L139" t="s">
        <v>3366</v>
      </c>
      <c r="M139" t="s">
        <v>1975</v>
      </c>
      <c r="N139">
        <v>7</v>
      </c>
      <c r="O139" t="b">
        <v>0</v>
      </c>
      <c r="P139" t="b">
        <v>0</v>
      </c>
      <c r="Q139" t="b">
        <v>0</v>
      </c>
      <c r="R139" t="b">
        <v>0</v>
      </c>
      <c r="T139" t="s">
        <v>3671</v>
      </c>
      <c r="U139">
        <v>151</v>
      </c>
      <c r="V139" t="s">
        <v>3986</v>
      </c>
      <c r="W139">
        <v>2</v>
      </c>
      <c r="X139" t="s">
        <v>3986</v>
      </c>
      <c r="Y139" t="s">
        <v>2416</v>
      </c>
      <c r="Z139">
        <v>0</v>
      </c>
      <c r="AA139" t="s">
        <v>2493</v>
      </c>
      <c r="AB139" t="s">
        <v>3986</v>
      </c>
      <c r="AC139" t="s">
        <v>3986</v>
      </c>
      <c r="AD139" t="s">
        <v>3986</v>
      </c>
    </row>
    <row r="140" spans="1:30" x14ac:dyDescent="0.25">
      <c r="A140" t="s">
        <v>3368</v>
      </c>
      <c r="B140">
        <v>4</v>
      </c>
      <c r="C140" t="s">
        <v>3310</v>
      </c>
      <c r="D140" t="b">
        <v>1</v>
      </c>
      <c r="E140" t="b">
        <v>0</v>
      </c>
      <c r="F140" t="s">
        <v>3986</v>
      </c>
      <c r="G140" t="s">
        <v>3986</v>
      </c>
      <c r="H140" t="s">
        <v>3986</v>
      </c>
      <c r="I140" t="s">
        <v>3986</v>
      </c>
      <c r="J140" t="s">
        <v>3369</v>
      </c>
      <c r="K140" t="s">
        <v>3365</v>
      </c>
      <c r="L140" t="s">
        <v>3366</v>
      </c>
      <c r="M140" t="s">
        <v>1975</v>
      </c>
      <c r="N140">
        <v>7</v>
      </c>
      <c r="O140" t="b">
        <v>0</v>
      </c>
      <c r="P140" t="b">
        <v>0</v>
      </c>
      <c r="Q140" t="b">
        <v>0</v>
      </c>
      <c r="R140" t="b">
        <v>0</v>
      </c>
      <c r="T140" t="s">
        <v>3671</v>
      </c>
      <c r="U140">
        <v>152</v>
      </c>
      <c r="V140" t="s">
        <v>3986</v>
      </c>
      <c r="W140">
        <v>2</v>
      </c>
      <c r="X140" t="s">
        <v>3986</v>
      </c>
      <c r="Y140" t="s">
        <v>2417</v>
      </c>
      <c r="Z140">
        <v>0</v>
      </c>
      <c r="AA140" t="s">
        <v>2493</v>
      </c>
      <c r="AB140" t="s">
        <v>3986</v>
      </c>
      <c r="AC140" t="s">
        <v>3986</v>
      </c>
      <c r="AD140" t="s">
        <v>3986</v>
      </c>
    </row>
    <row r="141" spans="1:30" x14ac:dyDescent="0.25">
      <c r="A141" t="s">
        <v>34</v>
      </c>
      <c r="B141">
        <v>6</v>
      </c>
      <c r="C141" t="s">
        <v>3306</v>
      </c>
      <c r="D141" t="b">
        <v>1</v>
      </c>
      <c r="E141" t="b">
        <v>0</v>
      </c>
      <c r="F141" t="s">
        <v>3307</v>
      </c>
      <c r="G141" t="s">
        <v>3986</v>
      </c>
      <c r="H141" t="s">
        <v>3986</v>
      </c>
      <c r="I141" t="s">
        <v>3986</v>
      </c>
      <c r="J141" t="s">
        <v>3370</v>
      </c>
      <c r="K141" t="s">
        <v>3371</v>
      </c>
      <c r="L141" t="s">
        <v>3372</v>
      </c>
      <c r="M141" t="s">
        <v>1975</v>
      </c>
      <c r="N141">
        <v>6</v>
      </c>
      <c r="O141" t="b">
        <v>0</v>
      </c>
      <c r="P141" t="b">
        <v>0</v>
      </c>
      <c r="Q141" t="b">
        <v>0</v>
      </c>
      <c r="R141" t="b">
        <v>0</v>
      </c>
      <c r="T141" t="s">
        <v>3671</v>
      </c>
      <c r="U141">
        <v>153</v>
      </c>
      <c r="V141" t="s">
        <v>3986</v>
      </c>
      <c r="W141">
        <v>2</v>
      </c>
      <c r="X141" t="s">
        <v>3986</v>
      </c>
      <c r="Y141" t="s">
        <v>2418</v>
      </c>
      <c r="Z141">
        <v>0</v>
      </c>
      <c r="AA141" t="s">
        <v>2493</v>
      </c>
      <c r="AB141" t="s">
        <v>3986</v>
      </c>
      <c r="AC141" t="s">
        <v>3986</v>
      </c>
      <c r="AD141" t="s">
        <v>3986</v>
      </c>
    </row>
    <row r="142" spans="1:30" x14ac:dyDescent="0.25">
      <c r="A142" t="s">
        <v>3987</v>
      </c>
      <c r="B142">
        <v>7</v>
      </c>
      <c r="C142" t="s">
        <v>3310</v>
      </c>
      <c r="D142" t="b">
        <v>1</v>
      </c>
      <c r="E142" t="b">
        <v>0</v>
      </c>
      <c r="F142" t="s">
        <v>3373</v>
      </c>
      <c r="G142" t="s">
        <v>3986</v>
      </c>
      <c r="H142" t="s">
        <v>3986</v>
      </c>
      <c r="I142" t="s">
        <v>3986</v>
      </c>
      <c r="J142" t="s">
        <v>3986</v>
      </c>
      <c r="K142" t="s">
        <v>3371</v>
      </c>
      <c r="L142" t="s">
        <v>3372</v>
      </c>
      <c r="M142" t="s">
        <v>1975</v>
      </c>
      <c r="N142">
        <v>6</v>
      </c>
      <c r="O142" t="b">
        <v>0</v>
      </c>
      <c r="P142" t="b">
        <v>0</v>
      </c>
      <c r="Q142" t="b">
        <v>0</v>
      </c>
      <c r="R142" t="b">
        <v>0</v>
      </c>
      <c r="T142" t="s">
        <v>3671</v>
      </c>
      <c r="U142">
        <v>154</v>
      </c>
      <c r="V142" t="s">
        <v>3986</v>
      </c>
      <c r="W142">
        <v>2</v>
      </c>
      <c r="X142" t="s">
        <v>3986</v>
      </c>
      <c r="Y142" t="s">
        <v>2419</v>
      </c>
      <c r="Z142">
        <v>0</v>
      </c>
      <c r="AA142" t="s">
        <v>2493</v>
      </c>
      <c r="AB142" t="s">
        <v>3986</v>
      </c>
      <c r="AC142" t="s">
        <v>3986</v>
      </c>
      <c r="AD142" t="s">
        <v>3986</v>
      </c>
    </row>
    <row r="143" spans="1:30" x14ac:dyDescent="0.25">
      <c r="A143" t="s">
        <v>3988</v>
      </c>
      <c r="B143">
        <v>8</v>
      </c>
      <c r="C143" t="s">
        <v>3310</v>
      </c>
      <c r="D143" t="b">
        <v>1</v>
      </c>
      <c r="E143" t="b">
        <v>0</v>
      </c>
      <c r="F143" t="s">
        <v>3373</v>
      </c>
      <c r="G143" t="s">
        <v>3986</v>
      </c>
      <c r="H143" t="s">
        <v>3986</v>
      </c>
      <c r="I143" t="s">
        <v>3986</v>
      </c>
      <c r="J143" t="s">
        <v>3986</v>
      </c>
      <c r="K143" t="s">
        <v>3371</v>
      </c>
      <c r="L143" t="s">
        <v>3372</v>
      </c>
      <c r="M143" t="s">
        <v>1975</v>
      </c>
      <c r="N143">
        <v>6</v>
      </c>
      <c r="O143" t="b">
        <v>0</v>
      </c>
      <c r="P143" t="b">
        <v>0</v>
      </c>
      <c r="Q143" t="b">
        <v>0</v>
      </c>
      <c r="R143" t="b">
        <v>0</v>
      </c>
      <c r="T143" t="s">
        <v>3671</v>
      </c>
      <c r="U143">
        <v>155</v>
      </c>
      <c r="V143" t="s">
        <v>3986</v>
      </c>
      <c r="W143">
        <v>2</v>
      </c>
      <c r="X143" t="s">
        <v>3986</v>
      </c>
      <c r="Y143" t="s">
        <v>3168</v>
      </c>
      <c r="Z143">
        <v>0</v>
      </c>
      <c r="AA143" t="s">
        <v>2493</v>
      </c>
      <c r="AB143" t="s">
        <v>3986</v>
      </c>
      <c r="AC143" t="s">
        <v>3986</v>
      </c>
      <c r="AD143" t="s">
        <v>3986</v>
      </c>
    </row>
    <row r="144" spans="1:30" x14ac:dyDescent="0.25">
      <c r="A144" t="s">
        <v>3989</v>
      </c>
      <c r="B144">
        <v>9</v>
      </c>
      <c r="C144" t="s">
        <v>3310</v>
      </c>
      <c r="D144" t="b">
        <v>1</v>
      </c>
      <c r="E144" t="b">
        <v>0</v>
      </c>
      <c r="F144" t="s">
        <v>3373</v>
      </c>
      <c r="G144" t="s">
        <v>3986</v>
      </c>
      <c r="H144" t="s">
        <v>3986</v>
      </c>
      <c r="I144" t="s">
        <v>3986</v>
      </c>
      <c r="J144" t="s">
        <v>3986</v>
      </c>
      <c r="K144" t="s">
        <v>3371</v>
      </c>
      <c r="L144" t="s">
        <v>3372</v>
      </c>
      <c r="M144" t="s">
        <v>1975</v>
      </c>
      <c r="N144">
        <v>6</v>
      </c>
      <c r="O144" t="b">
        <v>0</v>
      </c>
      <c r="P144" t="b">
        <v>0</v>
      </c>
      <c r="Q144" t="b">
        <v>0</v>
      </c>
      <c r="R144" t="b">
        <v>0</v>
      </c>
      <c r="T144" t="s">
        <v>3671</v>
      </c>
      <c r="U144">
        <v>156</v>
      </c>
      <c r="V144" t="s">
        <v>3986</v>
      </c>
      <c r="W144">
        <v>2</v>
      </c>
      <c r="X144" t="s">
        <v>3986</v>
      </c>
      <c r="Y144" t="s">
        <v>3169</v>
      </c>
      <c r="Z144">
        <v>0</v>
      </c>
      <c r="AA144" t="s">
        <v>2493</v>
      </c>
      <c r="AB144" t="s">
        <v>3986</v>
      </c>
      <c r="AC144" t="s">
        <v>3986</v>
      </c>
      <c r="AD144" t="s">
        <v>3986</v>
      </c>
    </row>
    <row r="145" spans="1:30" x14ac:dyDescent="0.25">
      <c r="A145" t="s">
        <v>3990</v>
      </c>
      <c r="B145">
        <v>10</v>
      </c>
      <c r="C145" t="s">
        <v>3310</v>
      </c>
      <c r="D145" t="b">
        <v>1</v>
      </c>
      <c r="E145" t="b">
        <v>0</v>
      </c>
      <c r="F145" t="s">
        <v>3373</v>
      </c>
      <c r="G145" t="s">
        <v>3986</v>
      </c>
      <c r="H145" t="s">
        <v>3986</v>
      </c>
      <c r="I145" t="s">
        <v>3986</v>
      </c>
      <c r="J145" t="s">
        <v>3986</v>
      </c>
      <c r="K145" t="s">
        <v>3371</v>
      </c>
      <c r="L145" t="s">
        <v>3372</v>
      </c>
      <c r="M145" t="s">
        <v>1975</v>
      </c>
      <c r="N145">
        <v>6</v>
      </c>
      <c r="O145" t="b">
        <v>0</v>
      </c>
      <c r="P145" t="b">
        <v>0</v>
      </c>
      <c r="Q145" t="b">
        <v>0</v>
      </c>
      <c r="R145" t="b">
        <v>0</v>
      </c>
      <c r="T145" t="s">
        <v>3671</v>
      </c>
      <c r="U145">
        <v>157</v>
      </c>
      <c r="V145" t="s">
        <v>3986</v>
      </c>
      <c r="W145">
        <v>2</v>
      </c>
      <c r="X145" t="s">
        <v>3986</v>
      </c>
      <c r="Y145" t="s">
        <v>2420</v>
      </c>
      <c r="Z145">
        <v>0</v>
      </c>
      <c r="AA145" t="s">
        <v>2493</v>
      </c>
      <c r="AB145" t="s">
        <v>3986</v>
      </c>
      <c r="AC145" t="s">
        <v>3986</v>
      </c>
      <c r="AD145" t="s">
        <v>3986</v>
      </c>
    </row>
    <row r="146" spans="1:30" x14ac:dyDescent="0.25">
      <c r="A146" t="s">
        <v>3991</v>
      </c>
      <c r="B146">
        <v>11</v>
      </c>
      <c r="C146" t="s">
        <v>3310</v>
      </c>
      <c r="D146" t="b">
        <v>1</v>
      </c>
      <c r="E146" t="b">
        <v>0</v>
      </c>
      <c r="F146" t="s">
        <v>3373</v>
      </c>
      <c r="G146" t="s">
        <v>3986</v>
      </c>
      <c r="H146" t="s">
        <v>3986</v>
      </c>
      <c r="I146" t="s">
        <v>3986</v>
      </c>
      <c r="J146" t="s">
        <v>3986</v>
      </c>
      <c r="K146" t="s">
        <v>3371</v>
      </c>
      <c r="L146" t="s">
        <v>3372</v>
      </c>
      <c r="M146" t="s">
        <v>1975</v>
      </c>
      <c r="N146">
        <v>6</v>
      </c>
      <c r="O146" t="b">
        <v>0</v>
      </c>
      <c r="P146" t="b">
        <v>0</v>
      </c>
      <c r="Q146" t="b">
        <v>0</v>
      </c>
      <c r="R146" t="b">
        <v>0</v>
      </c>
      <c r="T146" t="s">
        <v>3671</v>
      </c>
      <c r="U146">
        <v>158</v>
      </c>
      <c r="V146" t="s">
        <v>3986</v>
      </c>
      <c r="W146">
        <v>2</v>
      </c>
      <c r="X146" t="s">
        <v>3986</v>
      </c>
      <c r="Y146" t="s">
        <v>2421</v>
      </c>
      <c r="Z146">
        <v>0</v>
      </c>
      <c r="AA146" t="s">
        <v>2493</v>
      </c>
      <c r="AB146" t="s">
        <v>3986</v>
      </c>
      <c r="AC146" t="s">
        <v>3986</v>
      </c>
      <c r="AD146" t="s">
        <v>3986</v>
      </c>
    </row>
    <row r="147" spans="1:30" x14ac:dyDescent="0.25">
      <c r="A147" t="s">
        <v>3992</v>
      </c>
      <c r="B147">
        <v>12</v>
      </c>
      <c r="C147" t="s">
        <v>3310</v>
      </c>
      <c r="D147" t="b">
        <v>1</v>
      </c>
      <c r="E147" t="b">
        <v>0</v>
      </c>
      <c r="F147" t="s">
        <v>3373</v>
      </c>
      <c r="G147" t="s">
        <v>3986</v>
      </c>
      <c r="H147" t="s">
        <v>3986</v>
      </c>
      <c r="I147" t="s">
        <v>3986</v>
      </c>
      <c r="J147" t="s">
        <v>3986</v>
      </c>
      <c r="K147" t="s">
        <v>3371</v>
      </c>
      <c r="L147" t="s">
        <v>3372</v>
      </c>
      <c r="M147" t="s">
        <v>1975</v>
      </c>
      <c r="N147">
        <v>6</v>
      </c>
      <c r="O147" t="b">
        <v>0</v>
      </c>
      <c r="P147" t="b">
        <v>0</v>
      </c>
      <c r="Q147" t="b">
        <v>0</v>
      </c>
      <c r="R147" t="b">
        <v>0</v>
      </c>
      <c r="T147" t="s">
        <v>3671</v>
      </c>
      <c r="U147">
        <v>159</v>
      </c>
      <c r="V147" t="s">
        <v>3986</v>
      </c>
      <c r="W147">
        <v>2</v>
      </c>
      <c r="X147" t="s">
        <v>3986</v>
      </c>
      <c r="Y147" t="s">
        <v>2422</v>
      </c>
      <c r="Z147">
        <v>0</v>
      </c>
      <c r="AA147" t="s">
        <v>2493</v>
      </c>
      <c r="AB147" t="s">
        <v>3986</v>
      </c>
      <c r="AC147" t="s">
        <v>3986</v>
      </c>
      <c r="AD147" t="s">
        <v>3986</v>
      </c>
    </row>
    <row r="148" spans="1:30" x14ac:dyDescent="0.25">
      <c r="A148" t="s">
        <v>3993</v>
      </c>
      <c r="B148">
        <v>13</v>
      </c>
      <c r="C148" t="s">
        <v>3310</v>
      </c>
      <c r="D148" t="b">
        <v>1</v>
      </c>
      <c r="E148" t="b">
        <v>0</v>
      </c>
      <c r="F148" t="s">
        <v>3373</v>
      </c>
      <c r="G148" t="s">
        <v>3986</v>
      </c>
      <c r="H148" t="s">
        <v>3986</v>
      </c>
      <c r="I148" t="s">
        <v>3986</v>
      </c>
      <c r="J148" t="s">
        <v>3986</v>
      </c>
      <c r="K148" t="s">
        <v>3371</v>
      </c>
      <c r="L148" t="s">
        <v>3372</v>
      </c>
      <c r="M148" t="s">
        <v>1975</v>
      </c>
      <c r="N148">
        <v>6</v>
      </c>
      <c r="O148" t="b">
        <v>0</v>
      </c>
      <c r="P148" t="b">
        <v>0</v>
      </c>
      <c r="Q148" t="b">
        <v>0</v>
      </c>
      <c r="R148" t="b">
        <v>0</v>
      </c>
      <c r="T148" t="s">
        <v>3671</v>
      </c>
      <c r="U148">
        <v>160</v>
      </c>
      <c r="V148" t="s">
        <v>3986</v>
      </c>
      <c r="W148">
        <v>2</v>
      </c>
      <c r="X148" t="s">
        <v>3986</v>
      </c>
      <c r="Y148" t="s">
        <v>2423</v>
      </c>
      <c r="Z148">
        <v>0</v>
      </c>
      <c r="AA148" t="s">
        <v>2493</v>
      </c>
      <c r="AB148" t="s">
        <v>3986</v>
      </c>
      <c r="AC148" t="s">
        <v>3986</v>
      </c>
      <c r="AD148" t="s">
        <v>3986</v>
      </c>
    </row>
    <row r="149" spans="1:30" x14ac:dyDescent="0.25">
      <c r="A149" t="s">
        <v>3994</v>
      </c>
      <c r="B149">
        <v>14</v>
      </c>
      <c r="C149" t="s">
        <v>3310</v>
      </c>
      <c r="D149" t="b">
        <v>1</v>
      </c>
      <c r="E149" t="b">
        <v>0</v>
      </c>
      <c r="F149" t="s">
        <v>3373</v>
      </c>
      <c r="G149" t="s">
        <v>3986</v>
      </c>
      <c r="H149" t="s">
        <v>3986</v>
      </c>
      <c r="I149" t="s">
        <v>3986</v>
      </c>
      <c r="J149" t="s">
        <v>3986</v>
      </c>
      <c r="K149" t="s">
        <v>3371</v>
      </c>
      <c r="L149" t="s">
        <v>3372</v>
      </c>
      <c r="M149" t="s">
        <v>1975</v>
      </c>
      <c r="N149">
        <v>6</v>
      </c>
      <c r="O149" t="b">
        <v>0</v>
      </c>
      <c r="P149" t="b">
        <v>0</v>
      </c>
      <c r="Q149" t="b">
        <v>0</v>
      </c>
      <c r="R149" t="b">
        <v>0</v>
      </c>
      <c r="T149" t="s">
        <v>3671</v>
      </c>
      <c r="U149">
        <v>161</v>
      </c>
      <c r="V149" t="s">
        <v>3986</v>
      </c>
      <c r="W149">
        <v>2</v>
      </c>
      <c r="X149" t="s">
        <v>3986</v>
      </c>
      <c r="Y149" t="s">
        <v>2424</v>
      </c>
      <c r="Z149">
        <v>0</v>
      </c>
      <c r="AA149" t="s">
        <v>2493</v>
      </c>
      <c r="AB149" t="s">
        <v>3986</v>
      </c>
      <c r="AC149" t="s">
        <v>3986</v>
      </c>
      <c r="AD149" t="s">
        <v>3986</v>
      </c>
    </row>
    <row r="150" spans="1:30" x14ac:dyDescent="0.25">
      <c r="A150" t="s">
        <v>3995</v>
      </c>
      <c r="B150">
        <v>15</v>
      </c>
      <c r="C150" t="s">
        <v>3310</v>
      </c>
      <c r="D150" t="b">
        <v>1</v>
      </c>
      <c r="E150" t="b">
        <v>0</v>
      </c>
      <c r="F150" t="s">
        <v>3373</v>
      </c>
      <c r="G150" t="s">
        <v>3986</v>
      </c>
      <c r="H150" t="s">
        <v>3986</v>
      </c>
      <c r="I150" t="s">
        <v>3986</v>
      </c>
      <c r="J150" t="s">
        <v>3986</v>
      </c>
      <c r="K150" t="s">
        <v>3371</v>
      </c>
      <c r="L150" t="s">
        <v>3372</v>
      </c>
      <c r="M150" t="s">
        <v>1975</v>
      </c>
      <c r="N150">
        <v>6</v>
      </c>
      <c r="O150" t="b">
        <v>0</v>
      </c>
      <c r="P150" t="b">
        <v>0</v>
      </c>
      <c r="Q150" t="b">
        <v>0</v>
      </c>
      <c r="R150" t="b">
        <v>0</v>
      </c>
      <c r="T150" t="s">
        <v>3671</v>
      </c>
      <c r="U150">
        <v>163</v>
      </c>
      <c r="V150" t="s">
        <v>3986</v>
      </c>
      <c r="W150">
        <v>2</v>
      </c>
      <c r="X150" t="s">
        <v>3986</v>
      </c>
      <c r="Y150" t="s">
        <v>2425</v>
      </c>
      <c r="Z150">
        <v>0</v>
      </c>
      <c r="AA150" t="s">
        <v>2493</v>
      </c>
      <c r="AB150" t="s">
        <v>3986</v>
      </c>
      <c r="AC150" t="s">
        <v>3986</v>
      </c>
      <c r="AD150" t="s">
        <v>3986</v>
      </c>
    </row>
    <row r="151" spans="1:30" x14ac:dyDescent="0.25">
      <c r="A151" t="s">
        <v>3996</v>
      </c>
      <c r="B151">
        <v>16</v>
      </c>
      <c r="C151" t="s">
        <v>3310</v>
      </c>
      <c r="D151" t="b">
        <v>1</v>
      </c>
      <c r="E151" t="b">
        <v>0</v>
      </c>
      <c r="F151" t="s">
        <v>3373</v>
      </c>
      <c r="G151" t="s">
        <v>3986</v>
      </c>
      <c r="H151" t="s">
        <v>3986</v>
      </c>
      <c r="I151" t="s">
        <v>3986</v>
      </c>
      <c r="J151" t="s">
        <v>3986</v>
      </c>
      <c r="K151" t="s">
        <v>3371</v>
      </c>
      <c r="L151" t="s">
        <v>3372</v>
      </c>
      <c r="M151" t="s">
        <v>1975</v>
      </c>
      <c r="N151">
        <v>6</v>
      </c>
      <c r="O151" t="b">
        <v>0</v>
      </c>
      <c r="P151" t="b">
        <v>0</v>
      </c>
      <c r="Q151" t="b">
        <v>0</v>
      </c>
      <c r="R151" t="b">
        <v>0</v>
      </c>
      <c r="T151" t="s">
        <v>3671</v>
      </c>
      <c r="U151">
        <v>164</v>
      </c>
      <c r="V151" t="s">
        <v>3986</v>
      </c>
      <c r="W151">
        <v>2</v>
      </c>
      <c r="X151" t="s">
        <v>3986</v>
      </c>
      <c r="Y151" t="s">
        <v>3962</v>
      </c>
      <c r="Z151">
        <v>0</v>
      </c>
      <c r="AA151" t="s">
        <v>2493</v>
      </c>
      <c r="AB151" t="s">
        <v>3986</v>
      </c>
      <c r="AC151" t="s">
        <v>3986</v>
      </c>
      <c r="AD151" t="s">
        <v>3986</v>
      </c>
    </row>
    <row r="152" spans="1:30" x14ac:dyDescent="0.25">
      <c r="A152" t="s">
        <v>3997</v>
      </c>
      <c r="B152">
        <v>17</v>
      </c>
      <c r="C152" t="s">
        <v>3310</v>
      </c>
      <c r="D152" t="b">
        <v>1</v>
      </c>
      <c r="E152" t="b">
        <v>0</v>
      </c>
      <c r="F152" t="s">
        <v>3373</v>
      </c>
      <c r="G152" t="s">
        <v>3986</v>
      </c>
      <c r="H152" t="s">
        <v>3986</v>
      </c>
      <c r="I152" t="s">
        <v>3986</v>
      </c>
      <c r="J152" t="s">
        <v>3986</v>
      </c>
      <c r="K152" t="s">
        <v>3371</v>
      </c>
      <c r="L152" t="s">
        <v>3372</v>
      </c>
      <c r="M152" t="s">
        <v>1975</v>
      </c>
      <c r="N152">
        <v>6</v>
      </c>
      <c r="O152" t="b">
        <v>0</v>
      </c>
      <c r="P152" t="b">
        <v>0</v>
      </c>
      <c r="Q152" t="b">
        <v>0</v>
      </c>
      <c r="R152" t="b">
        <v>0</v>
      </c>
      <c r="T152" t="s">
        <v>3671</v>
      </c>
      <c r="U152">
        <v>165</v>
      </c>
      <c r="V152" t="s">
        <v>3986</v>
      </c>
      <c r="W152">
        <v>2</v>
      </c>
      <c r="X152" t="s">
        <v>3986</v>
      </c>
      <c r="Y152" t="s">
        <v>2520</v>
      </c>
      <c r="Z152">
        <v>0</v>
      </c>
      <c r="AA152" t="s">
        <v>2493</v>
      </c>
      <c r="AB152" t="s">
        <v>3986</v>
      </c>
      <c r="AC152" t="s">
        <v>3986</v>
      </c>
      <c r="AD152" t="s">
        <v>3986</v>
      </c>
    </row>
    <row r="153" spans="1:30" x14ac:dyDescent="0.25">
      <c r="A153" t="s">
        <v>3998</v>
      </c>
      <c r="B153">
        <v>18</v>
      </c>
      <c r="C153" t="s">
        <v>3310</v>
      </c>
      <c r="D153" t="b">
        <v>1</v>
      </c>
      <c r="E153" t="b">
        <v>0</v>
      </c>
      <c r="F153" t="s">
        <v>3373</v>
      </c>
      <c r="G153" t="s">
        <v>3986</v>
      </c>
      <c r="H153" t="s">
        <v>3986</v>
      </c>
      <c r="I153" t="s">
        <v>3986</v>
      </c>
      <c r="J153" t="s">
        <v>3986</v>
      </c>
      <c r="K153" t="s">
        <v>3371</v>
      </c>
      <c r="L153" t="s">
        <v>3372</v>
      </c>
      <c r="M153" t="s">
        <v>1975</v>
      </c>
      <c r="N153">
        <v>6</v>
      </c>
      <c r="O153" t="b">
        <v>0</v>
      </c>
      <c r="P153" t="b">
        <v>0</v>
      </c>
      <c r="Q153" t="b">
        <v>0</v>
      </c>
      <c r="R153" t="b">
        <v>0</v>
      </c>
      <c r="T153" t="s">
        <v>3671</v>
      </c>
      <c r="U153">
        <v>166</v>
      </c>
      <c r="V153" t="s">
        <v>3986</v>
      </c>
      <c r="W153">
        <v>2</v>
      </c>
      <c r="X153" t="s">
        <v>3986</v>
      </c>
      <c r="Y153" t="s">
        <v>2521</v>
      </c>
      <c r="Z153">
        <v>0</v>
      </c>
      <c r="AA153" t="s">
        <v>2493</v>
      </c>
      <c r="AB153" t="s">
        <v>3986</v>
      </c>
      <c r="AC153" t="s">
        <v>3986</v>
      </c>
      <c r="AD153" t="s">
        <v>3986</v>
      </c>
    </row>
    <row r="154" spans="1:30" x14ac:dyDescent="0.25">
      <c r="A154" t="s">
        <v>3999</v>
      </c>
      <c r="B154">
        <v>19</v>
      </c>
      <c r="C154" t="s">
        <v>3310</v>
      </c>
      <c r="D154" t="b">
        <v>1</v>
      </c>
      <c r="E154" t="b">
        <v>0</v>
      </c>
      <c r="F154" t="s">
        <v>3373</v>
      </c>
      <c r="G154" t="s">
        <v>3986</v>
      </c>
      <c r="H154" t="s">
        <v>3986</v>
      </c>
      <c r="I154" t="s">
        <v>3986</v>
      </c>
      <c r="J154" t="s">
        <v>3986</v>
      </c>
      <c r="K154" t="s">
        <v>3371</v>
      </c>
      <c r="L154" t="s">
        <v>3372</v>
      </c>
      <c r="M154" t="s">
        <v>1975</v>
      </c>
      <c r="N154">
        <v>6</v>
      </c>
      <c r="O154" t="b">
        <v>0</v>
      </c>
      <c r="P154" t="b">
        <v>0</v>
      </c>
      <c r="Q154" t="b">
        <v>0</v>
      </c>
      <c r="R154" t="b">
        <v>0</v>
      </c>
      <c r="T154" t="s">
        <v>3671</v>
      </c>
      <c r="U154">
        <v>167</v>
      </c>
      <c r="V154" t="s">
        <v>3986</v>
      </c>
      <c r="W154">
        <v>2</v>
      </c>
      <c r="X154" t="s">
        <v>3986</v>
      </c>
      <c r="Y154" t="s">
        <v>112</v>
      </c>
      <c r="Z154">
        <v>0</v>
      </c>
      <c r="AA154" t="s">
        <v>2493</v>
      </c>
      <c r="AB154" t="s">
        <v>3986</v>
      </c>
      <c r="AC154" t="s">
        <v>3986</v>
      </c>
      <c r="AD154" t="s">
        <v>3986</v>
      </c>
    </row>
    <row r="155" spans="1:30" x14ac:dyDescent="0.25">
      <c r="A155" t="s">
        <v>4000</v>
      </c>
      <c r="B155">
        <v>20</v>
      </c>
      <c r="C155" t="s">
        <v>3310</v>
      </c>
      <c r="D155" t="b">
        <v>1</v>
      </c>
      <c r="E155" t="b">
        <v>0</v>
      </c>
      <c r="F155" t="s">
        <v>3373</v>
      </c>
      <c r="G155" t="s">
        <v>3986</v>
      </c>
      <c r="H155" t="s">
        <v>3986</v>
      </c>
      <c r="I155" t="s">
        <v>3986</v>
      </c>
      <c r="J155" t="s">
        <v>3986</v>
      </c>
      <c r="K155" t="s">
        <v>3371</v>
      </c>
      <c r="L155" t="s">
        <v>3372</v>
      </c>
      <c r="M155" t="s">
        <v>1975</v>
      </c>
      <c r="N155">
        <v>6</v>
      </c>
      <c r="O155" t="b">
        <v>0</v>
      </c>
      <c r="P155" t="b">
        <v>0</v>
      </c>
      <c r="Q155" t="b">
        <v>0</v>
      </c>
      <c r="R155" t="b">
        <v>0</v>
      </c>
      <c r="T155" t="s">
        <v>3671</v>
      </c>
      <c r="U155">
        <v>168</v>
      </c>
      <c r="V155" t="s">
        <v>3986</v>
      </c>
      <c r="W155">
        <v>2</v>
      </c>
      <c r="X155" t="s">
        <v>3986</v>
      </c>
      <c r="Y155" t="s">
        <v>2522</v>
      </c>
      <c r="Z155">
        <v>0</v>
      </c>
      <c r="AA155" t="s">
        <v>2493</v>
      </c>
      <c r="AB155" t="s">
        <v>3986</v>
      </c>
      <c r="AC155" t="s">
        <v>3986</v>
      </c>
      <c r="AD155" t="s">
        <v>3986</v>
      </c>
    </row>
    <row r="156" spans="1:30" x14ac:dyDescent="0.25">
      <c r="A156" t="s">
        <v>4001</v>
      </c>
      <c r="B156">
        <v>21</v>
      </c>
      <c r="C156" t="s">
        <v>3310</v>
      </c>
      <c r="D156" t="b">
        <v>1</v>
      </c>
      <c r="E156" t="b">
        <v>0</v>
      </c>
      <c r="F156" t="s">
        <v>3373</v>
      </c>
      <c r="G156" t="s">
        <v>3986</v>
      </c>
      <c r="H156" t="s">
        <v>3986</v>
      </c>
      <c r="I156" t="s">
        <v>3986</v>
      </c>
      <c r="J156" t="s">
        <v>3986</v>
      </c>
      <c r="K156" t="s">
        <v>3371</v>
      </c>
      <c r="L156" t="s">
        <v>3372</v>
      </c>
      <c r="M156" t="s">
        <v>1975</v>
      </c>
      <c r="N156">
        <v>6</v>
      </c>
      <c r="O156" t="b">
        <v>0</v>
      </c>
      <c r="P156" t="b">
        <v>0</v>
      </c>
      <c r="Q156" t="b">
        <v>0</v>
      </c>
      <c r="R156" t="b">
        <v>0</v>
      </c>
      <c r="T156" t="s">
        <v>3671</v>
      </c>
      <c r="U156">
        <v>169</v>
      </c>
      <c r="V156" t="s">
        <v>3986</v>
      </c>
      <c r="W156">
        <v>2</v>
      </c>
      <c r="X156" t="s">
        <v>3986</v>
      </c>
      <c r="Y156" t="s">
        <v>2426</v>
      </c>
      <c r="Z156">
        <v>0</v>
      </c>
      <c r="AA156" t="s">
        <v>2493</v>
      </c>
      <c r="AB156" t="s">
        <v>3986</v>
      </c>
      <c r="AC156" t="s">
        <v>3986</v>
      </c>
      <c r="AD156" t="s">
        <v>3986</v>
      </c>
    </row>
    <row r="157" spans="1:30" x14ac:dyDescent="0.25">
      <c r="A157" t="s">
        <v>4002</v>
      </c>
      <c r="B157">
        <v>22</v>
      </c>
      <c r="C157" t="s">
        <v>3310</v>
      </c>
      <c r="D157" t="b">
        <v>1</v>
      </c>
      <c r="E157" t="b">
        <v>0</v>
      </c>
      <c r="F157" t="s">
        <v>3373</v>
      </c>
      <c r="G157" t="s">
        <v>3986</v>
      </c>
      <c r="H157" t="s">
        <v>3986</v>
      </c>
      <c r="I157" t="s">
        <v>3986</v>
      </c>
      <c r="J157" t="s">
        <v>3986</v>
      </c>
      <c r="K157" t="s">
        <v>3371</v>
      </c>
      <c r="L157" t="s">
        <v>3372</v>
      </c>
      <c r="M157" t="s">
        <v>1975</v>
      </c>
      <c r="N157">
        <v>6</v>
      </c>
      <c r="O157" t="b">
        <v>0</v>
      </c>
      <c r="P157" t="b">
        <v>0</v>
      </c>
      <c r="Q157" t="b">
        <v>0</v>
      </c>
      <c r="R157" t="b">
        <v>0</v>
      </c>
      <c r="T157" t="s">
        <v>3671</v>
      </c>
      <c r="U157">
        <v>170</v>
      </c>
      <c r="V157" t="s">
        <v>3986</v>
      </c>
      <c r="W157">
        <v>2</v>
      </c>
      <c r="X157" t="s">
        <v>3986</v>
      </c>
      <c r="Y157" t="s">
        <v>2427</v>
      </c>
      <c r="Z157">
        <v>0</v>
      </c>
      <c r="AA157" t="s">
        <v>2493</v>
      </c>
      <c r="AB157" t="s">
        <v>3986</v>
      </c>
      <c r="AC157" t="s">
        <v>3986</v>
      </c>
      <c r="AD157" t="s">
        <v>3986</v>
      </c>
    </row>
    <row r="158" spans="1:30" x14ac:dyDescent="0.25">
      <c r="A158" t="s">
        <v>4003</v>
      </c>
      <c r="B158">
        <v>23</v>
      </c>
      <c r="C158" t="s">
        <v>3310</v>
      </c>
      <c r="D158" t="b">
        <v>1</v>
      </c>
      <c r="E158" t="b">
        <v>0</v>
      </c>
      <c r="F158" t="s">
        <v>3373</v>
      </c>
      <c r="G158" t="s">
        <v>3986</v>
      </c>
      <c r="H158" t="s">
        <v>3986</v>
      </c>
      <c r="I158" t="s">
        <v>3986</v>
      </c>
      <c r="J158" t="s">
        <v>3986</v>
      </c>
      <c r="K158" t="s">
        <v>3371</v>
      </c>
      <c r="L158" t="s">
        <v>3372</v>
      </c>
      <c r="M158" t="s">
        <v>1975</v>
      </c>
      <c r="N158">
        <v>6</v>
      </c>
      <c r="O158" t="b">
        <v>0</v>
      </c>
      <c r="P158" t="b">
        <v>0</v>
      </c>
      <c r="Q158" t="b">
        <v>0</v>
      </c>
      <c r="R158" t="b">
        <v>0</v>
      </c>
      <c r="T158" t="s">
        <v>3671</v>
      </c>
      <c r="U158">
        <v>171</v>
      </c>
      <c r="V158" t="s">
        <v>3986</v>
      </c>
      <c r="W158">
        <v>2</v>
      </c>
      <c r="X158" t="s">
        <v>3986</v>
      </c>
      <c r="Y158" t="s">
        <v>2523</v>
      </c>
      <c r="Z158">
        <v>0</v>
      </c>
      <c r="AA158" t="s">
        <v>2493</v>
      </c>
      <c r="AB158" t="s">
        <v>3986</v>
      </c>
      <c r="AC158" t="s">
        <v>3986</v>
      </c>
      <c r="AD158" t="s">
        <v>3986</v>
      </c>
    </row>
    <row r="159" spans="1:30" x14ac:dyDescent="0.25">
      <c r="A159" t="s">
        <v>4004</v>
      </c>
      <c r="B159">
        <v>24</v>
      </c>
      <c r="C159" t="s">
        <v>3310</v>
      </c>
      <c r="D159" t="b">
        <v>1</v>
      </c>
      <c r="E159" t="b">
        <v>0</v>
      </c>
      <c r="F159" t="s">
        <v>3373</v>
      </c>
      <c r="G159" t="s">
        <v>3986</v>
      </c>
      <c r="H159" t="s">
        <v>3986</v>
      </c>
      <c r="I159" t="s">
        <v>3986</v>
      </c>
      <c r="J159" t="s">
        <v>3986</v>
      </c>
      <c r="K159" t="s">
        <v>3371</v>
      </c>
      <c r="L159" t="s">
        <v>3372</v>
      </c>
      <c r="M159" t="s">
        <v>1975</v>
      </c>
      <c r="N159">
        <v>6</v>
      </c>
      <c r="O159" t="b">
        <v>0</v>
      </c>
      <c r="P159" t="b">
        <v>0</v>
      </c>
      <c r="Q159" t="b">
        <v>0</v>
      </c>
      <c r="R159" t="b">
        <v>0</v>
      </c>
      <c r="T159" t="s">
        <v>3671</v>
      </c>
      <c r="U159">
        <v>172</v>
      </c>
      <c r="V159" t="s">
        <v>3986</v>
      </c>
      <c r="W159">
        <v>2</v>
      </c>
      <c r="X159" t="s">
        <v>3986</v>
      </c>
      <c r="Y159" t="s">
        <v>2428</v>
      </c>
      <c r="Z159">
        <v>0</v>
      </c>
      <c r="AA159" t="s">
        <v>2493</v>
      </c>
      <c r="AB159" t="s">
        <v>3986</v>
      </c>
      <c r="AC159" t="s">
        <v>3986</v>
      </c>
      <c r="AD159" t="s">
        <v>3986</v>
      </c>
    </row>
    <row r="160" spans="1:30" x14ac:dyDescent="0.25">
      <c r="A160" t="s">
        <v>4005</v>
      </c>
      <c r="B160">
        <v>25</v>
      </c>
      <c r="C160" t="s">
        <v>3310</v>
      </c>
      <c r="D160" t="b">
        <v>1</v>
      </c>
      <c r="E160" t="b">
        <v>0</v>
      </c>
      <c r="F160" t="s">
        <v>3373</v>
      </c>
      <c r="G160" t="s">
        <v>3986</v>
      </c>
      <c r="H160" t="s">
        <v>3986</v>
      </c>
      <c r="I160" t="s">
        <v>3986</v>
      </c>
      <c r="J160" t="s">
        <v>3986</v>
      </c>
      <c r="K160" t="s">
        <v>3371</v>
      </c>
      <c r="L160" t="s">
        <v>3372</v>
      </c>
      <c r="M160" t="s">
        <v>1975</v>
      </c>
      <c r="N160">
        <v>6</v>
      </c>
      <c r="O160" t="b">
        <v>0</v>
      </c>
      <c r="P160" t="b">
        <v>0</v>
      </c>
      <c r="Q160" t="b">
        <v>0</v>
      </c>
      <c r="R160" t="b">
        <v>0</v>
      </c>
      <c r="T160" t="s">
        <v>3671</v>
      </c>
      <c r="U160">
        <v>173</v>
      </c>
      <c r="V160" t="s">
        <v>3986</v>
      </c>
      <c r="W160">
        <v>2</v>
      </c>
      <c r="X160" t="s">
        <v>3986</v>
      </c>
      <c r="Y160" t="s">
        <v>2429</v>
      </c>
      <c r="Z160">
        <v>0</v>
      </c>
      <c r="AA160" t="s">
        <v>2493</v>
      </c>
      <c r="AB160" t="s">
        <v>3986</v>
      </c>
      <c r="AC160" t="s">
        <v>3986</v>
      </c>
      <c r="AD160" t="s">
        <v>3986</v>
      </c>
    </row>
    <row r="161" spans="1:30" x14ac:dyDescent="0.25">
      <c r="A161" t="s">
        <v>4006</v>
      </c>
      <c r="B161">
        <v>26</v>
      </c>
      <c r="C161" t="s">
        <v>3310</v>
      </c>
      <c r="D161" t="b">
        <v>1</v>
      </c>
      <c r="E161" t="b">
        <v>0</v>
      </c>
      <c r="F161" t="s">
        <v>3373</v>
      </c>
      <c r="G161" t="s">
        <v>3986</v>
      </c>
      <c r="H161" t="s">
        <v>3986</v>
      </c>
      <c r="I161" t="s">
        <v>3986</v>
      </c>
      <c r="J161" t="s">
        <v>3986</v>
      </c>
      <c r="K161" t="s">
        <v>3371</v>
      </c>
      <c r="L161" t="s">
        <v>3372</v>
      </c>
      <c r="M161" t="s">
        <v>1975</v>
      </c>
      <c r="N161">
        <v>6</v>
      </c>
      <c r="O161" t="b">
        <v>0</v>
      </c>
      <c r="P161" t="b">
        <v>0</v>
      </c>
      <c r="Q161" t="b">
        <v>0</v>
      </c>
      <c r="R161" t="b">
        <v>0</v>
      </c>
      <c r="T161" t="s">
        <v>3671</v>
      </c>
      <c r="U161">
        <v>175</v>
      </c>
      <c r="V161" t="s">
        <v>3986</v>
      </c>
      <c r="W161">
        <v>2</v>
      </c>
      <c r="X161" t="s">
        <v>3986</v>
      </c>
      <c r="Y161" t="s">
        <v>2430</v>
      </c>
      <c r="Z161">
        <v>0</v>
      </c>
      <c r="AA161" t="s">
        <v>2493</v>
      </c>
      <c r="AB161" t="s">
        <v>3986</v>
      </c>
      <c r="AC161" t="s">
        <v>3986</v>
      </c>
      <c r="AD161" t="s">
        <v>3986</v>
      </c>
    </row>
    <row r="162" spans="1:30" x14ac:dyDescent="0.25">
      <c r="A162" t="s">
        <v>4007</v>
      </c>
      <c r="B162">
        <v>27</v>
      </c>
      <c r="C162" t="s">
        <v>3310</v>
      </c>
      <c r="D162" t="b">
        <v>1</v>
      </c>
      <c r="E162" t="b">
        <v>0</v>
      </c>
      <c r="F162" t="s">
        <v>3373</v>
      </c>
      <c r="G162" t="s">
        <v>3986</v>
      </c>
      <c r="H162" t="s">
        <v>3986</v>
      </c>
      <c r="I162" t="s">
        <v>3986</v>
      </c>
      <c r="J162" t="s">
        <v>3986</v>
      </c>
      <c r="K162" t="s">
        <v>3371</v>
      </c>
      <c r="L162" t="s">
        <v>3372</v>
      </c>
      <c r="M162" t="s">
        <v>1975</v>
      </c>
      <c r="N162">
        <v>6</v>
      </c>
      <c r="O162" t="b">
        <v>0</v>
      </c>
      <c r="P162" t="b">
        <v>0</v>
      </c>
      <c r="Q162" t="b">
        <v>0</v>
      </c>
      <c r="R162" t="b">
        <v>0</v>
      </c>
      <c r="T162" t="s">
        <v>3671</v>
      </c>
      <c r="U162">
        <v>176</v>
      </c>
      <c r="V162" t="s">
        <v>3986</v>
      </c>
      <c r="W162">
        <v>2</v>
      </c>
      <c r="X162" t="s">
        <v>3986</v>
      </c>
      <c r="Y162" t="s">
        <v>2431</v>
      </c>
      <c r="Z162">
        <v>0</v>
      </c>
      <c r="AA162" t="s">
        <v>2493</v>
      </c>
      <c r="AB162" t="s">
        <v>3986</v>
      </c>
      <c r="AC162" t="s">
        <v>3986</v>
      </c>
      <c r="AD162" t="s">
        <v>3986</v>
      </c>
    </row>
    <row r="163" spans="1:30" x14ac:dyDescent="0.25">
      <c r="A163" t="s">
        <v>4008</v>
      </c>
      <c r="B163">
        <v>28</v>
      </c>
      <c r="C163" t="s">
        <v>3310</v>
      </c>
      <c r="D163" t="b">
        <v>1</v>
      </c>
      <c r="E163" t="b">
        <v>0</v>
      </c>
      <c r="F163" t="s">
        <v>3373</v>
      </c>
      <c r="G163" t="s">
        <v>3986</v>
      </c>
      <c r="H163" t="s">
        <v>3986</v>
      </c>
      <c r="I163" t="s">
        <v>3986</v>
      </c>
      <c r="J163" t="s">
        <v>3986</v>
      </c>
      <c r="K163" t="s">
        <v>3371</v>
      </c>
      <c r="L163" t="s">
        <v>3372</v>
      </c>
      <c r="M163" t="s">
        <v>1975</v>
      </c>
      <c r="N163">
        <v>6</v>
      </c>
      <c r="O163" t="b">
        <v>0</v>
      </c>
      <c r="P163" t="b">
        <v>0</v>
      </c>
      <c r="Q163" t="b">
        <v>0</v>
      </c>
      <c r="R163" t="b">
        <v>0</v>
      </c>
      <c r="T163" t="s">
        <v>3671</v>
      </c>
      <c r="U163">
        <v>177</v>
      </c>
      <c r="V163" t="s">
        <v>3986</v>
      </c>
      <c r="W163">
        <v>2</v>
      </c>
      <c r="X163" t="s">
        <v>3986</v>
      </c>
      <c r="Y163" t="s">
        <v>3975</v>
      </c>
      <c r="Z163">
        <v>0</v>
      </c>
      <c r="AA163" t="s">
        <v>2493</v>
      </c>
      <c r="AB163" t="s">
        <v>3986</v>
      </c>
      <c r="AC163" t="s">
        <v>3986</v>
      </c>
      <c r="AD163" t="s">
        <v>3986</v>
      </c>
    </row>
    <row r="164" spans="1:30" x14ac:dyDescent="0.25">
      <c r="A164" t="s">
        <v>4009</v>
      </c>
      <c r="B164">
        <v>29</v>
      </c>
      <c r="C164" t="s">
        <v>3310</v>
      </c>
      <c r="D164" t="b">
        <v>1</v>
      </c>
      <c r="E164" t="b">
        <v>0</v>
      </c>
      <c r="F164" t="s">
        <v>3373</v>
      </c>
      <c r="G164" t="s">
        <v>3986</v>
      </c>
      <c r="H164" t="s">
        <v>3986</v>
      </c>
      <c r="I164" t="s">
        <v>3986</v>
      </c>
      <c r="J164" t="s">
        <v>3986</v>
      </c>
      <c r="K164" t="s">
        <v>3371</v>
      </c>
      <c r="L164" t="s">
        <v>3372</v>
      </c>
      <c r="M164" t="s">
        <v>1975</v>
      </c>
      <c r="N164">
        <v>6</v>
      </c>
      <c r="O164" t="b">
        <v>0</v>
      </c>
      <c r="P164" t="b">
        <v>0</v>
      </c>
      <c r="Q164" t="b">
        <v>0</v>
      </c>
      <c r="R164" t="b">
        <v>0</v>
      </c>
      <c r="T164" t="s">
        <v>3671</v>
      </c>
      <c r="U164">
        <v>178</v>
      </c>
      <c r="V164" t="s">
        <v>3986</v>
      </c>
      <c r="W164">
        <v>2</v>
      </c>
      <c r="X164" t="s">
        <v>3986</v>
      </c>
      <c r="Y164" t="s">
        <v>2432</v>
      </c>
      <c r="Z164">
        <v>0</v>
      </c>
      <c r="AA164" t="s">
        <v>2493</v>
      </c>
      <c r="AB164" t="s">
        <v>3986</v>
      </c>
      <c r="AC164" t="s">
        <v>3986</v>
      </c>
      <c r="AD164" t="s">
        <v>3986</v>
      </c>
    </row>
    <row r="165" spans="1:30" x14ac:dyDescent="0.25">
      <c r="A165" t="s">
        <v>4010</v>
      </c>
      <c r="B165">
        <v>30</v>
      </c>
      <c r="C165" t="s">
        <v>3310</v>
      </c>
      <c r="D165" t="b">
        <v>1</v>
      </c>
      <c r="E165" t="b">
        <v>0</v>
      </c>
      <c r="F165" t="s">
        <v>3373</v>
      </c>
      <c r="G165" t="s">
        <v>3986</v>
      </c>
      <c r="H165" t="s">
        <v>3986</v>
      </c>
      <c r="I165" t="s">
        <v>3986</v>
      </c>
      <c r="J165" t="s">
        <v>3986</v>
      </c>
      <c r="K165" t="s">
        <v>3371</v>
      </c>
      <c r="L165" t="s">
        <v>3372</v>
      </c>
      <c r="M165" t="s">
        <v>1975</v>
      </c>
      <c r="N165">
        <v>6</v>
      </c>
      <c r="O165" t="b">
        <v>0</v>
      </c>
      <c r="P165" t="b">
        <v>0</v>
      </c>
      <c r="Q165" t="b">
        <v>0</v>
      </c>
      <c r="R165" t="b">
        <v>0</v>
      </c>
      <c r="T165" t="s">
        <v>3671</v>
      </c>
      <c r="U165">
        <v>179</v>
      </c>
      <c r="V165" t="s">
        <v>3986</v>
      </c>
      <c r="W165">
        <v>2</v>
      </c>
      <c r="X165" t="s">
        <v>3986</v>
      </c>
      <c r="Y165" t="s">
        <v>2433</v>
      </c>
      <c r="Z165">
        <v>0</v>
      </c>
      <c r="AA165" t="s">
        <v>2493</v>
      </c>
      <c r="AB165" t="s">
        <v>3986</v>
      </c>
      <c r="AC165" t="s">
        <v>3986</v>
      </c>
      <c r="AD165" t="s">
        <v>3986</v>
      </c>
    </row>
    <row r="166" spans="1:30" x14ac:dyDescent="0.25">
      <c r="A166" t="s">
        <v>4011</v>
      </c>
      <c r="B166">
        <v>31</v>
      </c>
      <c r="C166" t="s">
        <v>3310</v>
      </c>
      <c r="D166" t="b">
        <v>1</v>
      </c>
      <c r="E166" t="b">
        <v>0</v>
      </c>
      <c r="F166" t="s">
        <v>3373</v>
      </c>
      <c r="G166" t="s">
        <v>3986</v>
      </c>
      <c r="H166" t="s">
        <v>3986</v>
      </c>
      <c r="I166" t="s">
        <v>3986</v>
      </c>
      <c r="J166" t="s">
        <v>3986</v>
      </c>
      <c r="K166" t="s">
        <v>3371</v>
      </c>
      <c r="L166" t="s">
        <v>3372</v>
      </c>
      <c r="M166" t="s">
        <v>1975</v>
      </c>
      <c r="N166">
        <v>6</v>
      </c>
      <c r="O166" t="b">
        <v>0</v>
      </c>
      <c r="P166" t="b">
        <v>0</v>
      </c>
      <c r="Q166" t="b">
        <v>0</v>
      </c>
      <c r="R166" t="b">
        <v>0</v>
      </c>
      <c r="T166" t="s">
        <v>3671</v>
      </c>
      <c r="U166">
        <v>180</v>
      </c>
      <c r="V166" t="s">
        <v>3986</v>
      </c>
      <c r="W166">
        <v>2</v>
      </c>
      <c r="X166" t="s">
        <v>3986</v>
      </c>
      <c r="Y166" t="s">
        <v>2434</v>
      </c>
      <c r="Z166">
        <v>0</v>
      </c>
      <c r="AA166" t="s">
        <v>2493</v>
      </c>
      <c r="AB166" t="s">
        <v>3986</v>
      </c>
      <c r="AC166" t="s">
        <v>3986</v>
      </c>
      <c r="AD166" t="s">
        <v>3986</v>
      </c>
    </row>
    <row r="167" spans="1:30" x14ac:dyDescent="0.25">
      <c r="A167" t="s">
        <v>4012</v>
      </c>
      <c r="B167">
        <v>32</v>
      </c>
      <c r="C167" t="s">
        <v>3310</v>
      </c>
      <c r="D167" t="b">
        <v>1</v>
      </c>
      <c r="E167" t="b">
        <v>0</v>
      </c>
      <c r="F167" t="s">
        <v>3373</v>
      </c>
      <c r="G167" t="s">
        <v>3986</v>
      </c>
      <c r="H167" t="s">
        <v>3986</v>
      </c>
      <c r="I167" t="s">
        <v>3986</v>
      </c>
      <c r="J167" t="s">
        <v>3986</v>
      </c>
      <c r="K167" t="s">
        <v>3371</v>
      </c>
      <c r="L167" t="s">
        <v>3372</v>
      </c>
      <c r="M167" t="s">
        <v>1975</v>
      </c>
      <c r="N167">
        <v>6</v>
      </c>
      <c r="O167" t="b">
        <v>0</v>
      </c>
      <c r="P167" t="b">
        <v>0</v>
      </c>
      <c r="Q167" t="b">
        <v>0</v>
      </c>
      <c r="R167" t="b">
        <v>0</v>
      </c>
      <c r="T167" t="s">
        <v>3671</v>
      </c>
      <c r="U167">
        <v>181</v>
      </c>
      <c r="V167" t="s">
        <v>3986</v>
      </c>
      <c r="W167">
        <v>2</v>
      </c>
      <c r="X167" t="s">
        <v>3986</v>
      </c>
      <c r="Y167" t="s">
        <v>2435</v>
      </c>
      <c r="Z167">
        <v>0</v>
      </c>
      <c r="AA167" t="s">
        <v>2493</v>
      </c>
      <c r="AB167" t="s">
        <v>3986</v>
      </c>
      <c r="AC167" t="s">
        <v>3986</v>
      </c>
      <c r="AD167" t="s">
        <v>3986</v>
      </c>
    </row>
    <row r="168" spans="1:30" x14ac:dyDescent="0.25">
      <c r="A168" t="s">
        <v>4013</v>
      </c>
      <c r="B168">
        <v>33</v>
      </c>
      <c r="C168" t="s">
        <v>3310</v>
      </c>
      <c r="D168" t="b">
        <v>1</v>
      </c>
      <c r="E168" t="b">
        <v>0</v>
      </c>
      <c r="F168" t="s">
        <v>3373</v>
      </c>
      <c r="G168" t="s">
        <v>3986</v>
      </c>
      <c r="H168" t="s">
        <v>3986</v>
      </c>
      <c r="I168" t="s">
        <v>3986</v>
      </c>
      <c r="J168" t="s">
        <v>3986</v>
      </c>
      <c r="K168" t="s">
        <v>3371</v>
      </c>
      <c r="L168" t="s">
        <v>3372</v>
      </c>
      <c r="M168" t="s">
        <v>1975</v>
      </c>
      <c r="N168">
        <v>6</v>
      </c>
      <c r="O168" t="b">
        <v>0</v>
      </c>
      <c r="P168" t="b">
        <v>0</v>
      </c>
      <c r="Q168" t="b">
        <v>0</v>
      </c>
      <c r="R168" t="b">
        <v>0</v>
      </c>
      <c r="T168" t="s">
        <v>3671</v>
      </c>
      <c r="U168">
        <v>182</v>
      </c>
      <c r="V168" t="s">
        <v>3986</v>
      </c>
      <c r="W168">
        <v>2</v>
      </c>
      <c r="X168" t="s">
        <v>3986</v>
      </c>
      <c r="Y168" t="s">
        <v>2436</v>
      </c>
      <c r="Z168">
        <v>0</v>
      </c>
      <c r="AA168" t="s">
        <v>2493</v>
      </c>
      <c r="AB168" t="s">
        <v>3986</v>
      </c>
      <c r="AC168" t="s">
        <v>3986</v>
      </c>
      <c r="AD168" t="s">
        <v>3986</v>
      </c>
    </row>
    <row r="169" spans="1:30" x14ac:dyDescent="0.25">
      <c r="A169" t="s">
        <v>4014</v>
      </c>
      <c r="B169">
        <v>34</v>
      </c>
      <c r="C169" t="s">
        <v>3310</v>
      </c>
      <c r="D169" t="b">
        <v>1</v>
      </c>
      <c r="E169" t="b">
        <v>0</v>
      </c>
      <c r="F169" t="s">
        <v>3373</v>
      </c>
      <c r="G169" t="s">
        <v>3986</v>
      </c>
      <c r="H169" t="s">
        <v>3986</v>
      </c>
      <c r="I169" t="s">
        <v>3986</v>
      </c>
      <c r="J169" t="s">
        <v>3986</v>
      </c>
      <c r="K169" t="s">
        <v>3371</v>
      </c>
      <c r="L169" t="s">
        <v>3372</v>
      </c>
      <c r="M169" t="s">
        <v>1975</v>
      </c>
      <c r="N169">
        <v>6</v>
      </c>
      <c r="O169" t="b">
        <v>0</v>
      </c>
      <c r="P169" t="b">
        <v>0</v>
      </c>
      <c r="Q169" t="b">
        <v>0</v>
      </c>
      <c r="R169" t="b">
        <v>0</v>
      </c>
      <c r="T169" t="s">
        <v>3671</v>
      </c>
      <c r="U169">
        <v>183</v>
      </c>
      <c r="V169" t="s">
        <v>3986</v>
      </c>
      <c r="W169">
        <v>2</v>
      </c>
      <c r="X169" t="s">
        <v>3986</v>
      </c>
      <c r="Y169" t="s">
        <v>2437</v>
      </c>
      <c r="Z169">
        <v>0</v>
      </c>
      <c r="AA169" t="s">
        <v>2493</v>
      </c>
      <c r="AB169" t="s">
        <v>3986</v>
      </c>
      <c r="AC169" t="s">
        <v>3986</v>
      </c>
      <c r="AD169" t="s">
        <v>3986</v>
      </c>
    </row>
    <row r="170" spans="1:30" x14ac:dyDescent="0.25">
      <c r="A170" t="s">
        <v>4015</v>
      </c>
      <c r="B170">
        <v>35</v>
      </c>
      <c r="C170" t="s">
        <v>3310</v>
      </c>
      <c r="D170" t="b">
        <v>1</v>
      </c>
      <c r="E170" t="b">
        <v>0</v>
      </c>
      <c r="F170" t="s">
        <v>3373</v>
      </c>
      <c r="G170" t="s">
        <v>3986</v>
      </c>
      <c r="H170" t="s">
        <v>3986</v>
      </c>
      <c r="I170" t="s">
        <v>3986</v>
      </c>
      <c r="J170" t="s">
        <v>3986</v>
      </c>
      <c r="K170" t="s">
        <v>3371</v>
      </c>
      <c r="L170" t="s">
        <v>3372</v>
      </c>
      <c r="M170" t="s">
        <v>1975</v>
      </c>
      <c r="N170">
        <v>6</v>
      </c>
      <c r="O170" t="b">
        <v>0</v>
      </c>
      <c r="P170" t="b">
        <v>0</v>
      </c>
      <c r="Q170" t="b">
        <v>0</v>
      </c>
      <c r="R170" t="b">
        <v>0</v>
      </c>
      <c r="T170" t="s">
        <v>3671</v>
      </c>
      <c r="U170">
        <v>184</v>
      </c>
      <c r="V170" t="s">
        <v>3986</v>
      </c>
      <c r="W170">
        <v>2</v>
      </c>
      <c r="X170" t="s">
        <v>3986</v>
      </c>
      <c r="Y170" t="s">
        <v>2438</v>
      </c>
      <c r="Z170">
        <v>0</v>
      </c>
      <c r="AA170" t="s">
        <v>2493</v>
      </c>
      <c r="AB170" t="s">
        <v>3986</v>
      </c>
      <c r="AC170" t="s">
        <v>3986</v>
      </c>
      <c r="AD170" t="s">
        <v>3986</v>
      </c>
    </row>
    <row r="171" spans="1:30" x14ac:dyDescent="0.25">
      <c r="A171" t="s">
        <v>4016</v>
      </c>
      <c r="B171">
        <v>36</v>
      </c>
      <c r="C171" t="s">
        <v>3310</v>
      </c>
      <c r="D171" t="b">
        <v>1</v>
      </c>
      <c r="E171" t="b">
        <v>0</v>
      </c>
      <c r="F171" t="s">
        <v>3373</v>
      </c>
      <c r="G171" t="s">
        <v>3986</v>
      </c>
      <c r="H171" t="s">
        <v>3986</v>
      </c>
      <c r="I171" t="s">
        <v>3986</v>
      </c>
      <c r="J171" t="s">
        <v>3986</v>
      </c>
      <c r="K171" t="s">
        <v>3371</v>
      </c>
      <c r="L171" t="s">
        <v>3372</v>
      </c>
      <c r="M171" t="s">
        <v>1975</v>
      </c>
      <c r="N171">
        <v>6</v>
      </c>
      <c r="O171" t="b">
        <v>0</v>
      </c>
      <c r="P171" t="b">
        <v>0</v>
      </c>
      <c r="Q171" t="b">
        <v>0</v>
      </c>
      <c r="R171" t="b">
        <v>0</v>
      </c>
      <c r="T171" t="s">
        <v>3671</v>
      </c>
      <c r="U171">
        <v>185</v>
      </c>
      <c r="V171" t="s">
        <v>3986</v>
      </c>
      <c r="W171">
        <v>2</v>
      </c>
      <c r="X171" t="s">
        <v>3986</v>
      </c>
      <c r="Y171" t="s">
        <v>2439</v>
      </c>
      <c r="Z171">
        <v>0</v>
      </c>
      <c r="AA171" t="s">
        <v>2493</v>
      </c>
      <c r="AB171" t="s">
        <v>3986</v>
      </c>
      <c r="AC171" t="s">
        <v>3986</v>
      </c>
      <c r="AD171" t="s">
        <v>3986</v>
      </c>
    </row>
    <row r="172" spans="1:30" x14ac:dyDescent="0.25">
      <c r="A172" t="s">
        <v>4017</v>
      </c>
      <c r="B172">
        <v>37</v>
      </c>
      <c r="C172" t="s">
        <v>3310</v>
      </c>
      <c r="D172" t="b">
        <v>1</v>
      </c>
      <c r="E172" t="b">
        <v>0</v>
      </c>
      <c r="F172" t="s">
        <v>3373</v>
      </c>
      <c r="G172" t="s">
        <v>3986</v>
      </c>
      <c r="H172" t="s">
        <v>3986</v>
      </c>
      <c r="I172" t="s">
        <v>3986</v>
      </c>
      <c r="J172" t="s">
        <v>3986</v>
      </c>
      <c r="K172" t="s">
        <v>3371</v>
      </c>
      <c r="L172" t="s">
        <v>3372</v>
      </c>
      <c r="M172" t="s">
        <v>1975</v>
      </c>
      <c r="N172">
        <v>6</v>
      </c>
      <c r="O172" t="b">
        <v>0</v>
      </c>
      <c r="P172" t="b">
        <v>0</v>
      </c>
      <c r="Q172" t="b">
        <v>0</v>
      </c>
      <c r="R172" t="b">
        <v>0</v>
      </c>
      <c r="T172" t="s">
        <v>3671</v>
      </c>
      <c r="U172">
        <v>186</v>
      </c>
      <c r="V172" t="s">
        <v>3986</v>
      </c>
      <c r="W172">
        <v>2</v>
      </c>
      <c r="X172" t="s">
        <v>3986</v>
      </c>
      <c r="Y172" t="s">
        <v>2440</v>
      </c>
      <c r="Z172">
        <v>0</v>
      </c>
      <c r="AA172" t="s">
        <v>2493</v>
      </c>
      <c r="AB172" t="s">
        <v>3986</v>
      </c>
      <c r="AC172" t="s">
        <v>3986</v>
      </c>
      <c r="AD172" t="s">
        <v>3986</v>
      </c>
    </row>
    <row r="173" spans="1:30" x14ac:dyDescent="0.25">
      <c r="A173" t="s">
        <v>4018</v>
      </c>
      <c r="B173">
        <v>38</v>
      </c>
      <c r="C173" t="s">
        <v>3310</v>
      </c>
      <c r="D173" t="b">
        <v>1</v>
      </c>
      <c r="E173" t="b">
        <v>0</v>
      </c>
      <c r="F173" t="s">
        <v>3373</v>
      </c>
      <c r="G173" t="s">
        <v>3986</v>
      </c>
      <c r="H173" t="s">
        <v>3986</v>
      </c>
      <c r="I173" t="s">
        <v>3986</v>
      </c>
      <c r="J173" t="s">
        <v>3986</v>
      </c>
      <c r="K173" t="s">
        <v>3371</v>
      </c>
      <c r="L173" t="s">
        <v>3372</v>
      </c>
      <c r="M173" t="s">
        <v>1975</v>
      </c>
      <c r="N173">
        <v>6</v>
      </c>
      <c r="O173" t="b">
        <v>0</v>
      </c>
      <c r="P173" t="b">
        <v>0</v>
      </c>
      <c r="Q173" t="b">
        <v>0</v>
      </c>
      <c r="R173" t="b">
        <v>0</v>
      </c>
      <c r="T173" t="s">
        <v>3671</v>
      </c>
      <c r="U173">
        <v>187</v>
      </c>
      <c r="V173" t="s">
        <v>3986</v>
      </c>
      <c r="W173">
        <v>2</v>
      </c>
      <c r="X173" t="s">
        <v>3986</v>
      </c>
      <c r="Y173" t="s">
        <v>2441</v>
      </c>
      <c r="Z173">
        <v>0</v>
      </c>
      <c r="AA173" t="s">
        <v>2493</v>
      </c>
      <c r="AB173" t="s">
        <v>3986</v>
      </c>
      <c r="AC173" t="s">
        <v>3986</v>
      </c>
      <c r="AD173" t="s">
        <v>3986</v>
      </c>
    </row>
    <row r="174" spans="1:30" x14ac:dyDescent="0.25">
      <c r="A174" t="s">
        <v>4019</v>
      </c>
      <c r="B174">
        <v>39</v>
      </c>
      <c r="C174" t="s">
        <v>3310</v>
      </c>
      <c r="D174" t="b">
        <v>1</v>
      </c>
      <c r="E174" t="b">
        <v>0</v>
      </c>
      <c r="F174" t="s">
        <v>3373</v>
      </c>
      <c r="G174" t="s">
        <v>3986</v>
      </c>
      <c r="H174" t="s">
        <v>3986</v>
      </c>
      <c r="I174" t="s">
        <v>3986</v>
      </c>
      <c r="J174" t="s">
        <v>3986</v>
      </c>
      <c r="K174" t="s">
        <v>3371</v>
      </c>
      <c r="L174" t="s">
        <v>3372</v>
      </c>
      <c r="M174" t="s">
        <v>1975</v>
      </c>
      <c r="N174">
        <v>6</v>
      </c>
      <c r="O174" t="b">
        <v>0</v>
      </c>
      <c r="P174" t="b">
        <v>0</v>
      </c>
      <c r="Q174" t="b">
        <v>0</v>
      </c>
      <c r="R174" t="b">
        <v>0</v>
      </c>
      <c r="T174" t="s">
        <v>3671</v>
      </c>
      <c r="U174">
        <v>188</v>
      </c>
      <c r="V174" t="s">
        <v>3986</v>
      </c>
      <c r="W174">
        <v>2</v>
      </c>
      <c r="X174" t="s">
        <v>3986</v>
      </c>
      <c r="Y174" t="s">
        <v>2442</v>
      </c>
      <c r="Z174">
        <v>0</v>
      </c>
      <c r="AA174" t="s">
        <v>2493</v>
      </c>
      <c r="AB174" t="s">
        <v>3986</v>
      </c>
      <c r="AC174" t="s">
        <v>3986</v>
      </c>
      <c r="AD174" t="s">
        <v>3986</v>
      </c>
    </row>
    <row r="175" spans="1:30" x14ac:dyDescent="0.25">
      <c r="A175" t="s">
        <v>4020</v>
      </c>
      <c r="B175">
        <v>40</v>
      </c>
      <c r="C175" t="s">
        <v>3310</v>
      </c>
      <c r="D175" t="b">
        <v>1</v>
      </c>
      <c r="E175" t="b">
        <v>0</v>
      </c>
      <c r="F175" t="s">
        <v>3373</v>
      </c>
      <c r="G175" t="s">
        <v>3986</v>
      </c>
      <c r="H175" t="s">
        <v>3986</v>
      </c>
      <c r="I175" t="s">
        <v>3986</v>
      </c>
      <c r="J175" t="s">
        <v>3986</v>
      </c>
      <c r="K175" t="s">
        <v>3371</v>
      </c>
      <c r="L175" t="s">
        <v>3372</v>
      </c>
      <c r="M175" t="s">
        <v>1975</v>
      </c>
      <c r="N175">
        <v>6</v>
      </c>
      <c r="O175" t="b">
        <v>0</v>
      </c>
      <c r="P175" t="b">
        <v>0</v>
      </c>
      <c r="Q175" t="b">
        <v>0</v>
      </c>
      <c r="R175" t="b">
        <v>0</v>
      </c>
      <c r="T175" t="s">
        <v>3671</v>
      </c>
      <c r="U175">
        <v>190</v>
      </c>
      <c r="V175" t="s">
        <v>3986</v>
      </c>
      <c r="W175">
        <v>2</v>
      </c>
      <c r="X175" t="s">
        <v>3986</v>
      </c>
      <c r="Y175" t="s">
        <v>2443</v>
      </c>
      <c r="Z175">
        <v>0</v>
      </c>
      <c r="AA175" t="s">
        <v>2493</v>
      </c>
      <c r="AB175" t="s">
        <v>3986</v>
      </c>
      <c r="AC175" t="s">
        <v>3986</v>
      </c>
      <c r="AD175" t="s">
        <v>3986</v>
      </c>
    </row>
    <row r="176" spans="1:30" x14ac:dyDescent="0.25">
      <c r="A176" t="s">
        <v>4021</v>
      </c>
      <c r="B176">
        <v>41</v>
      </c>
      <c r="C176" t="s">
        <v>3310</v>
      </c>
      <c r="D176" t="b">
        <v>1</v>
      </c>
      <c r="E176" t="b">
        <v>0</v>
      </c>
      <c r="F176" t="s">
        <v>3373</v>
      </c>
      <c r="G176" t="s">
        <v>3986</v>
      </c>
      <c r="H176" t="s">
        <v>3986</v>
      </c>
      <c r="I176" t="s">
        <v>3986</v>
      </c>
      <c r="J176" t="s">
        <v>3986</v>
      </c>
      <c r="K176" t="s">
        <v>3371</v>
      </c>
      <c r="L176" t="s">
        <v>3372</v>
      </c>
      <c r="M176" t="s">
        <v>1975</v>
      </c>
      <c r="N176">
        <v>6</v>
      </c>
      <c r="O176" t="b">
        <v>0</v>
      </c>
      <c r="P176" t="b">
        <v>0</v>
      </c>
      <c r="Q176" t="b">
        <v>0</v>
      </c>
      <c r="R176" t="b">
        <v>0</v>
      </c>
      <c r="T176" t="s">
        <v>3671</v>
      </c>
      <c r="U176">
        <v>191</v>
      </c>
      <c r="V176" t="s">
        <v>3986</v>
      </c>
      <c r="W176">
        <v>2</v>
      </c>
      <c r="X176" t="s">
        <v>3986</v>
      </c>
      <c r="Y176" t="s">
        <v>2444</v>
      </c>
      <c r="Z176">
        <v>0</v>
      </c>
      <c r="AA176" t="s">
        <v>2493</v>
      </c>
      <c r="AB176" t="s">
        <v>3986</v>
      </c>
      <c r="AC176" t="s">
        <v>3986</v>
      </c>
      <c r="AD176" t="s">
        <v>3986</v>
      </c>
    </row>
    <row r="177" spans="1:30" x14ac:dyDescent="0.25">
      <c r="A177" t="s">
        <v>4022</v>
      </c>
      <c r="B177">
        <v>42</v>
      </c>
      <c r="C177" t="s">
        <v>3310</v>
      </c>
      <c r="D177" t="b">
        <v>1</v>
      </c>
      <c r="E177" t="b">
        <v>0</v>
      </c>
      <c r="F177" t="s">
        <v>3373</v>
      </c>
      <c r="G177" t="s">
        <v>3986</v>
      </c>
      <c r="H177" t="s">
        <v>3986</v>
      </c>
      <c r="I177" t="s">
        <v>3986</v>
      </c>
      <c r="J177" t="s">
        <v>3986</v>
      </c>
      <c r="K177" t="s">
        <v>3371</v>
      </c>
      <c r="L177" t="s">
        <v>3372</v>
      </c>
      <c r="M177" t="s">
        <v>1975</v>
      </c>
      <c r="N177">
        <v>6</v>
      </c>
      <c r="O177" t="b">
        <v>0</v>
      </c>
      <c r="P177" t="b">
        <v>0</v>
      </c>
      <c r="Q177" t="b">
        <v>0</v>
      </c>
      <c r="R177" t="b">
        <v>0</v>
      </c>
      <c r="T177" t="s">
        <v>3671</v>
      </c>
      <c r="U177">
        <v>192</v>
      </c>
      <c r="V177" t="s">
        <v>3986</v>
      </c>
      <c r="W177">
        <v>2</v>
      </c>
      <c r="X177" t="s">
        <v>3986</v>
      </c>
      <c r="Y177" t="s">
        <v>3116</v>
      </c>
      <c r="Z177">
        <v>0</v>
      </c>
      <c r="AA177" t="s">
        <v>2493</v>
      </c>
      <c r="AB177" t="s">
        <v>3986</v>
      </c>
      <c r="AC177" t="s">
        <v>3986</v>
      </c>
      <c r="AD177" t="s">
        <v>3986</v>
      </c>
    </row>
    <row r="178" spans="1:30" x14ac:dyDescent="0.25">
      <c r="A178" t="s">
        <v>4023</v>
      </c>
      <c r="B178">
        <v>43</v>
      </c>
      <c r="C178" t="s">
        <v>3310</v>
      </c>
      <c r="D178" t="b">
        <v>1</v>
      </c>
      <c r="E178" t="b">
        <v>0</v>
      </c>
      <c r="F178" t="s">
        <v>3373</v>
      </c>
      <c r="G178" t="s">
        <v>3986</v>
      </c>
      <c r="H178" t="s">
        <v>3986</v>
      </c>
      <c r="I178" t="s">
        <v>3986</v>
      </c>
      <c r="J178" t="s">
        <v>3986</v>
      </c>
      <c r="K178" t="s">
        <v>3371</v>
      </c>
      <c r="L178" t="s">
        <v>3372</v>
      </c>
      <c r="M178" t="s">
        <v>1975</v>
      </c>
      <c r="N178">
        <v>6</v>
      </c>
      <c r="O178" t="b">
        <v>0</v>
      </c>
      <c r="P178" t="b">
        <v>0</v>
      </c>
      <c r="Q178" t="b">
        <v>0</v>
      </c>
      <c r="R178" t="b">
        <v>0</v>
      </c>
      <c r="T178" t="s">
        <v>3671</v>
      </c>
      <c r="U178">
        <v>193</v>
      </c>
      <c r="V178" t="s">
        <v>3986</v>
      </c>
      <c r="W178">
        <v>2</v>
      </c>
      <c r="X178" t="s">
        <v>3986</v>
      </c>
      <c r="Y178" t="s">
        <v>2445</v>
      </c>
      <c r="Z178">
        <v>0</v>
      </c>
      <c r="AA178" t="s">
        <v>2493</v>
      </c>
      <c r="AB178" t="s">
        <v>3986</v>
      </c>
      <c r="AC178" t="s">
        <v>3986</v>
      </c>
      <c r="AD178" t="s">
        <v>3986</v>
      </c>
    </row>
    <row r="179" spans="1:30" x14ac:dyDescent="0.25">
      <c r="A179" t="s">
        <v>4024</v>
      </c>
      <c r="B179">
        <v>44</v>
      </c>
      <c r="C179" t="s">
        <v>3310</v>
      </c>
      <c r="D179" t="b">
        <v>1</v>
      </c>
      <c r="E179" t="b">
        <v>0</v>
      </c>
      <c r="F179" t="s">
        <v>3373</v>
      </c>
      <c r="G179" t="s">
        <v>3986</v>
      </c>
      <c r="H179" t="s">
        <v>3986</v>
      </c>
      <c r="I179" t="s">
        <v>3986</v>
      </c>
      <c r="J179" t="s">
        <v>3986</v>
      </c>
      <c r="K179" t="s">
        <v>3371</v>
      </c>
      <c r="L179" t="s">
        <v>3372</v>
      </c>
      <c r="M179" t="s">
        <v>1975</v>
      </c>
      <c r="N179">
        <v>6</v>
      </c>
      <c r="O179" t="b">
        <v>0</v>
      </c>
      <c r="P179" t="b">
        <v>0</v>
      </c>
      <c r="Q179" t="b">
        <v>0</v>
      </c>
      <c r="R179" t="b">
        <v>0</v>
      </c>
      <c r="T179" t="s">
        <v>3671</v>
      </c>
      <c r="U179">
        <v>194</v>
      </c>
      <c r="V179" t="s">
        <v>3986</v>
      </c>
      <c r="W179">
        <v>2</v>
      </c>
      <c r="X179" t="s">
        <v>3986</v>
      </c>
      <c r="Y179" t="s">
        <v>3147</v>
      </c>
      <c r="Z179">
        <v>0</v>
      </c>
      <c r="AA179" t="s">
        <v>2493</v>
      </c>
      <c r="AB179" t="s">
        <v>3986</v>
      </c>
      <c r="AC179" t="s">
        <v>3986</v>
      </c>
      <c r="AD179" t="s">
        <v>3986</v>
      </c>
    </row>
    <row r="180" spans="1:30" x14ac:dyDescent="0.25">
      <c r="A180" t="s">
        <v>4025</v>
      </c>
      <c r="B180">
        <v>45</v>
      </c>
      <c r="C180" t="s">
        <v>3310</v>
      </c>
      <c r="D180" t="b">
        <v>1</v>
      </c>
      <c r="E180" t="b">
        <v>0</v>
      </c>
      <c r="F180" t="s">
        <v>3373</v>
      </c>
      <c r="G180" t="s">
        <v>3986</v>
      </c>
      <c r="H180" t="s">
        <v>3986</v>
      </c>
      <c r="I180" t="s">
        <v>3986</v>
      </c>
      <c r="J180" t="s">
        <v>3986</v>
      </c>
      <c r="K180" t="s">
        <v>3371</v>
      </c>
      <c r="L180" t="s">
        <v>3372</v>
      </c>
      <c r="M180" t="s">
        <v>1975</v>
      </c>
      <c r="N180">
        <v>6</v>
      </c>
      <c r="O180" t="b">
        <v>0</v>
      </c>
      <c r="P180" t="b">
        <v>0</v>
      </c>
      <c r="Q180" t="b">
        <v>0</v>
      </c>
      <c r="R180" t="b">
        <v>0</v>
      </c>
      <c r="T180" t="s">
        <v>3671</v>
      </c>
      <c r="U180">
        <v>195</v>
      </c>
      <c r="V180" t="s">
        <v>3986</v>
      </c>
      <c r="W180">
        <v>2</v>
      </c>
      <c r="X180" t="s">
        <v>3986</v>
      </c>
      <c r="Y180" t="s">
        <v>3164</v>
      </c>
      <c r="Z180">
        <v>0</v>
      </c>
      <c r="AA180" t="s">
        <v>2493</v>
      </c>
      <c r="AB180" t="s">
        <v>3986</v>
      </c>
      <c r="AC180" t="s">
        <v>3986</v>
      </c>
      <c r="AD180" t="s">
        <v>3986</v>
      </c>
    </row>
    <row r="181" spans="1:30" x14ac:dyDescent="0.25">
      <c r="A181" t="s">
        <v>4026</v>
      </c>
      <c r="B181">
        <v>46</v>
      </c>
      <c r="C181" t="s">
        <v>3310</v>
      </c>
      <c r="D181" t="b">
        <v>1</v>
      </c>
      <c r="E181" t="b">
        <v>0</v>
      </c>
      <c r="F181" t="s">
        <v>3373</v>
      </c>
      <c r="G181" t="s">
        <v>3986</v>
      </c>
      <c r="H181" t="s">
        <v>3986</v>
      </c>
      <c r="I181" t="s">
        <v>3986</v>
      </c>
      <c r="J181" t="s">
        <v>3986</v>
      </c>
      <c r="K181" t="s">
        <v>3371</v>
      </c>
      <c r="L181" t="s">
        <v>3372</v>
      </c>
      <c r="M181" t="s">
        <v>1975</v>
      </c>
      <c r="N181">
        <v>6</v>
      </c>
      <c r="O181" t="b">
        <v>0</v>
      </c>
      <c r="P181" t="b">
        <v>0</v>
      </c>
      <c r="Q181" t="b">
        <v>0</v>
      </c>
      <c r="R181" t="b">
        <v>0</v>
      </c>
      <c r="T181" t="s">
        <v>3671</v>
      </c>
      <c r="U181">
        <v>196</v>
      </c>
      <c r="V181" t="s">
        <v>3986</v>
      </c>
      <c r="W181">
        <v>2</v>
      </c>
      <c r="X181" t="s">
        <v>3986</v>
      </c>
      <c r="Y181" t="s">
        <v>3165</v>
      </c>
      <c r="Z181">
        <v>0</v>
      </c>
      <c r="AA181" t="s">
        <v>2493</v>
      </c>
      <c r="AB181" t="s">
        <v>3986</v>
      </c>
      <c r="AC181" t="s">
        <v>3986</v>
      </c>
      <c r="AD181" t="s">
        <v>3986</v>
      </c>
    </row>
    <row r="182" spans="1:30" x14ac:dyDescent="0.25">
      <c r="A182" t="s">
        <v>4027</v>
      </c>
      <c r="B182">
        <v>47</v>
      </c>
      <c r="C182" t="s">
        <v>3310</v>
      </c>
      <c r="D182" t="b">
        <v>1</v>
      </c>
      <c r="E182" t="b">
        <v>0</v>
      </c>
      <c r="F182" t="s">
        <v>3373</v>
      </c>
      <c r="G182" t="s">
        <v>3986</v>
      </c>
      <c r="H182" t="s">
        <v>3986</v>
      </c>
      <c r="I182" t="s">
        <v>3986</v>
      </c>
      <c r="J182" t="s">
        <v>3986</v>
      </c>
      <c r="K182" t="s">
        <v>3371</v>
      </c>
      <c r="L182" t="s">
        <v>3372</v>
      </c>
      <c r="M182" t="s">
        <v>1975</v>
      </c>
      <c r="N182">
        <v>6</v>
      </c>
      <c r="O182" t="b">
        <v>0</v>
      </c>
      <c r="P182" t="b">
        <v>0</v>
      </c>
      <c r="Q182" t="b">
        <v>0</v>
      </c>
      <c r="R182" t="b">
        <v>0</v>
      </c>
      <c r="T182" t="s">
        <v>3671</v>
      </c>
      <c r="U182">
        <v>197</v>
      </c>
      <c r="V182" t="s">
        <v>3986</v>
      </c>
      <c r="W182">
        <v>2</v>
      </c>
      <c r="X182" t="s">
        <v>3986</v>
      </c>
      <c r="Y182" t="s">
        <v>3166</v>
      </c>
      <c r="Z182">
        <v>0</v>
      </c>
      <c r="AA182" t="s">
        <v>2493</v>
      </c>
      <c r="AB182" t="s">
        <v>3986</v>
      </c>
      <c r="AC182" t="s">
        <v>3986</v>
      </c>
      <c r="AD182" t="s">
        <v>3986</v>
      </c>
    </row>
    <row r="183" spans="1:30" x14ac:dyDescent="0.25">
      <c r="A183" t="s">
        <v>4028</v>
      </c>
      <c r="B183">
        <v>48</v>
      </c>
      <c r="C183" t="s">
        <v>3310</v>
      </c>
      <c r="D183" t="b">
        <v>1</v>
      </c>
      <c r="E183" t="b">
        <v>0</v>
      </c>
      <c r="F183" t="s">
        <v>3373</v>
      </c>
      <c r="G183" t="s">
        <v>3986</v>
      </c>
      <c r="H183" t="s">
        <v>3986</v>
      </c>
      <c r="I183" t="s">
        <v>3986</v>
      </c>
      <c r="J183" t="s">
        <v>3986</v>
      </c>
      <c r="K183" t="s">
        <v>3371</v>
      </c>
      <c r="L183" t="s">
        <v>3372</v>
      </c>
      <c r="M183" t="s">
        <v>1975</v>
      </c>
      <c r="N183">
        <v>6</v>
      </c>
      <c r="O183" t="b">
        <v>0</v>
      </c>
      <c r="P183" t="b">
        <v>0</v>
      </c>
      <c r="Q183" t="b">
        <v>0</v>
      </c>
      <c r="R183" t="b">
        <v>0</v>
      </c>
      <c r="T183" t="s">
        <v>3671</v>
      </c>
      <c r="U183">
        <v>198</v>
      </c>
      <c r="V183" t="s">
        <v>3986</v>
      </c>
      <c r="W183">
        <v>2</v>
      </c>
      <c r="X183" t="s">
        <v>3986</v>
      </c>
      <c r="Y183" t="s">
        <v>3167</v>
      </c>
      <c r="Z183">
        <v>0</v>
      </c>
      <c r="AA183" t="s">
        <v>2493</v>
      </c>
      <c r="AB183" t="s">
        <v>3986</v>
      </c>
      <c r="AC183" t="s">
        <v>3986</v>
      </c>
      <c r="AD183" t="s">
        <v>3986</v>
      </c>
    </row>
    <row r="184" spans="1:30" x14ac:dyDescent="0.25">
      <c r="A184" t="s">
        <v>4029</v>
      </c>
      <c r="B184">
        <v>49</v>
      </c>
      <c r="C184" t="s">
        <v>3310</v>
      </c>
      <c r="D184" t="b">
        <v>1</v>
      </c>
      <c r="E184" t="b">
        <v>0</v>
      </c>
      <c r="F184" t="s">
        <v>3373</v>
      </c>
      <c r="G184" t="s">
        <v>3986</v>
      </c>
      <c r="H184" t="s">
        <v>3986</v>
      </c>
      <c r="I184" t="s">
        <v>3986</v>
      </c>
      <c r="J184" t="s">
        <v>3986</v>
      </c>
      <c r="K184" t="s">
        <v>3371</v>
      </c>
      <c r="L184" t="s">
        <v>3372</v>
      </c>
      <c r="M184" t="s">
        <v>1975</v>
      </c>
      <c r="N184">
        <v>6</v>
      </c>
      <c r="O184" t="b">
        <v>0</v>
      </c>
      <c r="P184" t="b">
        <v>0</v>
      </c>
      <c r="Q184" t="b">
        <v>0</v>
      </c>
      <c r="R184" t="b">
        <v>0</v>
      </c>
      <c r="T184" t="s">
        <v>3671</v>
      </c>
      <c r="U184">
        <v>199</v>
      </c>
      <c r="V184" t="s">
        <v>3986</v>
      </c>
      <c r="W184">
        <v>2</v>
      </c>
      <c r="X184" t="s">
        <v>3986</v>
      </c>
      <c r="Y184" t="s">
        <v>3134</v>
      </c>
      <c r="Z184">
        <v>0</v>
      </c>
      <c r="AA184" t="s">
        <v>2493</v>
      </c>
      <c r="AB184" t="s">
        <v>3986</v>
      </c>
      <c r="AC184" t="s">
        <v>3986</v>
      </c>
      <c r="AD184" t="s">
        <v>3986</v>
      </c>
    </row>
    <row r="185" spans="1:30" x14ac:dyDescent="0.25">
      <c r="A185" t="s">
        <v>4030</v>
      </c>
      <c r="B185">
        <v>50</v>
      </c>
      <c r="C185" t="s">
        <v>3310</v>
      </c>
      <c r="D185" t="b">
        <v>1</v>
      </c>
      <c r="E185" t="b">
        <v>0</v>
      </c>
      <c r="F185" t="s">
        <v>3373</v>
      </c>
      <c r="G185" t="s">
        <v>3986</v>
      </c>
      <c r="H185" t="s">
        <v>3986</v>
      </c>
      <c r="I185" t="s">
        <v>3986</v>
      </c>
      <c r="J185" t="s">
        <v>3986</v>
      </c>
      <c r="K185" t="s">
        <v>3371</v>
      </c>
      <c r="L185" t="s">
        <v>3372</v>
      </c>
      <c r="M185" t="s">
        <v>1975</v>
      </c>
      <c r="N185">
        <v>6</v>
      </c>
      <c r="O185" t="b">
        <v>0</v>
      </c>
      <c r="P185" t="b">
        <v>0</v>
      </c>
      <c r="Q185" t="b">
        <v>0</v>
      </c>
      <c r="R185" t="b">
        <v>0</v>
      </c>
      <c r="T185" t="s">
        <v>3671</v>
      </c>
      <c r="U185">
        <v>200</v>
      </c>
      <c r="V185" t="s">
        <v>3986</v>
      </c>
      <c r="W185">
        <v>2</v>
      </c>
      <c r="X185" t="s">
        <v>3986</v>
      </c>
      <c r="Y185" t="s">
        <v>2446</v>
      </c>
      <c r="Z185">
        <v>0</v>
      </c>
      <c r="AA185" t="s">
        <v>2493</v>
      </c>
      <c r="AB185" t="s">
        <v>3986</v>
      </c>
      <c r="AC185" t="s">
        <v>3986</v>
      </c>
      <c r="AD185" t="s">
        <v>3986</v>
      </c>
    </row>
    <row r="186" spans="1:30" x14ac:dyDescent="0.25">
      <c r="A186" t="s">
        <v>4031</v>
      </c>
      <c r="B186">
        <v>51</v>
      </c>
      <c r="C186" t="s">
        <v>3310</v>
      </c>
      <c r="D186" t="b">
        <v>1</v>
      </c>
      <c r="E186" t="b">
        <v>0</v>
      </c>
      <c r="F186" t="s">
        <v>3373</v>
      </c>
      <c r="G186" t="s">
        <v>3986</v>
      </c>
      <c r="H186" t="s">
        <v>3986</v>
      </c>
      <c r="I186" t="s">
        <v>3986</v>
      </c>
      <c r="J186" t="s">
        <v>3986</v>
      </c>
      <c r="K186" t="s">
        <v>3371</v>
      </c>
      <c r="L186" t="s">
        <v>3372</v>
      </c>
      <c r="M186" t="s">
        <v>1975</v>
      </c>
      <c r="N186">
        <v>6</v>
      </c>
      <c r="O186" t="b">
        <v>0</v>
      </c>
      <c r="P186" t="b">
        <v>0</v>
      </c>
      <c r="Q186" t="b">
        <v>0</v>
      </c>
      <c r="R186" t="b">
        <v>0</v>
      </c>
      <c r="T186" t="s">
        <v>3671</v>
      </c>
      <c r="U186">
        <v>201</v>
      </c>
      <c r="V186" t="s">
        <v>3986</v>
      </c>
      <c r="W186">
        <v>2</v>
      </c>
      <c r="X186" t="s">
        <v>3986</v>
      </c>
      <c r="Y186" t="s">
        <v>2447</v>
      </c>
      <c r="Z186">
        <v>0</v>
      </c>
      <c r="AA186" t="s">
        <v>2493</v>
      </c>
      <c r="AB186" t="s">
        <v>3986</v>
      </c>
      <c r="AC186" t="s">
        <v>3986</v>
      </c>
      <c r="AD186" t="s">
        <v>3986</v>
      </c>
    </row>
    <row r="187" spans="1:30" x14ac:dyDescent="0.25">
      <c r="A187" t="s">
        <v>4032</v>
      </c>
      <c r="B187">
        <v>52</v>
      </c>
      <c r="C187" t="s">
        <v>3310</v>
      </c>
      <c r="D187" t="b">
        <v>1</v>
      </c>
      <c r="E187" t="b">
        <v>0</v>
      </c>
      <c r="F187" t="s">
        <v>3373</v>
      </c>
      <c r="G187" t="s">
        <v>3986</v>
      </c>
      <c r="H187" t="s">
        <v>3986</v>
      </c>
      <c r="I187" t="s">
        <v>3986</v>
      </c>
      <c r="J187" t="s">
        <v>3986</v>
      </c>
      <c r="K187" t="s">
        <v>3371</v>
      </c>
      <c r="L187" t="s">
        <v>3372</v>
      </c>
      <c r="M187" t="s">
        <v>1975</v>
      </c>
      <c r="N187">
        <v>6</v>
      </c>
      <c r="O187" t="b">
        <v>0</v>
      </c>
      <c r="P187" t="b">
        <v>0</v>
      </c>
      <c r="Q187" t="b">
        <v>0</v>
      </c>
      <c r="R187" t="b">
        <v>0</v>
      </c>
      <c r="T187" t="s">
        <v>3671</v>
      </c>
      <c r="U187">
        <v>202</v>
      </c>
      <c r="V187" t="s">
        <v>3986</v>
      </c>
      <c r="W187">
        <v>2</v>
      </c>
      <c r="X187" t="s">
        <v>3986</v>
      </c>
      <c r="Y187" t="s">
        <v>2448</v>
      </c>
      <c r="Z187">
        <v>0</v>
      </c>
      <c r="AA187" t="s">
        <v>2493</v>
      </c>
      <c r="AB187" t="s">
        <v>3986</v>
      </c>
      <c r="AC187" t="s">
        <v>3986</v>
      </c>
      <c r="AD187" t="s">
        <v>3986</v>
      </c>
    </row>
    <row r="188" spans="1:30" x14ac:dyDescent="0.25">
      <c r="A188" t="s">
        <v>4033</v>
      </c>
      <c r="B188">
        <v>53</v>
      </c>
      <c r="C188" t="s">
        <v>3310</v>
      </c>
      <c r="D188" t="b">
        <v>1</v>
      </c>
      <c r="E188" t="b">
        <v>0</v>
      </c>
      <c r="F188" t="s">
        <v>3373</v>
      </c>
      <c r="G188" t="s">
        <v>3986</v>
      </c>
      <c r="H188" t="s">
        <v>3986</v>
      </c>
      <c r="I188" t="s">
        <v>3986</v>
      </c>
      <c r="J188" t="s">
        <v>3986</v>
      </c>
      <c r="K188" t="s">
        <v>3371</v>
      </c>
      <c r="L188" t="s">
        <v>3372</v>
      </c>
      <c r="M188" t="s">
        <v>1975</v>
      </c>
      <c r="N188">
        <v>6</v>
      </c>
      <c r="O188" t="b">
        <v>0</v>
      </c>
      <c r="P188" t="b">
        <v>0</v>
      </c>
      <c r="Q188" t="b">
        <v>0</v>
      </c>
      <c r="R188" t="b">
        <v>0</v>
      </c>
      <c r="T188" t="s">
        <v>3671</v>
      </c>
      <c r="U188">
        <v>203</v>
      </c>
      <c r="V188" t="s">
        <v>3986</v>
      </c>
      <c r="W188">
        <v>2</v>
      </c>
      <c r="X188" t="s">
        <v>3986</v>
      </c>
      <c r="Y188" t="s">
        <v>3135</v>
      </c>
      <c r="Z188">
        <v>0</v>
      </c>
      <c r="AA188" t="s">
        <v>2493</v>
      </c>
      <c r="AB188" t="s">
        <v>3986</v>
      </c>
      <c r="AC188" t="s">
        <v>3986</v>
      </c>
      <c r="AD188" t="s">
        <v>3986</v>
      </c>
    </row>
    <row r="189" spans="1:30" x14ac:dyDescent="0.25">
      <c r="A189" t="s">
        <v>4034</v>
      </c>
      <c r="B189">
        <v>54</v>
      </c>
      <c r="C189" t="s">
        <v>3310</v>
      </c>
      <c r="D189" t="b">
        <v>1</v>
      </c>
      <c r="E189" t="b">
        <v>0</v>
      </c>
      <c r="F189" t="s">
        <v>3373</v>
      </c>
      <c r="G189" t="s">
        <v>3986</v>
      </c>
      <c r="H189" t="s">
        <v>3986</v>
      </c>
      <c r="I189" t="s">
        <v>3986</v>
      </c>
      <c r="J189" t="s">
        <v>3986</v>
      </c>
      <c r="K189" t="s">
        <v>3371</v>
      </c>
      <c r="L189" t="s">
        <v>3372</v>
      </c>
      <c r="M189" t="s">
        <v>1975</v>
      </c>
      <c r="N189">
        <v>6</v>
      </c>
      <c r="O189" t="b">
        <v>0</v>
      </c>
      <c r="P189" t="b">
        <v>0</v>
      </c>
      <c r="Q189" t="b">
        <v>0</v>
      </c>
      <c r="R189" t="b">
        <v>0</v>
      </c>
      <c r="T189" t="s">
        <v>3671</v>
      </c>
      <c r="U189">
        <v>205</v>
      </c>
      <c r="V189" t="s">
        <v>3986</v>
      </c>
      <c r="W189">
        <v>2</v>
      </c>
      <c r="X189" t="s">
        <v>3986</v>
      </c>
      <c r="Y189" t="s">
        <v>812</v>
      </c>
      <c r="Z189">
        <v>0</v>
      </c>
      <c r="AA189" t="s">
        <v>2493</v>
      </c>
      <c r="AB189" t="s">
        <v>3986</v>
      </c>
      <c r="AC189" t="s">
        <v>3986</v>
      </c>
      <c r="AD189" t="s">
        <v>3986</v>
      </c>
    </row>
    <row r="190" spans="1:30" x14ac:dyDescent="0.25">
      <c r="A190" t="s">
        <v>4035</v>
      </c>
      <c r="B190">
        <v>55</v>
      </c>
      <c r="C190" t="s">
        <v>3310</v>
      </c>
      <c r="D190" t="b">
        <v>1</v>
      </c>
      <c r="E190" t="b">
        <v>0</v>
      </c>
      <c r="F190" t="s">
        <v>3373</v>
      </c>
      <c r="G190" t="s">
        <v>3986</v>
      </c>
      <c r="H190" t="s">
        <v>3986</v>
      </c>
      <c r="I190" t="s">
        <v>3986</v>
      </c>
      <c r="J190" t="s">
        <v>3986</v>
      </c>
      <c r="K190" t="s">
        <v>3371</v>
      </c>
      <c r="L190" t="s">
        <v>3372</v>
      </c>
      <c r="M190" t="s">
        <v>1975</v>
      </c>
      <c r="N190">
        <v>6</v>
      </c>
      <c r="O190" t="b">
        <v>0</v>
      </c>
      <c r="P190" t="b">
        <v>0</v>
      </c>
      <c r="Q190" t="b">
        <v>0</v>
      </c>
      <c r="R190" t="b">
        <v>0</v>
      </c>
      <c r="T190" t="s">
        <v>3671</v>
      </c>
      <c r="U190">
        <v>206</v>
      </c>
      <c r="V190" t="s">
        <v>3986</v>
      </c>
      <c r="W190">
        <v>2</v>
      </c>
      <c r="X190" t="s">
        <v>3986</v>
      </c>
      <c r="Y190" t="s">
        <v>812</v>
      </c>
      <c r="Z190">
        <v>0</v>
      </c>
      <c r="AA190" t="s">
        <v>2493</v>
      </c>
      <c r="AB190" t="s">
        <v>3986</v>
      </c>
      <c r="AC190" t="s">
        <v>3986</v>
      </c>
      <c r="AD190" t="s">
        <v>3986</v>
      </c>
    </row>
    <row r="191" spans="1:30" x14ac:dyDescent="0.25">
      <c r="A191" t="s">
        <v>4036</v>
      </c>
      <c r="B191">
        <v>56</v>
      </c>
      <c r="C191" t="s">
        <v>3310</v>
      </c>
      <c r="D191" t="b">
        <v>1</v>
      </c>
      <c r="E191" t="b">
        <v>0</v>
      </c>
      <c r="F191" t="s">
        <v>3373</v>
      </c>
      <c r="G191" t="s">
        <v>3986</v>
      </c>
      <c r="H191" t="s">
        <v>3986</v>
      </c>
      <c r="I191" t="s">
        <v>3986</v>
      </c>
      <c r="J191" t="s">
        <v>3986</v>
      </c>
      <c r="K191" t="s">
        <v>3371</v>
      </c>
      <c r="L191" t="s">
        <v>3372</v>
      </c>
      <c r="M191" t="s">
        <v>1975</v>
      </c>
      <c r="N191">
        <v>6</v>
      </c>
      <c r="O191" t="b">
        <v>0</v>
      </c>
      <c r="P191" t="b">
        <v>0</v>
      </c>
      <c r="Q191" t="b">
        <v>0</v>
      </c>
      <c r="R191" t="b">
        <v>0</v>
      </c>
      <c r="T191" t="s">
        <v>3671</v>
      </c>
      <c r="U191">
        <v>207</v>
      </c>
      <c r="V191" t="s">
        <v>3986</v>
      </c>
      <c r="W191">
        <v>2</v>
      </c>
      <c r="X191" t="s">
        <v>3986</v>
      </c>
      <c r="Y191" t="s">
        <v>4128</v>
      </c>
      <c r="Z191">
        <v>0</v>
      </c>
      <c r="AA191" t="s">
        <v>2493</v>
      </c>
      <c r="AB191" t="s">
        <v>3986</v>
      </c>
      <c r="AC191" t="s">
        <v>3986</v>
      </c>
      <c r="AD191" t="s">
        <v>3986</v>
      </c>
    </row>
    <row r="192" spans="1:30" x14ac:dyDescent="0.25">
      <c r="A192" t="s">
        <v>34</v>
      </c>
      <c r="B192">
        <v>6</v>
      </c>
      <c r="C192" t="s">
        <v>3306</v>
      </c>
      <c r="D192" t="b">
        <v>1</v>
      </c>
      <c r="E192" t="b">
        <v>0</v>
      </c>
      <c r="F192" t="s">
        <v>3307</v>
      </c>
      <c r="G192" t="s">
        <v>3986</v>
      </c>
      <c r="H192" t="s">
        <v>3986</v>
      </c>
      <c r="I192" t="s">
        <v>3986</v>
      </c>
      <c r="J192" t="s">
        <v>3370</v>
      </c>
      <c r="K192" t="s">
        <v>3554</v>
      </c>
      <c r="L192" t="s">
        <v>3372</v>
      </c>
      <c r="M192" t="s">
        <v>1975</v>
      </c>
      <c r="N192">
        <v>6</v>
      </c>
      <c r="O192" t="b">
        <v>0</v>
      </c>
      <c r="P192" t="b">
        <v>0</v>
      </c>
      <c r="Q192" t="b">
        <v>0</v>
      </c>
      <c r="R192" t="b">
        <v>0</v>
      </c>
      <c r="T192" t="s">
        <v>3671</v>
      </c>
      <c r="U192">
        <v>208</v>
      </c>
      <c r="V192" t="s">
        <v>3986</v>
      </c>
      <c r="W192">
        <v>2</v>
      </c>
      <c r="X192" t="s">
        <v>3986</v>
      </c>
      <c r="Y192" t="s">
        <v>3673</v>
      </c>
      <c r="Z192">
        <v>0</v>
      </c>
      <c r="AA192" t="s">
        <v>2493</v>
      </c>
      <c r="AB192" t="s">
        <v>3986</v>
      </c>
      <c r="AC192" t="s">
        <v>3986</v>
      </c>
      <c r="AD192" t="s">
        <v>3986</v>
      </c>
    </row>
    <row r="193" spans="1:30" x14ac:dyDescent="0.25">
      <c r="A193" t="s">
        <v>3555</v>
      </c>
      <c r="B193">
        <v>7</v>
      </c>
      <c r="C193" t="s">
        <v>3310</v>
      </c>
      <c r="D193" t="b">
        <v>1</v>
      </c>
      <c r="E193" t="b">
        <v>0</v>
      </c>
      <c r="F193" t="s">
        <v>3986</v>
      </c>
      <c r="G193" t="s">
        <v>3986</v>
      </c>
      <c r="H193" t="s">
        <v>3986</v>
      </c>
      <c r="I193" t="s">
        <v>3986</v>
      </c>
      <c r="J193" t="s">
        <v>3986</v>
      </c>
      <c r="K193" t="s">
        <v>3554</v>
      </c>
      <c r="L193" t="s">
        <v>3372</v>
      </c>
      <c r="M193" t="s">
        <v>1975</v>
      </c>
      <c r="N193">
        <v>6</v>
      </c>
      <c r="O193" t="b">
        <v>0</v>
      </c>
      <c r="P193" t="b">
        <v>0</v>
      </c>
      <c r="Q193" t="b">
        <v>0</v>
      </c>
      <c r="R193" t="b">
        <v>0</v>
      </c>
      <c r="T193" t="s">
        <v>3671</v>
      </c>
      <c r="U193">
        <v>209</v>
      </c>
      <c r="V193" t="s">
        <v>3986</v>
      </c>
      <c r="W193">
        <v>2</v>
      </c>
      <c r="X193" t="s">
        <v>3986</v>
      </c>
      <c r="Y193" t="s">
        <v>3674</v>
      </c>
      <c r="Z193">
        <v>0</v>
      </c>
      <c r="AA193" t="s">
        <v>2493</v>
      </c>
      <c r="AB193" t="s">
        <v>3986</v>
      </c>
      <c r="AC193" t="s">
        <v>3986</v>
      </c>
      <c r="AD193" t="s">
        <v>3986</v>
      </c>
    </row>
    <row r="194" spans="1:30" x14ac:dyDescent="0.25">
      <c r="A194" t="s">
        <v>3556</v>
      </c>
      <c r="B194">
        <v>8</v>
      </c>
      <c r="C194" t="s">
        <v>3310</v>
      </c>
      <c r="D194" t="b">
        <v>1</v>
      </c>
      <c r="E194" t="b">
        <v>0</v>
      </c>
      <c r="F194" t="s">
        <v>3986</v>
      </c>
      <c r="G194" t="s">
        <v>3986</v>
      </c>
      <c r="H194" t="s">
        <v>3986</v>
      </c>
      <c r="I194" t="s">
        <v>3986</v>
      </c>
      <c r="J194" t="s">
        <v>3986</v>
      </c>
      <c r="K194" t="s">
        <v>3554</v>
      </c>
      <c r="L194" t="s">
        <v>3372</v>
      </c>
      <c r="M194" t="s">
        <v>1975</v>
      </c>
      <c r="N194">
        <v>6</v>
      </c>
      <c r="O194" t="b">
        <v>0</v>
      </c>
      <c r="P194" t="b">
        <v>0</v>
      </c>
      <c r="Q194" t="b">
        <v>0</v>
      </c>
      <c r="R194" t="b">
        <v>0</v>
      </c>
      <c r="T194" t="s">
        <v>3671</v>
      </c>
      <c r="U194">
        <v>210</v>
      </c>
      <c r="V194" t="s">
        <v>3986</v>
      </c>
      <c r="W194">
        <v>2</v>
      </c>
      <c r="X194" t="s">
        <v>3986</v>
      </c>
      <c r="Y194" t="s">
        <v>3675</v>
      </c>
      <c r="Z194">
        <v>0</v>
      </c>
      <c r="AA194" t="s">
        <v>2493</v>
      </c>
      <c r="AB194" t="s">
        <v>3986</v>
      </c>
      <c r="AC194" t="s">
        <v>3986</v>
      </c>
      <c r="AD194" t="s">
        <v>3986</v>
      </c>
    </row>
    <row r="195" spans="1:30" x14ac:dyDescent="0.25">
      <c r="A195" t="s">
        <v>3557</v>
      </c>
      <c r="B195">
        <v>9</v>
      </c>
      <c r="C195" t="s">
        <v>3310</v>
      </c>
      <c r="D195" t="b">
        <v>1</v>
      </c>
      <c r="E195" t="b">
        <v>0</v>
      </c>
      <c r="F195" t="s">
        <v>3986</v>
      </c>
      <c r="G195" t="s">
        <v>3986</v>
      </c>
      <c r="H195" t="s">
        <v>3986</v>
      </c>
      <c r="I195" t="s">
        <v>3986</v>
      </c>
      <c r="J195" t="s">
        <v>3986</v>
      </c>
      <c r="K195" t="s">
        <v>3554</v>
      </c>
      <c r="L195" t="s">
        <v>3372</v>
      </c>
      <c r="M195" t="s">
        <v>1975</v>
      </c>
      <c r="N195">
        <v>6</v>
      </c>
      <c r="O195" t="b">
        <v>0</v>
      </c>
      <c r="P195" t="b">
        <v>0</v>
      </c>
      <c r="Q195" t="b">
        <v>0</v>
      </c>
      <c r="R195" t="b">
        <v>0</v>
      </c>
      <c r="T195" t="s">
        <v>3671</v>
      </c>
      <c r="U195">
        <v>211</v>
      </c>
      <c r="V195" t="s">
        <v>3986</v>
      </c>
      <c r="W195">
        <v>2</v>
      </c>
      <c r="X195" t="s">
        <v>3986</v>
      </c>
      <c r="Y195" t="s">
        <v>3676</v>
      </c>
      <c r="Z195">
        <v>0</v>
      </c>
      <c r="AA195" t="s">
        <v>2493</v>
      </c>
      <c r="AB195" t="s">
        <v>3986</v>
      </c>
      <c r="AC195" t="s">
        <v>3986</v>
      </c>
      <c r="AD195" t="s">
        <v>3986</v>
      </c>
    </row>
    <row r="196" spans="1:30" x14ac:dyDescent="0.25">
      <c r="A196" t="s">
        <v>3558</v>
      </c>
      <c r="B196">
        <v>10</v>
      </c>
      <c r="C196" t="s">
        <v>3310</v>
      </c>
      <c r="D196" t="b">
        <v>1</v>
      </c>
      <c r="E196" t="b">
        <v>0</v>
      </c>
      <c r="F196" t="s">
        <v>3986</v>
      </c>
      <c r="G196" t="s">
        <v>3986</v>
      </c>
      <c r="H196" t="s">
        <v>3986</v>
      </c>
      <c r="I196" t="s">
        <v>3986</v>
      </c>
      <c r="J196" t="s">
        <v>3986</v>
      </c>
      <c r="K196" t="s">
        <v>3554</v>
      </c>
      <c r="L196" t="s">
        <v>3372</v>
      </c>
      <c r="M196" t="s">
        <v>1975</v>
      </c>
      <c r="N196">
        <v>6</v>
      </c>
      <c r="O196" t="b">
        <v>0</v>
      </c>
      <c r="P196" t="b">
        <v>0</v>
      </c>
      <c r="Q196" t="b">
        <v>0</v>
      </c>
      <c r="R196" t="b">
        <v>0</v>
      </c>
      <c r="T196" t="s">
        <v>3671</v>
      </c>
      <c r="U196">
        <v>213</v>
      </c>
      <c r="V196" t="s">
        <v>3986</v>
      </c>
      <c r="W196">
        <v>2</v>
      </c>
      <c r="X196" t="s">
        <v>3986</v>
      </c>
      <c r="Y196" t="s">
        <v>2450</v>
      </c>
      <c r="Z196">
        <v>0</v>
      </c>
      <c r="AA196" t="s">
        <v>2493</v>
      </c>
      <c r="AB196" t="s">
        <v>3986</v>
      </c>
      <c r="AC196" t="s">
        <v>3986</v>
      </c>
      <c r="AD196" t="s">
        <v>3986</v>
      </c>
    </row>
    <row r="197" spans="1:30" x14ac:dyDescent="0.25">
      <c r="A197" t="s">
        <v>3559</v>
      </c>
      <c r="B197">
        <v>11</v>
      </c>
      <c r="C197" t="s">
        <v>3310</v>
      </c>
      <c r="D197" t="b">
        <v>1</v>
      </c>
      <c r="E197" t="b">
        <v>0</v>
      </c>
      <c r="F197" t="s">
        <v>3986</v>
      </c>
      <c r="G197" t="s">
        <v>3986</v>
      </c>
      <c r="H197" t="s">
        <v>3986</v>
      </c>
      <c r="I197" t="s">
        <v>3986</v>
      </c>
      <c r="J197" t="s">
        <v>3986</v>
      </c>
      <c r="K197" t="s">
        <v>3554</v>
      </c>
      <c r="L197" t="s">
        <v>3372</v>
      </c>
      <c r="M197" t="s">
        <v>1975</v>
      </c>
      <c r="N197">
        <v>6</v>
      </c>
      <c r="O197" t="b">
        <v>0</v>
      </c>
      <c r="P197" t="b">
        <v>0</v>
      </c>
      <c r="Q197" t="b">
        <v>0</v>
      </c>
      <c r="R197" t="b">
        <v>0</v>
      </c>
      <c r="T197" t="s">
        <v>3671</v>
      </c>
      <c r="U197">
        <v>214</v>
      </c>
      <c r="V197" t="s">
        <v>3986</v>
      </c>
      <c r="W197">
        <v>2</v>
      </c>
      <c r="X197" t="s">
        <v>3986</v>
      </c>
      <c r="Y197" t="s">
        <v>3117</v>
      </c>
      <c r="Z197">
        <v>0</v>
      </c>
      <c r="AA197" t="s">
        <v>2493</v>
      </c>
      <c r="AB197" t="s">
        <v>3986</v>
      </c>
      <c r="AC197" t="s">
        <v>3986</v>
      </c>
      <c r="AD197" t="s">
        <v>3986</v>
      </c>
    </row>
    <row r="198" spans="1:30" x14ac:dyDescent="0.25">
      <c r="A198" t="s">
        <v>3560</v>
      </c>
      <c r="B198">
        <v>12</v>
      </c>
      <c r="C198" t="s">
        <v>3310</v>
      </c>
      <c r="D198" t="b">
        <v>1</v>
      </c>
      <c r="E198" t="b">
        <v>0</v>
      </c>
      <c r="F198" t="s">
        <v>3986</v>
      </c>
      <c r="G198" t="s">
        <v>3986</v>
      </c>
      <c r="H198" t="s">
        <v>3986</v>
      </c>
      <c r="I198" t="s">
        <v>3986</v>
      </c>
      <c r="J198" t="s">
        <v>3986</v>
      </c>
      <c r="K198" t="s">
        <v>3554</v>
      </c>
      <c r="L198" t="s">
        <v>3372</v>
      </c>
      <c r="M198" t="s">
        <v>1975</v>
      </c>
      <c r="N198">
        <v>6</v>
      </c>
      <c r="O198" t="b">
        <v>0</v>
      </c>
      <c r="P198" t="b">
        <v>0</v>
      </c>
      <c r="Q198" t="b">
        <v>0</v>
      </c>
      <c r="R198" t="b">
        <v>0</v>
      </c>
      <c r="T198" t="s">
        <v>3671</v>
      </c>
      <c r="U198">
        <v>215</v>
      </c>
      <c r="V198" t="s">
        <v>3986</v>
      </c>
      <c r="W198">
        <v>2</v>
      </c>
      <c r="X198" t="s">
        <v>3986</v>
      </c>
      <c r="Y198" t="s">
        <v>3118</v>
      </c>
      <c r="Z198">
        <v>0</v>
      </c>
      <c r="AA198" t="s">
        <v>2493</v>
      </c>
      <c r="AB198" t="s">
        <v>3986</v>
      </c>
      <c r="AC198" t="s">
        <v>3986</v>
      </c>
      <c r="AD198" t="s">
        <v>3986</v>
      </c>
    </row>
    <row r="199" spans="1:30" x14ac:dyDescent="0.25">
      <c r="A199" t="s">
        <v>3561</v>
      </c>
      <c r="B199">
        <v>13</v>
      </c>
      <c r="C199" t="s">
        <v>3310</v>
      </c>
      <c r="D199" t="b">
        <v>1</v>
      </c>
      <c r="E199" t="b">
        <v>0</v>
      </c>
      <c r="F199" t="s">
        <v>3986</v>
      </c>
      <c r="G199" t="s">
        <v>3986</v>
      </c>
      <c r="H199" t="s">
        <v>3986</v>
      </c>
      <c r="I199" t="s">
        <v>3986</v>
      </c>
      <c r="J199" t="s">
        <v>3986</v>
      </c>
      <c r="K199" t="s">
        <v>3554</v>
      </c>
      <c r="L199" t="s">
        <v>3372</v>
      </c>
      <c r="M199" t="s">
        <v>1975</v>
      </c>
      <c r="N199">
        <v>6</v>
      </c>
      <c r="O199" t="b">
        <v>0</v>
      </c>
      <c r="P199" t="b">
        <v>0</v>
      </c>
      <c r="Q199" t="b">
        <v>0</v>
      </c>
      <c r="R199" t="b">
        <v>0</v>
      </c>
      <c r="T199" t="s">
        <v>3671</v>
      </c>
      <c r="U199">
        <v>216</v>
      </c>
      <c r="V199" t="s">
        <v>3986</v>
      </c>
      <c r="W199">
        <v>2</v>
      </c>
      <c r="X199" t="s">
        <v>3986</v>
      </c>
      <c r="Y199" t="s">
        <v>3119</v>
      </c>
      <c r="Z199">
        <v>0</v>
      </c>
      <c r="AA199" t="s">
        <v>2493</v>
      </c>
      <c r="AB199" t="s">
        <v>3986</v>
      </c>
      <c r="AC199" t="s">
        <v>3986</v>
      </c>
      <c r="AD199" t="s">
        <v>3986</v>
      </c>
    </row>
    <row r="200" spans="1:30" x14ac:dyDescent="0.25">
      <c r="A200" t="s">
        <v>3562</v>
      </c>
      <c r="B200">
        <v>14</v>
      </c>
      <c r="C200" t="s">
        <v>3310</v>
      </c>
      <c r="D200" t="b">
        <v>1</v>
      </c>
      <c r="E200" t="b">
        <v>0</v>
      </c>
      <c r="F200" t="s">
        <v>3986</v>
      </c>
      <c r="G200" t="s">
        <v>3986</v>
      </c>
      <c r="H200" t="s">
        <v>3986</v>
      </c>
      <c r="I200" t="s">
        <v>3986</v>
      </c>
      <c r="J200" t="s">
        <v>3986</v>
      </c>
      <c r="K200" t="s">
        <v>3554</v>
      </c>
      <c r="L200" t="s">
        <v>3372</v>
      </c>
      <c r="M200" t="s">
        <v>1975</v>
      </c>
      <c r="N200">
        <v>6</v>
      </c>
      <c r="O200" t="b">
        <v>0</v>
      </c>
      <c r="P200" t="b">
        <v>0</v>
      </c>
      <c r="Q200" t="b">
        <v>0</v>
      </c>
      <c r="R200" t="b">
        <v>0</v>
      </c>
      <c r="T200" t="s">
        <v>3671</v>
      </c>
      <c r="U200">
        <v>217</v>
      </c>
      <c r="V200" t="s">
        <v>3986</v>
      </c>
      <c r="W200">
        <v>2</v>
      </c>
      <c r="X200" t="s">
        <v>3986</v>
      </c>
      <c r="Y200" t="s">
        <v>3120</v>
      </c>
      <c r="Z200">
        <v>0</v>
      </c>
      <c r="AA200" t="s">
        <v>2493</v>
      </c>
      <c r="AB200" t="s">
        <v>3986</v>
      </c>
      <c r="AC200" t="s">
        <v>3986</v>
      </c>
      <c r="AD200" t="s">
        <v>3986</v>
      </c>
    </row>
    <row r="201" spans="1:30" x14ac:dyDescent="0.25">
      <c r="A201" t="s">
        <v>3563</v>
      </c>
      <c r="B201">
        <v>15</v>
      </c>
      <c r="C201" t="s">
        <v>3310</v>
      </c>
      <c r="D201" t="b">
        <v>1</v>
      </c>
      <c r="E201" t="b">
        <v>0</v>
      </c>
      <c r="F201" t="s">
        <v>3986</v>
      </c>
      <c r="G201" t="s">
        <v>3986</v>
      </c>
      <c r="H201" t="s">
        <v>3986</v>
      </c>
      <c r="I201" t="s">
        <v>3986</v>
      </c>
      <c r="J201" t="s">
        <v>3986</v>
      </c>
      <c r="K201" t="s">
        <v>3554</v>
      </c>
      <c r="L201" t="s">
        <v>3372</v>
      </c>
      <c r="M201" t="s">
        <v>1975</v>
      </c>
      <c r="N201">
        <v>6</v>
      </c>
      <c r="O201" t="b">
        <v>0</v>
      </c>
      <c r="P201" t="b">
        <v>0</v>
      </c>
      <c r="Q201" t="b">
        <v>0</v>
      </c>
      <c r="R201" t="b">
        <v>0</v>
      </c>
      <c r="T201" t="s">
        <v>3671</v>
      </c>
      <c r="U201">
        <v>218</v>
      </c>
      <c r="V201" t="s">
        <v>3986</v>
      </c>
      <c r="W201">
        <v>2</v>
      </c>
      <c r="X201" t="s">
        <v>3986</v>
      </c>
      <c r="Y201" t="s">
        <v>3121</v>
      </c>
      <c r="Z201">
        <v>0</v>
      </c>
      <c r="AA201" t="s">
        <v>2493</v>
      </c>
      <c r="AB201" t="s">
        <v>3986</v>
      </c>
      <c r="AC201" t="s">
        <v>3986</v>
      </c>
      <c r="AD201" t="s">
        <v>3986</v>
      </c>
    </row>
    <row r="202" spans="1:30" x14ac:dyDescent="0.25">
      <c r="A202" t="s">
        <v>3564</v>
      </c>
      <c r="B202">
        <v>16</v>
      </c>
      <c r="C202" t="s">
        <v>3310</v>
      </c>
      <c r="D202" t="b">
        <v>1</v>
      </c>
      <c r="E202" t="b">
        <v>0</v>
      </c>
      <c r="F202" t="s">
        <v>3986</v>
      </c>
      <c r="G202" t="s">
        <v>3986</v>
      </c>
      <c r="H202" t="s">
        <v>3986</v>
      </c>
      <c r="I202" t="s">
        <v>3986</v>
      </c>
      <c r="J202" t="s">
        <v>3986</v>
      </c>
      <c r="K202" t="s">
        <v>3554</v>
      </c>
      <c r="L202" t="s">
        <v>3372</v>
      </c>
      <c r="M202" t="s">
        <v>1975</v>
      </c>
      <c r="N202">
        <v>6</v>
      </c>
      <c r="O202" t="b">
        <v>0</v>
      </c>
      <c r="P202" t="b">
        <v>0</v>
      </c>
      <c r="Q202" t="b">
        <v>0</v>
      </c>
      <c r="R202" t="b">
        <v>0</v>
      </c>
      <c r="T202" t="s">
        <v>3671</v>
      </c>
      <c r="U202">
        <v>219</v>
      </c>
      <c r="V202" t="s">
        <v>3986</v>
      </c>
      <c r="W202">
        <v>2</v>
      </c>
      <c r="X202" t="s">
        <v>3986</v>
      </c>
      <c r="Y202" t="s">
        <v>3122</v>
      </c>
      <c r="Z202">
        <v>0</v>
      </c>
      <c r="AA202" t="s">
        <v>2493</v>
      </c>
      <c r="AB202" t="s">
        <v>3986</v>
      </c>
      <c r="AC202" t="s">
        <v>3986</v>
      </c>
      <c r="AD202" t="s">
        <v>3986</v>
      </c>
    </row>
    <row r="203" spans="1:30" x14ac:dyDescent="0.25">
      <c r="A203" t="s">
        <v>3565</v>
      </c>
      <c r="B203">
        <v>17</v>
      </c>
      <c r="C203" t="s">
        <v>3310</v>
      </c>
      <c r="D203" t="b">
        <v>1</v>
      </c>
      <c r="E203" t="b">
        <v>0</v>
      </c>
      <c r="F203" t="s">
        <v>3986</v>
      </c>
      <c r="G203" t="s">
        <v>3986</v>
      </c>
      <c r="H203" t="s">
        <v>3986</v>
      </c>
      <c r="I203" t="s">
        <v>3986</v>
      </c>
      <c r="J203" t="s">
        <v>3986</v>
      </c>
      <c r="K203" t="s">
        <v>3554</v>
      </c>
      <c r="L203" t="s">
        <v>3372</v>
      </c>
      <c r="M203" t="s">
        <v>1975</v>
      </c>
      <c r="N203">
        <v>6</v>
      </c>
      <c r="O203" t="b">
        <v>0</v>
      </c>
      <c r="P203" t="b">
        <v>0</v>
      </c>
      <c r="Q203" t="b">
        <v>0</v>
      </c>
      <c r="R203" t="b">
        <v>0</v>
      </c>
      <c r="T203" t="s">
        <v>3671</v>
      </c>
      <c r="U203">
        <v>220</v>
      </c>
      <c r="V203" t="s">
        <v>3986</v>
      </c>
      <c r="W203">
        <v>2</v>
      </c>
      <c r="X203" t="s">
        <v>3986</v>
      </c>
      <c r="Y203" t="s">
        <v>3123</v>
      </c>
      <c r="Z203">
        <v>0</v>
      </c>
      <c r="AA203" t="s">
        <v>2493</v>
      </c>
      <c r="AB203" t="s">
        <v>3986</v>
      </c>
      <c r="AC203" t="s">
        <v>3986</v>
      </c>
      <c r="AD203" t="s">
        <v>3986</v>
      </c>
    </row>
    <row r="204" spans="1:30" x14ac:dyDescent="0.25">
      <c r="A204" t="s">
        <v>3566</v>
      </c>
      <c r="B204">
        <v>18</v>
      </c>
      <c r="C204" t="s">
        <v>3310</v>
      </c>
      <c r="D204" t="b">
        <v>1</v>
      </c>
      <c r="E204" t="b">
        <v>0</v>
      </c>
      <c r="F204" t="s">
        <v>3986</v>
      </c>
      <c r="G204" t="s">
        <v>3986</v>
      </c>
      <c r="H204" t="s">
        <v>3986</v>
      </c>
      <c r="I204" t="s">
        <v>3986</v>
      </c>
      <c r="J204" t="s">
        <v>3986</v>
      </c>
      <c r="K204" t="s">
        <v>3554</v>
      </c>
      <c r="L204" t="s">
        <v>3372</v>
      </c>
      <c r="M204" t="s">
        <v>1975</v>
      </c>
      <c r="N204">
        <v>6</v>
      </c>
      <c r="O204" t="b">
        <v>0</v>
      </c>
      <c r="P204" t="b">
        <v>0</v>
      </c>
      <c r="Q204" t="b">
        <v>0</v>
      </c>
      <c r="R204" t="b">
        <v>0</v>
      </c>
      <c r="T204" t="s">
        <v>3671</v>
      </c>
      <c r="U204">
        <v>221</v>
      </c>
      <c r="V204" t="s">
        <v>3986</v>
      </c>
      <c r="W204">
        <v>2</v>
      </c>
      <c r="X204" t="s">
        <v>3986</v>
      </c>
      <c r="Y204" t="s">
        <v>3124</v>
      </c>
      <c r="Z204">
        <v>0</v>
      </c>
      <c r="AA204" t="s">
        <v>2493</v>
      </c>
      <c r="AB204" t="s">
        <v>3986</v>
      </c>
      <c r="AC204" t="s">
        <v>3986</v>
      </c>
      <c r="AD204" t="s">
        <v>3986</v>
      </c>
    </row>
    <row r="205" spans="1:30" x14ac:dyDescent="0.25">
      <c r="A205" t="s">
        <v>3567</v>
      </c>
      <c r="B205">
        <v>19</v>
      </c>
      <c r="C205" t="s">
        <v>3310</v>
      </c>
      <c r="D205" t="b">
        <v>1</v>
      </c>
      <c r="E205" t="b">
        <v>0</v>
      </c>
      <c r="F205" t="s">
        <v>3986</v>
      </c>
      <c r="G205" t="s">
        <v>3986</v>
      </c>
      <c r="H205" t="s">
        <v>3986</v>
      </c>
      <c r="I205" t="s">
        <v>3986</v>
      </c>
      <c r="J205" t="s">
        <v>3986</v>
      </c>
      <c r="K205" t="s">
        <v>3554</v>
      </c>
      <c r="L205" t="s">
        <v>3372</v>
      </c>
      <c r="M205" t="s">
        <v>1975</v>
      </c>
      <c r="N205">
        <v>6</v>
      </c>
      <c r="O205" t="b">
        <v>0</v>
      </c>
      <c r="P205" t="b">
        <v>0</v>
      </c>
      <c r="Q205" t="b">
        <v>0</v>
      </c>
      <c r="R205" t="b">
        <v>0</v>
      </c>
      <c r="T205" t="s">
        <v>3671</v>
      </c>
      <c r="U205">
        <v>222</v>
      </c>
      <c r="V205" t="s">
        <v>3986</v>
      </c>
      <c r="W205">
        <v>2</v>
      </c>
      <c r="X205" t="s">
        <v>3986</v>
      </c>
      <c r="Y205" t="s">
        <v>3125</v>
      </c>
      <c r="Z205">
        <v>0</v>
      </c>
      <c r="AA205" t="s">
        <v>2493</v>
      </c>
      <c r="AB205" t="s">
        <v>3986</v>
      </c>
      <c r="AC205" t="s">
        <v>3986</v>
      </c>
      <c r="AD205" t="s">
        <v>3986</v>
      </c>
    </row>
    <row r="206" spans="1:30" x14ac:dyDescent="0.25">
      <c r="A206" t="s">
        <v>3568</v>
      </c>
      <c r="B206">
        <v>20</v>
      </c>
      <c r="C206" t="s">
        <v>3310</v>
      </c>
      <c r="D206" t="b">
        <v>1</v>
      </c>
      <c r="E206" t="b">
        <v>0</v>
      </c>
      <c r="F206" t="s">
        <v>3986</v>
      </c>
      <c r="G206" t="s">
        <v>3986</v>
      </c>
      <c r="H206" t="s">
        <v>3986</v>
      </c>
      <c r="I206" t="s">
        <v>3986</v>
      </c>
      <c r="J206" t="s">
        <v>3986</v>
      </c>
      <c r="K206" t="s">
        <v>3554</v>
      </c>
      <c r="L206" t="s">
        <v>3372</v>
      </c>
      <c r="M206" t="s">
        <v>1975</v>
      </c>
      <c r="N206">
        <v>6</v>
      </c>
      <c r="O206" t="b">
        <v>0</v>
      </c>
      <c r="P206" t="b">
        <v>0</v>
      </c>
      <c r="Q206" t="b">
        <v>0</v>
      </c>
      <c r="R206" t="b">
        <v>0</v>
      </c>
      <c r="T206" t="s">
        <v>3671</v>
      </c>
      <c r="U206">
        <v>223</v>
      </c>
      <c r="V206" t="s">
        <v>3986</v>
      </c>
      <c r="W206">
        <v>2</v>
      </c>
      <c r="X206" t="s">
        <v>3986</v>
      </c>
      <c r="Y206" t="s">
        <v>3126</v>
      </c>
      <c r="Z206">
        <v>0</v>
      </c>
      <c r="AA206" t="s">
        <v>2493</v>
      </c>
      <c r="AB206" t="s">
        <v>3986</v>
      </c>
      <c r="AC206" t="s">
        <v>3986</v>
      </c>
      <c r="AD206" t="s">
        <v>3986</v>
      </c>
    </row>
    <row r="207" spans="1:30" x14ac:dyDescent="0.25">
      <c r="A207" t="s">
        <v>3569</v>
      </c>
      <c r="B207">
        <v>21</v>
      </c>
      <c r="C207" t="s">
        <v>3310</v>
      </c>
      <c r="D207" t="b">
        <v>1</v>
      </c>
      <c r="E207" t="b">
        <v>0</v>
      </c>
      <c r="F207" t="s">
        <v>3986</v>
      </c>
      <c r="G207" t="s">
        <v>3986</v>
      </c>
      <c r="H207" t="s">
        <v>3986</v>
      </c>
      <c r="I207" t="s">
        <v>3986</v>
      </c>
      <c r="J207" t="s">
        <v>3986</v>
      </c>
      <c r="K207" t="s">
        <v>3554</v>
      </c>
      <c r="L207" t="s">
        <v>3372</v>
      </c>
      <c r="M207" t="s">
        <v>1975</v>
      </c>
      <c r="N207">
        <v>6</v>
      </c>
      <c r="O207" t="b">
        <v>0</v>
      </c>
      <c r="P207" t="b">
        <v>0</v>
      </c>
      <c r="Q207" t="b">
        <v>0</v>
      </c>
      <c r="R207" t="b">
        <v>0</v>
      </c>
      <c r="T207" t="s">
        <v>3671</v>
      </c>
      <c r="U207">
        <v>224</v>
      </c>
      <c r="V207" t="s">
        <v>3986</v>
      </c>
      <c r="W207">
        <v>2</v>
      </c>
      <c r="X207" t="s">
        <v>3986</v>
      </c>
      <c r="Y207" t="s">
        <v>3127</v>
      </c>
      <c r="Z207">
        <v>0</v>
      </c>
      <c r="AA207" t="s">
        <v>2493</v>
      </c>
      <c r="AB207" t="s">
        <v>3986</v>
      </c>
      <c r="AC207" t="s">
        <v>3986</v>
      </c>
      <c r="AD207" t="s">
        <v>3986</v>
      </c>
    </row>
    <row r="208" spans="1:30" x14ac:dyDescent="0.25">
      <c r="A208" t="s">
        <v>3570</v>
      </c>
      <c r="B208">
        <v>22</v>
      </c>
      <c r="C208" t="s">
        <v>3310</v>
      </c>
      <c r="D208" t="b">
        <v>1</v>
      </c>
      <c r="E208" t="b">
        <v>0</v>
      </c>
      <c r="F208" t="s">
        <v>3986</v>
      </c>
      <c r="G208" t="s">
        <v>3986</v>
      </c>
      <c r="H208" t="s">
        <v>3986</v>
      </c>
      <c r="I208" t="s">
        <v>3986</v>
      </c>
      <c r="J208" t="s">
        <v>3986</v>
      </c>
      <c r="K208" t="s">
        <v>3554</v>
      </c>
      <c r="L208" t="s">
        <v>3372</v>
      </c>
      <c r="M208" t="s">
        <v>1975</v>
      </c>
      <c r="N208">
        <v>6</v>
      </c>
      <c r="O208" t="b">
        <v>0</v>
      </c>
      <c r="P208" t="b">
        <v>0</v>
      </c>
      <c r="Q208" t="b">
        <v>0</v>
      </c>
      <c r="R208" t="b">
        <v>0</v>
      </c>
      <c r="T208" t="s">
        <v>3671</v>
      </c>
      <c r="U208">
        <v>225</v>
      </c>
      <c r="V208" t="s">
        <v>3986</v>
      </c>
      <c r="W208">
        <v>2</v>
      </c>
      <c r="X208" t="s">
        <v>3986</v>
      </c>
      <c r="Y208" t="s">
        <v>3128</v>
      </c>
      <c r="Z208">
        <v>0</v>
      </c>
      <c r="AA208" t="s">
        <v>2493</v>
      </c>
      <c r="AB208" t="s">
        <v>3986</v>
      </c>
      <c r="AC208" t="s">
        <v>3986</v>
      </c>
      <c r="AD208" t="s">
        <v>3986</v>
      </c>
    </row>
    <row r="209" spans="1:30" x14ac:dyDescent="0.25">
      <c r="A209" t="s">
        <v>3571</v>
      </c>
      <c r="B209">
        <v>23</v>
      </c>
      <c r="C209" t="s">
        <v>3310</v>
      </c>
      <c r="D209" t="b">
        <v>1</v>
      </c>
      <c r="E209" t="b">
        <v>0</v>
      </c>
      <c r="F209" t="s">
        <v>3986</v>
      </c>
      <c r="G209" t="s">
        <v>3986</v>
      </c>
      <c r="H209" t="s">
        <v>3986</v>
      </c>
      <c r="I209" t="s">
        <v>3986</v>
      </c>
      <c r="J209" t="s">
        <v>3986</v>
      </c>
      <c r="K209" t="s">
        <v>3554</v>
      </c>
      <c r="L209" t="s">
        <v>3372</v>
      </c>
      <c r="M209" t="s">
        <v>1975</v>
      </c>
      <c r="N209">
        <v>6</v>
      </c>
      <c r="O209" t="b">
        <v>0</v>
      </c>
      <c r="P209" t="b">
        <v>0</v>
      </c>
      <c r="Q209" t="b">
        <v>0</v>
      </c>
      <c r="R209" t="b">
        <v>0</v>
      </c>
      <c r="T209" t="s">
        <v>3671</v>
      </c>
      <c r="U209">
        <v>227</v>
      </c>
      <c r="V209" t="s">
        <v>3986</v>
      </c>
      <c r="W209">
        <v>2</v>
      </c>
      <c r="X209" t="s">
        <v>3986</v>
      </c>
      <c r="Y209" t="s">
        <v>2451</v>
      </c>
      <c r="Z209">
        <v>0</v>
      </c>
      <c r="AA209" t="s">
        <v>2493</v>
      </c>
      <c r="AB209" t="s">
        <v>3986</v>
      </c>
      <c r="AC209" t="s">
        <v>3986</v>
      </c>
      <c r="AD209" t="s">
        <v>3986</v>
      </c>
    </row>
    <row r="210" spans="1:30" x14ac:dyDescent="0.25">
      <c r="A210" t="s">
        <v>3572</v>
      </c>
      <c r="B210">
        <v>24</v>
      </c>
      <c r="C210" t="s">
        <v>3310</v>
      </c>
      <c r="D210" t="b">
        <v>1</v>
      </c>
      <c r="E210" t="b">
        <v>0</v>
      </c>
      <c r="F210" t="s">
        <v>3986</v>
      </c>
      <c r="G210" t="s">
        <v>3986</v>
      </c>
      <c r="H210" t="s">
        <v>3986</v>
      </c>
      <c r="I210" t="s">
        <v>3986</v>
      </c>
      <c r="J210" t="s">
        <v>3986</v>
      </c>
      <c r="K210" t="s">
        <v>3554</v>
      </c>
      <c r="L210" t="s">
        <v>3372</v>
      </c>
      <c r="M210" t="s">
        <v>1975</v>
      </c>
      <c r="N210">
        <v>6</v>
      </c>
      <c r="O210" t="b">
        <v>0</v>
      </c>
      <c r="P210" t="b">
        <v>0</v>
      </c>
      <c r="Q210" t="b">
        <v>0</v>
      </c>
      <c r="R210" t="b">
        <v>0</v>
      </c>
      <c r="T210" t="s">
        <v>3671</v>
      </c>
      <c r="U210">
        <v>228</v>
      </c>
      <c r="V210" t="s">
        <v>3986</v>
      </c>
      <c r="W210">
        <v>2</v>
      </c>
      <c r="X210" t="s">
        <v>3986</v>
      </c>
      <c r="Y210" t="s">
        <v>1938</v>
      </c>
      <c r="Z210">
        <v>0</v>
      </c>
      <c r="AA210" t="s">
        <v>2493</v>
      </c>
      <c r="AB210" t="s">
        <v>3986</v>
      </c>
      <c r="AC210" t="s">
        <v>3986</v>
      </c>
      <c r="AD210" t="s">
        <v>3986</v>
      </c>
    </row>
    <row r="211" spans="1:30" x14ac:dyDescent="0.25">
      <c r="A211" t="s">
        <v>3573</v>
      </c>
      <c r="B211">
        <v>25</v>
      </c>
      <c r="C211" t="s">
        <v>3310</v>
      </c>
      <c r="D211" t="b">
        <v>1</v>
      </c>
      <c r="E211" t="b">
        <v>0</v>
      </c>
      <c r="F211" t="s">
        <v>3986</v>
      </c>
      <c r="G211" t="s">
        <v>3986</v>
      </c>
      <c r="H211" t="s">
        <v>3986</v>
      </c>
      <c r="I211" t="s">
        <v>3986</v>
      </c>
      <c r="J211" t="s">
        <v>3986</v>
      </c>
      <c r="K211" t="s">
        <v>3554</v>
      </c>
      <c r="L211" t="s">
        <v>3372</v>
      </c>
      <c r="M211" t="s">
        <v>1975</v>
      </c>
      <c r="N211">
        <v>6</v>
      </c>
      <c r="O211" t="b">
        <v>0</v>
      </c>
      <c r="P211" t="b">
        <v>0</v>
      </c>
      <c r="Q211" t="b">
        <v>0</v>
      </c>
      <c r="R211" t="b">
        <v>0</v>
      </c>
      <c r="T211" t="s">
        <v>3671</v>
      </c>
      <c r="U211">
        <v>229</v>
      </c>
      <c r="V211" t="s">
        <v>3986</v>
      </c>
      <c r="W211">
        <v>2</v>
      </c>
      <c r="X211" t="s">
        <v>3986</v>
      </c>
      <c r="Y211" t="s">
        <v>1939</v>
      </c>
      <c r="Z211">
        <v>0</v>
      </c>
      <c r="AA211" t="s">
        <v>2493</v>
      </c>
      <c r="AB211" t="s">
        <v>3986</v>
      </c>
      <c r="AC211" t="s">
        <v>3986</v>
      </c>
      <c r="AD211" t="s">
        <v>3986</v>
      </c>
    </row>
    <row r="212" spans="1:30" x14ac:dyDescent="0.25">
      <c r="A212" t="s">
        <v>3574</v>
      </c>
      <c r="B212">
        <v>26</v>
      </c>
      <c r="C212" t="s">
        <v>3310</v>
      </c>
      <c r="D212" t="b">
        <v>1</v>
      </c>
      <c r="E212" t="b">
        <v>0</v>
      </c>
      <c r="F212" t="s">
        <v>3986</v>
      </c>
      <c r="G212" t="s">
        <v>3986</v>
      </c>
      <c r="H212" t="s">
        <v>3986</v>
      </c>
      <c r="I212" t="s">
        <v>3986</v>
      </c>
      <c r="J212" t="s">
        <v>3986</v>
      </c>
      <c r="K212" t="s">
        <v>3554</v>
      </c>
      <c r="L212" t="s">
        <v>3372</v>
      </c>
      <c r="M212" t="s">
        <v>1975</v>
      </c>
      <c r="N212">
        <v>6</v>
      </c>
      <c r="O212" t="b">
        <v>0</v>
      </c>
      <c r="P212" t="b">
        <v>0</v>
      </c>
      <c r="Q212" t="b">
        <v>0</v>
      </c>
      <c r="R212" t="b">
        <v>0</v>
      </c>
      <c r="T212" t="s">
        <v>3671</v>
      </c>
      <c r="U212">
        <v>230</v>
      </c>
      <c r="V212" t="s">
        <v>3986</v>
      </c>
      <c r="W212">
        <v>2</v>
      </c>
      <c r="X212" t="s">
        <v>3986</v>
      </c>
      <c r="Y212" t="s">
        <v>3798</v>
      </c>
      <c r="Z212">
        <v>0</v>
      </c>
      <c r="AA212" t="s">
        <v>2493</v>
      </c>
      <c r="AB212" t="s">
        <v>3986</v>
      </c>
      <c r="AC212" t="s">
        <v>3986</v>
      </c>
      <c r="AD212" t="s">
        <v>3986</v>
      </c>
    </row>
    <row r="213" spans="1:30" x14ac:dyDescent="0.25">
      <c r="A213" t="s">
        <v>3575</v>
      </c>
      <c r="B213">
        <v>27</v>
      </c>
      <c r="C213" t="s">
        <v>3310</v>
      </c>
      <c r="D213" t="b">
        <v>1</v>
      </c>
      <c r="E213" t="b">
        <v>0</v>
      </c>
      <c r="F213" t="s">
        <v>3986</v>
      </c>
      <c r="G213" t="s">
        <v>3986</v>
      </c>
      <c r="H213" t="s">
        <v>3986</v>
      </c>
      <c r="I213" t="s">
        <v>3986</v>
      </c>
      <c r="J213" t="s">
        <v>3986</v>
      </c>
      <c r="K213" t="s">
        <v>3554</v>
      </c>
      <c r="L213" t="s">
        <v>3372</v>
      </c>
      <c r="M213" t="s">
        <v>1975</v>
      </c>
      <c r="N213">
        <v>6</v>
      </c>
      <c r="O213" t="b">
        <v>0</v>
      </c>
      <c r="P213" t="b">
        <v>0</v>
      </c>
      <c r="Q213" t="b">
        <v>0</v>
      </c>
      <c r="R213" t="b">
        <v>0</v>
      </c>
      <c r="T213" t="s">
        <v>3671</v>
      </c>
      <c r="U213">
        <v>231</v>
      </c>
      <c r="V213" t="s">
        <v>3986</v>
      </c>
      <c r="W213">
        <v>2</v>
      </c>
      <c r="X213" t="s">
        <v>3986</v>
      </c>
      <c r="Y213" t="s">
        <v>1941</v>
      </c>
      <c r="Z213">
        <v>0</v>
      </c>
      <c r="AA213" t="s">
        <v>2493</v>
      </c>
      <c r="AB213" t="s">
        <v>3986</v>
      </c>
      <c r="AC213" t="s">
        <v>3986</v>
      </c>
      <c r="AD213" t="s">
        <v>3986</v>
      </c>
    </row>
    <row r="214" spans="1:30" x14ac:dyDescent="0.25">
      <c r="A214" t="s">
        <v>3576</v>
      </c>
      <c r="B214">
        <v>28</v>
      </c>
      <c r="C214" t="s">
        <v>3310</v>
      </c>
      <c r="D214" t="b">
        <v>1</v>
      </c>
      <c r="E214" t="b">
        <v>0</v>
      </c>
      <c r="F214" t="s">
        <v>3986</v>
      </c>
      <c r="G214" t="s">
        <v>3986</v>
      </c>
      <c r="H214" t="s">
        <v>3986</v>
      </c>
      <c r="I214" t="s">
        <v>3986</v>
      </c>
      <c r="J214" t="s">
        <v>3986</v>
      </c>
      <c r="K214" t="s">
        <v>3554</v>
      </c>
      <c r="L214" t="s">
        <v>3372</v>
      </c>
      <c r="M214" t="s">
        <v>1975</v>
      </c>
      <c r="N214">
        <v>6</v>
      </c>
      <c r="O214" t="b">
        <v>0</v>
      </c>
      <c r="P214" t="b">
        <v>0</v>
      </c>
      <c r="Q214" t="b">
        <v>0</v>
      </c>
      <c r="R214" t="b">
        <v>0</v>
      </c>
      <c r="T214" t="s">
        <v>3671</v>
      </c>
      <c r="U214">
        <v>116</v>
      </c>
      <c r="V214" t="s">
        <v>3986</v>
      </c>
      <c r="W214">
        <v>1</v>
      </c>
      <c r="X214" t="s">
        <v>3986</v>
      </c>
      <c r="Y214" t="s">
        <v>244</v>
      </c>
      <c r="Z214">
        <v>0</v>
      </c>
      <c r="AA214" t="s">
        <v>2493</v>
      </c>
      <c r="AB214" t="s">
        <v>3986</v>
      </c>
      <c r="AC214" t="s">
        <v>3986</v>
      </c>
      <c r="AD214" t="s">
        <v>3986</v>
      </c>
    </row>
    <row r="215" spans="1:30" x14ac:dyDescent="0.25">
      <c r="A215" t="s">
        <v>3577</v>
      </c>
      <c r="B215">
        <v>29</v>
      </c>
      <c r="C215" t="s">
        <v>3310</v>
      </c>
      <c r="D215" t="b">
        <v>1</v>
      </c>
      <c r="E215" t="b">
        <v>0</v>
      </c>
      <c r="F215" t="s">
        <v>3986</v>
      </c>
      <c r="G215" t="s">
        <v>3986</v>
      </c>
      <c r="H215" t="s">
        <v>3986</v>
      </c>
      <c r="I215" t="s">
        <v>3986</v>
      </c>
      <c r="J215" t="s">
        <v>3986</v>
      </c>
      <c r="K215" t="s">
        <v>3554</v>
      </c>
      <c r="L215" t="s">
        <v>3372</v>
      </c>
      <c r="M215" t="s">
        <v>1975</v>
      </c>
      <c r="N215">
        <v>6</v>
      </c>
      <c r="O215" t="b">
        <v>0</v>
      </c>
      <c r="P215" t="b">
        <v>0</v>
      </c>
      <c r="Q215" t="b">
        <v>0</v>
      </c>
      <c r="R215" t="b">
        <v>0</v>
      </c>
      <c r="T215" t="s">
        <v>3671</v>
      </c>
      <c r="U215">
        <v>187</v>
      </c>
      <c r="V215" t="s">
        <v>3986</v>
      </c>
      <c r="W215">
        <v>1</v>
      </c>
      <c r="X215" t="s">
        <v>3986</v>
      </c>
      <c r="Y215" t="s">
        <v>244</v>
      </c>
      <c r="Z215">
        <v>0</v>
      </c>
      <c r="AA215" t="s">
        <v>2493</v>
      </c>
      <c r="AB215" t="s">
        <v>3986</v>
      </c>
      <c r="AC215" t="s">
        <v>3986</v>
      </c>
      <c r="AD215" t="s">
        <v>3986</v>
      </c>
    </row>
    <row r="216" spans="1:30" x14ac:dyDescent="0.25">
      <c r="A216" t="s">
        <v>3578</v>
      </c>
      <c r="B216">
        <v>30</v>
      </c>
      <c r="C216" t="s">
        <v>3310</v>
      </c>
      <c r="D216" t="b">
        <v>1</v>
      </c>
      <c r="E216" t="b">
        <v>0</v>
      </c>
      <c r="F216" t="s">
        <v>3986</v>
      </c>
      <c r="G216" t="s">
        <v>3986</v>
      </c>
      <c r="H216" t="s">
        <v>3986</v>
      </c>
      <c r="I216" t="s">
        <v>3986</v>
      </c>
      <c r="J216" t="s">
        <v>3986</v>
      </c>
      <c r="K216" t="s">
        <v>3554</v>
      </c>
      <c r="L216" t="s">
        <v>3372</v>
      </c>
      <c r="M216" t="s">
        <v>1975</v>
      </c>
      <c r="N216">
        <v>6</v>
      </c>
      <c r="O216" t="b">
        <v>0</v>
      </c>
      <c r="P216" t="b">
        <v>0</v>
      </c>
      <c r="Q216" t="b">
        <v>0</v>
      </c>
      <c r="R216" t="b">
        <v>0</v>
      </c>
      <c r="T216" t="s">
        <v>3671</v>
      </c>
      <c r="U216">
        <v>188</v>
      </c>
      <c r="V216" t="s">
        <v>3986</v>
      </c>
      <c r="W216">
        <v>1</v>
      </c>
      <c r="X216" t="s">
        <v>3986</v>
      </c>
      <c r="Y216" t="s">
        <v>244</v>
      </c>
      <c r="Z216">
        <v>0</v>
      </c>
      <c r="AA216" t="s">
        <v>2493</v>
      </c>
      <c r="AB216" t="s">
        <v>3986</v>
      </c>
      <c r="AC216" t="s">
        <v>3986</v>
      </c>
      <c r="AD216" t="s">
        <v>3986</v>
      </c>
    </row>
    <row r="217" spans="1:30" x14ac:dyDescent="0.25">
      <c r="A217" t="s">
        <v>3579</v>
      </c>
      <c r="B217">
        <v>31</v>
      </c>
      <c r="C217" t="s">
        <v>3310</v>
      </c>
      <c r="D217" t="b">
        <v>1</v>
      </c>
      <c r="E217" t="b">
        <v>0</v>
      </c>
      <c r="F217" t="s">
        <v>3986</v>
      </c>
      <c r="G217" t="s">
        <v>3986</v>
      </c>
      <c r="H217" t="s">
        <v>3986</v>
      </c>
      <c r="I217" t="s">
        <v>3986</v>
      </c>
      <c r="J217" t="s">
        <v>3986</v>
      </c>
      <c r="K217" t="s">
        <v>3554</v>
      </c>
      <c r="L217" t="s">
        <v>3372</v>
      </c>
      <c r="M217" t="s">
        <v>1975</v>
      </c>
      <c r="N217">
        <v>6</v>
      </c>
      <c r="O217" t="b">
        <v>0</v>
      </c>
      <c r="P217" t="b">
        <v>0</v>
      </c>
      <c r="Q217" t="b">
        <v>0</v>
      </c>
      <c r="R217" t="b">
        <v>0</v>
      </c>
      <c r="T217" t="s">
        <v>3671</v>
      </c>
      <c r="U217">
        <v>203</v>
      </c>
      <c r="V217" t="s">
        <v>3986</v>
      </c>
      <c r="W217">
        <v>1</v>
      </c>
      <c r="X217" t="s">
        <v>3986</v>
      </c>
      <c r="Y217" t="s">
        <v>244</v>
      </c>
      <c r="Z217">
        <v>0</v>
      </c>
      <c r="AA217" t="s">
        <v>2493</v>
      </c>
      <c r="AB217" t="s">
        <v>3986</v>
      </c>
      <c r="AC217" t="s">
        <v>3986</v>
      </c>
      <c r="AD217" t="s">
        <v>3986</v>
      </c>
    </row>
    <row r="218" spans="1:30" x14ac:dyDescent="0.25">
      <c r="A218" t="s">
        <v>3580</v>
      </c>
      <c r="B218">
        <v>32</v>
      </c>
      <c r="C218" t="s">
        <v>3310</v>
      </c>
      <c r="D218" t="b">
        <v>1</v>
      </c>
      <c r="E218" t="b">
        <v>0</v>
      </c>
      <c r="F218" t="s">
        <v>3986</v>
      </c>
      <c r="G218" t="s">
        <v>3986</v>
      </c>
      <c r="H218" t="s">
        <v>3986</v>
      </c>
      <c r="I218" t="s">
        <v>3986</v>
      </c>
      <c r="J218" t="s">
        <v>3986</v>
      </c>
      <c r="K218" t="s">
        <v>3554</v>
      </c>
      <c r="L218" t="s">
        <v>3372</v>
      </c>
      <c r="M218" t="s">
        <v>1975</v>
      </c>
      <c r="N218">
        <v>6</v>
      </c>
      <c r="O218" t="b">
        <v>0</v>
      </c>
      <c r="P218" t="b">
        <v>0</v>
      </c>
      <c r="Q218" t="b">
        <v>0</v>
      </c>
      <c r="R218" t="b">
        <v>0</v>
      </c>
      <c r="T218" t="s">
        <v>3671</v>
      </c>
      <c r="U218">
        <v>229</v>
      </c>
      <c r="V218" t="s">
        <v>3986</v>
      </c>
      <c r="W218">
        <v>1</v>
      </c>
      <c r="X218" t="s">
        <v>3986</v>
      </c>
      <c r="Y218" t="s">
        <v>244</v>
      </c>
      <c r="Z218">
        <v>0</v>
      </c>
      <c r="AA218" t="s">
        <v>2493</v>
      </c>
      <c r="AB218" t="s">
        <v>3986</v>
      </c>
      <c r="AC218" t="s">
        <v>3986</v>
      </c>
      <c r="AD218" t="s">
        <v>3986</v>
      </c>
    </row>
    <row r="219" spans="1:30" x14ac:dyDescent="0.25">
      <c r="A219" t="s">
        <v>3581</v>
      </c>
      <c r="B219">
        <v>33</v>
      </c>
      <c r="C219" t="s">
        <v>3310</v>
      </c>
      <c r="D219" t="b">
        <v>1</v>
      </c>
      <c r="E219" t="b">
        <v>0</v>
      </c>
      <c r="F219" t="s">
        <v>3986</v>
      </c>
      <c r="G219" t="s">
        <v>3986</v>
      </c>
      <c r="H219" t="s">
        <v>3986</v>
      </c>
      <c r="I219" t="s">
        <v>3986</v>
      </c>
      <c r="J219" t="s">
        <v>3986</v>
      </c>
      <c r="K219" t="s">
        <v>3554</v>
      </c>
      <c r="L219" t="s">
        <v>3372</v>
      </c>
      <c r="M219" t="s">
        <v>1975</v>
      </c>
      <c r="N219">
        <v>6</v>
      </c>
      <c r="O219" t="b">
        <v>0</v>
      </c>
      <c r="P219" t="b">
        <v>0</v>
      </c>
      <c r="Q219" t="b">
        <v>0</v>
      </c>
      <c r="R219" t="b">
        <v>0</v>
      </c>
      <c r="T219" t="s">
        <v>3671</v>
      </c>
      <c r="U219">
        <v>231</v>
      </c>
      <c r="V219" t="s">
        <v>3986</v>
      </c>
      <c r="W219">
        <v>1</v>
      </c>
      <c r="X219" t="s">
        <v>3986</v>
      </c>
      <c r="Y219" t="s">
        <v>244</v>
      </c>
      <c r="Z219">
        <v>0</v>
      </c>
      <c r="AA219" t="s">
        <v>2493</v>
      </c>
      <c r="AB219" t="s">
        <v>3986</v>
      </c>
      <c r="AC219" t="s">
        <v>3986</v>
      </c>
      <c r="AD219" t="s">
        <v>3986</v>
      </c>
    </row>
    <row r="220" spans="1:30" x14ac:dyDescent="0.25">
      <c r="A220" t="s">
        <v>3582</v>
      </c>
      <c r="B220">
        <v>34</v>
      </c>
      <c r="C220" t="s">
        <v>3310</v>
      </c>
      <c r="D220" t="b">
        <v>1</v>
      </c>
      <c r="E220" t="b">
        <v>0</v>
      </c>
      <c r="F220" t="s">
        <v>3986</v>
      </c>
      <c r="G220" t="s">
        <v>3986</v>
      </c>
      <c r="H220" t="s">
        <v>3986</v>
      </c>
      <c r="I220" t="s">
        <v>3986</v>
      </c>
      <c r="J220" t="s">
        <v>3986</v>
      </c>
      <c r="K220" t="s">
        <v>3554</v>
      </c>
      <c r="L220" t="s">
        <v>3372</v>
      </c>
      <c r="M220" t="s">
        <v>1975</v>
      </c>
      <c r="N220">
        <v>6</v>
      </c>
      <c r="O220" t="b">
        <v>0</v>
      </c>
      <c r="P220" t="b">
        <v>0</v>
      </c>
      <c r="Q220" t="b">
        <v>0</v>
      </c>
      <c r="R220" t="b">
        <v>0</v>
      </c>
      <c r="T220" t="s">
        <v>3677</v>
      </c>
      <c r="U220">
        <v>14</v>
      </c>
      <c r="V220" t="s">
        <v>3986</v>
      </c>
      <c r="W220">
        <v>3</v>
      </c>
      <c r="X220" t="s">
        <v>3986</v>
      </c>
      <c r="Y220" t="s">
        <v>3678</v>
      </c>
      <c r="Z220">
        <v>0</v>
      </c>
      <c r="AA220" t="s">
        <v>2493</v>
      </c>
      <c r="AB220" t="s">
        <v>4037</v>
      </c>
      <c r="AC220" t="s">
        <v>3986</v>
      </c>
      <c r="AD220" t="s">
        <v>3986</v>
      </c>
    </row>
    <row r="221" spans="1:30" x14ac:dyDescent="0.25">
      <c r="A221" t="s">
        <v>3583</v>
      </c>
      <c r="B221">
        <v>35</v>
      </c>
      <c r="C221" t="s">
        <v>3310</v>
      </c>
      <c r="D221" t="b">
        <v>1</v>
      </c>
      <c r="E221" t="b">
        <v>0</v>
      </c>
      <c r="F221" t="s">
        <v>3986</v>
      </c>
      <c r="G221" t="s">
        <v>3986</v>
      </c>
      <c r="H221" t="s">
        <v>3986</v>
      </c>
      <c r="I221" t="s">
        <v>3986</v>
      </c>
      <c r="J221" t="s">
        <v>3986</v>
      </c>
      <c r="K221" t="s">
        <v>3554</v>
      </c>
      <c r="L221" t="s">
        <v>3372</v>
      </c>
      <c r="M221" t="s">
        <v>1975</v>
      </c>
      <c r="N221">
        <v>6</v>
      </c>
      <c r="O221" t="b">
        <v>0</v>
      </c>
      <c r="P221" t="b">
        <v>0</v>
      </c>
      <c r="Q221" t="b">
        <v>0</v>
      </c>
      <c r="R221" t="b">
        <v>0</v>
      </c>
      <c r="T221" t="s">
        <v>3677</v>
      </c>
      <c r="U221">
        <v>83</v>
      </c>
      <c r="V221" t="s">
        <v>3986</v>
      </c>
      <c r="W221">
        <v>3</v>
      </c>
      <c r="X221" t="s">
        <v>3986</v>
      </c>
      <c r="Y221" t="s">
        <v>3718</v>
      </c>
      <c r="Z221">
        <v>0</v>
      </c>
      <c r="AA221" t="s">
        <v>2493</v>
      </c>
      <c r="AB221" t="s">
        <v>4037</v>
      </c>
      <c r="AC221" t="s">
        <v>3986</v>
      </c>
      <c r="AD221" t="s">
        <v>3986</v>
      </c>
    </row>
    <row r="222" spans="1:30" x14ac:dyDescent="0.25">
      <c r="A222" t="s">
        <v>3584</v>
      </c>
      <c r="B222">
        <v>36</v>
      </c>
      <c r="C222" t="s">
        <v>3310</v>
      </c>
      <c r="D222" t="b">
        <v>1</v>
      </c>
      <c r="E222" t="b">
        <v>0</v>
      </c>
      <c r="F222" t="s">
        <v>3986</v>
      </c>
      <c r="G222" t="s">
        <v>3986</v>
      </c>
      <c r="H222" t="s">
        <v>3986</v>
      </c>
      <c r="I222" t="s">
        <v>3986</v>
      </c>
      <c r="J222" t="s">
        <v>3986</v>
      </c>
      <c r="K222" t="s">
        <v>3554</v>
      </c>
      <c r="L222" t="s">
        <v>3372</v>
      </c>
      <c r="M222" t="s">
        <v>1975</v>
      </c>
      <c r="N222">
        <v>6</v>
      </c>
      <c r="O222" t="b">
        <v>0</v>
      </c>
      <c r="P222" t="b">
        <v>0</v>
      </c>
      <c r="Q222" t="b">
        <v>0</v>
      </c>
      <c r="R222" t="b">
        <v>0</v>
      </c>
      <c r="T222" t="s">
        <v>3677</v>
      </c>
      <c r="U222">
        <v>92</v>
      </c>
      <c r="V222" t="s">
        <v>3986</v>
      </c>
      <c r="W222">
        <v>3</v>
      </c>
      <c r="X222" t="s">
        <v>3986</v>
      </c>
      <c r="Y222" t="s">
        <v>4926</v>
      </c>
      <c r="Z222">
        <v>0</v>
      </c>
      <c r="AA222" t="s">
        <v>2493</v>
      </c>
      <c r="AB222" t="s">
        <v>4037</v>
      </c>
      <c r="AC222" t="s">
        <v>3986</v>
      </c>
      <c r="AD222" t="s">
        <v>3986</v>
      </c>
    </row>
    <row r="223" spans="1:30" x14ac:dyDescent="0.25">
      <c r="A223" t="s">
        <v>3585</v>
      </c>
      <c r="B223">
        <v>37</v>
      </c>
      <c r="C223" t="s">
        <v>3310</v>
      </c>
      <c r="D223" t="b">
        <v>1</v>
      </c>
      <c r="E223" t="b">
        <v>0</v>
      </c>
      <c r="F223" t="s">
        <v>3986</v>
      </c>
      <c r="G223" t="s">
        <v>3986</v>
      </c>
      <c r="H223" t="s">
        <v>3986</v>
      </c>
      <c r="I223" t="s">
        <v>3986</v>
      </c>
      <c r="J223" t="s">
        <v>3986</v>
      </c>
      <c r="K223" t="s">
        <v>3554</v>
      </c>
      <c r="L223" t="s">
        <v>3372</v>
      </c>
      <c r="M223" t="s">
        <v>1975</v>
      </c>
      <c r="N223">
        <v>6</v>
      </c>
      <c r="O223" t="b">
        <v>0</v>
      </c>
      <c r="P223" t="b">
        <v>0</v>
      </c>
      <c r="Q223" t="b">
        <v>0</v>
      </c>
      <c r="R223" t="b">
        <v>0</v>
      </c>
      <c r="T223" t="s">
        <v>3677</v>
      </c>
      <c r="U223">
        <v>95</v>
      </c>
      <c r="V223" t="s">
        <v>3986</v>
      </c>
      <c r="W223">
        <v>3</v>
      </c>
      <c r="X223" t="s">
        <v>3986</v>
      </c>
      <c r="Y223" t="s">
        <v>4927</v>
      </c>
      <c r="Z223">
        <v>0</v>
      </c>
      <c r="AA223" t="s">
        <v>2493</v>
      </c>
      <c r="AB223" t="s">
        <v>4037</v>
      </c>
      <c r="AC223" t="s">
        <v>3986</v>
      </c>
      <c r="AD223" t="s">
        <v>3986</v>
      </c>
    </row>
    <row r="224" spans="1:30" x14ac:dyDescent="0.25">
      <c r="A224" t="s">
        <v>3586</v>
      </c>
      <c r="B224">
        <v>38</v>
      </c>
      <c r="C224" t="s">
        <v>3310</v>
      </c>
      <c r="D224" t="b">
        <v>1</v>
      </c>
      <c r="E224" t="b">
        <v>0</v>
      </c>
      <c r="F224" t="s">
        <v>3986</v>
      </c>
      <c r="G224" t="s">
        <v>3986</v>
      </c>
      <c r="H224" t="s">
        <v>3986</v>
      </c>
      <c r="I224" t="s">
        <v>3986</v>
      </c>
      <c r="J224" t="s">
        <v>3986</v>
      </c>
      <c r="K224" t="s">
        <v>3554</v>
      </c>
      <c r="L224" t="s">
        <v>3372</v>
      </c>
      <c r="M224" t="s">
        <v>1975</v>
      </c>
      <c r="N224">
        <v>6</v>
      </c>
      <c r="O224" t="b">
        <v>0</v>
      </c>
      <c r="P224" t="b">
        <v>0</v>
      </c>
      <c r="Q224" t="b">
        <v>0</v>
      </c>
      <c r="R224" t="b">
        <v>0</v>
      </c>
      <c r="T224" t="s">
        <v>3677</v>
      </c>
      <c r="U224">
        <v>96</v>
      </c>
      <c r="V224" t="s">
        <v>3986</v>
      </c>
      <c r="W224">
        <v>3</v>
      </c>
      <c r="X224" t="s">
        <v>3986</v>
      </c>
      <c r="Y224" t="s">
        <v>4928</v>
      </c>
      <c r="Z224">
        <v>0</v>
      </c>
      <c r="AA224" t="s">
        <v>2493</v>
      </c>
      <c r="AB224" t="s">
        <v>4037</v>
      </c>
      <c r="AC224" t="s">
        <v>3986</v>
      </c>
      <c r="AD224" t="s">
        <v>3986</v>
      </c>
    </row>
    <row r="225" spans="1:30" x14ac:dyDescent="0.25">
      <c r="A225" t="s">
        <v>3587</v>
      </c>
      <c r="B225">
        <v>39</v>
      </c>
      <c r="C225" t="s">
        <v>3310</v>
      </c>
      <c r="D225" t="b">
        <v>1</v>
      </c>
      <c r="E225" t="b">
        <v>0</v>
      </c>
      <c r="F225" t="s">
        <v>3986</v>
      </c>
      <c r="G225" t="s">
        <v>3986</v>
      </c>
      <c r="H225" t="s">
        <v>3986</v>
      </c>
      <c r="I225" t="s">
        <v>3986</v>
      </c>
      <c r="J225" t="s">
        <v>3986</v>
      </c>
      <c r="K225" t="s">
        <v>3554</v>
      </c>
      <c r="L225" t="s">
        <v>3372</v>
      </c>
      <c r="M225" t="s">
        <v>1975</v>
      </c>
      <c r="N225">
        <v>6</v>
      </c>
      <c r="O225" t="b">
        <v>0</v>
      </c>
      <c r="P225" t="b">
        <v>0</v>
      </c>
      <c r="Q225" t="b">
        <v>0</v>
      </c>
      <c r="R225" t="b">
        <v>0</v>
      </c>
      <c r="T225" t="s">
        <v>3677</v>
      </c>
      <c r="U225">
        <v>97</v>
      </c>
      <c r="V225" t="s">
        <v>3986</v>
      </c>
      <c r="W225">
        <v>3</v>
      </c>
      <c r="X225" t="s">
        <v>3986</v>
      </c>
      <c r="Y225" t="s">
        <v>4929</v>
      </c>
      <c r="Z225">
        <v>0</v>
      </c>
      <c r="AA225" t="s">
        <v>2493</v>
      </c>
      <c r="AB225" t="s">
        <v>4037</v>
      </c>
      <c r="AC225" t="s">
        <v>3986</v>
      </c>
      <c r="AD225" t="s">
        <v>3986</v>
      </c>
    </row>
    <row r="226" spans="1:30" x14ac:dyDescent="0.25">
      <c r="A226" t="s">
        <v>3588</v>
      </c>
      <c r="B226">
        <v>40</v>
      </c>
      <c r="C226" t="s">
        <v>3310</v>
      </c>
      <c r="D226" t="b">
        <v>1</v>
      </c>
      <c r="E226" t="b">
        <v>0</v>
      </c>
      <c r="F226" t="s">
        <v>3986</v>
      </c>
      <c r="G226" t="s">
        <v>3986</v>
      </c>
      <c r="H226" t="s">
        <v>3986</v>
      </c>
      <c r="I226" t="s">
        <v>3986</v>
      </c>
      <c r="J226" t="s">
        <v>3986</v>
      </c>
      <c r="K226" t="s">
        <v>3554</v>
      </c>
      <c r="L226" t="s">
        <v>3372</v>
      </c>
      <c r="M226" t="s">
        <v>1975</v>
      </c>
      <c r="N226">
        <v>6</v>
      </c>
      <c r="O226" t="b">
        <v>0</v>
      </c>
      <c r="P226" t="b">
        <v>0</v>
      </c>
      <c r="Q226" t="b">
        <v>0</v>
      </c>
      <c r="R226" t="b">
        <v>0</v>
      </c>
      <c r="T226" t="s">
        <v>3677</v>
      </c>
      <c r="U226">
        <v>98</v>
      </c>
      <c r="V226" t="s">
        <v>3986</v>
      </c>
      <c r="W226">
        <v>3</v>
      </c>
      <c r="X226" t="s">
        <v>3986</v>
      </c>
      <c r="Y226" t="s">
        <v>4930</v>
      </c>
      <c r="Z226">
        <v>0</v>
      </c>
      <c r="AA226" t="s">
        <v>2493</v>
      </c>
      <c r="AB226" t="s">
        <v>4037</v>
      </c>
      <c r="AC226" t="s">
        <v>3986</v>
      </c>
      <c r="AD226" t="s">
        <v>3986</v>
      </c>
    </row>
    <row r="227" spans="1:30" x14ac:dyDescent="0.25">
      <c r="A227" t="s">
        <v>3589</v>
      </c>
      <c r="B227">
        <v>41</v>
      </c>
      <c r="C227" t="s">
        <v>3310</v>
      </c>
      <c r="D227" t="b">
        <v>1</v>
      </c>
      <c r="E227" t="b">
        <v>0</v>
      </c>
      <c r="F227" t="s">
        <v>3986</v>
      </c>
      <c r="G227" t="s">
        <v>3986</v>
      </c>
      <c r="H227" t="s">
        <v>3986</v>
      </c>
      <c r="I227" t="s">
        <v>3986</v>
      </c>
      <c r="J227" t="s">
        <v>3986</v>
      </c>
      <c r="K227" t="s">
        <v>3554</v>
      </c>
      <c r="L227" t="s">
        <v>3372</v>
      </c>
      <c r="M227" t="s">
        <v>1975</v>
      </c>
      <c r="N227">
        <v>6</v>
      </c>
      <c r="O227" t="b">
        <v>0</v>
      </c>
      <c r="P227" t="b">
        <v>0</v>
      </c>
      <c r="Q227" t="b">
        <v>0</v>
      </c>
      <c r="R227" t="b">
        <v>0</v>
      </c>
      <c r="T227" t="s">
        <v>3677</v>
      </c>
      <c r="U227">
        <v>99</v>
      </c>
      <c r="V227" t="s">
        <v>3986</v>
      </c>
      <c r="W227">
        <v>3</v>
      </c>
      <c r="X227" t="s">
        <v>3986</v>
      </c>
      <c r="Y227" t="s">
        <v>4931</v>
      </c>
      <c r="Z227">
        <v>0</v>
      </c>
      <c r="AA227" t="s">
        <v>2493</v>
      </c>
      <c r="AB227" t="s">
        <v>4037</v>
      </c>
      <c r="AC227" t="s">
        <v>3986</v>
      </c>
      <c r="AD227" t="s">
        <v>3986</v>
      </c>
    </row>
    <row r="228" spans="1:30" x14ac:dyDescent="0.25">
      <c r="A228" t="s">
        <v>3590</v>
      </c>
      <c r="B228">
        <v>42</v>
      </c>
      <c r="C228" t="s">
        <v>3310</v>
      </c>
      <c r="D228" t="b">
        <v>1</v>
      </c>
      <c r="E228" t="b">
        <v>0</v>
      </c>
      <c r="F228" t="s">
        <v>3986</v>
      </c>
      <c r="G228" t="s">
        <v>3986</v>
      </c>
      <c r="H228" t="s">
        <v>3986</v>
      </c>
      <c r="I228" t="s">
        <v>3986</v>
      </c>
      <c r="J228" t="s">
        <v>3986</v>
      </c>
      <c r="K228" t="s">
        <v>3554</v>
      </c>
      <c r="L228" t="s">
        <v>3372</v>
      </c>
      <c r="M228" t="s">
        <v>1975</v>
      </c>
      <c r="N228">
        <v>6</v>
      </c>
      <c r="O228" t="b">
        <v>0</v>
      </c>
      <c r="P228" t="b">
        <v>0</v>
      </c>
      <c r="Q228" t="b">
        <v>0</v>
      </c>
      <c r="R228" t="b">
        <v>0</v>
      </c>
      <c r="T228" t="s">
        <v>3677</v>
      </c>
      <c r="U228">
        <v>100</v>
      </c>
      <c r="V228" t="s">
        <v>3986</v>
      </c>
      <c r="W228">
        <v>3</v>
      </c>
      <c r="X228" t="s">
        <v>3986</v>
      </c>
      <c r="Y228" t="s">
        <v>4932</v>
      </c>
      <c r="Z228">
        <v>0</v>
      </c>
      <c r="AA228" t="s">
        <v>2493</v>
      </c>
      <c r="AB228" t="s">
        <v>4037</v>
      </c>
      <c r="AC228" t="s">
        <v>3986</v>
      </c>
      <c r="AD228" t="s">
        <v>3986</v>
      </c>
    </row>
    <row r="229" spans="1:30" x14ac:dyDescent="0.25">
      <c r="A229" t="s">
        <v>3591</v>
      </c>
      <c r="B229">
        <v>43</v>
      </c>
      <c r="C229" t="s">
        <v>3310</v>
      </c>
      <c r="D229" t="b">
        <v>1</v>
      </c>
      <c r="E229" t="b">
        <v>0</v>
      </c>
      <c r="F229" t="s">
        <v>3986</v>
      </c>
      <c r="G229" t="s">
        <v>3986</v>
      </c>
      <c r="H229" t="s">
        <v>3986</v>
      </c>
      <c r="I229" t="s">
        <v>3986</v>
      </c>
      <c r="J229" t="s">
        <v>3986</v>
      </c>
      <c r="K229" t="s">
        <v>3554</v>
      </c>
      <c r="L229" t="s">
        <v>3372</v>
      </c>
      <c r="M229" t="s">
        <v>1975</v>
      </c>
      <c r="N229">
        <v>6</v>
      </c>
      <c r="O229" t="b">
        <v>0</v>
      </c>
      <c r="P229" t="b">
        <v>0</v>
      </c>
      <c r="Q229" t="b">
        <v>0</v>
      </c>
      <c r="R229" t="b">
        <v>0</v>
      </c>
      <c r="T229" t="s">
        <v>3677</v>
      </c>
      <c r="U229">
        <v>101</v>
      </c>
      <c r="V229" t="s">
        <v>3986</v>
      </c>
      <c r="W229">
        <v>3</v>
      </c>
      <c r="X229" t="s">
        <v>3986</v>
      </c>
      <c r="Y229" t="s">
        <v>2383</v>
      </c>
      <c r="Z229">
        <v>0</v>
      </c>
      <c r="AA229" t="s">
        <v>2493</v>
      </c>
      <c r="AB229" t="s">
        <v>4037</v>
      </c>
      <c r="AC229" t="s">
        <v>3986</v>
      </c>
      <c r="AD229" t="s">
        <v>3986</v>
      </c>
    </row>
    <row r="230" spans="1:30" x14ac:dyDescent="0.25">
      <c r="A230" t="s">
        <v>3592</v>
      </c>
      <c r="B230">
        <v>44</v>
      </c>
      <c r="C230" t="s">
        <v>3310</v>
      </c>
      <c r="D230" t="b">
        <v>1</v>
      </c>
      <c r="E230" t="b">
        <v>0</v>
      </c>
      <c r="F230" t="s">
        <v>3986</v>
      </c>
      <c r="G230" t="s">
        <v>3986</v>
      </c>
      <c r="H230" t="s">
        <v>3986</v>
      </c>
      <c r="I230" t="s">
        <v>3986</v>
      </c>
      <c r="J230" t="s">
        <v>3986</v>
      </c>
      <c r="K230" t="s">
        <v>3554</v>
      </c>
      <c r="L230" t="s">
        <v>3372</v>
      </c>
      <c r="M230" t="s">
        <v>1975</v>
      </c>
      <c r="N230">
        <v>6</v>
      </c>
      <c r="O230" t="b">
        <v>0</v>
      </c>
      <c r="P230" t="b">
        <v>0</v>
      </c>
      <c r="Q230" t="b">
        <v>0</v>
      </c>
      <c r="R230" t="b">
        <v>0</v>
      </c>
      <c r="T230" t="s">
        <v>3677</v>
      </c>
      <c r="U230">
        <v>104</v>
      </c>
      <c r="V230" t="s">
        <v>3986</v>
      </c>
      <c r="W230">
        <v>3</v>
      </c>
      <c r="X230" t="s">
        <v>3986</v>
      </c>
      <c r="Y230" t="s">
        <v>3480</v>
      </c>
      <c r="Z230">
        <v>0</v>
      </c>
      <c r="AA230" t="s">
        <v>2493</v>
      </c>
      <c r="AB230" t="s">
        <v>4037</v>
      </c>
      <c r="AC230" t="s">
        <v>3986</v>
      </c>
      <c r="AD230" t="s">
        <v>3986</v>
      </c>
    </row>
    <row r="231" spans="1:30" x14ac:dyDescent="0.25">
      <c r="A231" t="s">
        <v>3593</v>
      </c>
      <c r="B231">
        <v>45</v>
      </c>
      <c r="C231" t="s">
        <v>3310</v>
      </c>
      <c r="D231" t="b">
        <v>1</v>
      </c>
      <c r="E231" t="b">
        <v>0</v>
      </c>
      <c r="F231" t="s">
        <v>3986</v>
      </c>
      <c r="G231" t="s">
        <v>3986</v>
      </c>
      <c r="H231" t="s">
        <v>3986</v>
      </c>
      <c r="I231" t="s">
        <v>3986</v>
      </c>
      <c r="J231" t="s">
        <v>3986</v>
      </c>
      <c r="K231" t="s">
        <v>3554</v>
      </c>
      <c r="L231" t="s">
        <v>3372</v>
      </c>
      <c r="M231" t="s">
        <v>1975</v>
      </c>
      <c r="N231">
        <v>6</v>
      </c>
      <c r="O231" t="b">
        <v>0</v>
      </c>
      <c r="P231" t="b">
        <v>0</v>
      </c>
      <c r="Q231" t="b">
        <v>0</v>
      </c>
      <c r="R231" t="b">
        <v>0</v>
      </c>
      <c r="T231" t="s">
        <v>3677</v>
      </c>
      <c r="U231">
        <v>105</v>
      </c>
      <c r="V231" t="s">
        <v>3986</v>
      </c>
      <c r="W231">
        <v>3</v>
      </c>
      <c r="X231" t="s">
        <v>3986</v>
      </c>
      <c r="Y231" t="s">
        <v>3713</v>
      </c>
      <c r="Z231">
        <v>0</v>
      </c>
      <c r="AA231" t="s">
        <v>2493</v>
      </c>
      <c r="AB231" t="s">
        <v>4037</v>
      </c>
      <c r="AC231" t="s">
        <v>3986</v>
      </c>
      <c r="AD231" t="s">
        <v>3986</v>
      </c>
    </row>
    <row r="232" spans="1:30" x14ac:dyDescent="0.25">
      <c r="A232" t="s">
        <v>3594</v>
      </c>
      <c r="B232">
        <v>46</v>
      </c>
      <c r="C232" t="s">
        <v>3310</v>
      </c>
      <c r="D232" t="b">
        <v>1</v>
      </c>
      <c r="E232" t="b">
        <v>0</v>
      </c>
      <c r="F232" t="s">
        <v>3986</v>
      </c>
      <c r="G232" t="s">
        <v>3986</v>
      </c>
      <c r="H232" t="s">
        <v>3986</v>
      </c>
      <c r="I232" t="s">
        <v>3986</v>
      </c>
      <c r="J232" t="s">
        <v>3986</v>
      </c>
      <c r="K232" t="s">
        <v>3554</v>
      </c>
      <c r="L232" t="s">
        <v>3372</v>
      </c>
      <c r="M232" t="s">
        <v>1975</v>
      </c>
      <c r="N232">
        <v>6</v>
      </c>
      <c r="O232" t="b">
        <v>0</v>
      </c>
      <c r="P232" t="b">
        <v>0</v>
      </c>
      <c r="Q232" t="b">
        <v>0</v>
      </c>
      <c r="R232" t="b">
        <v>0</v>
      </c>
      <c r="T232" t="s">
        <v>3677</v>
      </c>
      <c r="U232">
        <v>106</v>
      </c>
      <c r="V232" t="s">
        <v>3986</v>
      </c>
      <c r="W232">
        <v>3</v>
      </c>
      <c r="X232" t="s">
        <v>3986</v>
      </c>
      <c r="Y232" t="s">
        <v>3714</v>
      </c>
      <c r="Z232">
        <v>0</v>
      </c>
      <c r="AA232" t="s">
        <v>2493</v>
      </c>
      <c r="AB232" t="s">
        <v>4037</v>
      </c>
      <c r="AC232" t="s">
        <v>3986</v>
      </c>
      <c r="AD232" t="s">
        <v>3986</v>
      </c>
    </row>
    <row r="233" spans="1:30" x14ac:dyDescent="0.25">
      <c r="A233" t="s">
        <v>3595</v>
      </c>
      <c r="B233">
        <v>47</v>
      </c>
      <c r="C233" t="s">
        <v>3310</v>
      </c>
      <c r="D233" t="b">
        <v>1</v>
      </c>
      <c r="E233" t="b">
        <v>0</v>
      </c>
      <c r="F233" t="s">
        <v>3986</v>
      </c>
      <c r="G233" t="s">
        <v>3986</v>
      </c>
      <c r="H233" t="s">
        <v>3986</v>
      </c>
      <c r="I233" t="s">
        <v>3986</v>
      </c>
      <c r="J233" t="s">
        <v>3986</v>
      </c>
      <c r="K233" t="s">
        <v>3554</v>
      </c>
      <c r="L233" t="s">
        <v>3372</v>
      </c>
      <c r="M233" t="s">
        <v>1975</v>
      </c>
      <c r="N233">
        <v>6</v>
      </c>
      <c r="O233" t="b">
        <v>0</v>
      </c>
      <c r="P233" t="b">
        <v>0</v>
      </c>
      <c r="Q233" t="b">
        <v>0</v>
      </c>
      <c r="R233" t="b">
        <v>0</v>
      </c>
      <c r="T233" t="s">
        <v>3677</v>
      </c>
      <c r="U233">
        <v>107</v>
      </c>
      <c r="V233" t="s">
        <v>3986</v>
      </c>
      <c r="W233">
        <v>3</v>
      </c>
      <c r="X233" t="s">
        <v>3986</v>
      </c>
      <c r="Y233" t="s">
        <v>3679</v>
      </c>
      <c r="Z233">
        <v>0</v>
      </c>
      <c r="AA233" t="s">
        <v>2493</v>
      </c>
      <c r="AB233" t="s">
        <v>4037</v>
      </c>
      <c r="AC233" t="s">
        <v>3986</v>
      </c>
      <c r="AD233" t="s">
        <v>3986</v>
      </c>
    </row>
    <row r="234" spans="1:30" x14ac:dyDescent="0.25">
      <c r="A234" t="s">
        <v>3596</v>
      </c>
      <c r="B234">
        <v>48</v>
      </c>
      <c r="C234" t="s">
        <v>3310</v>
      </c>
      <c r="D234" t="b">
        <v>1</v>
      </c>
      <c r="E234" t="b">
        <v>0</v>
      </c>
      <c r="F234" t="s">
        <v>3986</v>
      </c>
      <c r="G234" t="s">
        <v>3986</v>
      </c>
      <c r="H234" t="s">
        <v>3986</v>
      </c>
      <c r="I234" t="s">
        <v>3986</v>
      </c>
      <c r="J234" t="s">
        <v>3986</v>
      </c>
      <c r="K234" t="s">
        <v>3554</v>
      </c>
      <c r="L234" t="s">
        <v>3372</v>
      </c>
      <c r="M234" t="s">
        <v>1975</v>
      </c>
      <c r="N234">
        <v>6</v>
      </c>
      <c r="O234" t="b">
        <v>0</v>
      </c>
      <c r="P234" t="b">
        <v>0</v>
      </c>
      <c r="Q234" t="b">
        <v>0</v>
      </c>
      <c r="R234" t="b">
        <v>0</v>
      </c>
      <c r="T234" t="s">
        <v>3677</v>
      </c>
      <c r="U234">
        <v>108</v>
      </c>
      <c r="V234" t="s">
        <v>3986</v>
      </c>
      <c r="W234">
        <v>3</v>
      </c>
      <c r="X234" t="s">
        <v>3986</v>
      </c>
      <c r="Y234" t="s">
        <v>3680</v>
      </c>
      <c r="Z234">
        <v>0</v>
      </c>
      <c r="AA234" t="s">
        <v>2493</v>
      </c>
      <c r="AB234" t="s">
        <v>4037</v>
      </c>
      <c r="AC234" t="s">
        <v>3986</v>
      </c>
      <c r="AD234" t="s">
        <v>3986</v>
      </c>
    </row>
    <row r="235" spans="1:30" x14ac:dyDescent="0.25">
      <c r="A235" t="s">
        <v>3597</v>
      </c>
      <c r="B235">
        <v>49</v>
      </c>
      <c r="C235" t="s">
        <v>3310</v>
      </c>
      <c r="D235" t="b">
        <v>1</v>
      </c>
      <c r="E235" t="b">
        <v>0</v>
      </c>
      <c r="F235" t="s">
        <v>3986</v>
      </c>
      <c r="G235" t="s">
        <v>3986</v>
      </c>
      <c r="H235" t="s">
        <v>3986</v>
      </c>
      <c r="I235" t="s">
        <v>3986</v>
      </c>
      <c r="J235" t="s">
        <v>3986</v>
      </c>
      <c r="K235" t="s">
        <v>3554</v>
      </c>
      <c r="L235" t="s">
        <v>3372</v>
      </c>
      <c r="M235" t="s">
        <v>1975</v>
      </c>
      <c r="N235">
        <v>6</v>
      </c>
      <c r="O235" t="b">
        <v>0</v>
      </c>
      <c r="P235" t="b">
        <v>0</v>
      </c>
      <c r="Q235" t="b">
        <v>0</v>
      </c>
      <c r="R235" t="b">
        <v>0</v>
      </c>
      <c r="T235" t="s">
        <v>3677</v>
      </c>
      <c r="U235">
        <v>109</v>
      </c>
      <c r="V235" t="s">
        <v>3986</v>
      </c>
      <c r="W235">
        <v>3</v>
      </c>
      <c r="X235" t="s">
        <v>3986</v>
      </c>
      <c r="Y235" t="s">
        <v>3715</v>
      </c>
      <c r="Z235">
        <v>0</v>
      </c>
      <c r="AA235" t="s">
        <v>2493</v>
      </c>
      <c r="AB235" t="s">
        <v>4037</v>
      </c>
      <c r="AC235" t="s">
        <v>3986</v>
      </c>
      <c r="AD235" t="s">
        <v>3986</v>
      </c>
    </row>
    <row r="236" spans="1:30" x14ac:dyDescent="0.25">
      <c r="A236" t="s">
        <v>3598</v>
      </c>
      <c r="B236">
        <v>50</v>
      </c>
      <c r="C236" t="s">
        <v>3310</v>
      </c>
      <c r="D236" t="b">
        <v>1</v>
      </c>
      <c r="E236" t="b">
        <v>0</v>
      </c>
      <c r="F236" t="s">
        <v>3986</v>
      </c>
      <c r="G236" t="s">
        <v>3986</v>
      </c>
      <c r="H236" t="s">
        <v>3986</v>
      </c>
      <c r="I236" t="s">
        <v>3986</v>
      </c>
      <c r="J236" t="s">
        <v>3986</v>
      </c>
      <c r="K236" t="s">
        <v>3554</v>
      </c>
      <c r="L236" t="s">
        <v>3372</v>
      </c>
      <c r="M236" t="s">
        <v>1975</v>
      </c>
      <c r="N236">
        <v>6</v>
      </c>
      <c r="O236" t="b">
        <v>0</v>
      </c>
      <c r="P236" t="b">
        <v>0</v>
      </c>
      <c r="Q236" t="b">
        <v>0</v>
      </c>
      <c r="R236" t="b">
        <v>0</v>
      </c>
      <c r="T236" t="s">
        <v>3677</v>
      </c>
      <c r="U236">
        <v>110</v>
      </c>
      <c r="V236" t="s">
        <v>3986</v>
      </c>
      <c r="W236">
        <v>3</v>
      </c>
      <c r="X236" t="s">
        <v>3986</v>
      </c>
      <c r="Y236" t="s">
        <v>3716</v>
      </c>
      <c r="Z236">
        <v>0</v>
      </c>
      <c r="AA236" t="s">
        <v>2493</v>
      </c>
      <c r="AB236" t="s">
        <v>4037</v>
      </c>
      <c r="AC236" t="s">
        <v>3986</v>
      </c>
      <c r="AD236" t="s">
        <v>3986</v>
      </c>
    </row>
    <row r="237" spans="1:30" x14ac:dyDescent="0.25">
      <c r="A237" t="s">
        <v>3599</v>
      </c>
      <c r="B237">
        <v>51</v>
      </c>
      <c r="C237" t="s">
        <v>3310</v>
      </c>
      <c r="D237" t="b">
        <v>1</v>
      </c>
      <c r="E237" t="b">
        <v>0</v>
      </c>
      <c r="F237" t="s">
        <v>3986</v>
      </c>
      <c r="G237" t="s">
        <v>3986</v>
      </c>
      <c r="H237" t="s">
        <v>3986</v>
      </c>
      <c r="I237" t="s">
        <v>3986</v>
      </c>
      <c r="J237" t="s">
        <v>3986</v>
      </c>
      <c r="K237" t="s">
        <v>3554</v>
      </c>
      <c r="L237" t="s">
        <v>3372</v>
      </c>
      <c r="M237" t="s">
        <v>1975</v>
      </c>
      <c r="N237">
        <v>6</v>
      </c>
      <c r="O237" t="b">
        <v>0</v>
      </c>
      <c r="P237" t="b">
        <v>0</v>
      </c>
      <c r="Q237" t="b">
        <v>0</v>
      </c>
      <c r="R237" t="b">
        <v>0</v>
      </c>
      <c r="T237" t="s">
        <v>3677</v>
      </c>
      <c r="U237">
        <v>111</v>
      </c>
      <c r="V237" t="s">
        <v>3986</v>
      </c>
      <c r="W237">
        <v>3</v>
      </c>
      <c r="X237" t="s">
        <v>3986</v>
      </c>
      <c r="Y237" t="s">
        <v>3717</v>
      </c>
      <c r="Z237">
        <v>0</v>
      </c>
      <c r="AA237" t="s">
        <v>2493</v>
      </c>
      <c r="AB237" t="s">
        <v>4037</v>
      </c>
      <c r="AC237" t="s">
        <v>3986</v>
      </c>
      <c r="AD237" t="s">
        <v>3986</v>
      </c>
    </row>
    <row r="238" spans="1:30" x14ac:dyDescent="0.25">
      <c r="A238" t="s">
        <v>3600</v>
      </c>
      <c r="B238">
        <v>52</v>
      </c>
      <c r="C238" t="s">
        <v>3310</v>
      </c>
      <c r="D238" t="b">
        <v>1</v>
      </c>
      <c r="E238" t="b">
        <v>0</v>
      </c>
      <c r="F238" t="s">
        <v>3986</v>
      </c>
      <c r="G238" t="s">
        <v>3986</v>
      </c>
      <c r="H238" t="s">
        <v>3986</v>
      </c>
      <c r="I238" t="s">
        <v>3986</v>
      </c>
      <c r="J238" t="s">
        <v>3986</v>
      </c>
      <c r="K238" t="s">
        <v>3554</v>
      </c>
      <c r="L238" t="s">
        <v>3372</v>
      </c>
      <c r="M238" t="s">
        <v>1975</v>
      </c>
      <c r="N238">
        <v>6</v>
      </c>
      <c r="O238" t="b">
        <v>0</v>
      </c>
      <c r="P238" t="b">
        <v>0</v>
      </c>
      <c r="Q238" t="b">
        <v>0</v>
      </c>
      <c r="R238" t="b">
        <v>0</v>
      </c>
      <c r="T238" t="s">
        <v>3677</v>
      </c>
      <c r="U238">
        <v>112</v>
      </c>
      <c r="V238" t="s">
        <v>3986</v>
      </c>
      <c r="W238">
        <v>3</v>
      </c>
      <c r="X238" t="s">
        <v>3986</v>
      </c>
      <c r="Y238" t="s">
        <v>4933</v>
      </c>
      <c r="Z238">
        <v>0</v>
      </c>
      <c r="AA238" t="s">
        <v>2493</v>
      </c>
      <c r="AB238" t="s">
        <v>4037</v>
      </c>
      <c r="AC238" t="s">
        <v>3986</v>
      </c>
      <c r="AD238" t="s">
        <v>3986</v>
      </c>
    </row>
    <row r="239" spans="1:30" x14ac:dyDescent="0.25">
      <c r="A239" t="s">
        <v>3601</v>
      </c>
      <c r="B239">
        <v>53</v>
      </c>
      <c r="C239" t="s">
        <v>3310</v>
      </c>
      <c r="D239" t="b">
        <v>1</v>
      </c>
      <c r="E239" t="b">
        <v>0</v>
      </c>
      <c r="F239" t="s">
        <v>3986</v>
      </c>
      <c r="G239" t="s">
        <v>3986</v>
      </c>
      <c r="H239" t="s">
        <v>3986</v>
      </c>
      <c r="I239" t="s">
        <v>3986</v>
      </c>
      <c r="J239" t="s">
        <v>3986</v>
      </c>
      <c r="K239" t="s">
        <v>3554</v>
      </c>
      <c r="L239" t="s">
        <v>3372</v>
      </c>
      <c r="M239" t="s">
        <v>1975</v>
      </c>
      <c r="N239">
        <v>6</v>
      </c>
      <c r="O239" t="b">
        <v>0</v>
      </c>
      <c r="P239" t="b">
        <v>0</v>
      </c>
      <c r="Q239" t="b">
        <v>0</v>
      </c>
      <c r="R239" t="b">
        <v>0</v>
      </c>
      <c r="T239" t="s">
        <v>3677</v>
      </c>
      <c r="U239">
        <v>113</v>
      </c>
      <c r="V239" t="s">
        <v>3986</v>
      </c>
      <c r="W239">
        <v>3</v>
      </c>
      <c r="X239" t="s">
        <v>3986</v>
      </c>
      <c r="Y239" t="s">
        <v>4934</v>
      </c>
      <c r="Z239">
        <v>0</v>
      </c>
      <c r="AA239" t="s">
        <v>2493</v>
      </c>
      <c r="AB239" t="s">
        <v>4037</v>
      </c>
      <c r="AC239" t="s">
        <v>3986</v>
      </c>
      <c r="AD239" t="s">
        <v>3986</v>
      </c>
    </row>
    <row r="240" spans="1:30" x14ac:dyDescent="0.25">
      <c r="A240" t="s">
        <v>3602</v>
      </c>
      <c r="B240">
        <v>54</v>
      </c>
      <c r="C240" t="s">
        <v>3310</v>
      </c>
      <c r="D240" t="b">
        <v>1</v>
      </c>
      <c r="E240" t="b">
        <v>0</v>
      </c>
      <c r="F240" t="s">
        <v>3986</v>
      </c>
      <c r="G240" t="s">
        <v>3986</v>
      </c>
      <c r="H240" t="s">
        <v>3986</v>
      </c>
      <c r="I240" t="s">
        <v>3986</v>
      </c>
      <c r="J240" t="s">
        <v>3986</v>
      </c>
      <c r="K240" t="s">
        <v>3554</v>
      </c>
      <c r="L240" t="s">
        <v>3372</v>
      </c>
      <c r="M240" t="s">
        <v>1975</v>
      </c>
      <c r="N240">
        <v>6</v>
      </c>
      <c r="O240" t="b">
        <v>0</v>
      </c>
      <c r="P240" t="b">
        <v>0</v>
      </c>
      <c r="Q240" t="b">
        <v>0</v>
      </c>
      <c r="R240" t="b">
        <v>0</v>
      </c>
      <c r="T240" t="s">
        <v>3677</v>
      </c>
      <c r="U240">
        <v>114</v>
      </c>
      <c r="V240" t="s">
        <v>3986</v>
      </c>
      <c r="W240">
        <v>3</v>
      </c>
      <c r="X240" t="s">
        <v>3986</v>
      </c>
      <c r="Y240" t="s">
        <v>3719</v>
      </c>
      <c r="Z240">
        <v>0</v>
      </c>
      <c r="AA240" t="s">
        <v>2493</v>
      </c>
      <c r="AB240" t="s">
        <v>4037</v>
      </c>
      <c r="AC240" t="s">
        <v>3986</v>
      </c>
      <c r="AD240" t="s">
        <v>3986</v>
      </c>
    </row>
    <row r="241" spans="1:30" x14ac:dyDescent="0.25">
      <c r="A241" t="s">
        <v>3603</v>
      </c>
      <c r="B241">
        <v>55</v>
      </c>
      <c r="C241" t="s">
        <v>3310</v>
      </c>
      <c r="D241" t="b">
        <v>1</v>
      </c>
      <c r="E241" t="b">
        <v>0</v>
      </c>
      <c r="F241" t="s">
        <v>3986</v>
      </c>
      <c r="G241" t="s">
        <v>3986</v>
      </c>
      <c r="H241" t="s">
        <v>3986</v>
      </c>
      <c r="I241" t="s">
        <v>3986</v>
      </c>
      <c r="J241" t="s">
        <v>3986</v>
      </c>
      <c r="K241" t="s">
        <v>3554</v>
      </c>
      <c r="L241" t="s">
        <v>3372</v>
      </c>
      <c r="M241" t="s">
        <v>1975</v>
      </c>
      <c r="N241">
        <v>6</v>
      </c>
      <c r="O241" t="b">
        <v>0</v>
      </c>
      <c r="P241" t="b">
        <v>0</v>
      </c>
      <c r="Q241" t="b">
        <v>0</v>
      </c>
      <c r="R241" t="b">
        <v>0</v>
      </c>
      <c r="T241" t="s">
        <v>3677</v>
      </c>
      <c r="U241">
        <v>115</v>
      </c>
      <c r="V241" t="s">
        <v>3986</v>
      </c>
      <c r="W241">
        <v>3</v>
      </c>
      <c r="X241" t="s">
        <v>3986</v>
      </c>
      <c r="Y241" t="s">
        <v>3720</v>
      </c>
      <c r="Z241">
        <v>0</v>
      </c>
      <c r="AA241" t="s">
        <v>2493</v>
      </c>
      <c r="AB241" t="s">
        <v>4037</v>
      </c>
      <c r="AC241" t="s">
        <v>3986</v>
      </c>
      <c r="AD241" t="s">
        <v>3986</v>
      </c>
    </row>
    <row r="242" spans="1:30" x14ac:dyDescent="0.25">
      <c r="A242" t="s">
        <v>3604</v>
      </c>
      <c r="B242">
        <v>56</v>
      </c>
      <c r="C242" t="s">
        <v>3310</v>
      </c>
      <c r="D242" t="b">
        <v>1</v>
      </c>
      <c r="E242" t="b">
        <v>0</v>
      </c>
      <c r="F242" t="s">
        <v>3986</v>
      </c>
      <c r="G242" t="s">
        <v>3986</v>
      </c>
      <c r="H242" t="s">
        <v>3986</v>
      </c>
      <c r="I242" t="s">
        <v>3986</v>
      </c>
      <c r="J242" t="s">
        <v>3986</v>
      </c>
      <c r="K242" t="s">
        <v>3554</v>
      </c>
      <c r="L242" t="s">
        <v>3372</v>
      </c>
      <c r="M242" t="s">
        <v>1975</v>
      </c>
      <c r="N242">
        <v>6</v>
      </c>
      <c r="O242" t="b">
        <v>0</v>
      </c>
      <c r="P242" t="b">
        <v>0</v>
      </c>
      <c r="Q242" t="b">
        <v>0</v>
      </c>
      <c r="R242" t="b">
        <v>0</v>
      </c>
      <c r="T242" t="s">
        <v>3677</v>
      </c>
      <c r="U242">
        <v>116</v>
      </c>
      <c r="V242" t="s">
        <v>3986</v>
      </c>
      <c r="W242">
        <v>3</v>
      </c>
      <c r="X242" t="s">
        <v>3986</v>
      </c>
      <c r="Y242" t="s">
        <v>3681</v>
      </c>
      <c r="Z242">
        <v>0</v>
      </c>
      <c r="AA242" t="s">
        <v>2493</v>
      </c>
      <c r="AB242" t="s">
        <v>4037</v>
      </c>
      <c r="AC242" t="s">
        <v>3986</v>
      </c>
      <c r="AD242" t="s">
        <v>3986</v>
      </c>
    </row>
    <row r="243" spans="1:30" x14ac:dyDescent="0.25">
      <c r="A243" t="s">
        <v>3374</v>
      </c>
      <c r="B243">
        <v>2</v>
      </c>
      <c r="C243" t="s">
        <v>3306</v>
      </c>
      <c r="D243" t="b">
        <v>1</v>
      </c>
      <c r="E243" t="b">
        <v>0</v>
      </c>
      <c r="F243" t="s">
        <v>3307</v>
      </c>
      <c r="G243" t="s">
        <v>3986</v>
      </c>
      <c r="H243" t="s">
        <v>3986</v>
      </c>
      <c r="I243" t="s">
        <v>3986</v>
      </c>
      <c r="J243" t="s">
        <v>3986</v>
      </c>
      <c r="K243" t="s">
        <v>3375</v>
      </c>
      <c r="L243" t="s">
        <v>3376</v>
      </c>
      <c r="M243" t="s">
        <v>8</v>
      </c>
      <c r="N243">
        <v>8</v>
      </c>
      <c r="O243" t="b">
        <v>0</v>
      </c>
      <c r="P243" t="b">
        <v>1</v>
      </c>
      <c r="Q243" t="b">
        <v>0</v>
      </c>
      <c r="R243" t="b">
        <v>0</v>
      </c>
      <c r="T243" t="s">
        <v>3677</v>
      </c>
      <c r="U243">
        <v>126</v>
      </c>
      <c r="V243" t="s">
        <v>3986</v>
      </c>
      <c r="W243">
        <v>3</v>
      </c>
      <c r="X243" t="s">
        <v>3986</v>
      </c>
      <c r="Y243" t="s">
        <v>3679</v>
      </c>
      <c r="Z243">
        <v>0</v>
      </c>
      <c r="AA243" t="s">
        <v>2493</v>
      </c>
      <c r="AB243" t="s">
        <v>4037</v>
      </c>
      <c r="AC243" t="s">
        <v>3986</v>
      </c>
      <c r="AD243" t="s">
        <v>3986</v>
      </c>
    </row>
    <row r="244" spans="1:30" x14ac:dyDescent="0.25">
      <c r="A244" t="s">
        <v>34</v>
      </c>
      <c r="B244">
        <v>4</v>
      </c>
      <c r="C244" t="s">
        <v>3306</v>
      </c>
      <c r="D244" t="b">
        <v>1</v>
      </c>
      <c r="E244" t="b">
        <v>0</v>
      </c>
      <c r="F244" t="s">
        <v>3307</v>
      </c>
      <c r="G244" t="s">
        <v>3986</v>
      </c>
      <c r="H244" t="s">
        <v>3986</v>
      </c>
      <c r="I244" t="s">
        <v>3986</v>
      </c>
      <c r="J244" t="s">
        <v>3370</v>
      </c>
      <c r="K244" t="s">
        <v>3375</v>
      </c>
      <c r="L244" t="s">
        <v>3376</v>
      </c>
      <c r="M244" t="s">
        <v>8</v>
      </c>
      <c r="N244">
        <v>8</v>
      </c>
      <c r="O244" t="b">
        <v>0</v>
      </c>
      <c r="P244" t="b">
        <v>1</v>
      </c>
      <c r="Q244" t="b">
        <v>0</v>
      </c>
      <c r="R244" t="b">
        <v>0</v>
      </c>
      <c r="T244" t="s">
        <v>3677</v>
      </c>
      <c r="U244">
        <v>127</v>
      </c>
      <c r="V244" t="s">
        <v>3986</v>
      </c>
      <c r="W244">
        <v>3</v>
      </c>
      <c r="X244" t="s">
        <v>3986</v>
      </c>
      <c r="Y244" t="s">
        <v>3682</v>
      </c>
      <c r="Z244">
        <v>0</v>
      </c>
      <c r="AA244" t="s">
        <v>2493</v>
      </c>
      <c r="AB244" t="s">
        <v>4037</v>
      </c>
      <c r="AC244" t="s">
        <v>3986</v>
      </c>
      <c r="AD244" t="s">
        <v>3986</v>
      </c>
    </row>
    <row r="245" spans="1:30" x14ac:dyDescent="0.25">
      <c r="A245" t="s">
        <v>3377</v>
      </c>
      <c r="B245">
        <v>6</v>
      </c>
      <c r="C245" t="s">
        <v>3310</v>
      </c>
      <c r="D245" t="b">
        <v>0</v>
      </c>
      <c r="E245" t="b">
        <v>1</v>
      </c>
      <c r="F245" t="s">
        <v>3986</v>
      </c>
      <c r="G245" t="s">
        <v>3986</v>
      </c>
      <c r="H245" t="s">
        <v>3986</v>
      </c>
      <c r="I245" t="s">
        <v>3359</v>
      </c>
      <c r="J245" t="s">
        <v>3986</v>
      </c>
      <c r="K245" t="s">
        <v>3375</v>
      </c>
      <c r="L245" t="s">
        <v>3376</v>
      </c>
      <c r="M245" t="s">
        <v>8</v>
      </c>
      <c r="N245">
        <v>8</v>
      </c>
      <c r="O245" t="b">
        <v>0</v>
      </c>
      <c r="P245" t="b">
        <v>1</v>
      </c>
      <c r="Q245" t="b">
        <v>0</v>
      </c>
      <c r="R245" t="b">
        <v>0</v>
      </c>
      <c r="T245" t="s">
        <v>3677</v>
      </c>
      <c r="U245">
        <v>128</v>
      </c>
      <c r="V245" t="s">
        <v>3986</v>
      </c>
      <c r="W245">
        <v>3</v>
      </c>
      <c r="X245" t="s">
        <v>3986</v>
      </c>
      <c r="Y245" t="s">
        <v>3683</v>
      </c>
      <c r="Z245">
        <v>0</v>
      </c>
      <c r="AA245" t="s">
        <v>2493</v>
      </c>
      <c r="AB245" t="s">
        <v>4037</v>
      </c>
      <c r="AC245" t="s">
        <v>3986</v>
      </c>
      <c r="AD245" t="s">
        <v>3986</v>
      </c>
    </row>
    <row r="246" spans="1:30" x14ac:dyDescent="0.25">
      <c r="A246" t="s">
        <v>3378</v>
      </c>
      <c r="B246">
        <v>2</v>
      </c>
      <c r="C246" t="s">
        <v>3306</v>
      </c>
      <c r="D246" t="b">
        <v>1</v>
      </c>
      <c r="E246" t="b">
        <v>0</v>
      </c>
      <c r="F246" t="s">
        <v>3307</v>
      </c>
      <c r="G246" t="s">
        <v>3379</v>
      </c>
      <c r="H246" t="s">
        <v>3986</v>
      </c>
      <c r="I246" t="s">
        <v>3986</v>
      </c>
      <c r="J246" t="s">
        <v>3986</v>
      </c>
      <c r="K246" t="s">
        <v>3380</v>
      </c>
      <c r="L246" t="s">
        <v>3381</v>
      </c>
      <c r="M246" t="s">
        <v>3757</v>
      </c>
      <c r="N246">
        <v>7</v>
      </c>
      <c r="O246" t="b">
        <v>0</v>
      </c>
      <c r="P246" t="b">
        <v>1</v>
      </c>
      <c r="Q246" t="b">
        <v>0</v>
      </c>
      <c r="R246" t="b">
        <v>0</v>
      </c>
      <c r="T246" t="s">
        <v>3677</v>
      </c>
      <c r="U246">
        <v>129</v>
      </c>
      <c r="V246" t="s">
        <v>3986</v>
      </c>
      <c r="W246">
        <v>3</v>
      </c>
      <c r="X246" t="s">
        <v>3986</v>
      </c>
      <c r="Y246" t="s">
        <v>3684</v>
      </c>
      <c r="Z246">
        <v>0</v>
      </c>
      <c r="AA246" t="s">
        <v>2493</v>
      </c>
      <c r="AB246" t="s">
        <v>4037</v>
      </c>
      <c r="AC246" t="s">
        <v>3986</v>
      </c>
      <c r="AD246" t="s">
        <v>3986</v>
      </c>
    </row>
    <row r="247" spans="1:30" x14ac:dyDescent="0.25">
      <c r="A247" t="s">
        <v>3294</v>
      </c>
      <c r="B247">
        <v>4</v>
      </c>
      <c r="C247" t="s">
        <v>3306</v>
      </c>
      <c r="D247" t="b">
        <v>1</v>
      </c>
      <c r="E247" t="b">
        <v>0</v>
      </c>
      <c r="F247" t="s">
        <v>3986</v>
      </c>
      <c r="G247" t="s">
        <v>3986</v>
      </c>
      <c r="H247" t="s">
        <v>3986</v>
      </c>
      <c r="I247" t="s">
        <v>3986</v>
      </c>
      <c r="J247" t="s">
        <v>3986</v>
      </c>
      <c r="K247" t="s">
        <v>3380</v>
      </c>
      <c r="L247" t="s">
        <v>3381</v>
      </c>
      <c r="M247" t="s">
        <v>3757</v>
      </c>
      <c r="N247">
        <v>7</v>
      </c>
      <c r="O247" t="b">
        <v>0</v>
      </c>
      <c r="P247" t="b">
        <v>1</v>
      </c>
      <c r="Q247" t="b">
        <v>0</v>
      </c>
      <c r="R247" t="b">
        <v>0</v>
      </c>
      <c r="T247" t="s">
        <v>3677</v>
      </c>
      <c r="U247">
        <v>130</v>
      </c>
      <c r="V247" t="s">
        <v>3986</v>
      </c>
      <c r="W247">
        <v>3</v>
      </c>
      <c r="X247" t="s">
        <v>3986</v>
      </c>
      <c r="Y247" t="s">
        <v>3685</v>
      </c>
      <c r="Z247">
        <v>0</v>
      </c>
      <c r="AA247" t="s">
        <v>2493</v>
      </c>
      <c r="AB247" t="s">
        <v>4037</v>
      </c>
      <c r="AC247" t="s">
        <v>3986</v>
      </c>
      <c r="AD247" t="s">
        <v>3986</v>
      </c>
    </row>
    <row r="248" spans="1:30" x14ac:dyDescent="0.25">
      <c r="A248" t="s">
        <v>34</v>
      </c>
      <c r="B248">
        <v>5</v>
      </c>
      <c r="C248" t="s">
        <v>3306</v>
      </c>
      <c r="D248" t="b">
        <v>1</v>
      </c>
      <c r="E248" t="b">
        <v>0</v>
      </c>
      <c r="F248" t="s">
        <v>3986</v>
      </c>
      <c r="G248" t="s">
        <v>3986</v>
      </c>
      <c r="H248" t="s">
        <v>3986</v>
      </c>
      <c r="I248" t="s">
        <v>3986</v>
      </c>
      <c r="J248" t="s">
        <v>3370</v>
      </c>
      <c r="K248" t="s">
        <v>3380</v>
      </c>
      <c r="L248" t="s">
        <v>3381</v>
      </c>
      <c r="M248" t="s">
        <v>3757</v>
      </c>
      <c r="N248">
        <v>7</v>
      </c>
      <c r="O248" t="b">
        <v>0</v>
      </c>
      <c r="P248" t="b">
        <v>1</v>
      </c>
      <c r="Q248" t="b">
        <v>0</v>
      </c>
      <c r="R248" t="b">
        <v>0</v>
      </c>
      <c r="T248" t="s">
        <v>3677</v>
      </c>
      <c r="U248">
        <v>131</v>
      </c>
      <c r="V248" t="s">
        <v>3986</v>
      </c>
      <c r="W248">
        <v>3</v>
      </c>
      <c r="X248" t="s">
        <v>3986</v>
      </c>
      <c r="Y248" t="s">
        <v>3686</v>
      </c>
      <c r="Z248">
        <v>0</v>
      </c>
      <c r="AA248" t="s">
        <v>2493</v>
      </c>
      <c r="AB248" t="s">
        <v>4037</v>
      </c>
      <c r="AC248" t="s">
        <v>3986</v>
      </c>
      <c r="AD248" t="s">
        <v>3986</v>
      </c>
    </row>
    <row r="249" spans="1:30" x14ac:dyDescent="0.25">
      <c r="A249" t="s">
        <v>3360</v>
      </c>
      <c r="B249">
        <v>6</v>
      </c>
      <c r="C249" t="s">
        <v>3343</v>
      </c>
      <c r="D249" t="b">
        <v>1</v>
      </c>
      <c r="E249" t="b">
        <v>0</v>
      </c>
      <c r="F249" t="s">
        <v>3986</v>
      </c>
      <c r="G249" t="s">
        <v>3986</v>
      </c>
      <c r="H249" t="s">
        <v>3986</v>
      </c>
      <c r="I249" t="s">
        <v>3986</v>
      </c>
      <c r="J249" t="s">
        <v>3382</v>
      </c>
      <c r="K249" t="s">
        <v>3380</v>
      </c>
      <c r="L249" t="s">
        <v>3381</v>
      </c>
      <c r="M249" t="s">
        <v>3757</v>
      </c>
      <c r="N249">
        <v>7</v>
      </c>
      <c r="O249" t="b">
        <v>0</v>
      </c>
      <c r="P249" t="b">
        <v>1</v>
      </c>
      <c r="Q249" t="b">
        <v>0</v>
      </c>
      <c r="R249" t="b">
        <v>0</v>
      </c>
      <c r="T249" t="s">
        <v>3677</v>
      </c>
      <c r="U249">
        <v>132</v>
      </c>
      <c r="V249" t="s">
        <v>3986</v>
      </c>
      <c r="W249">
        <v>3</v>
      </c>
      <c r="X249" t="s">
        <v>3986</v>
      </c>
      <c r="Y249" t="s">
        <v>3687</v>
      </c>
      <c r="Z249">
        <v>0</v>
      </c>
      <c r="AA249" t="s">
        <v>2493</v>
      </c>
      <c r="AB249" t="s">
        <v>4037</v>
      </c>
      <c r="AC249" t="s">
        <v>3986</v>
      </c>
      <c r="AD249" t="s">
        <v>3986</v>
      </c>
    </row>
    <row r="250" spans="1:30" x14ac:dyDescent="0.25">
      <c r="A250" t="s">
        <v>3358</v>
      </c>
      <c r="B250">
        <v>7</v>
      </c>
      <c r="C250" t="s">
        <v>3310</v>
      </c>
      <c r="D250" t="b">
        <v>1</v>
      </c>
      <c r="E250" t="b">
        <v>0</v>
      </c>
      <c r="F250" t="s">
        <v>3986</v>
      </c>
      <c r="G250" t="s">
        <v>3986</v>
      </c>
      <c r="H250" t="s">
        <v>3986</v>
      </c>
      <c r="I250" t="s">
        <v>3383</v>
      </c>
      <c r="J250" t="s">
        <v>3359</v>
      </c>
      <c r="K250" t="s">
        <v>3380</v>
      </c>
      <c r="L250" t="s">
        <v>3381</v>
      </c>
      <c r="M250" t="s">
        <v>3757</v>
      </c>
      <c r="N250">
        <v>7</v>
      </c>
      <c r="O250" t="b">
        <v>0</v>
      </c>
      <c r="P250" t="b">
        <v>1</v>
      </c>
      <c r="Q250" t="b">
        <v>0</v>
      </c>
      <c r="R250" t="b">
        <v>0</v>
      </c>
      <c r="T250" t="s">
        <v>3677</v>
      </c>
      <c r="U250">
        <v>133</v>
      </c>
      <c r="V250" t="s">
        <v>3986</v>
      </c>
      <c r="W250">
        <v>3</v>
      </c>
      <c r="X250" t="s">
        <v>3986</v>
      </c>
      <c r="Y250" t="s">
        <v>3688</v>
      </c>
      <c r="Z250">
        <v>0</v>
      </c>
      <c r="AA250" t="s">
        <v>2493</v>
      </c>
      <c r="AB250" t="s">
        <v>4037</v>
      </c>
      <c r="AC250" t="s">
        <v>3986</v>
      </c>
      <c r="AD250" t="s">
        <v>3986</v>
      </c>
    </row>
    <row r="251" spans="1:30" x14ac:dyDescent="0.25">
      <c r="A251" t="s">
        <v>3384</v>
      </c>
      <c r="B251">
        <v>8</v>
      </c>
      <c r="C251" t="s">
        <v>3310</v>
      </c>
      <c r="D251" t="b">
        <v>1</v>
      </c>
      <c r="E251" t="b">
        <v>0</v>
      </c>
      <c r="F251" t="s">
        <v>3986</v>
      </c>
      <c r="G251" t="s">
        <v>3986</v>
      </c>
      <c r="H251" t="s">
        <v>3986</v>
      </c>
      <c r="I251" t="s">
        <v>3986</v>
      </c>
      <c r="J251" t="s">
        <v>3359</v>
      </c>
      <c r="K251" t="s">
        <v>3380</v>
      </c>
      <c r="L251" t="s">
        <v>3381</v>
      </c>
      <c r="M251" t="s">
        <v>3757</v>
      </c>
      <c r="N251">
        <v>7</v>
      </c>
      <c r="O251" t="b">
        <v>0</v>
      </c>
      <c r="P251" t="b">
        <v>1</v>
      </c>
      <c r="Q251" t="b">
        <v>0</v>
      </c>
      <c r="R251" t="b">
        <v>0</v>
      </c>
      <c r="T251" t="s">
        <v>3677</v>
      </c>
      <c r="U251">
        <v>134</v>
      </c>
      <c r="V251" t="s">
        <v>3986</v>
      </c>
      <c r="W251">
        <v>3</v>
      </c>
      <c r="X251" t="s">
        <v>3986</v>
      </c>
      <c r="Y251" t="s">
        <v>3689</v>
      </c>
      <c r="Z251">
        <v>0</v>
      </c>
      <c r="AA251" t="s">
        <v>2493</v>
      </c>
      <c r="AB251" t="s">
        <v>4037</v>
      </c>
      <c r="AC251" t="s">
        <v>3986</v>
      </c>
      <c r="AD251" t="s">
        <v>3986</v>
      </c>
    </row>
    <row r="252" spans="1:30" x14ac:dyDescent="0.25">
      <c r="A252" t="s">
        <v>3385</v>
      </c>
      <c r="B252">
        <v>9</v>
      </c>
      <c r="C252" t="s">
        <v>3306</v>
      </c>
      <c r="D252" t="b">
        <v>1</v>
      </c>
      <c r="E252" t="b">
        <v>0</v>
      </c>
      <c r="F252" t="s">
        <v>3986</v>
      </c>
      <c r="G252" t="s">
        <v>3986</v>
      </c>
      <c r="H252" t="s">
        <v>3986</v>
      </c>
      <c r="I252" t="s">
        <v>3986</v>
      </c>
      <c r="J252" t="s">
        <v>3386</v>
      </c>
      <c r="K252" t="s">
        <v>3380</v>
      </c>
      <c r="L252" t="s">
        <v>3381</v>
      </c>
      <c r="M252" t="s">
        <v>3757</v>
      </c>
      <c r="N252">
        <v>7</v>
      </c>
      <c r="O252" t="b">
        <v>0</v>
      </c>
      <c r="P252" t="b">
        <v>1</v>
      </c>
      <c r="Q252" t="b">
        <v>0</v>
      </c>
      <c r="R252" t="b">
        <v>0</v>
      </c>
      <c r="T252" t="s">
        <v>3677</v>
      </c>
      <c r="U252">
        <v>135</v>
      </c>
      <c r="V252" t="s">
        <v>3986</v>
      </c>
      <c r="W252">
        <v>3</v>
      </c>
      <c r="X252" t="s">
        <v>3986</v>
      </c>
      <c r="Y252" t="s">
        <v>3690</v>
      </c>
      <c r="Z252">
        <v>0</v>
      </c>
      <c r="AA252" t="s">
        <v>2493</v>
      </c>
      <c r="AB252" t="s">
        <v>4037</v>
      </c>
      <c r="AC252" t="s">
        <v>3986</v>
      </c>
      <c r="AD252" t="s">
        <v>3986</v>
      </c>
    </row>
    <row r="253" spans="1:30" x14ac:dyDescent="0.25">
      <c r="A253" t="s">
        <v>3292</v>
      </c>
      <c r="B253">
        <v>2</v>
      </c>
      <c r="C253" t="s">
        <v>3306</v>
      </c>
      <c r="D253" t="b">
        <v>1</v>
      </c>
      <c r="E253" t="b">
        <v>0</v>
      </c>
      <c r="F253" t="s">
        <v>3307</v>
      </c>
      <c r="G253" t="s">
        <v>3986</v>
      </c>
      <c r="H253" t="s">
        <v>3986</v>
      </c>
      <c r="I253" t="s">
        <v>3986</v>
      </c>
      <c r="J253" t="s">
        <v>3986</v>
      </c>
      <c r="K253" t="s">
        <v>3387</v>
      </c>
      <c r="L253" t="s">
        <v>3388</v>
      </c>
      <c r="M253" t="s">
        <v>3752</v>
      </c>
      <c r="N253">
        <v>7</v>
      </c>
      <c r="O253" t="b">
        <v>0</v>
      </c>
      <c r="P253" t="b">
        <v>1</v>
      </c>
      <c r="Q253" t="b">
        <v>0</v>
      </c>
      <c r="R253" t="b">
        <v>0</v>
      </c>
      <c r="T253" t="s">
        <v>3677</v>
      </c>
      <c r="U253">
        <v>136</v>
      </c>
      <c r="V253" t="s">
        <v>3986</v>
      </c>
      <c r="W253">
        <v>3</v>
      </c>
      <c r="X253" t="s">
        <v>3986</v>
      </c>
      <c r="Y253" t="s">
        <v>3691</v>
      </c>
      <c r="Z253">
        <v>0</v>
      </c>
      <c r="AA253" t="s">
        <v>2493</v>
      </c>
      <c r="AB253" t="s">
        <v>4037</v>
      </c>
      <c r="AC253" t="s">
        <v>3986</v>
      </c>
      <c r="AD253" t="s">
        <v>3986</v>
      </c>
    </row>
    <row r="254" spans="1:30" x14ac:dyDescent="0.25">
      <c r="A254" t="s">
        <v>3389</v>
      </c>
      <c r="B254">
        <v>4</v>
      </c>
      <c r="C254" t="s">
        <v>3306</v>
      </c>
      <c r="D254" t="b">
        <v>1</v>
      </c>
      <c r="E254" t="b">
        <v>0</v>
      </c>
      <c r="F254" t="s">
        <v>3986</v>
      </c>
      <c r="G254" t="s">
        <v>3986</v>
      </c>
      <c r="H254" t="s">
        <v>3986</v>
      </c>
      <c r="I254" t="s">
        <v>3986</v>
      </c>
      <c r="J254" t="s">
        <v>3390</v>
      </c>
      <c r="K254" t="s">
        <v>3387</v>
      </c>
      <c r="L254" t="s">
        <v>3388</v>
      </c>
      <c r="M254" t="s">
        <v>3752</v>
      </c>
      <c r="N254">
        <v>7</v>
      </c>
      <c r="O254" t="b">
        <v>0</v>
      </c>
      <c r="P254" t="b">
        <v>1</v>
      </c>
      <c r="Q254" t="b">
        <v>0</v>
      </c>
      <c r="R254" t="b">
        <v>0</v>
      </c>
      <c r="T254" t="s">
        <v>3677</v>
      </c>
      <c r="U254">
        <v>137</v>
      </c>
      <c r="V254" t="s">
        <v>3986</v>
      </c>
      <c r="W254">
        <v>3</v>
      </c>
      <c r="X254" t="s">
        <v>3986</v>
      </c>
      <c r="Y254" t="s">
        <v>3692</v>
      </c>
      <c r="Z254">
        <v>0</v>
      </c>
      <c r="AA254" t="s">
        <v>2493</v>
      </c>
      <c r="AB254" t="s">
        <v>4037</v>
      </c>
      <c r="AC254" t="s">
        <v>3986</v>
      </c>
      <c r="AD254" t="s">
        <v>3986</v>
      </c>
    </row>
    <row r="255" spans="1:30" x14ac:dyDescent="0.25">
      <c r="A255" t="s">
        <v>3358</v>
      </c>
      <c r="B255">
        <v>12</v>
      </c>
      <c r="C255" t="s">
        <v>3310</v>
      </c>
      <c r="D255" t="b">
        <v>1</v>
      </c>
      <c r="E255" t="b">
        <v>0</v>
      </c>
      <c r="F255" t="s">
        <v>3986</v>
      </c>
      <c r="G255" t="s">
        <v>3986</v>
      </c>
      <c r="H255" t="s">
        <v>3986</v>
      </c>
      <c r="I255" t="s">
        <v>3986</v>
      </c>
      <c r="J255" t="s">
        <v>3986</v>
      </c>
      <c r="K255" t="s">
        <v>3387</v>
      </c>
      <c r="L255" t="s">
        <v>3388</v>
      </c>
      <c r="M255" t="s">
        <v>3752</v>
      </c>
      <c r="N255">
        <v>7</v>
      </c>
      <c r="O255" t="b">
        <v>0</v>
      </c>
      <c r="P255" t="b">
        <v>1</v>
      </c>
      <c r="Q255" t="b">
        <v>0</v>
      </c>
      <c r="R255" t="b">
        <v>0</v>
      </c>
      <c r="T255" t="s">
        <v>3677</v>
      </c>
      <c r="U255">
        <v>138</v>
      </c>
      <c r="V255" t="s">
        <v>3986</v>
      </c>
      <c r="W255">
        <v>3</v>
      </c>
      <c r="X255" t="s">
        <v>3986</v>
      </c>
      <c r="Y255" t="s">
        <v>3693</v>
      </c>
      <c r="Z255">
        <v>0</v>
      </c>
      <c r="AA255" t="s">
        <v>2493</v>
      </c>
      <c r="AB255" t="s">
        <v>4037</v>
      </c>
      <c r="AC255" t="s">
        <v>3986</v>
      </c>
      <c r="AD255" t="s">
        <v>3986</v>
      </c>
    </row>
    <row r="256" spans="1:30" x14ac:dyDescent="0.25">
      <c r="A256" t="s">
        <v>34</v>
      </c>
      <c r="B256">
        <v>2</v>
      </c>
      <c r="C256" t="s">
        <v>3306</v>
      </c>
      <c r="D256" t="b">
        <v>1</v>
      </c>
      <c r="E256" t="b">
        <v>0</v>
      </c>
      <c r="F256" t="s">
        <v>3307</v>
      </c>
      <c r="G256" t="s">
        <v>3986</v>
      </c>
      <c r="H256" t="s">
        <v>3986</v>
      </c>
      <c r="I256" t="s">
        <v>3986</v>
      </c>
      <c r="J256" t="s">
        <v>3370</v>
      </c>
      <c r="K256" t="s">
        <v>3391</v>
      </c>
      <c r="L256" t="s">
        <v>3392</v>
      </c>
      <c r="M256" t="s">
        <v>9</v>
      </c>
      <c r="N256">
        <v>7</v>
      </c>
      <c r="O256" t="b">
        <v>0</v>
      </c>
      <c r="P256" t="b">
        <v>1</v>
      </c>
      <c r="Q256" t="b">
        <v>0</v>
      </c>
      <c r="R256" t="b">
        <v>0</v>
      </c>
      <c r="T256" t="s">
        <v>3677</v>
      </c>
      <c r="U256">
        <v>139</v>
      </c>
      <c r="V256" t="s">
        <v>3986</v>
      </c>
      <c r="W256">
        <v>3</v>
      </c>
      <c r="X256" t="s">
        <v>3986</v>
      </c>
      <c r="Y256" t="s">
        <v>3694</v>
      </c>
      <c r="Z256">
        <v>0</v>
      </c>
      <c r="AA256" t="s">
        <v>2493</v>
      </c>
      <c r="AB256" t="s">
        <v>4037</v>
      </c>
      <c r="AC256" t="s">
        <v>3986</v>
      </c>
      <c r="AD256" t="s">
        <v>3986</v>
      </c>
    </row>
    <row r="257" spans="1:30" x14ac:dyDescent="0.25">
      <c r="A257" t="s">
        <v>3393</v>
      </c>
      <c r="B257">
        <v>3</v>
      </c>
      <c r="C257" t="s">
        <v>3306</v>
      </c>
      <c r="D257" t="b">
        <v>1</v>
      </c>
      <c r="E257" t="b">
        <v>0</v>
      </c>
      <c r="F257" t="s">
        <v>3307</v>
      </c>
      <c r="G257" t="s">
        <v>3986</v>
      </c>
      <c r="H257" t="s">
        <v>3986</v>
      </c>
      <c r="I257" t="s">
        <v>3986</v>
      </c>
      <c r="J257" t="s">
        <v>3986</v>
      </c>
      <c r="K257" t="s">
        <v>3391</v>
      </c>
      <c r="L257" t="s">
        <v>3392</v>
      </c>
      <c r="M257" t="s">
        <v>9</v>
      </c>
      <c r="N257">
        <v>7</v>
      </c>
      <c r="O257" t="b">
        <v>0</v>
      </c>
      <c r="P257" t="b">
        <v>1</v>
      </c>
      <c r="Q257" t="b">
        <v>0</v>
      </c>
      <c r="R257" t="b">
        <v>0</v>
      </c>
      <c r="T257" t="s">
        <v>3677</v>
      </c>
      <c r="U257">
        <v>140</v>
      </c>
      <c r="V257" t="s">
        <v>3986</v>
      </c>
      <c r="W257">
        <v>3</v>
      </c>
      <c r="X257" t="s">
        <v>3986</v>
      </c>
      <c r="Y257" t="s">
        <v>3695</v>
      </c>
      <c r="Z257">
        <v>0</v>
      </c>
      <c r="AA257" t="s">
        <v>2493</v>
      </c>
      <c r="AB257" t="s">
        <v>4037</v>
      </c>
      <c r="AC257" t="s">
        <v>3986</v>
      </c>
      <c r="AD257" t="s">
        <v>3986</v>
      </c>
    </row>
    <row r="258" spans="1:30" x14ac:dyDescent="0.25">
      <c r="A258" t="s">
        <v>3394</v>
      </c>
      <c r="B258">
        <v>5</v>
      </c>
      <c r="C258" t="s">
        <v>3310</v>
      </c>
      <c r="D258" t="b">
        <v>0</v>
      </c>
      <c r="E258" t="b">
        <v>1</v>
      </c>
      <c r="F258" t="s">
        <v>3986</v>
      </c>
      <c r="G258" t="s">
        <v>3986</v>
      </c>
      <c r="H258" t="s">
        <v>3986</v>
      </c>
      <c r="I258" t="s">
        <v>3359</v>
      </c>
      <c r="J258" t="s">
        <v>3986</v>
      </c>
      <c r="K258" t="s">
        <v>3391</v>
      </c>
      <c r="L258" t="s">
        <v>3392</v>
      </c>
      <c r="M258" t="s">
        <v>9</v>
      </c>
      <c r="N258">
        <v>7</v>
      </c>
      <c r="O258" t="b">
        <v>0</v>
      </c>
      <c r="P258" t="b">
        <v>1</v>
      </c>
      <c r="Q258" t="b">
        <v>0</v>
      </c>
      <c r="R258" t="b">
        <v>0</v>
      </c>
      <c r="T258" t="s">
        <v>3677</v>
      </c>
      <c r="U258">
        <v>141</v>
      </c>
      <c r="V258" t="s">
        <v>3986</v>
      </c>
      <c r="W258">
        <v>3</v>
      </c>
      <c r="X258" t="s">
        <v>3986</v>
      </c>
      <c r="Y258" t="s">
        <v>3696</v>
      </c>
      <c r="Z258">
        <v>0</v>
      </c>
      <c r="AA258" t="s">
        <v>2493</v>
      </c>
      <c r="AB258" t="s">
        <v>4037</v>
      </c>
      <c r="AC258" t="s">
        <v>3986</v>
      </c>
      <c r="AD258" t="s">
        <v>3986</v>
      </c>
    </row>
    <row r="259" spans="1:30" x14ac:dyDescent="0.25">
      <c r="A259" t="s">
        <v>48</v>
      </c>
      <c r="B259">
        <v>6</v>
      </c>
      <c r="C259" t="s">
        <v>3310</v>
      </c>
      <c r="D259" t="b">
        <v>0</v>
      </c>
      <c r="E259" t="b">
        <v>0</v>
      </c>
      <c r="F259" t="s">
        <v>3986</v>
      </c>
      <c r="G259" t="s">
        <v>3986</v>
      </c>
      <c r="H259" t="s">
        <v>3986</v>
      </c>
      <c r="I259" t="s">
        <v>3986</v>
      </c>
      <c r="J259" t="s">
        <v>3986</v>
      </c>
      <c r="K259" t="s">
        <v>3391</v>
      </c>
      <c r="L259" t="s">
        <v>3392</v>
      </c>
      <c r="M259" t="s">
        <v>9</v>
      </c>
      <c r="N259">
        <v>7</v>
      </c>
      <c r="O259" t="b">
        <v>0</v>
      </c>
      <c r="P259" t="b">
        <v>1</v>
      </c>
      <c r="Q259" t="b">
        <v>0</v>
      </c>
      <c r="R259" t="b">
        <v>0</v>
      </c>
      <c r="T259" t="s">
        <v>3677</v>
      </c>
      <c r="U259">
        <v>142</v>
      </c>
      <c r="V259" t="s">
        <v>3986</v>
      </c>
      <c r="W259">
        <v>3</v>
      </c>
      <c r="X259" t="s">
        <v>3986</v>
      </c>
      <c r="Y259" t="s">
        <v>3697</v>
      </c>
      <c r="Z259">
        <v>0</v>
      </c>
      <c r="AA259" t="s">
        <v>2493</v>
      </c>
      <c r="AB259" t="s">
        <v>4037</v>
      </c>
      <c r="AC259" t="s">
        <v>3986</v>
      </c>
      <c r="AD259" t="s">
        <v>3986</v>
      </c>
    </row>
    <row r="260" spans="1:30" x14ac:dyDescent="0.25">
      <c r="A260" t="s">
        <v>3987</v>
      </c>
      <c r="B260">
        <v>7</v>
      </c>
      <c r="C260" t="s">
        <v>3310</v>
      </c>
      <c r="D260" t="b">
        <v>0</v>
      </c>
      <c r="E260" t="b">
        <v>1</v>
      </c>
      <c r="F260" t="s">
        <v>3373</v>
      </c>
      <c r="G260" t="s">
        <v>3986</v>
      </c>
      <c r="H260" t="s">
        <v>3986</v>
      </c>
      <c r="I260" t="s">
        <v>3359</v>
      </c>
      <c r="J260" t="s">
        <v>3986</v>
      </c>
      <c r="K260" t="s">
        <v>3391</v>
      </c>
      <c r="L260" t="s">
        <v>3392</v>
      </c>
      <c r="M260" t="s">
        <v>9</v>
      </c>
      <c r="N260">
        <v>7</v>
      </c>
      <c r="O260" t="b">
        <v>0</v>
      </c>
      <c r="P260" t="b">
        <v>1</v>
      </c>
      <c r="Q260" t="b">
        <v>0</v>
      </c>
      <c r="R260" t="b">
        <v>0</v>
      </c>
      <c r="T260" t="s">
        <v>3677</v>
      </c>
      <c r="U260">
        <v>145</v>
      </c>
      <c r="V260" t="s">
        <v>3986</v>
      </c>
      <c r="W260">
        <v>3</v>
      </c>
      <c r="X260" t="s">
        <v>3986</v>
      </c>
      <c r="Y260" t="s">
        <v>3726</v>
      </c>
      <c r="Z260">
        <v>0</v>
      </c>
      <c r="AA260" t="s">
        <v>2493</v>
      </c>
      <c r="AB260" t="s">
        <v>4037</v>
      </c>
      <c r="AC260" t="s">
        <v>3986</v>
      </c>
      <c r="AD260" t="s">
        <v>3986</v>
      </c>
    </row>
    <row r="261" spans="1:30" x14ac:dyDescent="0.25">
      <c r="A261" t="s">
        <v>3988</v>
      </c>
      <c r="B261">
        <v>8</v>
      </c>
      <c r="C261" t="s">
        <v>3310</v>
      </c>
      <c r="D261" t="b">
        <v>0</v>
      </c>
      <c r="E261" t="b">
        <v>1</v>
      </c>
      <c r="F261" t="s">
        <v>3373</v>
      </c>
      <c r="G261" t="s">
        <v>3986</v>
      </c>
      <c r="H261" t="s">
        <v>3986</v>
      </c>
      <c r="I261" t="s">
        <v>3359</v>
      </c>
      <c r="J261" t="s">
        <v>3986</v>
      </c>
      <c r="K261" t="s">
        <v>3391</v>
      </c>
      <c r="L261" t="s">
        <v>3392</v>
      </c>
      <c r="M261" t="s">
        <v>9</v>
      </c>
      <c r="N261">
        <v>7</v>
      </c>
      <c r="O261" t="b">
        <v>0</v>
      </c>
      <c r="P261" t="b">
        <v>1</v>
      </c>
      <c r="Q261" t="b">
        <v>0</v>
      </c>
      <c r="R261" t="b">
        <v>0</v>
      </c>
      <c r="T261" t="s">
        <v>3677</v>
      </c>
      <c r="U261">
        <v>146</v>
      </c>
      <c r="V261" t="s">
        <v>3986</v>
      </c>
      <c r="W261">
        <v>3</v>
      </c>
      <c r="X261" t="s">
        <v>3986</v>
      </c>
      <c r="Y261" t="s">
        <v>3727</v>
      </c>
      <c r="Z261">
        <v>0</v>
      </c>
      <c r="AA261" t="s">
        <v>2493</v>
      </c>
      <c r="AB261" t="s">
        <v>4037</v>
      </c>
      <c r="AC261" t="s">
        <v>3986</v>
      </c>
      <c r="AD261" t="s">
        <v>3986</v>
      </c>
    </row>
    <row r="262" spans="1:30" x14ac:dyDescent="0.25">
      <c r="A262" t="s">
        <v>3989</v>
      </c>
      <c r="B262">
        <v>9</v>
      </c>
      <c r="C262" t="s">
        <v>3310</v>
      </c>
      <c r="D262" t="b">
        <v>0</v>
      </c>
      <c r="E262" t="b">
        <v>1</v>
      </c>
      <c r="F262" t="s">
        <v>3373</v>
      </c>
      <c r="G262" t="s">
        <v>3986</v>
      </c>
      <c r="H262" t="s">
        <v>3986</v>
      </c>
      <c r="I262" t="s">
        <v>3359</v>
      </c>
      <c r="J262" t="s">
        <v>3986</v>
      </c>
      <c r="K262" t="s">
        <v>3391</v>
      </c>
      <c r="L262" t="s">
        <v>3392</v>
      </c>
      <c r="M262" t="s">
        <v>9</v>
      </c>
      <c r="N262">
        <v>7</v>
      </c>
      <c r="O262" t="b">
        <v>0</v>
      </c>
      <c r="P262" t="b">
        <v>1</v>
      </c>
      <c r="Q262" t="b">
        <v>0</v>
      </c>
      <c r="R262" t="b">
        <v>0</v>
      </c>
      <c r="T262" t="s">
        <v>3677</v>
      </c>
      <c r="U262">
        <v>147</v>
      </c>
      <c r="V262" t="s">
        <v>3986</v>
      </c>
      <c r="W262">
        <v>3</v>
      </c>
      <c r="X262" t="s">
        <v>3986</v>
      </c>
      <c r="Y262" t="s">
        <v>3728</v>
      </c>
      <c r="Z262">
        <v>0</v>
      </c>
      <c r="AA262" t="s">
        <v>2493</v>
      </c>
      <c r="AB262" t="s">
        <v>4037</v>
      </c>
      <c r="AC262" t="s">
        <v>3986</v>
      </c>
      <c r="AD262" t="s">
        <v>3986</v>
      </c>
    </row>
    <row r="263" spans="1:30" x14ac:dyDescent="0.25">
      <c r="A263" t="s">
        <v>3990</v>
      </c>
      <c r="B263">
        <v>10</v>
      </c>
      <c r="C263" t="s">
        <v>3310</v>
      </c>
      <c r="D263" t="b">
        <v>0</v>
      </c>
      <c r="E263" t="b">
        <v>1</v>
      </c>
      <c r="F263" t="s">
        <v>3373</v>
      </c>
      <c r="G263" t="s">
        <v>3986</v>
      </c>
      <c r="H263" t="s">
        <v>3986</v>
      </c>
      <c r="I263" t="s">
        <v>3359</v>
      </c>
      <c r="J263" t="s">
        <v>3986</v>
      </c>
      <c r="K263" t="s">
        <v>3391</v>
      </c>
      <c r="L263" t="s">
        <v>3392</v>
      </c>
      <c r="M263" t="s">
        <v>9</v>
      </c>
      <c r="N263">
        <v>7</v>
      </c>
      <c r="O263" t="b">
        <v>0</v>
      </c>
      <c r="P263" t="b">
        <v>1</v>
      </c>
      <c r="Q263" t="b">
        <v>0</v>
      </c>
      <c r="R263" t="b">
        <v>0</v>
      </c>
      <c r="T263" t="s">
        <v>3677</v>
      </c>
      <c r="U263">
        <v>148</v>
      </c>
      <c r="V263" t="s">
        <v>3986</v>
      </c>
      <c r="W263">
        <v>3</v>
      </c>
      <c r="X263" t="s">
        <v>3986</v>
      </c>
      <c r="Y263" t="s">
        <v>4888</v>
      </c>
      <c r="Z263">
        <v>0</v>
      </c>
      <c r="AA263" t="s">
        <v>2493</v>
      </c>
      <c r="AB263" t="s">
        <v>4037</v>
      </c>
      <c r="AC263" t="s">
        <v>3986</v>
      </c>
      <c r="AD263" t="s">
        <v>3986</v>
      </c>
    </row>
    <row r="264" spans="1:30" x14ac:dyDescent="0.25">
      <c r="A264" t="s">
        <v>3991</v>
      </c>
      <c r="B264">
        <v>11</v>
      </c>
      <c r="C264" t="s">
        <v>3310</v>
      </c>
      <c r="D264" t="b">
        <v>0</v>
      </c>
      <c r="E264" t="b">
        <v>1</v>
      </c>
      <c r="F264" t="s">
        <v>3373</v>
      </c>
      <c r="G264" t="s">
        <v>3986</v>
      </c>
      <c r="H264" t="s">
        <v>3986</v>
      </c>
      <c r="I264" t="s">
        <v>3359</v>
      </c>
      <c r="J264" t="s">
        <v>3986</v>
      </c>
      <c r="K264" t="s">
        <v>3391</v>
      </c>
      <c r="L264" t="s">
        <v>3392</v>
      </c>
      <c r="M264" t="s">
        <v>9</v>
      </c>
      <c r="N264">
        <v>7</v>
      </c>
      <c r="O264" t="b">
        <v>0</v>
      </c>
      <c r="P264" t="b">
        <v>1</v>
      </c>
      <c r="Q264" t="b">
        <v>0</v>
      </c>
      <c r="R264" t="b">
        <v>0</v>
      </c>
      <c r="T264" t="s">
        <v>3677</v>
      </c>
      <c r="U264">
        <v>149</v>
      </c>
      <c r="V264" t="s">
        <v>3986</v>
      </c>
      <c r="W264">
        <v>3</v>
      </c>
      <c r="X264" t="s">
        <v>3986</v>
      </c>
      <c r="Y264" t="s">
        <v>3729</v>
      </c>
      <c r="Z264">
        <v>0</v>
      </c>
      <c r="AA264" t="s">
        <v>2493</v>
      </c>
      <c r="AB264" t="s">
        <v>4037</v>
      </c>
      <c r="AC264" t="s">
        <v>3986</v>
      </c>
      <c r="AD264" t="s">
        <v>3986</v>
      </c>
    </row>
    <row r="265" spans="1:30" x14ac:dyDescent="0.25">
      <c r="A265" t="s">
        <v>3992</v>
      </c>
      <c r="B265">
        <v>12</v>
      </c>
      <c r="C265" t="s">
        <v>3310</v>
      </c>
      <c r="D265" t="b">
        <v>0</v>
      </c>
      <c r="E265" t="b">
        <v>1</v>
      </c>
      <c r="F265" t="s">
        <v>3373</v>
      </c>
      <c r="G265" t="s">
        <v>3986</v>
      </c>
      <c r="H265" t="s">
        <v>3986</v>
      </c>
      <c r="I265" t="s">
        <v>3359</v>
      </c>
      <c r="J265" t="s">
        <v>3986</v>
      </c>
      <c r="K265" t="s">
        <v>3391</v>
      </c>
      <c r="L265" t="s">
        <v>3392</v>
      </c>
      <c r="M265" t="s">
        <v>9</v>
      </c>
      <c r="N265">
        <v>7</v>
      </c>
      <c r="O265" t="b">
        <v>0</v>
      </c>
      <c r="P265" t="b">
        <v>1</v>
      </c>
      <c r="Q265" t="b">
        <v>0</v>
      </c>
      <c r="R265" t="b">
        <v>0</v>
      </c>
      <c r="T265" t="s">
        <v>3677</v>
      </c>
      <c r="U265">
        <v>150</v>
      </c>
      <c r="V265" t="s">
        <v>3986</v>
      </c>
      <c r="W265">
        <v>3</v>
      </c>
      <c r="X265" t="s">
        <v>3986</v>
      </c>
      <c r="Y265" t="s">
        <v>3730</v>
      </c>
      <c r="Z265">
        <v>0</v>
      </c>
      <c r="AA265" t="s">
        <v>2493</v>
      </c>
      <c r="AB265" t="s">
        <v>4037</v>
      </c>
      <c r="AC265" t="s">
        <v>3986</v>
      </c>
      <c r="AD265" t="s">
        <v>3986</v>
      </c>
    </row>
    <row r="266" spans="1:30" x14ac:dyDescent="0.25">
      <c r="A266" t="s">
        <v>3993</v>
      </c>
      <c r="B266">
        <v>13</v>
      </c>
      <c r="C266" t="s">
        <v>3310</v>
      </c>
      <c r="D266" t="b">
        <v>0</v>
      </c>
      <c r="E266" t="b">
        <v>1</v>
      </c>
      <c r="F266" t="s">
        <v>3373</v>
      </c>
      <c r="G266" t="s">
        <v>3986</v>
      </c>
      <c r="H266" t="s">
        <v>3986</v>
      </c>
      <c r="I266" t="s">
        <v>3359</v>
      </c>
      <c r="J266" t="s">
        <v>3986</v>
      </c>
      <c r="K266" t="s">
        <v>3391</v>
      </c>
      <c r="L266" t="s">
        <v>3392</v>
      </c>
      <c r="M266" t="s">
        <v>9</v>
      </c>
      <c r="N266">
        <v>7</v>
      </c>
      <c r="O266" t="b">
        <v>0</v>
      </c>
      <c r="P266" t="b">
        <v>1</v>
      </c>
      <c r="Q266" t="b">
        <v>0</v>
      </c>
      <c r="R266" t="b">
        <v>0</v>
      </c>
      <c r="T266" t="s">
        <v>3677</v>
      </c>
      <c r="U266">
        <v>151</v>
      </c>
      <c r="V266" t="s">
        <v>3986</v>
      </c>
      <c r="W266">
        <v>3</v>
      </c>
      <c r="X266" t="s">
        <v>3986</v>
      </c>
      <c r="Y266" t="s">
        <v>3731</v>
      </c>
      <c r="Z266">
        <v>0</v>
      </c>
      <c r="AA266" t="s">
        <v>2493</v>
      </c>
      <c r="AB266" t="s">
        <v>4037</v>
      </c>
      <c r="AC266" t="s">
        <v>3986</v>
      </c>
      <c r="AD266" t="s">
        <v>3986</v>
      </c>
    </row>
    <row r="267" spans="1:30" x14ac:dyDescent="0.25">
      <c r="A267" t="s">
        <v>3994</v>
      </c>
      <c r="B267">
        <v>14</v>
      </c>
      <c r="C267" t="s">
        <v>3310</v>
      </c>
      <c r="D267" t="b">
        <v>0</v>
      </c>
      <c r="E267" t="b">
        <v>1</v>
      </c>
      <c r="F267" t="s">
        <v>3373</v>
      </c>
      <c r="G267" t="s">
        <v>3986</v>
      </c>
      <c r="H267" t="s">
        <v>3986</v>
      </c>
      <c r="I267" t="s">
        <v>3359</v>
      </c>
      <c r="J267" t="s">
        <v>3986</v>
      </c>
      <c r="K267" t="s">
        <v>3391</v>
      </c>
      <c r="L267" t="s">
        <v>3392</v>
      </c>
      <c r="M267" t="s">
        <v>9</v>
      </c>
      <c r="N267">
        <v>7</v>
      </c>
      <c r="O267" t="b">
        <v>0</v>
      </c>
      <c r="P267" t="b">
        <v>1</v>
      </c>
      <c r="Q267" t="b">
        <v>0</v>
      </c>
      <c r="R267" t="b">
        <v>0</v>
      </c>
      <c r="T267" t="s">
        <v>3677</v>
      </c>
      <c r="U267">
        <v>152</v>
      </c>
      <c r="V267" t="s">
        <v>3986</v>
      </c>
      <c r="W267">
        <v>3</v>
      </c>
      <c r="X267" t="s">
        <v>3986</v>
      </c>
      <c r="Y267" t="s">
        <v>3732</v>
      </c>
      <c r="Z267">
        <v>0</v>
      </c>
      <c r="AA267" t="s">
        <v>2493</v>
      </c>
      <c r="AB267" t="s">
        <v>4037</v>
      </c>
      <c r="AC267" t="s">
        <v>3986</v>
      </c>
      <c r="AD267" t="s">
        <v>3986</v>
      </c>
    </row>
    <row r="268" spans="1:30" x14ac:dyDescent="0.25">
      <c r="A268" t="s">
        <v>3995</v>
      </c>
      <c r="B268">
        <v>15</v>
      </c>
      <c r="C268" t="s">
        <v>3310</v>
      </c>
      <c r="D268" t="b">
        <v>0</v>
      </c>
      <c r="E268" t="b">
        <v>1</v>
      </c>
      <c r="F268" t="s">
        <v>3373</v>
      </c>
      <c r="G268" t="s">
        <v>3986</v>
      </c>
      <c r="H268" t="s">
        <v>3986</v>
      </c>
      <c r="I268" t="s">
        <v>3359</v>
      </c>
      <c r="J268" t="s">
        <v>3986</v>
      </c>
      <c r="K268" t="s">
        <v>3391</v>
      </c>
      <c r="L268" t="s">
        <v>3392</v>
      </c>
      <c r="M268" t="s">
        <v>9</v>
      </c>
      <c r="N268">
        <v>7</v>
      </c>
      <c r="O268" t="b">
        <v>0</v>
      </c>
      <c r="P268" t="b">
        <v>1</v>
      </c>
      <c r="Q268" t="b">
        <v>0</v>
      </c>
      <c r="R268" t="b">
        <v>0</v>
      </c>
      <c r="T268" t="s">
        <v>3677</v>
      </c>
      <c r="U268">
        <v>153</v>
      </c>
      <c r="V268" t="s">
        <v>3986</v>
      </c>
      <c r="W268">
        <v>3</v>
      </c>
      <c r="X268" t="s">
        <v>3986</v>
      </c>
      <c r="Y268" t="s">
        <v>3733</v>
      </c>
      <c r="Z268">
        <v>0</v>
      </c>
      <c r="AA268" t="s">
        <v>2493</v>
      </c>
      <c r="AB268" t="s">
        <v>4037</v>
      </c>
      <c r="AC268" t="s">
        <v>3986</v>
      </c>
      <c r="AD268" t="s">
        <v>3986</v>
      </c>
    </row>
    <row r="269" spans="1:30" x14ac:dyDescent="0.25">
      <c r="A269" t="s">
        <v>3996</v>
      </c>
      <c r="B269">
        <v>16</v>
      </c>
      <c r="C269" t="s">
        <v>3310</v>
      </c>
      <c r="D269" t="b">
        <v>0</v>
      </c>
      <c r="E269" t="b">
        <v>1</v>
      </c>
      <c r="F269" t="s">
        <v>3373</v>
      </c>
      <c r="G269" t="s">
        <v>3986</v>
      </c>
      <c r="H269" t="s">
        <v>3986</v>
      </c>
      <c r="I269" t="s">
        <v>3359</v>
      </c>
      <c r="J269" t="s">
        <v>3986</v>
      </c>
      <c r="K269" t="s">
        <v>3391</v>
      </c>
      <c r="L269" t="s">
        <v>3392</v>
      </c>
      <c r="M269" t="s">
        <v>9</v>
      </c>
      <c r="N269">
        <v>7</v>
      </c>
      <c r="O269" t="b">
        <v>0</v>
      </c>
      <c r="P269" t="b">
        <v>1</v>
      </c>
      <c r="Q269" t="b">
        <v>0</v>
      </c>
      <c r="R269" t="b">
        <v>0</v>
      </c>
      <c r="T269" t="s">
        <v>3677</v>
      </c>
      <c r="U269">
        <v>154</v>
      </c>
      <c r="V269" t="s">
        <v>3986</v>
      </c>
      <c r="W269">
        <v>3</v>
      </c>
      <c r="X269" t="s">
        <v>3986</v>
      </c>
      <c r="Y269" t="s">
        <v>3734</v>
      </c>
      <c r="Z269">
        <v>0</v>
      </c>
      <c r="AA269" t="s">
        <v>2493</v>
      </c>
      <c r="AB269" t="s">
        <v>4037</v>
      </c>
      <c r="AC269" t="s">
        <v>3986</v>
      </c>
      <c r="AD269" t="s">
        <v>3986</v>
      </c>
    </row>
    <row r="270" spans="1:30" x14ac:dyDescent="0.25">
      <c r="A270" t="s">
        <v>3997</v>
      </c>
      <c r="B270">
        <v>17</v>
      </c>
      <c r="C270" t="s">
        <v>3310</v>
      </c>
      <c r="D270" t="b">
        <v>0</v>
      </c>
      <c r="E270" t="b">
        <v>1</v>
      </c>
      <c r="F270" t="s">
        <v>3373</v>
      </c>
      <c r="G270" t="s">
        <v>3986</v>
      </c>
      <c r="H270" t="s">
        <v>3986</v>
      </c>
      <c r="I270" t="s">
        <v>3359</v>
      </c>
      <c r="J270" t="s">
        <v>3986</v>
      </c>
      <c r="K270" t="s">
        <v>3391</v>
      </c>
      <c r="L270" t="s">
        <v>3392</v>
      </c>
      <c r="M270" t="s">
        <v>9</v>
      </c>
      <c r="N270">
        <v>7</v>
      </c>
      <c r="O270" t="b">
        <v>0</v>
      </c>
      <c r="P270" t="b">
        <v>1</v>
      </c>
      <c r="Q270" t="b">
        <v>0</v>
      </c>
      <c r="R270" t="b">
        <v>0</v>
      </c>
      <c r="T270" t="s">
        <v>3677</v>
      </c>
      <c r="U270">
        <v>155</v>
      </c>
      <c r="V270" t="s">
        <v>3986</v>
      </c>
      <c r="W270">
        <v>3</v>
      </c>
      <c r="X270" t="s">
        <v>3986</v>
      </c>
      <c r="Y270" t="s">
        <v>3735</v>
      </c>
      <c r="Z270">
        <v>0</v>
      </c>
      <c r="AA270" t="s">
        <v>2493</v>
      </c>
      <c r="AB270" t="s">
        <v>4037</v>
      </c>
      <c r="AC270" t="s">
        <v>3986</v>
      </c>
      <c r="AD270" t="s">
        <v>3986</v>
      </c>
    </row>
    <row r="271" spans="1:30" x14ac:dyDescent="0.25">
      <c r="A271" t="s">
        <v>3998</v>
      </c>
      <c r="B271">
        <v>18</v>
      </c>
      <c r="C271" t="s">
        <v>3310</v>
      </c>
      <c r="D271" t="b">
        <v>0</v>
      </c>
      <c r="E271" t="b">
        <v>1</v>
      </c>
      <c r="F271" t="s">
        <v>3373</v>
      </c>
      <c r="G271" t="s">
        <v>3986</v>
      </c>
      <c r="H271" t="s">
        <v>3986</v>
      </c>
      <c r="I271" t="s">
        <v>3359</v>
      </c>
      <c r="J271" t="s">
        <v>3986</v>
      </c>
      <c r="K271" t="s">
        <v>3391</v>
      </c>
      <c r="L271" t="s">
        <v>3392</v>
      </c>
      <c r="M271" t="s">
        <v>9</v>
      </c>
      <c r="N271">
        <v>7</v>
      </c>
      <c r="O271" t="b">
        <v>0</v>
      </c>
      <c r="P271" t="b">
        <v>1</v>
      </c>
      <c r="Q271" t="b">
        <v>0</v>
      </c>
      <c r="R271" t="b">
        <v>0</v>
      </c>
      <c r="T271" t="s">
        <v>3677</v>
      </c>
      <c r="U271">
        <v>156</v>
      </c>
      <c r="V271" t="s">
        <v>3986</v>
      </c>
      <c r="W271">
        <v>3</v>
      </c>
      <c r="X271" t="s">
        <v>3986</v>
      </c>
      <c r="Y271" t="s">
        <v>3736</v>
      </c>
      <c r="Z271">
        <v>0</v>
      </c>
      <c r="AA271" t="s">
        <v>2493</v>
      </c>
      <c r="AB271" t="s">
        <v>4037</v>
      </c>
      <c r="AC271" t="s">
        <v>3986</v>
      </c>
      <c r="AD271" t="s">
        <v>3986</v>
      </c>
    </row>
    <row r="272" spans="1:30" x14ac:dyDescent="0.25">
      <c r="A272" t="s">
        <v>3999</v>
      </c>
      <c r="B272">
        <v>19</v>
      </c>
      <c r="C272" t="s">
        <v>3310</v>
      </c>
      <c r="D272" t="b">
        <v>0</v>
      </c>
      <c r="E272" t="b">
        <v>1</v>
      </c>
      <c r="F272" t="s">
        <v>3373</v>
      </c>
      <c r="G272" t="s">
        <v>3986</v>
      </c>
      <c r="H272" t="s">
        <v>3986</v>
      </c>
      <c r="I272" t="s">
        <v>3359</v>
      </c>
      <c r="J272" t="s">
        <v>3986</v>
      </c>
      <c r="K272" t="s">
        <v>3391</v>
      </c>
      <c r="L272" t="s">
        <v>3392</v>
      </c>
      <c r="M272" t="s">
        <v>9</v>
      </c>
      <c r="N272">
        <v>7</v>
      </c>
      <c r="O272" t="b">
        <v>0</v>
      </c>
      <c r="P272" t="b">
        <v>1</v>
      </c>
      <c r="Q272" t="b">
        <v>0</v>
      </c>
      <c r="R272" t="b">
        <v>0</v>
      </c>
      <c r="T272" t="s">
        <v>3677</v>
      </c>
      <c r="U272">
        <v>157</v>
      </c>
      <c r="V272" t="s">
        <v>3986</v>
      </c>
      <c r="W272">
        <v>3</v>
      </c>
      <c r="X272" t="s">
        <v>3986</v>
      </c>
      <c r="Y272" t="s">
        <v>3737</v>
      </c>
      <c r="Z272">
        <v>0</v>
      </c>
      <c r="AA272" t="s">
        <v>2493</v>
      </c>
      <c r="AB272" t="s">
        <v>4037</v>
      </c>
      <c r="AC272" t="s">
        <v>3986</v>
      </c>
      <c r="AD272" t="s">
        <v>3986</v>
      </c>
    </row>
    <row r="273" spans="1:30" x14ac:dyDescent="0.25">
      <c r="A273" t="s">
        <v>4000</v>
      </c>
      <c r="B273">
        <v>20</v>
      </c>
      <c r="C273" t="s">
        <v>3310</v>
      </c>
      <c r="D273" t="b">
        <v>0</v>
      </c>
      <c r="E273" t="b">
        <v>1</v>
      </c>
      <c r="F273" t="s">
        <v>3373</v>
      </c>
      <c r="G273" t="s">
        <v>3986</v>
      </c>
      <c r="H273" t="s">
        <v>3986</v>
      </c>
      <c r="I273" t="s">
        <v>3359</v>
      </c>
      <c r="J273" t="s">
        <v>3986</v>
      </c>
      <c r="K273" t="s">
        <v>3391</v>
      </c>
      <c r="L273" t="s">
        <v>3392</v>
      </c>
      <c r="M273" t="s">
        <v>9</v>
      </c>
      <c r="N273">
        <v>7</v>
      </c>
      <c r="O273" t="b">
        <v>0</v>
      </c>
      <c r="P273" t="b">
        <v>1</v>
      </c>
      <c r="Q273" t="b">
        <v>0</v>
      </c>
      <c r="R273" t="b">
        <v>0</v>
      </c>
      <c r="T273" t="s">
        <v>3677</v>
      </c>
      <c r="U273">
        <v>158</v>
      </c>
      <c r="V273" t="s">
        <v>3986</v>
      </c>
      <c r="W273">
        <v>3</v>
      </c>
      <c r="X273" t="s">
        <v>3986</v>
      </c>
      <c r="Y273" t="s">
        <v>3738</v>
      </c>
      <c r="Z273">
        <v>0</v>
      </c>
      <c r="AA273" t="s">
        <v>2493</v>
      </c>
      <c r="AB273" t="s">
        <v>4037</v>
      </c>
      <c r="AC273" t="s">
        <v>3986</v>
      </c>
      <c r="AD273" t="s">
        <v>3986</v>
      </c>
    </row>
    <row r="274" spans="1:30" x14ac:dyDescent="0.25">
      <c r="A274" t="s">
        <v>4001</v>
      </c>
      <c r="B274">
        <v>21</v>
      </c>
      <c r="C274" t="s">
        <v>3310</v>
      </c>
      <c r="D274" t="b">
        <v>0</v>
      </c>
      <c r="E274" t="b">
        <v>1</v>
      </c>
      <c r="F274" t="s">
        <v>3373</v>
      </c>
      <c r="G274" t="s">
        <v>3986</v>
      </c>
      <c r="H274" t="s">
        <v>3986</v>
      </c>
      <c r="I274" t="s">
        <v>3359</v>
      </c>
      <c r="J274" t="s">
        <v>3986</v>
      </c>
      <c r="K274" t="s">
        <v>3391</v>
      </c>
      <c r="L274" t="s">
        <v>3392</v>
      </c>
      <c r="M274" t="s">
        <v>9</v>
      </c>
      <c r="N274">
        <v>7</v>
      </c>
      <c r="O274" t="b">
        <v>0</v>
      </c>
      <c r="P274" t="b">
        <v>1</v>
      </c>
      <c r="Q274" t="b">
        <v>0</v>
      </c>
      <c r="R274" t="b">
        <v>0</v>
      </c>
      <c r="T274" t="s">
        <v>3677</v>
      </c>
      <c r="U274">
        <v>159</v>
      </c>
      <c r="V274" t="s">
        <v>3986</v>
      </c>
      <c r="W274">
        <v>3</v>
      </c>
      <c r="X274" t="s">
        <v>3986</v>
      </c>
      <c r="Y274" t="s">
        <v>3739</v>
      </c>
      <c r="Z274">
        <v>0</v>
      </c>
      <c r="AA274" t="s">
        <v>2493</v>
      </c>
      <c r="AB274" t="s">
        <v>4037</v>
      </c>
      <c r="AC274" t="s">
        <v>3986</v>
      </c>
      <c r="AD274" t="s">
        <v>3986</v>
      </c>
    </row>
    <row r="275" spans="1:30" x14ac:dyDescent="0.25">
      <c r="A275" t="s">
        <v>4002</v>
      </c>
      <c r="B275">
        <v>22</v>
      </c>
      <c r="C275" t="s">
        <v>3310</v>
      </c>
      <c r="D275" t="b">
        <v>0</v>
      </c>
      <c r="E275" t="b">
        <v>1</v>
      </c>
      <c r="F275" t="s">
        <v>3373</v>
      </c>
      <c r="G275" t="s">
        <v>3986</v>
      </c>
      <c r="H275" t="s">
        <v>3986</v>
      </c>
      <c r="I275" t="s">
        <v>3359</v>
      </c>
      <c r="J275" t="s">
        <v>3986</v>
      </c>
      <c r="K275" t="s">
        <v>3391</v>
      </c>
      <c r="L275" t="s">
        <v>3392</v>
      </c>
      <c r="M275" t="s">
        <v>9</v>
      </c>
      <c r="N275">
        <v>7</v>
      </c>
      <c r="O275" t="b">
        <v>0</v>
      </c>
      <c r="P275" t="b">
        <v>1</v>
      </c>
      <c r="Q275" t="b">
        <v>0</v>
      </c>
      <c r="R275" t="b">
        <v>0</v>
      </c>
      <c r="T275" t="s">
        <v>3677</v>
      </c>
      <c r="U275">
        <v>160</v>
      </c>
      <c r="V275" t="s">
        <v>3986</v>
      </c>
      <c r="W275">
        <v>3</v>
      </c>
      <c r="X275" t="s">
        <v>3986</v>
      </c>
      <c r="Y275" t="s">
        <v>3740</v>
      </c>
      <c r="Z275">
        <v>0</v>
      </c>
      <c r="AA275" t="s">
        <v>2493</v>
      </c>
      <c r="AB275" t="s">
        <v>4037</v>
      </c>
      <c r="AC275" t="s">
        <v>3986</v>
      </c>
      <c r="AD275" t="s">
        <v>3986</v>
      </c>
    </row>
    <row r="276" spans="1:30" x14ac:dyDescent="0.25">
      <c r="A276" t="s">
        <v>4003</v>
      </c>
      <c r="B276">
        <v>23</v>
      </c>
      <c r="C276" t="s">
        <v>3310</v>
      </c>
      <c r="D276" t="b">
        <v>0</v>
      </c>
      <c r="E276" t="b">
        <v>1</v>
      </c>
      <c r="F276" t="s">
        <v>3373</v>
      </c>
      <c r="G276" t="s">
        <v>3986</v>
      </c>
      <c r="H276" t="s">
        <v>3986</v>
      </c>
      <c r="I276" t="s">
        <v>3359</v>
      </c>
      <c r="J276" t="s">
        <v>3986</v>
      </c>
      <c r="K276" t="s">
        <v>3391</v>
      </c>
      <c r="L276" t="s">
        <v>3392</v>
      </c>
      <c r="M276" t="s">
        <v>9</v>
      </c>
      <c r="N276">
        <v>7</v>
      </c>
      <c r="O276" t="b">
        <v>0</v>
      </c>
      <c r="P276" t="b">
        <v>1</v>
      </c>
      <c r="Q276" t="b">
        <v>0</v>
      </c>
      <c r="R276" t="b">
        <v>0</v>
      </c>
      <c r="T276" t="s">
        <v>3677</v>
      </c>
      <c r="U276">
        <v>161</v>
      </c>
      <c r="V276" t="s">
        <v>3986</v>
      </c>
      <c r="W276">
        <v>3</v>
      </c>
      <c r="X276" t="s">
        <v>3986</v>
      </c>
      <c r="Y276" t="s">
        <v>3741</v>
      </c>
      <c r="Z276">
        <v>0</v>
      </c>
      <c r="AA276" t="s">
        <v>2493</v>
      </c>
      <c r="AB276" t="s">
        <v>4037</v>
      </c>
      <c r="AC276" t="s">
        <v>3986</v>
      </c>
      <c r="AD276" t="s">
        <v>3986</v>
      </c>
    </row>
    <row r="277" spans="1:30" x14ac:dyDescent="0.25">
      <c r="A277" t="s">
        <v>4004</v>
      </c>
      <c r="B277">
        <v>24</v>
      </c>
      <c r="C277" t="s">
        <v>3310</v>
      </c>
      <c r="D277" t="b">
        <v>0</v>
      </c>
      <c r="E277" t="b">
        <v>1</v>
      </c>
      <c r="F277" t="s">
        <v>3373</v>
      </c>
      <c r="G277" t="s">
        <v>3986</v>
      </c>
      <c r="H277" t="s">
        <v>3986</v>
      </c>
      <c r="I277" t="s">
        <v>3359</v>
      </c>
      <c r="J277" t="s">
        <v>3986</v>
      </c>
      <c r="K277" t="s">
        <v>3391</v>
      </c>
      <c r="L277" t="s">
        <v>3392</v>
      </c>
      <c r="M277" t="s">
        <v>9</v>
      </c>
      <c r="N277">
        <v>7</v>
      </c>
      <c r="O277" t="b">
        <v>0</v>
      </c>
      <c r="P277" t="b">
        <v>1</v>
      </c>
      <c r="Q277" t="b">
        <v>0</v>
      </c>
      <c r="R277" t="b">
        <v>0</v>
      </c>
      <c r="T277" t="s">
        <v>3677</v>
      </c>
      <c r="U277">
        <v>164</v>
      </c>
      <c r="V277" t="s">
        <v>3986</v>
      </c>
      <c r="W277">
        <v>3</v>
      </c>
      <c r="X277" t="s">
        <v>3986</v>
      </c>
      <c r="Y277" t="s">
        <v>3699</v>
      </c>
      <c r="Z277">
        <v>0</v>
      </c>
      <c r="AA277" t="s">
        <v>2493</v>
      </c>
      <c r="AB277" t="s">
        <v>4037</v>
      </c>
      <c r="AC277" t="s">
        <v>3986</v>
      </c>
      <c r="AD277" t="s">
        <v>3986</v>
      </c>
    </row>
    <row r="278" spans="1:30" x14ac:dyDescent="0.25">
      <c r="A278" t="s">
        <v>4005</v>
      </c>
      <c r="B278">
        <v>25</v>
      </c>
      <c r="C278" t="s">
        <v>3310</v>
      </c>
      <c r="D278" t="b">
        <v>0</v>
      </c>
      <c r="E278" t="b">
        <v>1</v>
      </c>
      <c r="F278" t="s">
        <v>3373</v>
      </c>
      <c r="G278" t="s">
        <v>3986</v>
      </c>
      <c r="H278" t="s">
        <v>3986</v>
      </c>
      <c r="I278" t="s">
        <v>3359</v>
      </c>
      <c r="J278" t="s">
        <v>3986</v>
      </c>
      <c r="K278" t="s">
        <v>3391</v>
      </c>
      <c r="L278" t="s">
        <v>3392</v>
      </c>
      <c r="M278" t="s">
        <v>9</v>
      </c>
      <c r="N278">
        <v>7</v>
      </c>
      <c r="O278" t="b">
        <v>0</v>
      </c>
      <c r="P278" t="b">
        <v>1</v>
      </c>
      <c r="Q278" t="b">
        <v>0</v>
      </c>
      <c r="R278" t="b">
        <v>0</v>
      </c>
      <c r="T278" t="s">
        <v>3677</v>
      </c>
      <c r="U278">
        <v>165</v>
      </c>
      <c r="V278" t="s">
        <v>3986</v>
      </c>
      <c r="W278">
        <v>3</v>
      </c>
      <c r="X278" t="s">
        <v>3986</v>
      </c>
      <c r="Y278" t="s">
        <v>3700</v>
      </c>
      <c r="Z278">
        <v>0</v>
      </c>
      <c r="AA278" t="s">
        <v>2493</v>
      </c>
      <c r="AB278" t="s">
        <v>4037</v>
      </c>
      <c r="AC278" t="s">
        <v>3986</v>
      </c>
      <c r="AD278" t="s">
        <v>3986</v>
      </c>
    </row>
    <row r="279" spans="1:30" x14ac:dyDescent="0.25">
      <c r="A279" t="s">
        <v>4006</v>
      </c>
      <c r="B279">
        <v>26</v>
      </c>
      <c r="C279" t="s">
        <v>3310</v>
      </c>
      <c r="D279" t="b">
        <v>0</v>
      </c>
      <c r="E279" t="b">
        <v>1</v>
      </c>
      <c r="F279" t="s">
        <v>3373</v>
      </c>
      <c r="G279" t="s">
        <v>3986</v>
      </c>
      <c r="H279" t="s">
        <v>3986</v>
      </c>
      <c r="I279" t="s">
        <v>3359</v>
      </c>
      <c r="J279" t="s">
        <v>3986</v>
      </c>
      <c r="K279" t="s">
        <v>3391</v>
      </c>
      <c r="L279" t="s">
        <v>3392</v>
      </c>
      <c r="M279" t="s">
        <v>9</v>
      </c>
      <c r="N279">
        <v>7</v>
      </c>
      <c r="O279" t="b">
        <v>0</v>
      </c>
      <c r="P279" t="b">
        <v>1</v>
      </c>
      <c r="Q279" t="b">
        <v>0</v>
      </c>
      <c r="R279" t="b">
        <v>0</v>
      </c>
      <c r="T279" t="s">
        <v>3677</v>
      </c>
      <c r="U279">
        <v>166</v>
      </c>
      <c r="V279" t="s">
        <v>3986</v>
      </c>
      <c r="W279">
        <v>3</v>
      </c>
      <c r="X279" t="s">
        <v>3986</v>
      </c>
      <c r="Y279" t="s">
        <v>3701</v>
      </c>
      <c r="Z279">
        <v>0</v>
      </c>
      <c r="AA279" t="s">
        <v>2493</v>
      </c>
      <c r="AB279" t="s">
        <v>4037</v>
      </c>
      <c r="AC279" t="s">
        <v>3986</v>
      </c>
      <c r="AD279" t="s">
        <v>3986</v>
      </c>
    </row>
    <row r="280" spans="1:30" x14ac:dyDescent="0.25">
      <c r="A280" t="s">
        <v>4007</v>
      </c>
      <c r="B280">
        <v>27</v>
      </c>
      <c r="C280" t="s">
        <v>3310</v>
      </c>
      <c r="D280" t="b">
        <v>0</v>
      </c>
      <c r="E280" t="b">
        <v>1</v>
      </c>
      <c r="F280" t="s">
        <v>3373</v>
      </c>
      <c r="G280" t="s">
        <v>3986</v>
      </c>
      <c r="H280" t="s">
        <v>3986</v>
      </c>
      <c r="I280" t="s">
        <v>3359</v>
      </c>
      <c r="J280" t="s">
        <v>3986</v>
      </c>
      <c r="K280" t="s">
        <v>3391</v>
      </c>
      <c r="L280" t="s">
        <v>3392</v>
      </c>
      <c r="M280" t="s">
        <v>9</v>
      </c>
      <c r="N280">
        <v>7</v>
      </c>
      <c r="O280" t="b">
        <v>0</v>
      </c>
      <c r="P280" t="b">
        <v>1</v>
      </c>
      <c r="Q280" t="b">
        <v>0</v>
      </c>
      <c r="R280" t="b">
        <v>0</v>
      </c>
      <c r="T280" t="s">
        <v>3677</v>
      </c>
      <c r="U280">
        <v>167</v>
      </c>
      <c r="V280" t="s">
        <v>3986</v>
      </c>
      <c r="W280">
        <v>3</v>
      </c>
      <c r="X280" t="s">
        <v>3986</v>
      </c>
      <c r="Y280" t="s">
        <v>3702</v>
      </c>
      <c r="Z280">
        <v>0</v>
      </c>
      <c r="AA280" t="s">
        <v>2493</v>
      </c>
      <c r="AB280" t="s">
        <v>4037</v>
      </c>
      <c r="AC280" t="s">
        <v>3986</v>
      </c>
      <c r="AD280" t="s">
        <v>3986</v>
      </c>
    </row>
    <row r="281" spans="1:30" x14ac:dyDescent="0.25">
      <c r="A281" t="s">
        <v>4008</v>
      </c>
      <c r="B281">
        <v>28</v>
      </c>
      <c r="C281" t="s">
        <v>3310</v>
      </c>
      <c r="D281" t="b">
        <v>0</v>
      </c>
      <c r="E281" t="b">
        <v>1</v>
      </c>
      <c r="F281" t="s">
        <v>3373</v>
      </c>
      <c r="G281" t="s">
        <v>3986</v>
      </c>
      <c r="H281" t="s">
        <v>3986</v>
      </c>
      <c r="I281" t="s">
        <v>3359</v>
      </c>
      <c r="J281" t="s">
        <v>3986</v>
      </c>
      <c r="K281" t="s">
        <v>3391</v>
      </c>
      <c r="L281" t="s">
        <v>3392</v>
      </c>
      <c r="M281" t="s">
        <v>9</v>
      </c>
      <c r="N281">
        <v>7</v>
      </c>
      <c r="O281" t="b">
        <v>0</v>
      </c>
      <c r="P281" t="b">
        <v>1</v>
      </c>
      <c r="Q281" t="b">
        <v>0</v>
      </c>
      <c r="R281" t="b">
        <v>0</v>
      </c>
      <c r="T281" t="s">
        <v>3677</v>
      </c>
      <c r="U281">
        <v>168</v>
      </c>
      <c r="V281" t="s">
        <v>3986</v>
      </c>
      <c r="W281">
        <v>3</v>
      </c>
      <c r="X281" t="s">
        <v>3986</v>
      </c>
      <c r="Y281" t="s">
        <v>3703</v>
      </c>
      <c r="Z281">
        <v>0</v>
      </c>
      <c r="AA281" t="s">
        <v>2493</v>
      </c>
      <c r="AB281" t="s">
        <v>4037</v>
      </c>
      <c r="AC281" t="s">
        <v>3986</v>
      </c>
      <c r="AD281" t="s">
        <v>3986</v>
      </c>
    </row>
    <row r="282" spans="1:30" x14ac:dyDescent="0.25">
      <c r="A282" t="s">
        <v>4009</v>
      </c>
      <c r="B282">
        <v>29</v>
      </c>
      <c r="C282" t="s">
        <v>3310</v>
      </c>
      <c r="D282" t="b">
        <v>0</v>
      </c>
      <c r="E282" t="b">
        <v>1</v>
      </c>
      <c r="F282" t="s">
        <v>3373</v>
      </c>
      <c r="G282" t="s">
        <v>3986</v>
      </c>
      <c r="H282" t="s">
        <v>3986</v>
      </c>
      <c r="I282" t="s">
        <v>3359</v>
      </c>
      <c r="J282" t="s">
        <v>3986</v>
      </c>
      <c r="K282" t="s">
        <v>3391</v>
      </c>
      <c r="L282" t="s">
        <v>3392</v>
      </c>
      <c r="M282" t="s">
        <v>9</v>
      </c>
      <c r="N282">
        <v>7</v>
      </c>
      <c r="O282" t="b">
        <v>0</v>
      </c>
      <c r="P282" t="b">
        <v>1</v>
      </c>
      <c r="Q282" t="b">
        <v>0</v>
      </c>
      <c r="R282" t="b">
        <v>0</v>
      </c>
      <c r="T282" t="s">
        <v>3677</v>
      </c>
      <c r="U282">
        <v>169</v>
      </c>
      <c r="V282" t="s">
        <v>3986</v>
      </c>
      <c r="W282">
        <v>3</v>
      </c>
      <c r="X282" t="s">
        <v>3986</v>
      </c>
      <c r="Y282" t="s">
        <v>3704</v>
      </c>
      <c r="Z282">
        <v>0</v>
      </c>
      <c r="AA282" t="s">
        <v>2493</v>
      </c>
      <c r="AB282" t="s">
        <v>4037</v>
      </c>
      <c r="AC282" t="s">
        <v>3986</v>
      </c>
      <c r="AD282" t="s">
        <v>3986</v>
      </c>
    </row>
    <row r="283" spans="1:30" x14ac:dyDescent="0.25">
      <c r="A283" t="s">
        <v>4010</v>
      </c>
      <c r="B283">
        <v>30</v>
      </c>
      <c r="C283" t="s">
        <v>3310</v>
      </c>
      <c r="D283" t="b">
        <v>0</v>
      </c>
      <c r="E283" t="b">
        <v>1</v>
      </c>
      <c r="F283" t="s">
        <v>3373</v>
      </c>
      <c r="G283" t="s">
        <v>3986</v>
      </c>
      <c r="H283" t="s">
        <v>3986</v>
      </c>
      <c r="I283" t="s">
        <v>3359</v>
      </c>
      <c r="J283" t="s">
        <v>3986</v>
      </c>
      <c r="K283" t="s">
        <v>3391</v>
      </c>
      <c r="L283" t="s">
        <v>3392</v>
      </c>
      <c r="M283" t="s">
        <v>9</v>
      </c>
      <c r="N283">
        <v>7</v>
      </c>
      <c r="O283" t="b">
        <v>0</v>
      </c>
      <c r="P283" t="b">
        <v>1</v>
      </c>
      <c r="Q283" t="b">
        <v>0</v>
      </c>
      <c r="R283" t="b">
        <v>0</v>
      </c>
      <c r="T283" t="s">
        <v>3677</v>
      </c>
      <c r="U283">
        <v>170</v>
      </c>
      <c r="V283" t="s">
        <v>3986</v>
      </c>
      <c r="W283">
        <v>3</v>
      </c>
      <c r="X283" t="s">
        <v>3986</v>
      </c>
      <c r="Y283" t="s">
        <v>3705</v>
      </c>
      <c r="Z283">
        <v>0</v>
      </c>
      <c r="AA283" t="s">
        <v>2493</v>
      </c>
      <c r="AB283" t="s">
        <v>4037</v>
      </c>
      <c r="AC283" t="s">
        <v>3986</v>
      </c>
      <c r="AD283" t="s">
        <v>3986</v>
      </c>
    </row>
    <row r="284" spans="1:30" x14ac:dyDescent="0.25">
      <c r="A284" t="s">
        <v>4011</v>
      </c>
      <c r="B284">
        <v>31</v>
      </c>
      <c r="C284" t="s">
        <v>3310</v>
      </c>
      <c r="D284" t="b">
        <v>0</v>
      </c>
      <c r="E284" t="b">
        <v>1</v>
      </c>
      <c r="F284" t="s">
        <v>3373</v>
      </c>
      <c r="G284" t="s">
        <v>3986</v>
      </c>
      <c r="H284" t="s">
        <v>3986</v>
      </c>
      <c r="I284" t="s">
        <v>3359</v>
      </c>
      <c r="J284" t="s">
        <v>3986</v>
      </c>
      <c r="K284" t="s">
        <v>3391</v>
      </c>
      <c r="L284" t="s">
        <v>3392</v>
      </c>
      <c r="M284" t="s">
        <v>9</v>
      </c>
      <c r="N284">
        <v>7</v>
      </c>
      <c r="O284" t="b">
        <v>0</v>
      </c>
      <c r="P284" t="b">
        <v>1</v>
      </c>
      <c r="Q284" t="b">
        <v>0</v>
      </c>
      <c r="R284" t="b">
        <v>0</v>
      </c>
      <c r="T284" t="s">
        <v>3677</v>
      </c>
      <c r="U284">
        <v>171</v>
      </c>
      <c r="V284" t="s">
        <v>3986</v>
      </c>
      <c r="W284">
        <v>3</v>
      </c>
      <c r="X284" t="s">
        <v>3986</v>
      </c>
      <c r="Y284" t="s">
        <v>3706</v>
      </c>
      <c r="Z284">
        <v>0</v>
      </c>
      <c r="AA284" t="s">
        <v>2493</v>
      </c>
      <c r="AB284" t="s">
        <v>4037</v>
      </c>
      <c r="AC284" t="s">
        <v>3986</v>
      </c>
      <c r="AD284" t="s">
        <v>3986</v>
      </c>
    </row>
    <row r="285" spans="1:30" x14ac:dyDescent="0.25">
      <c r="A285" t="s">
        <v>4012</v>
      </c>
      <c r="B285">
        <v>32</v>
      </c>
      <c r="C285" t="s">
        <v>3310</v>
      </c>
      <c r="D285" t="b">
        <v>0</v>
      </c>
      <c r="E285" t="b">
        <v>1</v>
      </c>
      <c r="F285" t="s">
        <v>3373</v>
      </c>
      <c r="G285" t="s">
        <v>3986</v>
      </c>
      <c r="H285" t="s">
        <v>3986</v>
      </c>
      <c r="I285" t="s">
        <v>3359</v>
      </c>
      <c r="J285" t="s">
        <v>3986</v>
      </c>
      <c r="K285" t="s">
        <v>3391</v>
      </c>
      <c r="L285" t="s">
        <v>3392</v>
      </c>
      <c r="M285" t="s">
        <v>9</v>
      </c>
      <c r="N285">
        <v>7</v>
      </c>
      <c r="O285" t="b">
        <v>0</v>
      </c>
      <c r="P285" t="b">
        <v>1</v>
      </c>
      <c r="Q285" t="b">
        <v>0</v>
      </c>
      <c r="R285" t="b">
        <v>0</v>
      </c>
      <c r="T285" t="s">
        <v>3677</v>
      </c>
      <c r="U285">
        <v>172</v>
      </c>
      <c r="V285" t="s">
        <v>3986</v>
      </c>
      <c r="W285">
        <v>3</v>
      </c>
      <c r="X285" t="s">
        <v>3986</v>
      </c>
      <c r="Y285" t="s">
        <v>3707</v>
      </c>
      <c r="Z285">
        <v>0</v>
      </c>
      <c r="AA285" t="s">
        <v>2493</v>
      </c>
      <c r="AB285" t="s">
        <v>4037</v>
      </c>
      <c r="AC285" t="s">
        <v>3986</v>
      </c>
      <c r="AD285" t="s">
        <v>3986</v>
      </c>
    </row>
    <row r="286" spans="1:30" x14ac:dyDescent="0.25">
      <c r="A286" t="s">
        <v>4013</v>
      </c>
      <c r="B286">
        <v>33</v>
      </c>
      <c r="C286" t="s">
        <v>3310</v>
      </c>
      <c r="D286" t="b">
        <v>0</v>
      </c>
      <c r="E286" t="b">
        <v>1</v>
      </c>
      <c r="F286" t="s">
        <v>3373</v>
      </c>
      <c r="G286" t="s">
        <v>3986</v>
      </c>
      <c r="H286" t="s">
        <v>3986</v>
      </c>
      <c r="I286" t="s">
        <v>3359</v>
      </c>
      <c r="J286" t="s">
        <v>3986</v>
      </c>
      <c r="K286" t="s">
        <v>3391</v>
      </c>
      <c r="L286" t="s">
        <v>3392</v>
      </c>
      <c r="M286" t="s">
        <v>9</v>
      </c>
      <c r="N286">
        <v>7</v>
      </c>
      <c r="O286" t="b">
        <v>0</v>
      </c>
      <c r="P286" t="b">
        <v>1</v>
      </c>
      <c r="Q286" t="b">
        <v>0</v>
      </c>
      <c r="R286" t="b">
        <v>0</v>
      </c>
      <c r="T286" t="s">
        <v>3677</v>
      </c>
      <c r="U286">
        <v>173</v>
      </c>
      <c r="V286" t="s">
        <v>3986</v>
      </c>
      <c r="W286">
        <v>3</v>
      </c>
      <c r="X286" t="s">
        <v>3986</v>
      </c>
      <c r="Y286" t="s">
        <v>3708</v>
      </c>
      <c r="Z286">
        <v>0</v>
      </c>
      <c r="AA286" t="s">
        <v>2493</v>
      </c>
      <c r="AB286" t="s">
        <v>4037</v>
      </c>
      <c r="AC286" t="s">
        <v>3986</v>
      </c>
      <c r="AD286" t="s">
        <v>3986</v>
      </c>
    </row>
    <row r="287" spans="1:30" x14ac:dyDescent="0.25">
      <c r="A287" t="s">
        <v>4014</v>
      </c>
      <c r="B287">
        <v>34</v>
      </c>
      <c r="C287" t="s">
        <v>3310</v>
      </c>
      <c r="D287" t="b">
        <v>0</v>
      </c>
      <c r="E287" t="b">
        <v>1</v>
      </c>
      <c r="F287" t="s">
        <v>3373</v>
      </c>
      <c r="G287" t="s">
        <v>3986</v>
      </c>
      <c r="H287" t="s">
        <v>3986</v>
      </c>
      <c r="I287" t="s">
        <v>3359</v>
      </c>
      <c r="J287" t="s">
        <v>3986</v>
      </c>
      <c r="K287" t="s">
        <v>3391</v>
      </c>
      <c r="L287" t="s">
        <v>3392</v>
      </c>
      <c r="M287" t="s">
        <v>9</v>
      </c>
      <c r="N287">
        <v>7</v>
      </c>
      <c r="O287" t="b">
        <v>0</v>
      </c>
      <c r="P287" t="b">
        <v>1</v>
      </c>
      <c r="Q287" t="b">
        <v>0</v>
      </c>
      <c r="R287" t="b">
        <v>0</v>
      </c>
      <c r="T287" t="s">
        <v>3677</v>
      </c>
      <c r="U287">
        <v>176</v>
      </c>
      <c r="V287" t="s">
        <v>3986</v>
      </c>
      <c r="W287">
        <v>3</v>
      </c>
      <c r="X287" t="s">
        <v>3986</v>
      </c>
      <c r="Y287" t="s">
        <v>3698</v>
      </c>
      <c r="Z287">
        <v>0</v>
      </c>
      <c r="AA287" t="s">
        <v>2493</v>
      </c>
      <c r="AB287" t="s">
        <v>4037</v>
      </c>
      <c r="AC287" t="s">
        <v>3986</v>
      </c>
      <c r="AD287" t="s">
        <v>3986</v>
      </c>
    </row>
    <row r="288" spans="1:30" x14ac:dyDescent="0.25">
      <c r="A288" t="s">
        <v>4015</v>
      </c>
      <c r="B288">
        <v>35</v>
      </c>
      <c r="C288" t="s">
        <v>3310</v>
      </c>
      <c r="D288" t="b">
        <v>0</v>
      </c>
      <c r="E288" t="b">
        <v>1</v>
      </c>
      <c r="F288" t="s">
        <v>3373</v>
      </c>
      <c r="G288" t="s">
        <v>3986</v>
      </c>
      <c r="H288" t="s">
        <v>3986</v>
      </c>
      <c r="I288" t="s">
        <v>3359</v>
      </c>
      <c r="J288" t="s">
        <v>3986</v>
      </c>
      <c r="K288" t="s">
        <v>3391</v>
      </c>
      <c r="L288" t="s">
        <v>3392</v>
      </c>
      <c r="M288" t="s">
        <v>9</v>
      </c>
      <c r="N288">
        <v>7</v>
      </c>
      <c r="O288" t="b">
        <v>0</v>
      </c>
      <c r="P288" t="b">
        <v>1</v>
      </c>
      <c r="Q288" t="b">
        <v>0</v>
      </c>
      <c r="R288" t="b">
        <v>0</v>
      </c>
      <c r="T288" t="s">
        <v>3677</v>
      </c>
      <c r="U288">
        <v>177</v>
      </c>
      <c r="V288" t="s">
        <v>3986</v>
      </c>
      <c r="W288">
        <v>3</v>
      </c>
      <c r="X288" t="s">
        <v>3986</v>
      </c>
      <c r="Y288" t="s">
        <v>3963</v>
      </c>
      <c r="Z288">
        <v>0</v>
      </c>
      <c r="AA288" t="s">
        <v>2493</v>
      </c>
      <c r="AB288" t="s">
        <v>4037</v>
      </c>
      <c r="AC288" t="s">
        <v>3986</v>
      </c>
      <c r="AD288" t="s">
        <v>3986</v>
      </c>
    </row>
    <row r="289" spans="1:30" x14ac:dyDescent="0.25">
      <c r="A289" t="s">
        <v>4016</v>
      </c>
      <c r="B289">
        <v>36</v>
      </c>
      <c r="C289" t="s">
        <v>3310</v>
      </c>
      <c r="D289" t="b">
        <v>0</v>
      </c>
      <c r="E289" t="b">
        <v>1</v>
      </c>
      <c r="F289" t="s">
        <v>3373</v>
      </c>
      <c r="G289" t="s">
        <v>3986</v>
      </c>
      <c r="H289" t="s">
        <v>3986</v>
      </c>
      <c r="I289" t="s">
        <v>3359</v>
      </c>
      <c r="J289" t="s">
        <v>3986</v>
      </c>
      <c r="K289" t="s">
        <v>3391</v>
      </c>
      <c r="L289" t="s">
        <v>3392</v>
      </c>
      <c r="M289" t="s">
        <v>9</v>
      </c>
      <c r="N289">
        <v>7</v>
      </c>
      <c r="O289" t="b">
        <v>0</v>
      </c>
      <c r="P289" t="b">
        <v>1</v>
      </c>
      <c r="Q289" t="b">
        <v>0</v>
      </c>
      <c r="R289" t="b">
        <v>0</v>
      </c>
      <c r="T289" t="s">
        <v>3677</v>
      </c>
      <c r="U289">
        <v>178</v>
      </c>
      <c r="V289" t="s">
        <v>3986</v>
      </c>
      <c r="W289">
        <v>3</v>
      </c>
      <c r="X289" t="s">
        <v>3986</v>
      </c>
      <c r="Y289" t="s">
        <v>3810</v>
      </c>
      <c r="Z289">
        <v>0</v>
      </c>
      <c r="AA289" t="s">
        <v>2493</v>
      </c>
      <c r="AB289" t="s">
        <v>4037</v>
      </c>
      <c r="AC289" t="s">
        <v>3986</v>
      </c>
      <c r="AD289" t="s">
        <v>3986</v>
      </c>
    </row>
    <row r="290" spans="1:30" x14ac:dyDescent="0.25">
      <c r="A290" t="s">
        <v>4017</v>
      </c>
      <c r="B290">
        <v>37</v>
      </c>
      <c r="C290" t="s">
        <v>3310</v>
      </c>
      <c r="D290" t="b">
        <v>0</v>
      </c>
      <c r="E290" t="b">
        <v>1</v>
      </c>
      <c r="F290" t="s">
        <v>3373</v>
      </c>
      <c r="G290" t="s">
        <v>3986</v>
      </c>
      <c r="H290" t="s">
        <v>3986</v>
      </c>
      <c r="I290" t="s">
        <v>3359</v>
      </c>
      <c r="J290" t="s">
        <v>3986</v>
      </c>
      <c r="K290" t="s">
        <v>3391</v>
      </c>
      <c r="L290" t="s">
        <v>3392</v>
      </c>
      <c r="M290" t="s">
        <v>9</v>
      </c>
      <c r="N290">
        <v>7</v>
      </c>
      <c r="O290" t="b">
        <v>0</v>
      </c>
      <c r="P290" t="b">
        <v>1</v>
      </c>
      <c r="Q290" t="b">
        <v>0</v>
      </c>
      <c r="R290" t="b">
        <v>0</v>
      </c>
      <c r="T290" t="s">
        <v>3677</v>
      </c>
      <c r="U290">
        <v>182</v>
      </c>
      <c r="V290" t="s">
        <v>3986</v>
      </c>
      <c r="W290">
        <v>3</v>
      </c>
      <c r="X290" t="s">
        <v>3986</v>
      </c>
      <c r="Y290" t="s">
        <v>3811</v>
      </c>
      <c r="Z290">
        <v>0</v>
      </c>
      <c r="AA290" t="s">
        <v>2493</v>
      </c>
      <c r="AB290" t="s">
        <v>4037</v>
      </c>
      <c r="AC290" t="s">
        <v>3986</v>
      </c>
      <c r="AD290" t="s">
        <v>3986</v>
      </c>
    </row>
    <row r="291" spans="1:30" x14ac:dyDescent="0.25">
      <c r="A291" t="s">
        <v>4018</v>
      </c>
      <c r="B291">
        <v>38</v>
      </c>
      <c r="C291" t="s">
        <v>3310</v>
      </c>
      <c r="D291" t="b">
        <v>0</v>
      </c>
      <c r="E291" t="b">
        <v>1</v>
      </c>
      <c r="F291" t="s">
        <v>3373</v>
      </c>
      <c r="G291" t="s">
        <v>3986</v>
      </c>
      <c r="H291" t="s">
        <v>3986</v>
      </c>
      <c r="I291" t="s">
        <v>3359</v>
      </c>
      <c r="J291" t="s">
        <v>3986</v>
      </c>
      <c r="K291" t="s">
        <v>3391</v>
      </c>
      <c r="L291" t="s">
        <v>3392</v>
      </c>
      <c r="M291" t="s">
        <v>9</v>
      </c>
      <c r="N291">
        <v>7</v>
      </c>
      <c r="O291" t="b">
        <v>0</v>
      </c>
      <c r="P291" t="b">
        <v>1</v>
      </c>
      <c r="Q291" t="b">
        <v>0</v>
      </c>
      <c r="R291" t="b">
        <v>0</v>
      </c>
      <c r="T291" t="s">
        <v>3677</v>
      </c>
      <c r="U291">
        <v>191</v>
      </c>
      <c r="V291" t="s">
        <v>3986</v>
      </c>
      <c r="W291">
        <v>3</v>
      </c>
      <c r="X291" t="s">
        <v>3986</v>
      </c>
      <c r="Y291" t="s">
        <v>3709</v>
      </c>
      <c r="Z291">
        <v>0</v>
      </c>
      <c r="AA291" t="s">
        <v>2493</v>
      </c>
      <c r="AB291" t="s">
        <v>4037</v>
      </c>
      <c r="AC291" t="s">
        <v>3986</v>
      </c>
      <c r="AD291" t="s">
        <v>3986</v>
      </c>
    </row>
    <row r="292" spans="1:30" x14ac:dyDescent="0.25">
      <c r="A292" t="s">
        <v>4019</v>
      </c>
      <c r="B292">
        <v>39</v>
      </c>
      <c r="C292" t="s">
        <v>3310</v>
      </c>
      <c r="D292" t="b">
        <v>0</v>
      </c>
      <c r="E292" t="b">
        <v>1</v>
      </c>
      <c r="F292" t="s">
        <v>3373</v>
      </c>
      <c r="G292" t="s">
        <v>3986</v>
      </c>
      <c r="H292" t="s">
        <v>3986</v>
      </c>
      <c r="I292" t="s">
        <v>3359</v>
      </c>
      <c r="J292" t="s">
        <v>3986</v>
      </c>
      <c r="K292" t="s">
        <v>3391</v>
      </c>
      <c r="L292" t="s">
        <v>3392</v>
      </c>
      <c r="M292" t="s">
        <v>9</v>
      </c>
      <c r="N292">
        <v>7</v>
      </c>
      <c r="O292" t="b">
        <v>0</v>
      </c>
      <c r="P292" t="b">
        <v>1</v>
      </c>
      <c r="Q292" t="b">
        <v>0</v>
      </c>
      <c r="R292" t="b">
        <v>0</v>
      </c>
      <c r="T292" t="s">
        <v>3677</v>
      </c>
      <c r="U292">
        <v>192</v>
      </c>
      <c r="V292" t="s">
        <v>3986</v>
      </c>
      <c r="W292">
        <v>3</v>
      </c>
      <c r="X292" t="s">
        <v>3986</v>
      </c>
      <c r="Y292" t="s">
        <v>3710</v>
      </c>
      <c r="Z292">
        <v>0</v>
      </c>
      <c r="AA292" t="s">
        <v>2493</v>
      </c>
      <c r="AB292" t="s">
        <v>4037</v>
      </c>
      <c r="AC292" t="s">
        <v>3986</v>
      </c>
      <c r="AD292" t="s">
        <v>3986</v>
      </c>
    </row>
    <row r="293" spans="1:30" x14ac:dyDescent="0.25">
      <c r="A293" t="s">
        <v>4020</v>
      </c>
      <c r="B293">
        <v>40</v>
      </c>
      <c r="C293" t="s">
        <v>3310</v>
      </c>
      <c r="D293" t="b">
        <v>0</v>
      </c>
      <c r="E293" t="b">
        <v>1</v>
      </c>
      <c r="F293" t="s">
        <v>3373</v>
      </c>
      <c r="G293" t="s">
        <v>3986</v>
      </c>
      <c r="H293" t="s">
        <v>3986</v>
      </c>
      <c r="I293" t="s">
        <v>3359</v>
      </c>
      <c r="J293" t="s">
        <v>3986</v>
      </c>
      <c r="K293" t="s">
        <v>3391</v>
      </c>
      <c r="L293" t="s">
        <v>3392</v>
      </c>
      <c r="M293" t="s">
        <v>9</v>
      </c>
      <c r="N293">
        <v>7</v>
      </c>
      <c r="O293" t="b">
        <v>0</v>
      </c>
      <c r="P293" t="b">
        <v>1</v>
      </c>
      <c r="Q293" t="b">
        <v>0</v>
      </c>
      <c r="R293" t="b">
        <v>0</v>
      </c>
      <c r="T293" t="s">
        <v>3677</v>
      </c>
      <c r="U293">
        <v>193</v>
      </c>
      <c r="V293" t="s">
        <v>3986</v>
      </c>
      <c r="W293">
        <v>3</v>
      </c>
      <c r="X293" t="s">
        <v>3986</v>
      </c>
      <c r="Y293" t="s">
        <v>3711</v>
      </c>
      <c r="Z293">
        <v>0</v>
      </c>
      <c r="AA293" t="s">
        <v>2493</v>
      </c>
      <c r="AB293" t="s">
        <v>4037</v>
      </c>
      <c r="AC293" t="s">
        <v>3986</v>
      </c>
      <c r="AD293" t="s">
        <v>3986</v>
      </c>
    </row>
    <row r="294" spans="1:30" x14ac:dyDescent="0.25">
      <c r="A294" t="s">
        <v>4021</v>
      </c>
      <c r="B294">
        <v>41</v>
      </c>
      <c r="C294" t="s">
        <v>3310</v>
      </c>
      <c r="D294" t="b">
        <v>0</v>
      </c>
      <c r="E294" t="b">
        <v>1</v>
      </c>
      <c r="F294" t="s">
        <v>3373</v>
      </c>
      <c r="G294" t="s">
        <v>3986</v>
      </c>
      <c r="H294" t="s">
        <v>3986</v>
      </c>
      <c r="I294" t="s">
        <v>3359</v>
      </c>
      <c r="J294" t="s">
        <v>3986</v>
      </c>
      <c r="K294" t="s">
        <v>3391</v>
      </c>
      <c r="L294" t="s">
        <v>3392</v>
      </c>
      <c r="M294" t="s">
        <v>9</v>
      </c>
      <c r="N294">
        <v>7</v>
      </c>
      <c r="O294" t="b">
        <v>0</v>
      </c>
      <c r="P294" t="b">
        <v>1</v>
      </c>
      <c r="Q294" t="b">
        <v>0</v>
      </c>
      <c r="R294" t="b">
        <v>0</v>
      </c>
      <c r="T294" t="s">
        <v>3677</v>
      </c>
      <c r="U294">
        <v>200</v>
      </c>
      <c r="V294" t="s">
        <v>3986</v>
      </c>
      <c r="W294">
        <v>3</v>
      </c>
      <c r="X294" t="s">
        <v>3986</v>
      </c>
      <c r="Y294" t="s">
        <v>3712</v>
      </c>
      <c r="Z294">
        <v>0</v>
      </c>
      <c r="AA294" t="s">
        <v>2493</v>
      </c>
      <c r="AB294" t="s">
        <v>4037</v>
      </c>
      <c r="AC294" t="s">
        <v>3986</v>
      </c>
      <c r="AD294" t="s">
        <v>3986</v>
      </c>
    </row>
    <row r="295" spans="1:30" x14ac:dyDescent="0.25">
      <c r="A295" t="s">
        <v>4022</v>
      </c>
      <c r="B295">
        <v>42</v>
      </c>
      <c r="C295" t="s">
        <v>3310</v>
      </c>
      <c r="D295" t="b">
        <v>0</v>
      </c>
      <c r="E295" t="b">
        <v>1</v>
      </c>
      <c r="F295" t="s">
        <v>3373</v>
      </c>
      <c r="G295" t="s">
        <v>3986</v>
      </c>
      <c r="H295" t="s">
        <v>3986</v>
      </c>
      <c r="I295" t="s">
        <v>3359</v>
      </c>
      <c r="J295" t="s">
        <v>3986</v>
      </c>
      <c r="K295" t="s">
        <v>3391</v>
      </c>
      <c r="L295" t="s">
        <v>3392</v>
      </c>
      <c r="M295" t="s">
        <v>9</v>
      </c>
      <c r="N295">
        <v>7</v>
      </c>
      <c r="O295" t="b">
        <v>0</v>
      </c>
      <c r="P295" t="b">
        <v>1</v>
      </c>
      <c r="Q295" t="b">
        <v>0</v>
      </c>
      <c r="R295" t="b">
        <v>0</v>
      </c>
      <c r="T295" t="s">
        <v>3677</v>
      </c>
      <c r="U295">
        <v>206</v>
      </c>
      <c r="V295" t="s">
        <v>3986</v>
      </c>
      <c r="W295">
        <v>3</v>
      </c>
      <c r="X295" t="s">
        <v>3986</v>
      </c>
      <c r="Y295" t="s">
        <v>3714</v>
      </c>
      <c r="Z295">
        <v>0</v>
      </c>
      <c r="AA295" t="s">
        <v>2493</v>
      </c>
      <c r="AB295" t="s">
        <v>4037</v>
      </c>
      <c r="AC295" t="s">
        <v>3986</v>
      </c>
      <c r="AD295" t="s">
        <v>3986</v>
      </c>
    </row>
    <row r="296" spans="1:30" x14ac:dyDescent="0.25">
      <c r="A296" t="s">
        <v>4023</v>
      </c>
      <c r="B296">
        <v>43</v>
      </c>
      <c r="C296" t="s">
        <v>3310</v>
      </c>
      <c r="D296" t="b">
        <v>0</v>
      </c>
      <c r="E296" t="b">
        <v>1</v>
      </c>
      <c r="F296" t="s">
        <v>3373</v>
      </c>
      <c r="G296" t="s">
        <v>3986</v>
      </c>
      <c r="H296" t="s">
        <v>3986</v>
      </c>
      <c r="I296" t="s">
        <v>3359</v>
      </c>
      <c r="J296" t="s">
        <v>3986</v>
      </c>
      <c r="K296" t="s">
        <v>3391</v>
      </c>
      <c r="L296" t="s">
        <v>3392</v>
      </c>
      <c r="M296" t="s">
        <v>9</v>
      </c>
      <c r="N296">
        <v>7</v>
      </c>
      <c r="O296" t="b">
        <v>0</v>
      </c>
      <c r="P296" t="b">
        <v>1</v>
      </c>
      <c r="Q296" t="b">
        <v>0</v>
      </c>
      <c r="R296" t="b">
        <v>0</v>
      </c>
      <c r="T296" t="s">
        <v>3677</v>
      </c>
      <c r="U296">
        <v>207</v>
      </c>
      <c r="V296" t="s">
        <v>3986</v>
      </c>
      <c r="W296">
        <v>3</v>
      </c>
      <c r="X296" t="s">
        <v>3986</v>
      </c>
      <c r="Y296" t="s">
        <v>3721</v>
      </c>
      <c r="Z296">
        <v>0</v>
      </c>
      <c r="AA296" t="s">
        <v>2493</v>
      </c>
      <c r="AB296" t="s">
        <v>4037</v>
      </c>
      <c r="AC296" t="s">
        <v>3986</v>
      </c>
      <c r="AD296" t="s">
        <v>3986</v>
      </c>
    </row>
    <row r="297" spans="1:30" x14ac:dyDescent="0.25">
      <c r="A297" t="s">
        <v>4024</v>
      </c>
      <c r="B297">
        <v>44</v>
      </c>
      <c r="C297" t="s">
        <v>3310</v>
      </c>
      <c r="D297" t="b">
        <v>0</v>
      </c>
      <c r="E297" t="b">
        <v>1</v>
      </c>
      <c r="F297" t="s">
        <v>3373</v>
      </c>
      <c r="G297" t="s">
        <v>3986</v>
      </c>
      <c r="H297" t="s">
        <v>3986</v>
      </c>
      <c r="I297" t="s">
        <v>3359</v>
      </c>
      <c r="J297" t="s">
        <v>3986</v>
      </c>
      <c r="K297" t="s">
        <v>3391</v>
      </c>
      <c r="L297" t="s">
        <v>3392</v>
      </c>
      <c r="M297" t="s">
        <v>9</v>
      </c>
      <c r="N297">
        <v>7</v>
      </c>
      <c r="O297" t="b">
        <v>0</v>
      </c>
      <c r="P297" t="b">
        <v>1</v>
      </c>
      <c r="Q297" t="b">
        <v>0</v>
      </c>
      <c r="R297" t="b">
        <v>0</v>
      </c>
      <c r="T297" t="s">
        <v>3677</v>
      </c>
      <c r="U297">
        <v>208</v>
      </c>
      <c r="V297" t="s">
        <v>3986</v>
      </c>
      <c r="W297">
        <v>3</v>
      </c>
      <c r="X297" t="s">
        <v>3986</v>
      </c>
      <c r="Y297" t="s">
        <v>3722</v>
      </c>
      <c r="Z297">
        <v>0</v>
      </c>
      <c r="AA297" t="s">
        <v>2493</v>
      </c>
      <c r="AB297" t="s">
        <v>4037</v>
      </c>
      <c r="AC297" t="s">
        <v>3986</v>
      </c>
      <c r="AD297" t="s">
        <v>3986</v>
      </c>
    </row>
    <row r="298" spans="1:30" x14ac:dyDescent="0.25">
      <c r="A298" t="s">
        <v>4025</v>
      </c>
      <c r="B298">
        <v>45</v>
      </c>
      <c r="C298" t="s">
        <v>3310</v>
      </c>
      <c r="D298" t="b">
        <v>0</v>
      </c>
      <c r="E298" t="b">
        <v>1</v>
      </c>
      <c r="F298" t="s">
        <v>3373</v>
      </c>
      <c r="G298" t="s">
        <v>3986</v>
      </c>
      <c r="H298" t="s">
        <v>3986</v>
      </c>
      <c r="I298" t="s">
        <v>3359</v>
      </c>
      <c r="J298" t="s">
        <v>3986</v>
      </c>
      <c r="K298" t="s">
        <v>3391</v>
      </c>
      <c r="L298" t="s">
        <v>3392</v>
      </c>
      <c r="M298" t="s">
        <v>9</v>
      </c>
      <c r="N298">
        <v>7</v>
      </c>
      <c r="O298" t="b">
        <v>0</v>
      </c>
      <c r="P298" t="b">
        <v>1</v>
      </c>
      <c r="Q298" t="b">
        <v>0</v>
      </c>
      <c r="R298" t="b">
        <v>0</v>
      </c>
      <c r="T298" t="s">
        <v>3677</v>
      </c>
      <c r="U298">
        <v>209</v>
      </c>
      <c r="V298" t="s">
        <v>3986</v>
      </c>
      <c r="W298">
        <v>3</v>
      </c>
      <c r="X298" t="s">
        <v>3986</v>
      </c>
      <c r="Y298" t="s">
        <v>3723</v>
      </c>
      <c r="Z298">
        <v>0</v>
      </c>
      <c r="AA298" t="s">
        <v>2493</v>
      </c>
      <c r="AB298" t="s">
        <v>4037</v>
      </c>
      <c r="AC298" t="s">
        <v>3986</v>
      </c>
      <c r="AD298" t="s">
        <v>3986</v>
      </c>
    </row>
    <row r="299" spans="1:30" x14ac:dyDescent="0.25">
      <c r="A299" t="s">
        <v>4026</v>
      </c>
      <c r="B299">
        <v>46</v>
      </c>
      <c r="C299" t="s">
        <v>3310</v>
      </c>
      <c r="D299" t="b">
        <v>0</v>
      </c>
      <c r="E299" t="b">
        <v>1</v>
      </c>
      <c r="F299" t="s">
        <v>3373</v>
      </c>
      <c r="G299" t="s">
        <v>3986</v>
      </c>
      <c r="H299" t="s">
        <v>3986</v>
      </c>
      <c r="I299" t="s">
        <v>3359</v>
      </c>
      <c r="J299" t="s">
        <v>3986</v>
      </c>
      <c r="K299" t="s">
        <v>3391</v>
      </c>
      <c r="L299" t="s">
        <v>3392</v>
      </c>
      <c r="M299" t="s">
        <v>9</v>
      </c>
      <c r="N299">
        <v>7</v>
      </c>
      <c r="O299" t="b">
        <v>0</v>
      </c>
      <c r="P299" t="b">
        <v>1</v>
      </c>
      <c r="Q299" t="b">
        <v>0</v>
      </c>
      <c r="R299" t="b">
        <v>0</v>
      </c>
      <c r="T299" t="s">
        <v>3677</v>
      </c>
      <c r="U299">
        <v>210</v>
      </c>
      <c r="V299" t="s">
        <v>3986</v>
      </c>
      <c r="W299">
        <v>3</v>
      </c>
      <c r="X299" t="s">
        <v>3986</v>
      </c>
      <c r="Y299" t="s">
        <v>3724</v>
      </c>
      <c r="Z299">
        <v>0</v>
      </c>
      <c r="AA299" t="s">
        <v>2493</v>
      </c>
      <c r="AB299" t="s">
        <v>4037</v>
      </c>
      <c r="AC299" t="s">
        <v>3986</v>
      </c>
      <c r="AD299" t="s">
        <v>3986</v>
      </c>
    </row>
    <row r="300" spans="1:30" x14ac:dyDescent="0.25">
      <c r="A300" t="s">
        <v>4027</v>
      </c>
      <c r="B300">
        <v>47</v>
      </c>
      <c r="C300" t="s">
        <v>3310</v>
      </c>
      <c r="D300" t="b">
        <v>0</v>
      </c>
      <c r="E300" t="b">
        <v>1</v>
      </c>
      <c r="F300" t="s">
        <v>3373</v>
      </c>
      <c r="G300" t="s">
        <v>3986</v>
      </c>
      <c r="H300" t="s">
        <v>3986</v>
      </c>
      <c r="I300" t="s">
        <v>3359</v>
      </c>
      <c r="J300" t="s">
        <v>3986</v>
      </c>
      <c r="K300" t="s">
        <v>3391</v>
      </c>
      <c r="L300" t="s">
        <v>3392</v>
      </c>
      <c r="M300" t="s">
        <v>9</v>
      </c>
      <c r="N300">
        <v>7</v>
      </c>
      <c r="O300" t="b">
        <v>0</v>
      </c>
      <c r="P300" t="b">
        <v>1</v>
      </c>
      <c r="Q300" t="b">
        <v>0</v>
      </c>
      <c r="R300" t="b">
        <v>0</v>
      </c>
      <c r="T300" t="s">
        <v>3677</v>
      </c>
      <c r="U300">
        <v>211</v>
      </c>
      <c r="V300" t="s">
        <v>3986</v>
      </c>
      <c r="W300">
        <v>3</v>
      </c>
      <c r="X300" t="s">
        <v>3986</v>
      </c>
      <c r="Y300" t="s">
        <v>3725</v>
      </c>
      <c r="Z300">
        <v>0</v>
      </c>
      <c r="AA300" t="s">
        <v>2493</v>
      </c>
      <c r="AB300" t="s">
        <v>4037</v>
      </c>
      <c r="AC300" t="s">
        <v>3986</v>
      </c>
      <c r="AD300" t="s">
        <v>3986</v>
      </c>
    </row>
    <row r="301" spans="1:30" x14ac:dyDescent="0.25">
      <c r="A301" t="s">
        <v>4028</v>
      </c>
      <c r="B301">
        <v>48</v>
      </c>
      <c r="C301" t="s">
        <v>3310</v>
      </c>
      <c r="D301" t="b">
        <v>0</v>
      </c>
      <c r="E301" t="b">
        <v>1</v>
      </c>
      <c r="F301" t="s">
        <v>3373</v>
      </c>
      <c r="G301" t="s">
        <v>3986</v>
      </c>
      <c r="H301" t="s">
        <v>3986</v>
      </c>
      <c r="I301" t="s">
        <v>3359</v>
      </c>
      <c r="J301" t="s">
        <v>3986</v>
      </c>
      <c r="K301" t="s">
        <v>3391</v>
      </c>
      <c r="L301" t="s">
        <v>3392</v>
      </c>
      <c r="M301" t="s">
        <v>9</v>
      </c>
      <c r="N301">
        <v>7</v>
      </c>
      <c r="O301" t="b">
        <v>0</v>
      </c>
      <c r="P301" t="b">
        <v>1</v>
      </c>
      <c r="Q301" t="b">
        <v>0</v>
      </c>
      <c r="R301" t="b">
        <v>0</v>
      </c>
      <c r="T301" t="s">
        <v>3677</v>
      </c>
      <c r="U301">
        <v>83</v>
      </c>
      <c r="V301" t="s">
        <v>3986</v>
      </c>
      <c r="W301">
        <v>4</v>
      </c>
      <c r="X301" t="s">
        <v>3986</v>
      </c>
      <c r="Y301" t="s">
        <v>3718</v>
      </c>
      <c r="Z301">
        <v>0</v>
      </c>
      <c r="AA301" t="s">
        <v>2493</v>
      </c>
      <c r="AB301" t="s">
        <v>3987</v>
      </c>
      <c r="AC301" t="s">
        <v>3986</v>
      </c>
      <c r="AD301" t="s">
        <v>3986</v>
      </c>
    </row>
    <row r="302" spans="1:30" x14ac:dyDescent="0.25">
      <c r="A302" t="s">
        <v>4029</v>
      </c>
      <c r="B302">
        <v>49</v>
      </c>
      <c r="C302" t="s">
        <v>3310</v>
      </c>
      <c r="D302" t="b">
        <v>0</v>
      </c>
      <c r="E302" t="b">
        <v>1</v>
      </c>
      <c r="F302" t="s">
        <v>3373</v>
      </c>
      <c r="G302" t="s">
        <v>3986</v>
      </c>
      <c r="H302" t="s">
        <v>3986</v>
      </c>
      <c r="I302" t="s">
        <v>3359</v>
      </c>
      <c r="J302" t="s">
        <v>3986</v>
      </c>
      <c r="K302" t="s">
        <v>3391</v>
      </c>
      <c r="L302" t="s">
        <v>3392</v>
      </c>
      <c r="M302" t="s">
        <v>9</v>
      </c>
      <c r="N302">
        <v>7</v>
      </c>
      <c r="O302" t="b">
        <v>0</v>
      </c>
      <c r="P302" t="b">
        <v>1</v>
      </c>
      <c r="Q302" t="b">
        <v>0</v>
      </c>
      <c r="R302" t="b">
        <v>0</v>
      </c>
      <c r="T302" t="s">
        <v>3677</v>
      </c>
      <c r="U302">
        <v>92</v>
      </c>
      <c r="V302" t="s">
        <v>3986</v>
      </c>
      <c r="W302">
        <v>4</v>
      </c>
      <c r="X302" t="s">
        <v>3986</v>
      </c>
      <c r="Y302" t="s">
        <v>4926</v>
      </c>
      <c r="Z302">
        <v>0</v>
      </c>
      <c r="AA302" t="s">
        <v>2493</v>
      </c>
      <c r="AB302" t="s">
        <v>3987</v>
      </c>
      <c r="AC302" t="s">
        <v>3986</v>
      </c>
      <c r="AD302" t="s">
        <v>3986</v>
      </c>
    </row>
    <row r="303" spans="1:30" x14ac:dyDescent="0.25">
      <c r="A303" t="s">
        <v>4030</v>
      </c>
      <c r="B303">
        <v>50</v>
      </c>
      <c r="C303" t="s">
        <v>3310</v>
      </c>
      <c r="D303" t="b">
        <v>0</v>
      </c>
      <c r="E303" t="b">
        <v>1</v>
      </c>
      <c r="F303" t="s">
        <v>3373</v>
      </c>
      <c r="G303" t="s">
        <v>3986</v>
      </c>
      <c r="H303" t="s">
        <v>3986</v>
      </c>
      <c r="I303" t="s">
        <v>3359</v>
      </c>
      <c r="J303" t="s">
        <v>3986</v>
      </c>
      <c r="K303" t="s">
        <v>3391</v>
      </c>
      <c r="L303" t="s">
        <v>3392</v>
      </c>
      <c r="M303" t="s">
        <v>9</v>
      </c>
      <c r="N303">
        <v>7</v>
      </c>
      <c r="O303" t="b">
        <v>0</v>
      </c>
      <c r="P303" t="b">
        <v>1</v>
      </c>
      <c r="Q303" t="b">
        <v>0</v>
      </c>
      <c r="R303" t="b">
        <v>0</v>
      </c>
      <c r="T303" t="s">
        <v>3677</v>
      </c>
      <c r="U303">
        <v>95</v>
      </c>
      <c r="V303" t="s">
        <v>3986</v>
      </c>
      <c r="W303">
        <v>4</v>
      </c>
      <c r="X303" t="s">
        <v>3986</v>
      </c>
      <c r="Y303" t="s">
        <v>4927</v>
      </c>
      <c r="Z303">
        <v>0</v>
      </c>
      <c r="AA303" t="s">
        <v>2493</v>
      </c>
      <c r="AB303" t="s">
        <v>3987</v>
      </c>
      <c r="AC303" t="s">
        <v>3986</v>
      </c>
      <c r="AD303" t="s">
        <v>3986</v>
      </c>
    </row>
    <row r="304" spans="1:30" x14ac:dyDescent="0.25">
      <c r="A304" t="s">
        <v>4031</v>
      </c>
      <c r="B304">
        <v>51</v>
      </c>
      <c r="C304" t="s">
        <v>3310</v>
      </c>
      <c r="D304" t="b">
        <v>0</v>
      </c>
      <c r="E304" t="b">
        <v>1</v>
      </c>
      <c r="F304" t="s">
        <v>3373</v>
      </c>
      <c r="G304" t="s">
        <v>3986</v>
      </c>
      <c r="H304" t="s">
        <v>3986</v>
      </c>
      <c r="I304" t="s">
        <v>3359</v>
      </c>
      <c r="J304" t="s">
        <v>3986</v>
      </c>
      <c r="K304" t="s">
        <v>3391</v>
      </c>
      <c r="L304" t="s">
        <v>3392</v>
      </c>
      <c r="M304" t="s">
        <v>9</v>
      </c>
      <c r="N304">
        <v>7</v>
      </c>
      <c r="O304" t="b">
        <v>0</v>
      </c>
      <c r="P304" t="b">
        <v>1</v>
      </c>
      <c r="Q304" t="b">
        <v>0</v>
      </c>
      <c r="R304" t="b">
        <v>0</v>
      </c>
      <c r="T304" t="s">
        <v>3677</v>
      </c>
      <c r="U304">
        <v>96</v>
      </c>
      <c r="V304" t="s">
        <v>3986</v>
      </c>
      <c r="W304">
        <v>4</v>
      </c>
      <c r="X304" t="s">
        <v>3986</v>
      </c>
      <c r="Y304" t="s">
        <v>4928</v>
      </c>
      <c r="Z304">
        <v>0</v>
      </c>
      <c r="AA304" t="s">
        <v>2493</v>
      </c>
      <c r="AB304" t="s">
        <v>3987</v>
      </c>
      <c r="AC304" t="s">
        <v>3986</v>
      </c>
      <c r="AD304" t="s">
        <v>3986</v>
      </c>
    </row>
    <row r="305" spans="1:30" x14ac:dyDescent="0.25">
      <c r="A305" t="s">
        <v>4032</v>
      </c>
      <c r="B305">
        <v>52</v>
      </c>
      <c r="C305" t="s">
        <v>3310</v>
      </c>
      <c r="D305" t="b">
        <v>0</v>
      </c>
      <c r="E305" t="b">
        <v>1</v>
      </c>
      <c r="F305" t="s">
        <v>3373</v>
      </c>
      <c r="G305" t="s">
        <v>3986</v>
      </c>
      <c r="H305" t="s">
        <v>3986</v>
      </c>
      <c r="I305" t="s">
        <v>3359</v>
      </c>
      <c r="J305" t="s">
        <v>3986</v>
      </c>
      <c r="K305" t="s">
        <v>3391</v>
      </c>
      <c r="L305" t="s">
        <v>3392</v>
      </c>
      <c r="M305" t="s">
        <v>9</v>
      </c>
      <c r="N305">
        <v>7</v>
      </c>
      <c r="O305" t="b">
        <v>0</v>
      </c>
      <c r="P305" t="b">
        <v>1</v>
      </c>
      <c r="Q305" t="b">
        <v>0</v>
      </c>
      <c r="R305" t="b">
        <v>0</v>
      </c>
      <c r="T305" t="s">
        <v>3677</v>
      </c>
      <c r="U305">
        <v>97</v>
      </c>
      <c r="V305" t="s">
        <v>3986</v>
      </c>
      <c r="W305">
        <v>4</v>
      </c>
      <c r="X305" t="s">
        <v>3986</v>
      </c>
      <c r="Y305" t="s">
        <v>4929</v>
      </c>
      <c r="Z305">
        <v>0</v>
      </c>
      <c r="AA305" t="s">
        <v>2493</v>
      </c>
      <c r="AB305" t="s">
        <v>3987</v>
      </c>
      <c r="AC305" t="s">
        <v>3986</v>
      </c>
      <c r="AD305" t="s">
        <v>3986</v>
      </c>
    </row>
    <row r="306" spans="1:30" x14ac:dyDescent="0.25">
      <c r="A306" t="s">
        <v>4033</v>
      </c>
      <c r="B306">
        <v>53</v>
      </c>
      <c r="C306" t="s">
        <v>3310</v>
      </c>
      <c r="D306" t="b">
        <v>0</v>
      </c>
      <c r="E306" t="b">
        <v>1</v>
      </c>
      <c r="F306" t="s">
        <v>3373</v>
      </c>
      <c r="G306" t="s">
        <v>3986</v>
      </c>
      <c r="H306" t="s">
        <v>3986</v>
      </c>
      <c r="I306" t="s">
        <v>3359</v>
      </c>
      <c r="J306" t="s">
        <v>3986</v>
      </c>
      <c r="K306" t="s">
        <v>3391</v>
      </c>
      <c r="L306" t="s">
        <v>3392</v>
      </c>
      <c r="M306" t="s">
        <v>9</v>
      </c>
      <c r="N306">
        <v>7</v>
      </c>
      <c r="O306" t="b">
        <v>0</v>
      </c>
      <c r="P306" t="b">
        <v>1</v>
      </c>
      <c r="Q306" t="b">
        <v>0</v>
      </c>
      <c r="R306" t="b">
        <v>0</v>
      </c>
      <c r="T306" t="s">
        <v>3677</v>
      </c>
      <c r="U306">
        <v>98</v>
      </c>
      <c r="V306" t="s">
        <v>3986</v>
      </c>
      <c r="W306">
        <v>4</v>
      </c>
      <c r="X306" t="s">
        <v>3986</v>
      </c>
      <c r="Y306" t="s">
        <v>4930</v>
      </c>
      <c r="Z306">
        <v>0</v>
      </c>
      <c r="AA306" t="s">
        <v>2493</v>
      </c>
      <c r="AB306" t="s">
        <v>3987</v>
      </c>
      <c r="AC306" t="s">
        <v>3986</v>
      </c>
      <c r="AD306" t="s">
        <v>3986</v>
      </c>
    </row>
    <row r="307" spans="1:30" x14ac:dyDescent="0.25">
      <c r="A307" t="s">
        <v>4034</v>
      </c>
      <c r="B307">
        <v>54</v>
      </c>
      <c r="C307" t="s">
        <v>3310</v>
      </c>
      <c r="D307" t="b">
        <v>0</v>
      </c>
      <c r="E307" t="b">
        <v>1</v>
      </c>
      <c r="F307" t="s">
        <v>3373</v>
      </c>
      <c r="G307" t="s">
        <v>3986</v>
      </c>
      <c r="H307" t="s">
        <v>3986</v>
      </c>
      <c r="I307" t="s">
        <v>3359</v>
      </c>
      <c r="J307" t="s">
        <v>3986</v>
      </c>
      <c r="K307" t="s">
        <v>3391</v>
      </c>
      <c r="L307" t="s">
        <v>3392</v>
      </c>
      <c r="M307" t="s">
        <v>9</v>
      </c>
      <c r="N307">
        <v>7</v>
      </c>
      <c r="O307" t="b">
        <v>0</v>
      </c>
      <c r="P307" t="b">
        <v>1</v>
      </c>
      <c r="Q307" t="b">
        <v>0</v>
      </c>
      <c r="R307" t="b">
        <v>0</v>
      </c>
      <c r="T307" t="s">
        <v>3677</v>
      </c>
      <c r="U307">
        <v>99</v>
      </c>
      <c r="V307" t="s">
        <v>3986</v>
      </c>
      <c r="W307">
        <v>4</v>
      </c>
      <c r="X307" t="s">
        <v>3986</v>
      </c>
      <c r="Y307" t="s">
        <v>4931</v>
      </c>
      <c r="Z307">
        <v>0</v>
      </c>
      <c r="AA307" t="s">
        <v>2493</v>
      </c>
      <c r="AB307" t="s">
        <v>3987</v>
      </c>
      <c r="AC307" t="s">
        <v>3986</v>
      </c>
      <c r="AD307" t="s">
        <v>3986</v>
      </c>
    </row>
    <row r="308" spans="1:30" x14ac:dyDescent="0.25">
      <c r="A308" t="s">
        <v>4035</v>
      </c>
      <c r="B308">
        <v>55</v>
      </c>
      <c r="C308" t="s">
        <v>3310</v>
      </c>
      <c r="D308" t="b">
        <v>0</v>
      </c>
      <c r="E308" t="b">
        <v>1</v>
      </c>
      <c r="F308" t="s">
        <v>3373</v>
      </c>
      <c r="G308" t="s">
        <v>3986</v>
      </c>
      <c r="H308" t="s">
        <v>3986</v>
      </c>
      <c r="I308" t="s">
        <v>3359</v>
      </c>
      <c r="J308" t="s">
        <v>3986</v>
      </c>
      <c r="K308" t="s">
        <v>3391</v>
      </c>
      <c r="L308" t="s">
        <v>3392</v>
      </c>
      <c r="M308" t="s">
        <v>9</v>
      </c>
      <c r="N308">
        <v>7</v>
      </c>
      <c r="O308" t="b">
        <v>0</v>
      </c>
      <c r="P308" t="b">
        <v>1</v>
      </c>
      <c r="Q308" t="b">
        <v>0</v>
      </c>
      <c r="R308" t="b">
        <v>0</v>
      </c>
      <c r="T308" t="s">
        <v>3677</v>
      </c>
      <c r="U308">
        <v>100</v>
      </c>
      <c r="V308" t="s">
        <v>3986</v>
      </c>
      <c r="W308">
        <v>4</v>
      </c>
      <c r="X308" t="s">
        <v>3986</v>
      </c>
      <c r="Y308" t="s">
        <v>4932</v>
      </c>
      <c r="Z308">
        <v>0</v>
      </c>
      <c r="AA308" t="s">
        <v>2493</v>
      </c>
      <c r="AB308" t="s">
        <v>3987</v>
      </c>
      <c r="AC308" t="s">
        <v>3986</v>
      </c>
      <c r="AD308" t="s">
        <v>3986</v>
      </c>
    </row>
    <row r="309" spans="1:30" x14ac:dyDescent="0.25">
      <c r="A309" t="s">
        <v>4036</v>
      </c>
      <c r="B309">
        <v>56</v>
      </c>
      <c r="C309" t="s">
        <v>3310</v>
      </c>
      <c r="D309" t="b">
        <v>0</v>
      </c>
      <c r="E309" t="b">
        <v>1</v>
      </c>
      <c r="F309" t="s">
        <v>3373</v>
      </c>
      <c r="G309" t="s">
        <v>3986</v>
      </c>
      <c r="H309" t="s">
        <v>3986</v>
      </c>
      <c r="I309" t="s">
        <v>3359</v>
      </c>
      <c r="J309" t="s">
        <v>3986</v>
      </c>
      <c r="K309" t="s">
        <v>3391</v>
      </c>
      <c r="L309" t="s">
        <v>3392</v>
      </c>
      <c r="M309" t="s">
        <v>9</v>
      </c>
      <c r="N309">
        <v>7</v>
      </c>
      <c r="O309" t="b">
        <v>0</v>
      </c>
      <c r="P309" t="b">
        <v>1</v>
      </c>
      <c r="Q309" t="b">
        <v>0</v>
      </c>
      <c r="R309" t="b">
        <v>0</v>
      </c>
      <c r="T309" t="s">
        <v>3677</v>
      </c>
      <c r="U309">
        <v>101</v>
      </c>
      <c r="V309" t="s">
        <v>3986</v>
      </c>
      <c r="W309">
        <v>4</v>
      </c>
      <c r="X309" t="s">
        <v>3986</v>
      </c>
      <c r="Y309" t="s">
        <v>2383</v>
      </c>
      <c r="Z309">
        <v>0</v>
      </c>
      <c r="AA309" t="s">
        <v>2493</v>
      </c>
      <c r="AB309" t="s">
        <v>3987</v>
      </c>
      <c r="AC309" t="s">
        <v>3986</v>
      </c>
      <c r="AD309" t="s">
        <v>3986</v>
      </c>
    </row>
    <row r="310" spans="1:30" x14ac:dyDescent="0.25">
      <c r="A310" t="s">
        <v>3378</v>
      </c>
      <c r="B310">
        <v>11</v>
      </c>
      <c r="C310" t="s">
        <v>3306</v>
      </c>
      <c r="D310" t="b">
        <v>1</v>
      </c>
      <c r="E310" t="b">
        <v>0</v>
      </c>
      <c r="F310" t="s">
        <v>3307</v>
      </c>
      <c r="G310" t="s">
        <v>3379</v>
      </c>
      <c r="H310" t="s">
        <v>3986</v>
      </c>
      <c r="I310" t="s">
        <v>3986</v>
      </c>
      <c r="J310" t="s">
        <v>3986</v>
      </c>
      <c r="K310" t="s">
        <v>3395</v>
      </c>
      <c r="L310" t="s">
        <v>3396</v>
      </c>
      <c r="M310" t="s">
        <v>3757</v>
      </c>
      <c r="N310">
        <v>7</v>
      </c>
      <c r="O310" t="b">
        <v>0</v>
      </c>
      <c r="P310" t="b">
        <v>1</v>
      </c>
      <c r="Q310" t="b">
        <v>0</v>
      </c>
      <c r="R310" t="b">
        <v>0</v>
      </c>
      <c r="T310" t="s">
        <v>3677</v>
      </c>
      <c r="U310">
        <v>104</v>
      </c>
      <c r="V310" t="s">
        <v>3986</v>
      </c>
      <c r="W310">
        <v>4</v>
      </c>
      <c r="X310" t="s">
        <v>3986</v>
      </c>
      <c r="Y310" t="s">
        <v>3480</v>
      </c>
      <c r="Z310">
        <v>0</v>
      </c>
      <c r="AA310" t="s">
        <v>2493</v>
      </c>
      <c r="AB310" t="s">
        <v>3987</v>
      </c>
      <c r="AC310" t="s">
        <v>3986</v>
      </c>
      <c r="AD310" t="s">
        <v>3986</v>
      </c>
    </row>
    <row r="311" spans="1:30" x14ac:dyDescent="0.25">
      <c r="A311" t="s">
        <v>3360</v>
      </c>
      <c r="B311">
        <v>13</v>
      </c>
      <c r="C311" t="s">
        <v>3343</v>
      </c>
      <c r="D311" t="b">
        <v>1</v>
      </c>
      <c r="E311" t="b">
        <v>0</v>
      </c>
      <c r="F311" t="s">
        <v>3986</v>
      </c>
      <c r="G311" t="s">
        <v>3986</v>
      </c>
      <c r="H311" t="s">
        <v>3986</v>
      </c>
      <c r="I311" t="s">
        <v>3986</v>
      </c>
      <c r="J311" t="s">
        <v>3382</v>
      </c>
      <c r="K311" t="s">
        <v>3395</v>
      </c>
      <c r="L311" t="s">
        <v>3396</v>
      </c>
      <c r="M311" t="s">
        <v>3757</v>
      </c>
      <c r="N311">
        <v>7</v>
      </c>
      <c r="O311" t="b">
        <v>0</v>
      </c>
      <c r="P311" t="b">
        <v>1</v>
      </c>
      <c r="Q311" t="b">
        <v>0</v>
      </c>
      <c r="R311" t="b">
        <v>0</v>
      </c>
      <c r="T311" t="s">
        <v>3677</v>
      </c>
      <c r="U311">
        <v>105</v>
      </c>
      <c r="V311" t="s">
        <v>3986</v>
      </c>
      <c r="W311">
        <v>4</v>
      </c>
      <c r="X311" t="s">
        <v>3986</v>
      </c>
      <c r="Y311" t="s">
        <v>3713</v>
      </c>
      <c r="Z311">
        <v>0</v>
      </c>
      <c r="AA311" t="s">
        <v>2493</v>
      </c>
      <c r="AB311" t="s">
        <v>3987</v>
      </c>
      <c r="AC311" t="s">
        <v>3986</v>
      </c>
      <c r="AD311" t="s">
        <v>3986</v>
      </c>
    </row>
    <row r="312" spans="1:30" x14ac:dyDescent="0.25">
      <c r="A312" t="s">
        <v>3397</v>
      </c>
      <c r="B312">
        <v>14</v>
      </c>
      <c r="C312" t="s">
        <v>3310</v>
      </c>
      <c r="D312" t="b">
        <v>1</v>
      </c>
      <c r="E312" t="b">
        <v>0</v>
      </c>
      <c r="F312" t="s">
        <v>3986</v>
      </c>
      <c r="G312" t="s">
        <v>3986</v>
      </c>
      <c r="H312" t="s">
        <v>3986</v>
      </c>
      <c r="I312" t="s">
        <v>3986</v>
      </c>
      <c r="J312" t="s">
        <v>3359</v>
      </c>
      <c r="K312" t="s">
        <v>3395</v>
      </c>
      <c r="L312" t="s">
        <v>3396</v>
      </c>
      <c r="M312" t="s">
        <v>3757</v>
      </c>
      <c r="N312">
        <v>7</v>
      </c>
      <c r="O312" t="b">
        <v>0</v>
      </c>
      <c r="P312" t="b">
        <v>1</v>
      </c>
      <c r="Q312" t="b">
        <v>0</v>
      </c>
      <c r="R312" t="b">
        <v>0</v>
      </c>
      <c r="T312" t="s">
        <v>3677</v>
      </c>
      <c r="U312">
        <v>106</v>
      </c>
      <c r="V312" t="s">
        <v>3986</v>
      </c>
      <c r="W312">
        <v>4</v>
      </c>
      <c r="X312" t="s">
        <v>3986</v>
      </c>
      <c r="Y312" t="s">
        <v>3714</v>
      </c>
      <c r="Z312">
        <v>0</v>
      </c>
      <c r="AA312" t="s">
        <v>2493</v>
      </c>
      <c r="AB312" t="s">
        <v>3987</v>
      </c>
      <c r="AC312" t="s">
        <v>3986</v>
      </c>
      <c r="AD312" t="s">
        <v>3986</v>
      </c>
    </row>
    <row r="313" spans="1:30" x14ac:dyDescent="0.25">
      <c r="A313" t="s">
        <v>55</v>
      </c>
      <c r="B313">
        <v>15</v>
      </c>
      <c r="C313" t="s">
        <v>3310</v>
      </c>
      <c r="D313" t="b">
        <v>1</v>
      </c>
      <c r="E313" t="b">
        <v>0</v>
      </c>
      <c r="F313" t="s">
        <v>3986</v>
      </c>
      <c r="G313" t="s">
        <v>3986</v>
      </c>
      <c r="H313" t="s">
        <v>3986</v>
      </c>
      <c r="I313" t="s">
        <v>3986</v>
      </c>
      <c r="J313" t="s">
        <v>3359</v>
      </c>
      <c r="K313" t="s">
        <v>3395</v>
      </c>
      <c r="L313" t="s">
        <v>3396</v>
      </c>
      <c r="M313" t="s">
        <v>3757</v>
      </c>
      <c r="N313">
        <v>7</v>
      </c>
      <c r="O313" t="b">
        <v>0</v>
      </c>
      <c r="P313" t="b">
        <v>1</v>
      </c>
      <c r="Q313" t="b">
        <v>0</v>
      </c>
      <c r="R313" t="b">
        <v>0</v>
      </c>
      <c r="T313" t="s">
        <v>3677</v>
      </c>
      <c r="U313">
        <v>107</v>
      </c>
      <c r="V313" t="s">
        <v>3986</v>
      </c>
      <c r="W313">
        <v>4</v>
      </c>
      <c r="X313" t="s">
        <v>3986</v>
      </c>
      <c r="Y313" t="s">
        <v>3679</v>
      </c>
      <c r="Z313">
        <v>0</v>
      </c>
      <c r="AA313" t="s">
        <v>2493</v>
      </c>
      <c r="AB313" t="s">
        <v>3987</v>
      </c>
      <c r="AC313" t="s">
        <v>3986</v>
      </c>
      <c r="AD313" t="s">
        <v>3986</v>
      </c>
    </row>
    <row r="314" spans="1:30" x14ac:dyDescent="0.25">
      <c r="A314" t="s">
        <v>3398</v>
      </c>
      <c r="B314">
        <v>16</v>
      </c>
      <c r="C314" t="s">
        <v>3306</v>
      </c>
      <c r="D314" t="b">
        <v>1</v>
      </c>
      <c r="E314" t="b">
        <v>0</v>
      </c>
      <c r="F314" t="s">
        <v>3986</v>
      </c>
      <c r="G314" t="s">
        <v>3986</v>
      </c>
      <c r="H314" t="s">
        <v>3986</v>
      </c>
      <c r="I314" t="s">
        <v>3986</v>
      </c>
      <c r="J314" t="s">
        <v>3986</v>
      </c>
      <c r="K314" t="s">
        <v>3395</v>
      </c>
      <c r="L314" t="s">
        <v>3396</v>
      </c>
      <c r="M314" t="s">
        <v>3757</v>
      </c>
      <c r="N314">
        <v>7</v>
      </c>
      <c r="O314" t="b">
        <v>0</v>
      </c>
      <c r="P314" t="b">
        <v>1</v>
      </c>
      <c r="Q314" t="b">
        <v>0</v>
      </c>
      <c r="R314" t="b">
        <v>0</v>
      </c>
      <c r="T314" t="s">
        <v>3677</v>
      </c>
      <c r="U314">
        <v>108</v>
      </c>
      <c r="V314" t="s">
        <v>3986</v>
      </c>
      <c r="W314">
        <v>4</v>
      </c>
      <c r="X314" t="s">
        <v>3986</v>
      </c>
      <c r="Y314" t="s">
        <v>3680</v>
      </c>
      <c r="Z314">
        <v>0</v>
      </c>
      <c r="AA314" t="s">
        <v>2493</v>
      </c>
      <c r="AB314" t="s">
        <v>3987</v>
      </c>
      <c r="AC314" t="s">
        <v>3986</v>
      </c>
      <c r="AD314" t="s">
        <v>3986</v>
      </c>
    </row>
    <row r="315" spans="1:30" x14ac:dyDescent="0.25">
      <c r="A315" t="s">
        <v>3385</v>
      </c>
      <c r="B315">
        <v>17</v>
      </c>
      <c r="C315" t="s">
        <v>3306</v>
      </c>
      <c r="D315" t="b">
        <v>1</v>
      </c>
      <c r="E315" t="b">
        <v>0</v>
      </c>
      <c r="F315" t="s">
        <v>3986</v>
      </c>
      <c r="G315" t="s">
        <v>3986</v>
      </c>
      <c r="H315" t="s">
        <v>3986</v>
      </c>
      <c r="I315" t="s">
        <v>3986</v>
      </c>
      <c r="J315" t="s">
        <v>3386</v>
      </c>
      <c r="K315" t="s">
        <v>3395</v>
      </c>
      <c r="L315" t="s">
        <v>3396</v>
      </c>
      <c r="M315" t="s">
        <v>3757</v>
      </c>
      <c r="N315">
        <v>7</v>
      </c>
      <c r="O315" t="b">
        <v>0</v>
      </c>
      <c r="P315" t="b">
        <v>1</v>
      </c>
      <c r="Q315" t="b">
        <v>0</v>
      </c>
      <c r="R315" t="b">
        <v>0</v>
      </c>
      <c r="T315" t="s">
        <v>3677</v>
      </c>
      <c r="U315">
        <v>109</v>
      </c>
      <c r="V315" t="s">
        <v>3986</v>
      </c>
      <c r="W315">
        <v>4</v>
      </c>
      <c r="X315" t="s">
        <v>3986</v>
      </c>
      <c r="Y315" t="s">
        <v>3715</v>
      </c>
      <c r="Z315">
        <v>0</v>
      </c>
      <c r="AA315" t="s">
        <v>2493</v>
      </c>
      <c r="AB315" t="s">
        <v>3987</v>
      </c>
      <c r="AC315" t="s">
        <v>3986</v>
      </c>
      <c r="AD315" t="s">
        <v>3986</v>
      </c>
    </row>
    <row r="316" spans="1:30" x14ac:dyDescent="0.25">
      <c r="A316" t="s">
        <v>3294</v>
      </c>
      <c r="B316">
        <v>2</v>
      </c>
      <c r="C316" t="s">
        <v>3306</v>
      </c>
      <c r="D316" t="b">
        <v>1</v>
      </c>
      <c r="E316" t="b">
        <v>0</v>
      </c>
      <c r="F316" t="s">
        <v>3307</v>
      </c>
      <c r="G316" t="s">
        <v>3986</v>
      </c>
      <c r="H316" t="s">
        <v>3986</v>
      </c>
      <c r="I316" t="s">
        <v>3986</v>
      </c>
      <c r="J316" t="s">
        <v>3986</v>
      </c>
      <c r="K316" t="s">
        <v>3399</v>
      </c>
      <c r="L316" t="s">
        <v>3400</v>
      </c>
      <c r="M316" t="s">
        <v>2782</v>
      </c>
      <c r="N316">
        <v>7</v>
      </c>
      <c r="O316" t="b">
        <v>0</v>
      </c>
      <c r="P316" t="b">
        <v>1</v>
      </c>
      <c r="Q316" t="b">
        <v>0</v>
      </c>
      <c r="R316" t="b">
        <v>0</v>
      </c>
      <c r="T316" t="s">
        <v>3677</v>
      </c>
      <c r="U316">
        <v>110</v>
      </c>
      <c r="V316" t="s">
        <v>3986</v>
      </c>
      <c r="W316">
        <v>4</v>
      </c>
      <c r="X316" t="s">
        <v>3986</v>
      </c>
      <c r="Y316" t="s">
        <v>3716</v>
      </c>
      <c r="Z316">
        <v>0</v>
      </c>
      <c r="AA316" t="s">
        <v>2493</v>
      </c>
      <c r="AB316" t="s">
        <v>3987</v>
      </c>
      <c r="AC316" t="s">
        <v>3986</v>
      </c>
      <c r="AD316" t="s">
        <v>3986</v>
      </c>
    </row>
    <row r="317" spans="1:30" x14ac:dyDescent="0.25">
      <c r="A317" t="s">
        <v>34</v>
      </c>
      <c r="B317">
        <v>3</v>
      </c>
      <c r="C317" t="s">
        <v>3306</v>
      </c>
      <c r="D317" t="b">
        <v>1</v>
      </c>
      <c r="E317" t="b">
        <v>0</v>
      </c>
      <c r="F317" t="s">
        <v>3307</v>
      </c>
      <c r="G317" t="s">
        <v>3986</v>
      </c>
      <c r="H317" t="s">
        <v>3986</v>
      </c>
      <c r="I317" t="s">
        <v>3986</v>
      </c>
      <c r="J317" t="s">
        <v>3370</v>
      </c>
      <c r="K317" t="s">
        <v>3399</v>
      </c>
      <c r="L317" t="s">
        <v>3400</v>
      </c>
      <c r="M317" t="s">
        <v>2782</v>
      </c>
      <c r="N317">
        <v>7</v>
      </c>
      <c r="O317" t="b">
        <v>0</v>
      </c>
      <c r="P317" t="b">
        <v>1</v>
      </c>
      <c r="Q317" t="b">
        <v>0</v>
      </c>
      <c r="R317" t="b">
        <v>0</v>
      </c>
      <c r="T317" t="s">
        <v>3677</v>
      </c>
      <c r="U317">
        <v>111</v>
      </c>
      <c r="V317" t="s">
        <v>3986</v>
      </c>
      <c r="W317">
        <v>4</v>
      </c>
      <c r="X317" t="s">
        <v>3986</v>
      </c>
      <c r="Y317" t="s">
        <v>3717</v>
      </c>
      <c r="Z317">
        <v>0</v>
      </c>
      <c r="AA317" t="s">
        <v>2493</v>
      </c>
      <c r="AB317" t="s">
        <v>3987</v>
      </c>
      <c r="AC317" t="s">
        <v>3986</v>
      </c>
      <c r="AD317" t="s">
        <v>3986</v>
      </c>
    </row>
    <row r="318" spans="1:30" x14ac:dyDescent="0.25">
      <c r="A318" t="s">
        <v>3987</v>
      </c>
      <c r="B318">
        <v>5</v>
      </c>
      <c r="C318" t="s">
        <v>3310</v>
      </c>
      <c r="D318" t="b">
        <v>0</v>
      </c>
      <c r="E318" t="b">
        <v>1</v>
      </c>
      <c r="F318" t="s">
        <v>3373</v>
      </c>
      <c r="G318" t="s">
        <v>3986</v>
      </c>
      <c r="H318" t="s">
        <v>3986</v>
      </c>
      <c r="I318" t="s">
        <v>3359</v>
      </c>
      <c r="J318" t="s">
        <v>3986</v>
      </c>
      <c r="K318" t="s">
        <v>3399</v>
      </c>
      <c r="L318" t="s">
        <v>3400</v>
      </c>
      <c r="M318" t="s">
        <v>2782</v>
      </c>
      <c r="N318">
        <v>7</v>
      </c>
      <c r="O318" t="b">
        <v>0</v>
      </c>
      <c r="P318" t="b">
        <v>1</v>
      </c>
      <c r="Q318" t="b">
        <v>0</v>
      </c>
      <c r="R318" t="b">
        <v>0</v>
      </c>
      <c r="T318" t="s">
        <v>3677</v>
      </c>
      <c r="U318">
        <v>112</v>
      </c>
      <c r="V318" t="s">
        <v>3986</v>
      </c>
      <c r="W318">
        <v>4</v>
      </c>
      <c r="X318" t="s">
        <v>3986</v>
      </c>
      <c r="Y318" t="s">
        <v>4933</v>
      </c>
      <c r="Z318">
        <v>0</v>
      </c>
      <c r="AA318" t="s">
        <v>2493</v>
      </c>
      <c r="AB318" t="s">
        <v>3987</v>
      </c>
      <c r="AC318" t="s">
        <v>3986</v>
      </c>
      <c r="AD318" t="s">
        <v>3986</v>
      </c>
    </row>
    <row r="319" spans="1:30" x14ac:dyDescent="0.25">
      <c r="A319" t="s">
        <v>3988</v>
      </c>
      <c r="B319">
        <v>6</v>
      </c>
      <c r="C319" t="s">
        <v>3310</v>
      </c>
      <c r="D319" t="b">
        <v>0</v>
      </c>
      <c r="E319" t="b">
        <v>1</v>
      </c>
      <c r="F319" t="s">
        <v>3373</v>
      </c>
      <c r="G319" t="s">
        <v>3986</v>
      </c>
      <c r="H319" t="s">
        <v>3986</v>
      </c>
      <c r="I319" t="s">
        <v>3359</v>
      </c>
      <c r="J319" t="s">
        <v>3986</v>
      </c>
      <c r="K319" t="s">
        <v>3399</v>
      </c>
      <c r="L319" t="s">
        <v>3400</v>
      </c>
      <c r="M319" t="s">
        <v>2782</v>
      </c>
      <c r="N319">
        <v>7</v>
      </c>
      <c r="O319" t="b">
        <v>0</v>
      </c>
      <c r="P319" t="b">
        <v>1</v>
      </c>
      <c r="Q319" t="b">
        <v>0</v>
      </c>
      <c r="R319" t="b">
        <v>0</v>
      </c>
      <c r="T319" t="s">
        <v>3677</v>
      </c>
      <c r="U319">
        <v>113</v>
      </c>
      <c r="V319" t="s">
        <v>3986</v>
      </c>
      <c r="W319">
        <v>4</v>
      </c>
      <c r="X319" t="s">
        <v>3986</v>
      </c>
      <c r="Y319" t="s">
        <v>4934</v>
      </c>
      <c r="Z319">
        <v>0</v>
      </c>
      <c r="AA319" t="s">
        <v>2493</v>
      </c>
      <c r="AB319" t="s">
        <v>3987</v>
      </c>
      <c r="AC319" t="s">
        <v>3986</v>
      </c>
      <c r="AD319" t="s">
        <v>3986</v>
      </c>
    </row>
    <row r="320" spans="1:30" x14ac:dyDescent="0.25">
      <c r="A320" t="s">
        <v>3989</v>
      </c>
      <c r="B320">
        <v>7</v>
      </c>
      <c r="C320" t="s">
        <v>3310</v>
      </c>
      <c r="D320" t="b">
        <v>0</v>
      </c>
      <c r="E320" t="b">
        <v>1</v>
      </c>
      <c r="F320" t="s">
        <v>3373</v>
      </c>
      <c r="G320" t="s">
        <v>3986</v>
      </c>
      <c r="H320" t="s">
        <v>3986</v>
      </c>
      <c r="I320" t="s">
        <v>3359</v>
      </c>
      <c r="J320" t="s">
        <v>3986</v>
      </c>
      <c r="K320" t="s">
        <v>3399</v>
      </c>
      <c r="L320" t="s">
        <v>3400</v>
      </c>
      <c r="M320" t="s">
        <v>2782</v>
      </c>
      <c r="N320">
        <v>7</v>
      </c>
      <c r="O320" t="b">
        <v>0</v>
      </c>
      <c r="P320" t="b">
        <v>1</v>
      </c>
      <c r="Q320" t="b">
        <v>0</v>
      </c>
      <c r="R320" t="b">
        <v>0</v>
      </c>
      <c r="T320" t="s">
        <v>3677</v>
      </c>
      <c r="U320">
        <v>114</v>
      </c>
      <c r="V320" t="s">
        <v>3986</v>
      </c>
      <c r="W320">
        <v>4</v>
      </c>
      <c r="X320" t="s">
        <v>3986</v>
      </c>
      <c r="Y320" t="s">
        <v>3719</v>
      </c>
      <c r="Z320">
        <v>0</v>
      </c>
      <c r="AA320" t="s">
        <v>2493</v>
      </c>
      <c r="AB320" t="s">
        <v>3987</v>
      </c>
      <c r="AC320" t="s">
        <v>3986</v>
      </c>
      <c r="AD320" t="s">
        <v>3986</v>
      </c>
    </row>
    <row r="321" spans="1:30" x14ac:dyDescent="0.25">
      <c r="A321" t="s">
        <v>3990</v>
      </c>
      <c r="B321">
        <v>8</v>
      </c>
      <c r="C321" t="s">
        <v>3310</v>
      </c>
      <c r="D321" t="b">
        <v>0</v>
      </c>
      <c r="E321" t="b">
        <v>1</v>
      </c>
      <c r="F321" t="s">
        <v>3373</v>
      </c>
      <c r="G321" t="s">
        <v>3986</v>
      </c>
      <c r="H321" t="s">
        <v>3986</v>
      </c>
      <c r="I321" t="s">
        <v>3359</v>
      </c>
      <c r="J321" t="s">
        <v>3986</v>
      </c>
      <c r="K321" t="s">
        <v>3399</v>
      </c>
      <c r="L321" t="s">
        <v>3400</v>
      </c>
      <c r="M321" t="s">
        <v>2782</v>
      </c>
      <c r="N321">
        <v>7</v>
      </c>
      <c r="O321" t="b">
        <v>0</v>
      </c>
      <c r="P321" t="b">
        <v>1</v>
      </c>
      <c r="Q321" t="b">
        <v>0</v>
      </c>
      <c r="R321" t="b">
        <v>0</v>
      </c>
      <c r="T321" t="s">
        <v>3677</v>
      </c>
      <c r="U321">
        <v>115</v>
      </c>
      <c r="V321" t="s">
        <v>3986</v>
      </c>
      <c r="W321">
        <v>4</v>
      </c>
      <c r="X321" t="s">
        <v>3986</v>
      </c>
      <c r="Y321" t="s">
        <v>3720</v>
      </c>
      <c r="Z321">
        <v>0</v>
      </c>
      <c r="AA321" t="s">
        <v>2493</v>
      </c>
      <c r="AB321" t="s">
        <v>3987</v>
      </c>
      <c r="AC321" t="s">
        <v>3986</v>
      </c>
      <c r="AD321" t="s">
        <v>3986</v>
      </c>
    </row>
    <row r="322" spans="1:30" x14ac:dyDescent="0.25">
      <c r="A322" t="s">
        <v>3991</v>
      </c>
      <c r="B322">
        <v>9</v>
      </c>
      <c r="C322" t="s">
        <v>3310</v>
      </c>
      <c r="D322" t="b">
        <v>0</v>
      </c>
      <c r="E322" t="b">
        <v>1</v>
      </c>
      <c r="F322" t="s">
        <v>3373</v>
      </c>
      <c r="G322" t="s">
        <v>3986</v>
      </c>
      <c r="H322" t="s">
        <v>3986</v>
      </c>
      <c r="I322" t="s">
        <v>3359</v>
      </c>
      <c r="J322" t="s">
        <v>3986</v>
      </c>
      <c r="K322" t="s">
        <v>3399</v>
      </c>
      <c r="L322" t="s">
        <v>3400</v>
      </c>
      <c r="M322" t="s">
        <v>2782</v>
      </c>
      <c r="N322">
        <v>7</v>
      </c>
      <c r="O322" t="b">
        <v>0</v>
      </c>
      <c r="P322" t="b">
        <v>1</v>
      </c>
      <c r="Q322" t="b">
        <v>0</v>
      </c>
      <c r="R322" t="b">
        <v>0</v>
      </c>
      <c r="T322" t="s">
        <v>3677</v>
      </c>
      <c r="U322">
        <v>116</v>
      </c>
      <c r="V322" t="s">
        <v>3986</v>
      </c>
      <c r="W322">
        <v>4</v>
      </c>
      <c r="X322" t="s">
        <v>3986</v>
      </c>
      <c r="Y322" t="s">
        <v>3681</v>
      </c>
      <c r="Z322">
        <v>0</v>
      </c>
      <c r="AA322" t="s">
        <v>2493</v>
      </c>
      <c r="AB322" t="s">
        <v>4037</v>
      </c>
      <c r="AC322" t="s">
        <v>3986</v>
      </c>
      <c r="AD322" t="s">
        <v>3986</v>
      </c>
    </row>
    <row r="323" spans="1:30" x14ac:dyDescent="0.25">
      <c r="A323" t="s">
        <v>3992</v>
      </c>
      <c r="B323">
        <v>10</v>
      </c>
      <c r="C323" t="s">
        <v>3310</v>
      </c>
      <c r="D323" t="b">
        <v>0</v>
      </c>
      <c r="E323" t="b">
        <v>1</v>
      </c>
      <c r="F323" t="s">
        <v>3373</v>
      </c>
      <c r="G323" t="s">
        <v>3986</v>
      </c>
      <c r="H323" t="s">
        <v>3986</v>
      </c>
      <c r="I323" t="s">
        <v>3359</v>
      </c>
      <c r="J323" t="s">
        <v>3986</v>
      </c>
      <c r="K323" t="s">
        <v>3399</v>
      </c>
      <c r="L323" t="s">
        <v>3400</v>
      </c>
      <c r="M323" t="s">
        <v>2782</v>
      </c>
      <c r="N323">
        <v>7</v>
      </c>
      <c r="O323" t="b">
        <v>0</v>
      </c>
      <c r="P323" t="b">
        <v>1</v>
      </c>
      <c r="Q323" t="b">
        <v>0</v>
      </c>
      <c r="R323" t="b">
        <v>0</v>
      </c>
      <c r="T323" t="s">
        <v>3677</v>
      </c>
      <c r="U323">
        <v>126</v>
      </c>
      <c r="V323" t="s">
        <v>3986</v>
      </c>
      <c r="W323">
        <v>4</v>
      </c>
      <c r="X323" t="s">
        <v>3986</v>
      </c>
      <c r="Y323" t="s">
        <v>3679</v>
      </c>
      <c r="Z323">
        <v>0</v>
      </c>
      <c r="AA323" t="s">
        <v>2493</v>
      </c>
      <c r="AB323" t="s">
        <v>3987</v>
      </c>
      <c r="AC323" t="s">
        <v>3986</v>
      </c>
      <c r="AD323" t="s">
        <v>3986</v>
      </c>
    </row>
    <row r="324" spans="1:30" x14ac:dyDescent="0.25">
      <c r="A324" t="s">
        <v>3993</v>
      </c>
      <c r="B324">
        <v>11</v>
      </c>
      <c r="C324" t="s">
        <v>3310</v>
      </c>
      <c r="D324" t="b">
        <v>0</v>
      </c>
      <c r="E324" t="b">
        <v>1</v>
      </c>
      <c r="F324" t="s">
        <v>3373</v>
      </c>
      <c r="G324" t="s">
        <v>3986</v>
      </c>
      <c r="H324" t="s">
        <v>3986</v>
      </c>
      <c r="I324" t="s">
        <v>3359</v>
      </c>
      <c r="J324" t="s">
        <v>3986</v>
      </c>
      <c r="K324" t="s">
        <v>3399</v>
      </c>
      <c r="L324" t="s">
        <v>3400</v>
      </c>
      <c r="M324" t="s">
        <v>2782</v>
      </c>
      <c r="N324">
        <v>7</v>
      </c>
      <c r="O324" t="b">
        <v>0</v>
      </c>
      <c r="P324" t="b">
        <v>1</v>
      </c>
      <c r="Q324" t="b">
        <v>0</v>
      </c>
      <c r="R324" t="b">
        <v>0</v>
      </c>
      <c r="T324" t="s">
        <v>3677</v>
      </c>
      <c r="U324">
        <v>127</v>
      </c>
      <c r="V324" t="s">
        <v>3986</v>
      </c>
      <c r="W324">
        <v>4</v>
      </c>
      <c r="X324" t="s">
        <v>3986</v>
      </c>
      <c r="Y324" t="s">
        <v>3682</v>
      </c>
      <c r="Z324">
        <v>0</v>
      </c>
      <c r="AA324" t="s">
        <v>2493</v>
      </c>
      <c r="AB324" t="s">
        <v>3987</v>
      </c>
      <c r="AC324" t="s">
        <v>3986</v>
      </c>
      <c r="AD324" t="s">
        <v>3986</v>
      </c>
    </row>
    <row r="325" spans="1:30" x14ac:dyDescent="0.25">
      <c r="A325" t="s">
        <v>3994</v>
      </c>
      <c r="B325">
        <v>12</v>
      </c>
      <c r="C325" t="s">
        <v>3310</v>
      </c>
      <c r="D325" t="b">
        <v>0</v>
      </c>
      <c r="E325" t="b">
        <v>1</v>
      </c>
      <c r="F325" t="s">
        <v>3373</v>
      </c>
      <c r="G325" t="s">
        <v>3986</v>
      </c>
      <c r="H325" t="s">
        <v>3986</v>
      </c>
      <c r="I325" t="s">
        <v>3359</v>
      </c>
      <c r="J325" t="s">
        <v>3986</v>
      </c>
      <c r="K325" t="s">
        <v>3399</v>
      </c>
      <c r="L325" t="s">
        <v>3400</v>
      </c>
      <c r="M325" t="s">
        <v>2782</v>
      </c>
      <c r="N325">
        <v>7</v>
      </c>
      <c r="O325" t="b">
        <v>0</v>
      </c>
      <c r="P325" t="b">
        <v>1</v>
      </c>
      <c r="Q325" t="b">
        <v>0</v>
      </c>
      <c r="R325" t="b">
        <v>0</v>
      </c>
      <c r="T325" t="s">
        <v>3677</v>
      </c>
      <c r="U325">
        <v>128</v>
      </c>
      <c r="V325" t="s">
        <v>3986</v>
      </c>
      <c r="W325">
        <v>4</v>
      </c>
      <c r="X325" t="s">
        <v>3986</v>
      </c>
      <c r="Y325" t="s">
        <v>3683</v>
      </c>
      <c r="Z325">
        <v>0</v>
      </c>
      <c r="AA325" t="s">
        <v>2493</v>
      </c>
      <c r="AB325" t="s">
        <v>3987</v>
      </c>
      <c r="AC325" t="s">
        <v>3986</v>
      </c>
      <c r="AD325" t="s">
        <v>3986</v>
      </c>
    </row>
    <row r="326" spans="1:30" x14ac:dyDescent="0.25">
      <c r="A326" t="s">
        <v>3995</v>
      </c>
      <c r="B326">
        <v>13</v>
      </c>
      <c r="C326" t="s">
        <v>3310</v>
      </c>
      <c r="D326" t="b">
        <v>0</v>
      </c>
      <c r="E326" t="b">
        <v>1</v>
      </c>
      <c r="F326" t="s">
        <v>3373</v>
      </c>
      <c r="G326" t="s">
        <v>3986</v>
      </c>
      <c r="H326" t="s">
        <v>3986</v>
      </c>
      <c r="I326" t="s">
        <v>3359</v>
      </c>
      <c r="J326" t="s">
        <v>3986</v>
      </c>
      <c r="K326" t="s">
        <v>3399</v>
      </c>
      <c r="L326" t="s">
        <v>3400</v>
      </c>
      <c r="M326" t="s">
        <v>2782</v>
      </c>
      <c r="N326">
        <v>7</v>
      </c>
      <c r="O326" t="b">
        <v>0</v>
      </c>
      <c r="P326" t="b">
        <v>1</v>
      </c>
      <c r="Q326" t="b">
        <v>0</v>
      </c>
      <c r="R326" t="b">
        <v>0</v>
      </c>
      <c r="T326" t="s">
        <v>3677</v>
      </c>
      <c r="U326">
        <v>129</v>
      </c>
      <c r="V326" t="s">
        <v>3986</v>
      </c>
      <c r="W326">
        <v>4</v>
      </c>
      <c r="X326" t="s">
        <v>3986</v>
      </c>
      <c r="Y326" t="s">
        <v>3684</v>
      </c>
      <c r="Z326">
        <v>0</v>
      </c>
      <c r="AA326" t="s">
        <v>2493</v>
      </c>
      <c r="AB326" t="s">
        <v>3987</v>
      </c>
      <c r="AC326" t="s">
        <v>3986</v>
      </c>
      <c r="AD326" t="s">
        <v>3986</v>
      </c>
    </row>
    <row r="327" spans="1:30" x14ac:dyDescent="0.25">
      <c r="A327" t="s">
        <v>3996</v>
      </c>
      <c r="B327">
        <v>14</v>
      </c>
      <c r="C327" t="s">
        <v>3310</v>
      </c>
      <c r="D327" t="b">
        <v>0</v>
      </c>
      <c r="E327" t="b">
        <v>1</v>
      </c>
      <c r="F327" t="s">
        <v>3373</v>
      </c>
      <c r="G327" t="s">
        <v>3986</v>
      </c>
      <c r="H327" t="s">
        <v>3986</v>
      </c>
      <c r="I327" t="s">
        <v>3359</v>
      </c>
      <c r="J327" t="s">
        <v>3986</v>
      </c>
      <c r="K327" t="s">
        <v>3399</v>
      </c>
      <c r="L327" t="s">
        <v>3400</v>
      </c>
      <c r="M327" t="s">
        <v>2782</v>
      </c>
      <c r="N327">
        <v>7</v>
      </c>
      <c r="O327" t="b">
        <v>0</v>
      </c>
      <c r="P327" t="b">
        <v>1</v>
      </c>
      <c r="Q327" t="b">
        <v>0</v>
      </c>
      <c r="R327" t="b">
        <v>0</v>
      </c>
      <c r="T327" t="s">
        <v>3677</v>
      </c>
      <c r="U327">
        <v>130</v>
      </c>
      <c r="V327" t="s">
        <v>3986</v>
      </c>
      <c r="W327">
        <v>4</v>
      </c>
      <c r="X327" t="s">
        <v>3986</v>
      </c>
      <c r="Y327" t="s">
        <v>3685</v>
      </c>
      <c r="Z327">
        <v>0</v>
      </c>
      <c r="AA327" t="s">
        <v>2493</v>
      </c>
      <c r="AB327" t="s">
        <v>3987</v>
      </c>
      <c r="AC327" t="s">
        <v>3986</v>
      </c>
      <c r="AD327" t="s">
        <v>3986</v>
      </c>
    </row>
    <row r="328" spans="1:30" x14ac:dyDescent="0.25">
      <c r="A328" t="s">
        <v>3997</v>
      </c>
      <c r="B328">
        <v>15</v>
      </c>
      <c r="C328" t="s">
        <v>3310</v>
      </c>
      <c r="D328" t="b">
        <v>0</v>
      </c>
      <c r="E328" t="b">
        <v>1</v>
      </c>
      <c r="F328" t="s">
        <v>3373</v>
      </c>
      <c r="G328" t="s">
        <v>3986</v>
      </c>
      <c r="H328" t="s">
        <v>3986</v>
      </c>
      <c r="I328" t="s">
        <v>3359</v>
      </c>
      <c r="J328" t="s">
        <v>3986</v>
      </c>
      <c r="K328" t="s">
        <v>3399</v>
      </c>
      <c r="L328" t="s">
        <v>3400</v>
      </c>
      <c r="M328" t="s">
        <v>2782</v>
      </c>
      <c r="N328">
        <v>7</v>
      </c>
      <c r="O328" t="b">
        <v>0</v>
      </c>
      <c r="P328" t="b">
        <v>1</v>
      </c>
      <c r="Q328" t="b">
        <v>0</v>
      </c>
      <c r="R328" t="b">
        <v>0</v>
      </c>
      <c r="T328" t="s">
        <v>3677</v>
      </c>
      <c r="U328">
        <v>131</v>
      </c>
      <c r="V328" t="s">
        <v>3986</v>
      </c>
      <c r="W328">
        <v>4</v>
      </c>
      <c r="X328" t="s">
        <v>3986</v>
      </c>
      <c r="Y328" t="s">
        <v>3686</v>
      </c>
      <c r="Z328">
        <v>0</v>
      </c>
      <c r="AA328" t="s">
        <v>2493</v>
      </c>
      <c r="AB328" t="s">
        <v>3987</v>
      </c>
      <c r="AC328" t="s">
        <v>3986</v>
      </c>
      <c r="AD328" t="s">
        <v>3986</v>
      </c>
    </row>
    <row r="329" spans="1:30" x14ac:dyDescent="0.25">
      <c r="A329" t="s">
        <v>3998</v>
      </c>
      <c r="B329">
        <v>16</v>
      </c>
      <c r="C329" t="s">
        <v>3310</v>
      </c>
      <c r="D329" t="b">
        <v>0</v>
      </c>
      <c r="E329" t="b">
        <v>1</v>
      </c>
      <c r="F329" t="s">
        <v>3373</v>
      </c>
      <c r="G329" t="s">
        <v>3986</v>
      </c>
      <c r="H329" t="s">
        <v>3986</v>
      </c>
      <c r="I329" t="s">
        <v>3359</v>
      </c>
      <c r="J329" t="s">
        <v>3986</v>
      </c>
      <c r="K329" t="s">
        <v>3399</v>
      </c>
      <c r="L329" t="s">
        <v>3400</v>
      </c>
      <c r="M329" t="s">
        <v>2782</v>
      </c>
      <c r="N329">
        <v>7</v>
      </c>
      <c r="O329" t="b">
        <v>0</v>
      </c>
      <c r="P329" t="b">
        <v>1</v>
      </c>
      <c r="Q329" t="b">
        <v>0</v>
      </c>
      <c r="R329" t="b">
        <v>0</v>
      </c>
      <c r="T329" t="s">
        <v>3677</v>
      </c>
      <c r="U329">
        <v>132</v>
      </c>
      <c r="V329" t="s">
        <v>3986</v>
      </c>
      <c r="W329">
        <v>4</v>
      </c>
      <c r="X329" t="s">
        <v>3986</v>
      </c>
      <c r="Y329" t="s">
        <v>3687</v>
      </c>
      <c r="Z329">
        <v>0</v>
      </c>
      <c r="AA329" t="s">
        <v>2493</v>
      </c>
      <c r="AB329" t="s">
        <v>3987</v>
      </c>
      <c r="AC329" t="s">
        <v>3986</v>
      </c>
      <c r="AD329" t="s">
        <v>3986</v>
      </c>
    </row>
    <row r="330" spans="1:30" x14ac:dyDescent="0.25">
      <c r="A330" t="s">
        <v>3999</v>
      </c>
      <c r="B330">
        <v>17</v>
      </c>
      <c r="C330" t="s">
        <v>3310</v>
      </c>
      <c r="D330" t="b">
        <v>0</v>
      </c>
      <c r="E330" t="b">
        <v>1</v>
      </c>
      <c r="F330" t="s">
        <v>3373</v>
      </c>
      <c r="G330" t="s">
        <v>3986</v>
      </c>
      <c r="H330" t="s">
        <v>3986</v>
      </c>
      <c r="I330" t="s">
        <v>3359</v>
      </c>
      <c r="J330" t="s">
        <v>3986</v>
      </c>
      <c r="K330" t="s">
        <v>3399</v>
      </c>
      <c r="L330" t="s">
        <v>3400</v>
      </c>
      <c r="M330" t="s">
        <v>2782</v>
      </c>
      <c r="N330">
        <v>7</v>
      </c>
      <c r="O330" t="b">
        <v>0</v>
      </c>
      <c r="P330" t="b">
        <v>1</v>
      </c>
      <c r="Q330" t="b">
        <v>0</v>
      </c>
      <c r="R330" t="b">
        <v>0</v>
      </c>
      <c r="T330" t="s">
        <v>3677</v>
      </c>
      <c r="U330">
        <v>133</v>
      </c>
      <c r="V330" t="s">
        <v>3986</v>
      </c>
      <c r="W330">
        <v>4</v>
      </c>
      <c r="X330" t="s">
        <v>3986</v>
      </c>
      <c r="Y330" t="s">
        <v>3688</v>
      </c>
      <c r="Z330">
        <v>0</v>
      </c>
      <c r="AA330" t="s">
        <v>2493</v>
      </c>
      <c r="AB330" t="s">
        <v>3987</v>
      </c>
      <c r="AC330" t="s">
        <v>3986</v>
      </c>
      <c r="AD330" t="s">
        <v>3986</v>
      </c>
    </row>
    <row r="331" spans="1:30" x14ac:dyDescent="0.25">
      <c r="A331" t="s">
        <v>4000</v>
      </c>
      <c r="B331">
        <v>18</v>
      </c>
      <c r="C331" t="s">
        <v>3310</v>
      </c>
      <c r="D331" t="b">
        <v>0</v>
      </c>
      <c r="E331" t="b">
        <v>1</v>
      </c>
      <c r="F331" t="s">
        <v>3373</v>
      </c>
      <c r="G331" t="s">
        <v>3986</v>
      </c>
      <c r="H331" t="s">
        <v>3986</v>
      </c>
      <c r="I331" t="s">
        <v>3359</v>
      </c>
      <c r="J331" t="s">
        <v>3986</v>
      </c>
      <c r="K331" t="s">
        <v>3399</v>
      </c>
      <c r="L331" t="s">
        <v>3400</v>
      </c>
      <c r="M331" t="s">
        <v>2782</v>
      </c>
      <c r="N331">
        <v>7</v>
      </c>
      <c r="O331" t="b">
        <v>0</v>
      </c>
      <c r="P331" t="b">
        <v>1</v>
      </c>
      <c r="Q331" t="b">
        <v>0</v>
      </c>
      <c r="R331" t="b">
        <v>0</v>
      </c>
      <c r="T331" t="s">
        <v>3677</v>
      </c>
      <c r="U331">
        <v>134</v>
      </c>
      <c r="V331" t="s">
        <v>3986</v>
      </c>
      <c r="W331">
        <v>4</v>
      </c>
      <c r="X331" t="s">
        <v>3986</v>
      </c>
      <c r="Y331" t="s">
        <v>3689</v>
      </c>
      <c r="Z331">
        <v>0</v>
      </c>
      <c r="AA331" t="s">
        <v>2493</v>
      </c>
      <c r="AB331" t="s">
        <v>3987</v>
      </c>
      <c r="AC331" t="s">
        <v>3986</v>
      </c>
      <c r="AD331" t="s">
        <v>3986</v>
      </c>
    </row>
    <row r="332" spans="1:30" x14ac:dyDescent="0.25">
      <c r="A332" t="s">
        <v>4001</v>
      </c>
      <c r="B332">
        <v>19</v>
      </c>
      <c r="C332" t="s">
        <v>3310</v>
      </c>
      <c r="D332" t="b">
        <v>0</v>
      </c>
      <c r="E332" t="b">
        <v>1</v>
      </c>
      <c r="F332" t="s">
        <v>3373</v>
      </c>
      <c r="G332" t="s">
        <v>3986</v>
      </c>
      <c r="H332" t="s">
        <v>3986</v>
      </c>
      <c r="I332" t="s">
        <v>3359</v>
      </c>
      <c r="J332" t="s">
        <v>3986</v>
      </c>
      <c r="K332" t="s">
        <v>3399</v>
      </c>
      <c r="L332" t="s">
        <v>3400</v>
      </c>
      <c r="M332" t="s">
        <v>2782</v>
      </c>
      <c r="N332">
        <v>7</v>
      </c>
      <c r="O332" t="b">
        <v>0</v>
      </c>
      <c r="P332" t="b">
        <v>1</v>
      </c>
      <c r="Q332" t="b">
        <v>0</v>
      </c>
      <c r="R332" t="b">
        <v>0</v>
      </c>
      <c r="T332" t="s">
        <v>3677</v>
      </c>
      <c r="U332">
        <v>135</v>
      </c>
      <c r="V332" t="s">
        <v>3986</v>
      </c>
      <c r="W332">
        <v>4</v>
      </c>
      <c r="X332" t="s">
        <v>3986</v>
      </c>
      <c r="Y332" t="s">
        <v>3690</v>
      </c>
      <c r="Z332">
        <v>0</v>
      </c>
      <c r="AA332" t="s">
        <v>2493</v>
      </c>
      <c r="AB332" t="s">
        <v>3987</v>
      </c>
      <c r="AC332" t="s">
        <v>3986</v>
      </c>
      <c r="AD332" t="s">
        <v>3986</v>
      </c>
    </row>
    <row r="333" spans="1:30" x14ac:dyDescent="0.25">
      <c r="A333" t="s">
        <v>4002</v>
      </c>
      <c r="B333">
        <v>20</v>
      </c>
      <c r="C333" t="s">
        <v>3310</v>
      </c>
      <c r="D333" t="b">
        <v>0</v>
      </c>
      <c r="E333" t="b">
        <v>1</v>
      </c>
      <c r="F333" t="s">
        <v>3373</v>
      </c>
      <c r="G333" t="s">
        <v>3986</v>
      </c>
      <c r="H333" t="s">
        <v>3986</v>
      </c>
      <c r="I333" t="s">
        <v>3359</v>
      </c>
      <c r="J333" t="s">
        <v>3986</v>
      </c>
      <c r="K333" t="s">
        <v>3399</v>
      </c>
      <c r="L333" t="s">
        <v>3400</v>
      </c>
      <c r="M333" t="s">
        <v>2782</v>
      </c>
      <c r="N333">
        <v>7</v>
      </c>
      <c r="O333" t="b">
        <v>0</v>
      </c>
      <c r="P333" t="b">
        <v>1</v>
      </c>
      <c r="Q333" t="b">
        <v>0</v>
      </c>
      <c r="R333" t="b">
        <v>0</v>
      </c>
      <c r="T333" t="s">
        <v>3677</v>
      </c>
      <c r="U333">
        <v>136</v>
      </c>
      <c r="V333" t="s">
        <v>3986</v>
      </c>
      <c r="W333">
        <v>4</v>
      </c>
      <c r="X333" t="s">
        <v>3986</v>
      </c>
      <c r="Y333" t="s">
        <v>3691</v>
      </c>
      <c r="Z333">
        <v>0</v>
      </c>
      <c r="AA333" t="s">
        <v>2493</v>
      </c>
      <c r="AB333" t="s">
        <v>3987</v>
      </c>
      <c r="AC333" t="s">
        <v>3986</v>
      </c>
      <c r="AD333" t="s">
        <v>3986</v>
      </c>
    </row>
    <row r="334" spans="1:30" x14ac:dyDescent="0.25">
      <c r="A334" t="s">
        <v>4003</v>
      </c>
      <c r="B334">
        <v>21</v>
      </c>
      <c r="C334" t="s">
        <v>3310</v>
      </c>
      <c r="D334" t="b">
        <v>0</v>
      </c>
      <c r="E334" t="b">
        <v>1</v>
      </c>
      <c r="F334" t="s">
        <v>3373</v>
      </c>
      <c r="G334" t="s">
        <v>3986</v>
      </c>
      <c r="H334" t="s">
        <v>3986</v>
      </c>
      <c r="I334" t="s">
        <v>3359</v>
      </c>
      <c r="J334" t="s">
        <v>3986</v>
      </c>
      <c r="K334" t="s">
        <v>3399</v>
      </c>
      <c r="L334" t="s">
        <v>3400</v>
      </c>
      <c r="M334" t="s">
        <v>2782</v>
      </c>
      <c r="N334">
        <v>7</v>
      </c>
      <c r="O334" t="b">
        <v>0</v>
      </c>
      <c r="P334" t="b">
        <v>1</v>
      </c>
      <c r="Q334" t="b">
        <v>0</v>
      </c>
      <c r="R334" t="b">
        <v>0</v>
      </c>
      <c r="T334" t="s">
        <v>3677</v>
      </c>
      <c r="U334">
        <v>137</v>
      </c>
      <c r="V334" t="s">
        <v>3986</v>
      </c>
      <c r="W334">
        <v>4</v>
      </c>
      <c r="X334" t="s">
        <v>3986</v>
      </c>
      <c r="Y334" t="s">
        <v>3692</v>
      </c>
      <c r="Z334">
        <v>0</v>
      </c>
      <c r="AA334" t="s">
        <v>2493</v>
      </c>
      <c r="AB334" t="s">
        <v>3987</v>
      </c>
      <c r="AC334" t="s">
        <v>3986</v>
      </c>
      <c r="AD334" t="s">
        <v>3986</v>
      </c>
    </row>
    <row r="335" spans="1:30" x14ac:dyDescent="0.25">
      <c r="A335" t="s">
        <v>4004</v>
      </c>
      <c r="B335">
        <v>22</v>
      </c>
      <c r="C335" t="s">
        <v>3310</v>
      </c>
      <c r="D335" t="b">
        <v>0</v>
      </c>
      <c r="E335" t="b">
        <v>1</v>
      </c>
      <c r="F335" t="s">
        <v>3373</v>
      </c>
      <c r="G335" t="s">
        <v>3986</v>
      </c>
      <c r="H335" t="s">
        <v>3986</v>
      </c>
      <c r="I335" t="s">
        <v>3359</v>
      </c>
      <c r="J335" t="s">
        <v>3986</v>
      </c>
      <c r="K335" t="s">
        <v>3399</v>
      </c>
      <c r="L335" t="s">
        <v>3400</v>
      </c>
      <c r="M335" t="s">
        <v>2782</v>
      </c>
      <c r="N335">
        <v>7</v>
      </c>
      <c r="O335" t="b">
        <v>0</v>
      </c>
      <c r="P335" t="b">
        <v>1</v>
      </c>
      <c r="Q335" t="b">
        <v>0</v>
      </c>
      <c r="R335" t="b">
        <v>0</v>
      </c>
      <c r="T335" t="s">
        <v>3677</v>
      </c>
      <c r="U335">
        <v>138</v>
      </c>
      <c r="V335" t="s">
        <v>3986</v>
      </c>
      <c r="W335">
        <v>4</v>
      </c>
      <c r="X335" t="s">
        <v>3986</v>
      </c>
      <c r="Y335" t="s">
        <v>3693</v>
      </c>
      <c r="Z335">
        <v>0</v>
      </c>
      <c r="AA335" t="s">
        <v>2493</v>
      </c>
      <c r="AB335" t="s">
        <v>3987</v>
      </c>
      <c r="AC335" t="s">
        <v>3986</v>
      </c>
      <c r="AD335" t="s">
        <v>3986</v>
      </c>
    </row>
    <row r="336" spans="1:30" x14ac:dyDescent="0.25">
      <c r="A336" t="s">
        <v>4005</v>
      </c>
      <c r="B336">
        <v>23</v>
      </c>
      <c r="C336" t="s">
        <v>3310</v>
      </c>
      <c r="D336" t="b">
        <v>0</v>
      </c>
      <c r="E336" t="b">
        <v>1</v>
      </c>
      <c r="F336" t="s">
        <v>3373</v>
      </c>
      <c r="G336" t="s">
        <v>3986</v>
      </c>
      <c r="H336" t="s">
        <v>3986</v>
      </c>
      <c r="I336" t="s">
        <v>3359</v>
      </c>
      <c r="J336" t="s">
        <v>3986</v>
      </c>
      <c r="K336" t="s">
        <v>3399</v>
      </c>
      <c r="L336" t="s">
        <v>3400</v>
      </c>
      <c r="M336" t="s">
        <v>2782</v>
      </c>
      <c r="N336">
        <v>7</v>
      </c>
      <c r="O336" t="b">
        <v>0</v>
      </c>
      <c r="P336" t="b">
        <v>1</v>
      </c>
      <c r="Q336" t="b">
        <v>0</v>
      </c>
      <c r="R336" t="b">
        <v>0</v>
      </c>
      <c r="T336" t="s">
        <v>3677</v>
      </c>
      <c r="U336">
        <v>139</v>
      </c>
      <c r="V336" t="s">
        <v>3986</v>
      </c>
      <c r="W336">
        <v>4</v>
      </c>
      <c r="X336" t="s">
        <v>3986</v>
      </c>
      <c r="Y336" t="s">
        <v>3694</v>
      </c>
      <c r="Z336">
        <v>0</v>
      </c>
      <c r="AA336" t="s">
        <v>2493</v>
      </c>
      <c r="AB336" t="s">
        <v>3987</v>
      </c>
      <c r="AC336" t="s">
        <v>3986</v>
      </c>
      <c r="AD336" t="s">
        <v>3986</v>
      </c>
    </row>
    <row r="337" spans="1:30" x14ac:dyDescent="0.25">
      <c r="A337" t="s">
        <v>4006</v>
      </c>
      <c r="B337">
        <v>24</v>
      </c>
      <c r="C337" t="s">
        <v>3310</v>
      </c>
      <c r="D337" t="b">
        <v>0</v>
      </c>
      <c r="E337" t="b">
        <v>1</v>
      </c>
      <c r="F337" t="s">
        <v>3373</v>
      </c>
      <c r="G337" t="s">
        <v>3986</v>
      </c>
      <c r="H337" t="s">
        <v>3986</v>
      </c>
      <c r="I337" t="s">
        <v>3359</v>
      </c>
      <c r="J337" t="s">
        <v>3986</v>
      </c>
      <c r="K337" t="s">
        <v>3399</v>
      </c>
      <c r="L337" t="s">
        <v>3400</v>
      </c>
      <c r="M337" t="s">
        <v>2782</v>
      </c>
      <c r="N337">
        <v>7</v>
      </c>
      <c r="O337" t="b">
        <v>0</v>
      </c>
      <c r="P337" t="b">
        <v>1</v>
      </c>
      <c r="Q337" t="b">
        <v>0</v>
      </c>
      <c r="R337" t="b">
        <v>0</v>
      </c>
      <c r="T337" t="s">
        <v>3677</v>
      </c>
      <c r="U337">
        <v>140</v>
      </c>
      <c r="V337" t="s">
        <v>3986</v>
      </c>
      <c r="W337">
        <v>4</v>
      </c>
      <c r="X337" t="s">
        <v>3986</v>
      </c>
      <c r="Y337" t="s">
        <v>3695</v>
      </c>
      <c r="Z337">
        <v>0</v>
      </c>
      <c r="AA337" t="s">
        <v>2493</v>
      </c>
      <c r="AB337" t="s">
        <v>3987</v>
      </c>
      <c r="AC337" t="s">
        <v>3986</v>
      </c>
      <c r="AD337" t="s">
        <v>3986</v>
      </c>
    </row>
    <row r="338" spans="1:30" x14ac:dyDescent="0.25">
      <c r="A338" t="s">
        <v>4007</v>
      </c>
      <c r="B338">
        <v>25</v>
      </c>
      <c r="C338" t="s">
        <v>3310</v>
      </c>
      <c r="D338" t="b">
        <v>0</v>
      </c>
      <c r="E338" t="b">
        <v>1</v>
      </c>
      <c r="F338" t="s">
        <v>3373</v>
      </c>
      <c r="G338" t="s">
        <v>3986</v>
      </c>
      <c r="H338" t="s">
        <v>3986</v>
      </c>
      <c r="I338" t="s">
        <v>3359</v>
      </c>
      <c r="J338" t="s">
        <v>3986</v>
      </c>
      <c r="K338" t="s">
        <v>3399</v>
      </c>
      <c r="L338" t="s">
        <v>3400</v>
      </c>
      <c r="M338" t="s">
        <v>2782</v>
      </c>
      <c r="N338">
        <v>7</v>
      </c>
      <c r="O338" t="b">
        <v>0</v>
      </c>
      <c r="P338" t="b">
        <v>1</v>
      </c>
      <c r="Q338" t="b">
        <v>0</v>
      </c>
      <c r="R338" t="b">
        <v>0</v>
      </c>
      <c r="T338" t="s">
        <v>3677</v>
      </c>
      <c r="U338">
        <v>141</v>
      </c>
      <c r="V338" t="s">
        <v>3986</v>
      </c>
      <c r="W338">
        <v>4</v>
      </c>
      <c r="X338" t="s">
        <v>3986</v>
      </c>
      <c r="Y338" t="s">
        <v>3696</v>
      </c>
      <c r="Z338">
        <v>0</v>
      </c>
      <c r="AA338" t="s">
        <v>2493</v>
      </c>
      <c r="AB338" t="s">
        <v>3987</v>
      </c>
      <c r="AC338" t="s">
        <v>3986</v>
      </c>
      <c r="AD338" t="s">
        <v>3986</v>
      </c>
    </row>
    <row r="339" spans="1:30" x14ac:dyDescent="0.25">
      <c r="A339" t="s">
        <v>4008</v>
      </c>
      <c r="B339">
        <v>26</v>
      </c>
      <c r="C339" t="s">
        <v>3310</v>
      </c>
      <c r="D339" t="b">
        <v>0</v>
      </c>
      <c r="E339" t="b">
        <v>1</v>
      </c>
      <c r="F339" t="s">
        <v>3373</v>
      </c>
      <c r="G339" t="s">
        <v>3986</v>
      </c>
      <c r="H339" t="s">
        <v>3986</v>
      </c>
      <c r="I339" t="s">
        <v>3359</v>
      </c>
      <c r="J339" t="s">
        <v>3986</v>
      </c>
      <c r="K339" t="s">
        <v>3399</v>
      </c>
      <c r="L339" t="s">
        <v>3400</v>
      </c>
      <c r="M339" t="s">
        <v>2782</v>
      </c>
      <c r="N339">
        <v>7</v>
      </c>
      <c r="O339" t="b">
        <v>0</v>
      </c>
      <c r="P339" t="b">
        <v>1</v>
      </c>
      <c r="Q339" t="b">
        <v>0</v>
      </c>
      <c r="R339" t="b">
        <v>0</v>
      </c>
      <c r="T339" t="s">
        <v>3677</v>
      </c>
      <c r="U339">
        <v>142</v>
      </c>
      <c r="V339" t="s">
        <v>3986</v>
      </c>
      <c r="W339">
        <v>4</v>
      </c>
      <c r="X339" t="s">
        <v>3986</v>
      </c>
      <c r="Y339" t="s">
        <v>3697</v>
      </c>
      <c r="Z339">
        <v>0</v>
      </c>
      <c r="AA339" t="s">
        <v>2493</v>
      </c>
      <c r="AB339" t="s">
        <v>3987</v>
      </c>
      <c r="AC339" t="s">
        <v>3986</v>
      </c>
      <c r="AD339" t="s">
        <v>3986</v>
      </c>
    </row>
    <row r="340" spans="1:30" x14ac:dyDescent="0.25">
      <c r="A340" t="s">
        <v>4009</v>
      </c>
      <c r="B340">
        <v>27</v>
      </c>
      <c r="C340" t="s">
        <v>3310</v>
      </c>
      <c r="D340" t="b">
        <v>0</v>
      </c>
      <c r="E340" t="b">
        <v>1</v>
      </c>
      <c r="F340" t="s">
        <v>3373</v>
      </c>
      <c r="G340" t="s">
        <v>3986</v>
      </c>
      <c r="H340" t="s">
        <v>3986</v>
      </c>
      <c r="I340" t="s">
        <v>3359</v>
      </c>
      <c r="J340" t="s">
        <v>3986</v>
      </c>
      <c r="K340" t="s">
        <v>3399</v>
      </c>
      <c r="L340" t="s">
        <v>3400</v>
      </c>
      <c r="M340" t="s">
        <v>2782</v>
      </c>
      <c r="N340">
        <v>7</v>
      </c>
      <c r="O340" t="b">
        <v>0</v>
      </c>
      <c r="P340" t="b">
        <v>1</v>
      </c>
      <c r="Q340" t="b">
        <v>0</v>
      </c>
      <c r="R340" t="b">
        <v>0</v>
      </c>
      <c r="T340" t="s">
        <v>3677</v>
      </c>
      <c r="U340">
        <v>145</v>
      </c>
      <c r="V340" t="s">
        <v>3986</v>
      </c>
      <c r="W340">
        <v>4</v>
      </c>
      <c r="X340" t="s">
        <v>3986</v>
      </c>
      <c r="Y340" t="s">
        <v>3726</v>
      </c>
      <c r="Z340">
        <v>0</v>
      </c>
      <c r="AA340" t="s">
        <v>2493</v>
      </c>
      <c r="AB340" t="s">
        <v>3987</v>
      </c>
      <c r="AC340" t="s">
        <v>3986</v>
      </c>
      <c r="AD340" t="s">
        <v>3986</v>
      </c>
    </row>
    <row r="341" spans="1:30" x14ac:dyDescent="0.25">
      <c r="A341" t="s">
        <v>4010</v>
      </c>
      <c r="B341">
        <v>28</v>
      </c>
      <c r="C341" t="s">
        <v>3310</v>
      </c>
      <c r="D341" t="b">
        <v>0</v>
      </c>
      <c r="E341" t="b">
        <v>1</v>
      </c>
      <c r="F341" t="s">
        <v>3373</v>
      </c>
      <c r="G341" t="s">
        <v>3986</v>
      </c>
      <c r="H341" t="s">
        <v>3986</v>
      </c>
      <c r="I341" t="s">
        <v>3359</v>
      </c>
      <c r="J341" t="s">
        <v>3986</v>
      </c>
      <c r="K341" t="s">
        <v>3399</v>
      </c>
      <c r="L341" t="s">
        <v>3400</v>
      </c>
      <c r="M341" t="s">
        <v>2782</v>
      </c>
      <c r="N341">
        <v>7</v>
      </c>
      <c r="O341" t="b">
        <v>0</v>
      </c>
      <c r="P341" t="b">
        <v>1</v>
      </c>
      <c r="Q341" t="b">
        <v>0</v>
      </c>
      <c r="R341" t="b">
        <v>0</v>
      </c>
      <c r="T341" t="s">
        <v>3677</v>
      </c>
      <c r="U341">
        <v>146</v>
      </c>
      <c r="V341" t="s">
        <v>3986</v>
      </c>
      <c r="W341">
        <v>4</v>
      </c>
      <c r="X341" t="s">
        <v>3986</v>
      </c>
      <c r="Y341" t="s">
        <v>3727</v>
      </c>
      <c r="Z341">
        <v>0</v>
      </c>
      <c r="AA341" t="s">
        <v>2493</v>
      </c>
      <c r="AB341" t="s">
        <v>3987</v>
      </c>
      <c r="AC341" t="s">
        <v>3986</v>
      </c>
      <c r="AD341" t="s">
        <v>3986</v>
      </c>
    </row>
    <row r="342" spans="1:30" x14ac:dyDescent="0.25">
      <c r="A342" t="s">
        <v>4011</v>
      </c>
      <c r="B342">
        <v>29</v>
      </c>
      <c r="C342" t="s">
        <v>3310</v>
      </c>
      <c r="D342" t="b">
        <v>0</v>
      </c>
      <c r="E342" t="b">
        <v>1</v>
      </c>
      <c r="F342" t="s">
        <v>3373</v>
      </c>
      <c r="G342" t="s">
        <v>3986</v>
      </c>
      <c r="H342" t="s">
        <v>3986</v>
      </c>
      <c r="I342" t="s">
        <v>3359</v>
      </c>
      <c r="J342" t="s">
        <v>3986</v>
      </c>
      <c r="K342" t="s">
        <v>3399</v>
      </c>
      <c r="L342" t="s">
        <v>3400</v>
      </c>
      <c r="M342" t="s">
        <v>2782</v>
      </c>
      <c r="N342">
        <v>7</v>
      </c>
      <c r="O342" t="b">
        <v>0</v>
      </c>
      <c r="P342" t="b">
        <v>1</v>
      </c>
      <c r="Q342" t="b">
        <v>0</v>
      </c>
      <c r="R342" t="b">
        <v>0</v>
      </c>
      <c r="T342" t="s">
        <v>3677</v>
      </c>
      <c r="U342">
        <v>147</v>
      </c>
      <c r="V342" t="s">
        <v>3986</v>
      </c>
      <c r="W342">
        <v>4</v>
      </c>
      <c r="X342" t="s">
        <v>3986</v>
      </c>
      <c r="Y342" t="s">
        <v>3728</v>
      </c>
      <c r="Z342">
        <v>0</v>
      </c>
      <c r="AA342" t="s">
        <v>2493</v>
      </c>
      <c r="AB342" t="s">
        <v>3987</v>
      </c>
      <c r="AC342" t="s">
        <v>3986</v>
      </c>
      <c r="AD342" t="s">
        <v>3986</v>
      </c>
    </row>
    <row r="343" spans="1:30" x14ac:dyDescent="0.25">
      <c r="A343" t="s">
        <v>4012</v>
      </c>
      <c r="B343">
        <v>30</v>
      </c>
      <c r="C343" t="s">
        <v>3310</v>
      </c>
      <c r="D343" t="b">
        <v>0</v>
      </c>
      <c r="E343" t="b">
        <v>1</v>
      </c>
      <c r="F343" t="s">
        <v>3373</v>
      </c>
      <c r="G343" t="s">
        <v>3986</v>
      </c>
      <c r="H343" t="s">
        <v>3986</v>
      </c>
      <c r="I343" t="s">
        <v>3359</v>
      </c>
      <c r="J343" t="s">
        <v>3986</v>
      </c>
      <c r="K343" t="s">
        <v>3399</v>
      </c>
      <c r="L343" t="s">
        <v>3400</v>
      </c>
      <c r="M343" t="s">
        <v>2782</v>
      </c>
      <c r="N343">
        <v>7</v>
      </c>
      <c r="O343" t="b">
        <v>0</v>
      </c>
      <c r="P343" t="b">
        <v>1</v>
      </c>
      <c r="Q343" t="b">
        <v>0</v>
      </c>
      <c r="R343" t="b">
        <v>0</v>
      </c>
      <c r="T343" t="s">
        <v>3677</v>
      </c>
      <c r="U343">
        <v>148</v>
      </c>
      <c r="V343" t="s">
        <v>3986</v>
      </c>
      <c r="W343">
        <v>4</v>
      </c>
      <c r="X343" t="s">
        <v>3986</v>
      </c>
      <c r="Y343" t="s">
        <v>4888</v>
      </c>
      <c r="Z343">
        <v>0</v>
      </c>
      <c r="AA343" t="s">
        <v>2493</v>
      </c>
      <c r="AB343" t="s">
        <v>3987</v>
      </c>
      <c r="AC343" t="s">
        <v>3986</v>
      </c>
      <c r="AD343" t="s">
        <v>3986</v>
      </c>
    </row>
    <row r="344" spans="1:30" x14ac:dyDescent="0.25">
      <c r="A344" t="s">
        <v>4013</v>
      </c>
      <c r="B344">
        <v>31</v>
      </c>
      <c r="C344" t="s">
        <v>3310</v>
      </c>
      <c r="D344" t="b">
        <v>0</v>
      </c>
      <c r="E344" t="b">
        <v>1</v>
      </c>
      <c r="F344" t="s">
        <v>3373</v>
      </c>
      <c r="G344" t="s">
        <v>3986</v>
      </c>
      <c r="H344" t="s">
        <v>3986</v>
      </c>
      <c r="I344" t="s">
        <v>3359</v>
      </c>
      <c r="J344" t="s">
        <v>3986</v>
      </c>
      <c r="K344" t="s">
        <v>3399</v>
      </c>
      <c r="L344" t="s">
        <v>3400</v>
      </c>
      <c r="M344" t="s">
        <v>2782</v>
      </c>
      <c r="N344">
        <v>7</v>
      </c>
      <c r="O344" t="b">
        <v>0</v>
      </c>
      <c r="P344" t="b">
        <v>1</v>
      </c>
      <c r="Q344" t="b">
        <v>0</v>
      </c>
      <c r="R344" t="b">
        <v>0</v>
      </c>
      <c r="T344" t="s">
        <v>3677</v>
      </c>
      <c r="U344">
        <v>149</v>
      </c>
      <c r="V344" t="s">
        <v>3986</v>
      </c>
      <c r="W344">
        <v>4</v>
      </c>
      <c r="X344" t="s">
        <v>3986</v>
      </c>
      <c r="Y344" t="s">
        <v>3729</v>
      </c>
      <c r="Z344">
        <v>0</v>
      </c>
      <c r="AA344" t="s">
        <v>2493</v>
      </c>
      <c r="AB344" t="s">
        <v>3987</v>
      </c>
      <c r="AC344" t="s">
        <v>3986</v>
      </c>
      <c r="AD344" t="s">
        <v>3986</v>
      </c>
    </row>
    <row r="345" spans="1:30" x14ac:dyDescent="0.25">
      <c r="A345" t="s">
        <v>4014</v>
      </c>
      <c r="B345">
        <v>32</v>
      </c>
      <c r="C345" t="s">
        <v>3310</v>
      </c>
      <c r="D345" t="b">
        <v>0</v>
      </c>
      <c r="E345" t="b">
        <v>1</v>
      </c>
      <c r="F345" t="s">
        <v>3373</v>
      </c>
      <c r="G345" t="s">
        <v>3986</v>
      </c>
      <c r="H345" t="s">
        <v>3986</v>
      </c>
      <c r="I345" t="s">
        <v>3359</v>
      </c>
      <c r="J345" t="s">
        <v>3986</v>
      </c>
      <c r="K345" t="s">
        <v>3399</v>
      </c>
      <c r="L345" t="s">
        <v>3400</v>
      </c>
      <c r="M345" t="s">
        <v>2782</v>
      </c>
      <c r="N345">
        <v>7</v>
      </c>
      <c r="O345" t="b">
        <v>0</v>
      </c>
      <c r="P345" t="b">
        <v>1</v>
      </c>
      <c r="Q345" t="b">
        <v>0</v>
      </c>
      <c r="R345" t="b">
        <v>0</v>
      </c>
      <c r="T345" t="s">
        <v>3677</v>
      </c>
      <c r="U345">
        <v>150</v>
      </c>
      <c r="V345" t="s">
        <v>3986</v>
      </c>
      <c r="W345">
        <v>4</v>
      </c>
      <c r="X345" t="s">
        <v>3986</v>
      </c>
      <c r="Y345" t="s">
        <v>3730</v>
      </c>
      <c r="Z345">
        <v>0</v>
      </c>
      <c r="AA345" t="s">
        <v>2493</v>
      </c>
      <c r="AB345" t="s">
        <v>3987</v>
      </c>
      <c r="AC345" t="s">
        <v>3986</v>
      </c>
      <c r="AD345" t="s">
        <v>3986</v>
      </c>
    </row>
    <row r="346" spans="1:30" x14ac:dyDescent="0.25">
      <c r="A346" t="s">
        <v>4015</v>
      </c>
      <c r="B346">
        <v>33</v>
      </c>
      <c r="C346" t="s">
        <v>3310</v>
      </c>
      <c r="D346" t="b">
        <v>0</v>
      </c>
      <c r="E346" t="b">
        <v>1</v>
      </c>
      <c r="F346" t="s">
        <v>3373</v>
      </c>
      <c r="G346" t="s">
        <v>3986</v>
      </c>
      <c r="H346" t="s">
        <v>3986</v>
      </c>
      <c r="I346" t="s">
        <v>3359</v>
      </c>
      <c r="J346" t="s">
        <v>3986</v>
      </c>
      <c r="K346" t="s">
        <v>3399</v>
      </c>
      <c r="L346" t="s">
        <v>3400</v>
      </c>
      <c r="M346" t="s">
        <v>2782</v>
      </c>
      <c r="N346">
        <v>7</v>
      </c>
      <c r="O346" t="b">
        <v>0</v>
      </c>
      <c r="P346" t="b">
        <v>1</v>
      </c>
      <c r="Q346" t="b">
        <v>0</v>
      </c>
      <c r="R346" t="b">
        <v>0</v>
      </c>
      <c r="T346" t="s">
        <v>3677</v>
      </c>
      <c r="U346">
        <v>151</v>
      </c>
      <c r="V346" t="s">
        <v>3986</v>
      </c>
      <c r="W346">
        <v>4</v>
      </c>
      <c r="X346" t="s">
        <v>3986</v>
      </c>
      <c r="Y346" t="s">
        <v>3731</v>
      </c>
      <c r="Z346">
        <v>0</v>
      </c>
      <c r="AA346" t="s">
        <v>2493</v>
      </c>
      <c r="AB346" t="s">
        <v>3987</v>
      </c>
      <c r="AC346" t="s">
        <v>3986</v>
      </c>
      <c r="AD346" t="s">
        <v>3986</v>
      </c>
    </row>
    <row r="347" spans="1:30" x14ac:dyDescent="0.25">
      <c r="A347" t="s">
        <v>4016</v>
      </c>
      <c r="B347">
        <v>34</v>
      </c>
      <c r="C347" t="s">
        <v>3310</v>
      </c>
      <c r="D347" t="b">
        <v>0</v>
      </c>
      <c r="E347" t="b">
        <v>1</v>
      </c>
      <c r="F347" t="s">
        <v>3373</v>
      </c>
      <c r="G347" t="s">
        <v>3986</v>
      </c>
      <c r="H347" t="s">
        <v>3986</v>
      </c>
      <c r="I347" t="s">
        <v>3359</v>
      </c>
      <c r="J347" t="s">
        <v>3986</v>
      </c>
      <c r="K347" t="s">
        <v>3399</v>
      </c>
      <c r="L347" t="s">
        <v>3400</v>
      </c>
      <c r="M347" t="s">
        <v>2782</v>
      </c>
      <c r="N347">
        <v>7</v>
      </c>
      <c r="O347" t="b">
        <v>0</v>
      </c>
      <c r="P347" t="b">
        <v>1</v>
      </c>
      <c r="Q347" t="b">
        <v>0</v>
      </c>
      <c r="R347" t="b">
        <v>0</v>
      </c>
      <c r="T347" t="s">
        <v>3677</v>
      </c>
      <c r="U347">
        <v>152</v>
      </c>
      <c r="V347" t="s">
        <v>3986</v>
      </c>
      <c r="W347">
        <v>4</v>
      </c>
      <c r="X347" t="s">
        <v>3986</v>
      </c>
      <c r="Y347" t="s">
        <v>3732</v>
      </c>
      <c r="Z347">
        <v>0</v>
      </c>
      <c r="AA347" t="s">
        <v>2493</v>
      </c>
      <c r="AB347" t="s">
        <v>3987</v>
      </c>
      <c r="AC347" t="s">
        <v>3986</v>
      </c>
      <c r="AD347" t="s">
        <v>3986</v>
      </c>
    </row>
    <row r="348" spans="1:30" x14ac:dyDescent="0.25">
      <c r="A348" t="s">
        <v>4017</v>
      </c>
      <c r="B348">
        <v>35</v>
      </c>
      <c r="C348" t="s">
        <v>3310</v>
      </c>
      <c r="D348" t="b">
        <v>0</v>
      </c>
      <c r="E348" t="b">
        <v>1</v>
      </c>
      <c r="F348" t="s">
        <v>3373</v>
      </c>
      <c r="G348" t="s">
        <v>3986</v>
      </c>
      <c r="H348" t="s">
        <v>3986</v>
      </c>
      <c r="I348" t="s">
        <v>3359</v>
      </c>
      <c r="J348" t="s">
        <v>3986</v>
      </c>
      <c r="K348" t="s">
        <v>3399</v>
      </c>
      <c r="L348" t="s">
        <v>3400</v>
      </c>
      <c r="M348" t="s">
        <v>2782</v>
      </c>
      <c r="N348">
        <v>7</v>
      </c>
      <c r="O348" t="b">
        <v>0</v>
      </c>
      <c r="P348" t="b">
        <v>1</v>
      </c>
      <c r="Q348" t="b">
        <v>0</v>
      </c>
      <c r="R348" t="b">
        <v>0</v>
      </c>
      <c r="T348" t="s">
        <v>3677</v>
      </c>
      <c r="U348">
        <v>153</v>
      </c>
      <c r="V348" t="s">
        <v>3986</v>
      </c>
      <c r="W348">
        <v>4</v>
      </c>
      <c r="X348" t="s">
        <v>3986</v>
      </c>
      <c r="Y348" t="s">
        <v>3733</v>
      </c>
      <c r="Z348">
        <v>0</v>
      </c>
      <c r="AA348" t="s">
        <v>2493</v>
      </c>
      <c r="AB348" t="s">
        <v>3987</v>
      </c>
      <c r="AC348" t="s">
        <v>3986</v>
      </c>
      <c r="AD348" t="s">
        <v>3986</v>
      </c>
    </row>
    <row r="349" spans="1:30" x14ac:dyDescent="0.25">
      <c r="A349" t="s">
        <v>4018</v>
      </c>
      <c r="B349">
        <v>36</v>
      </c>
      <c r="C349" t="s">
        <v>3310</v>
      </c>
      <c r="D349" t="b">
        <v>0</v>
      </c>
      <c r="E349" t="b">
        <v>1</v>
      </c>
      <c r="F349" t="s">
        <v>3373</v>
      </c>
      <c r="G349" t="s">
        <v>3986</v>
      </c>
      <c r="H349" t="s">
        <v>3986</v>
      </c>
      <c r="I349" t="s">
        <v>3359</v>
      </c>
      <c r="J349" t="s">
        <v>3986</v>
      </c>
      <c r="K349" t="s">
        <v>3399</v>
      </c>
      <c r="L349" t="s">
        <v>3400</v>
      </c>
      <c r="M349" t="s">
        <v>2782</v>
      </c>
      <c r="N349">
        <v>7</v>
      </c>
      <c r="O349" t="b">
        <v>0</v>
      </c>
      <c r="P349" t="b">
        <v>1</v>
      </c>
      <c r="Q349" t="b">
        <v>0</v>
      </c>
      <c r="R349" t="b">
        <v>0</v>
      </c>
      <c r="T349" t="s">
        <v>3677</v>
      </c>
      <c r="U349">
        <v>154</v>
      </c>
      <c r="V349" t="s">
        <v>3986</v>
      </c>
      <c r="W349">
        <v>4</v>
      </c>
      <c r="X349" t="s">
        <v>3986</v>
      </c>
      <c r="Y349" t="s">
        <v>3734</v>
      </c>
      <c r="Z349">
        <v>0</v>
      </c>
      <c r="AA349" t="s">
        <v>2493</v>
      </c>
      <c r="AB349" t="s">
        <v>3987</v>
      </c>
      <c r="AC349" t="s">
        <v>3986</v>
      </c>
      <c r="AD349" t="s">
        <v>3986</v>
      </c>
    </row>
    <row r="350" spans="1:30" x14ac:dyDescent="0.25">
      <c r="A350" t="s">
        <v>4019</v>
      </c>
      <c r="B350">
        <v>37</v>
      </c>
      <c r="C350" t="s">
        <v>3310</v>
      </c>
      <c r="D350" t="b">
        <v>0</v>
      </c>
      <c r="E350" t="b">
        <v>1</v>
      </c>
      <c r="F350" t="s">
        <v>3373</v>
      </c>
      <c r="G350" t="s">
        <v>3986</v>
      </c>
      <c r="H350" t="s">
        <v>3986</v>
      </c>
      <c r="I350" t="s">
        <v>3359</v>
      </c>
      <c r="J350" t="s">
        <v>3986</v>
      </c>
      <c r="K350" t="s">
        <v>3399</v>
      </c>
      <c r="L350" t="s">
        <v>3400</v>
      </c>
      <c r="M350" t="s">
        <v>2782</v>
      </c>
      <c r="N350">
        <v>7</v>
      </c>
      <c r="O350" t="b">
        <v>0</v>
      </c>
      <c r="P350" t="b">
        <v>1</v>
      </c>
      <c r="Q350" t="b">
        <v>0</v>
      </c>
      <c r="R350" t="b">
        <v>0</v>
      </c>
      <c r="T350" t="s">
        <v>3677</v>
      </c>
      <c r="U350">
        <v>155</v>
      </c>
      <c r="V350" t="s">
        <v>3986</v>
      </c>
      <c r="W350">
        <v>4</v>
      </c>
      <c r="X350" t="s">
        <v>3986</v>
      </c>
      <c r="Y350" t="s">
        <v>3735</v>
      </c>
      <c r="Z350">
        <v>0</v>
      </c>
      <c r="AA350" t="s">
        <v>2493</v>
      </c>
      <c r="AB350" t="s">
        <v>3987</v>
      </c>
      <c r="AC350" t="s">
        <v>3986</v>
      </c>
      <c r="AD350" t="s">
        <v>3986</v>
      </c>
    </row>
    <row r="351" spans="1:30" x14ac:dyDescent="0.25">
      <c r="A351" t="s">
        <v>4020</v>
      </c>
      <c r="B351">
        <v>38</v>
      </c>
      <c r="C351" t="s">
        <v>3310</v>
      </c>
      <c r="D351" t="b">
        <v>0</v>
      </c>
      <c r="E351" t="b">
        <v>1</v>
      </c>
      <c r="F351" t="s">
        <v>3373</v>
      </c>
      <c r="G351" t="s">
        <v>3986</v>
      </c>
      <c r="H351" t="s">
        <v>3986</v>
      </c>
      <c r="I351" t="s">
        <v>3359</v>
      </c>
      <c r="J351" t="s">
        <v>3986</v>
      </c>
      <c r="K351" t="s">
        <v>3399</v>
      </c>
      <c r="L351" t="s">
        <v>3400</v>
      </c>
      <c r="M351" t="s">
        <v>2782</v>
      </c>
      <c r="N351">
        <v>7</v>
      </c>
      <c r="O351" t="b">
        <v>0</v>
      </c>
      <c r="P351" t="b">
        <v>1</v>
      </c>
      <c r="Q351" t="b">
        <v>0</v>
      </c>
      <c r="R351" t="b">
        <v>0</v>
      </c>
      <c r="T351" t="s">
        <v>3677</v>
      </c>
      <c r="U351">
        <v>156</v>
      </c>
      <c r="V351" t="s">
        <v>3986</v>
      </c>
      <c r="W351">
        <v>4</v>
      </c>
      <c r="X351" t="s">
        <v>3986</v>
      </c>
      <c r="Y351" t="s">
        <v>3736</v>
      </c>
      <c r="Z351">
        <v>0</v>
      </c>
      <c r="AA351" t="s">
        <v>2493</v>
      </c>
      <c r="AB351" t="s">
        <v>3987</v>
      </c>
      <c r="AC351" t="s">
        <v>3986</v>
      </c>
      <c r="AD351" t="s">
        <v>3986</v>
      </c>
    </row>
    <row r="352" spans="1:30" x14ac:dyDescent="0.25">
      <c r="A352" t="s">
        <v>4021</v>
      </c>
      <c r="B352">
        <v>39</v>
      </c>
      <c r="C352" t="s">
        <v>3310</v>
      </c>
      <c r="D352" t="b">
        <v>0</v>
      </c>
      <c r="E352" t="b">
        <v>1</v>
      </c>
      <c r="F352" t="s">
        <v>3373</v>
      </c>
      <c r="G352" t="s">
        <v>3986</v>
      </c>
      <c r="H352" t="s">
        <v>3986</v>
      </c>
      <c r="I352" t="s">
        <v>3359</v>
      </c>
      <c r="J352" t="s">
        <v>3986</v>
      </c>
      <c r="K352" t="s">
        <v>3399</v>
      </c>
      <c r="L352" t="s">
        <v>3400</v>
      </c>
      <c r="M352" t="s">
        <v>2782</v>
      </c>
      <c r="N352">
        <v>7</v>
      </c>
      <c r="O352" t="b">
        <v>0</v>
      </c>
      <c r="P352" t="b">
        <v>1</v>
      </c>
      <c r="Q352" t="b">
        <v>0</v>
      </c>
      <c r="R352" t="b">
        <v>0</v>
      </c>
      <c r="T352" t="s">
        <v>3677</v>
      </c>
      <c r="U352">
        <v>157</v>
      </c>
      <c r="V352" t="s">
        <v>3986</v>
      </c>
      <c r="W352">
        <v>4</v>
      </c>
      <c r="X352" t="s">
        <v>3986</v>
      </c>
      <c r="Y352" t="s">
        <v>3737</v>
      </c>
      <c r="Z352">
        <v>0</v>
      </c>
      <c r="AA352" t="s">
        <v>2493</v>
      </c>
      <c r="AB352" t="s">
        <v>3987</v>
      </c>
      <c r="AC352" t="s">
        <v>3986</v>
      </c>
      <c r="AD352" t="s">
        <v>3986</v>
      </c>
    </row>
    <row r="353" spans="1:30" x14ac:dyDescent="0.25">
      <c r="A353" t="s">
        <v>4022</v>
      </c>
      <c r="B353">
        <v>40</v>
      </c>
      <c r="C353" t="s">
        <v>3310</v>
      </c>
      <c r="D353" t="b">
        <v>0</v>
      </c>
      <c r="E353" t="b">
        <v>1</v>
      </c>
      <c r="F353" t="s">
        <v>3373</v>
      </c>
      <c r="G353" t="s">
        <v>3986</v>
      </c>
      <c r="H353" t="s">
        <v>3986</v>
      </c>
      <c r="I353" t="s">
        <v>3359</v>
      </c>
      <c r="J353" t="s">
        <v>3986</v>
      </c>
      <c r="K353" t="s">
        <v>3399</v>
      </c>
      <c r="L353" t="s">
        <v>3400</v>
      </c>
      <c r="M353" t="s">
        <v>2782</v>
      </c>
      <c r="N353">
        <v>7</v>
      </c>
      <c r="O353" t="b">
        <v>0</v>
      </c>
      <c r="P353" t="b">
        <v>1</v>
      </c>
      <c r="Q353" t="b">
        <v>0</v>
      </c>
      <c r="R353" t="b">
        <v>0</v>
      </c>
      <c r="T353" t="s">
        <v>3677</v>
      </c>
      <c r="U353">
        <v>158</v>
      </c>
      <c r="V353" t="s">
        <v>3986</v>
      </c>
      <c r="W353">
        <v>4</v>
      </c>
      <c r="X353" t="s">
        <v>3986</v>
      </c>
      <c r="Y353" t="s">
        <v>3738</v>
      </c>
      <c r="Z353">
        <v>0</v>
      </c>
      <c r="AA353" t="s">
        <v>2493</v>
      </c>
      <c r="AB353" t="s">
        <v>3987</v>
      </c>
      <c r="AC353" t="s">
        <v>3986</v>
      </c>
      <c r="AD353" t="s">
        <v>3986</v>
      </c>
    </row>
    <row r="354" spans="1:30" x14ac:dyDescent="0.25">
      <c r="A354" t="s">
        <v>4023</v>
      </c>
      <c r="B354">
        <v>41</v>
      </c>
      <c r="C354" t="s">
        <v>3310</v>
      </c>
      <c r="D354" t="b">
        <v>0</v>
      </c>
      <c r="E354" t="b">
        <v>1</v>
      </c>
      <c r="F354" t="s">
        <v>3373</v>
      </c>
      <c r="G354" t="s">
        <v>3986</v>
      </c>
      <c r="H354" t="s">
        <v>3986</v>
      </c>
      <c r="I354" t="s">
        <v>3359</v>
      </c>
      <c r="J354" t="s">
        <v>3986</v>
      </c>
      <c r="K354" t="s">
        <v>3399</v>
      </c>
      <c r="L354" t="s">
        <v>3400</v>
      </c>
      <c r="M354" t="s">
        <v>2782</v>
      </c>
      <c r="N354">
        <v>7</v>
      </c>
      <c r="O354" t="b">
        <v>0</v>
      </c>
      <c r="P354" t="b">
        <v>1</v>
      </c>
      <c r="Q354" t="b">
        <v>0</v>
      </c>
      <c r="R354" t="b">
        <v>0</v>
      </c>
      <c r="T354" t="s">
        <v>3677</v>
      </c>
      <c r="U354">
        <v>159</v>
      </c>
      <c r="V354" t="s">
        <v>3986</v>
      </c>
      <c r="W354">
        <v>4</v>
      </c>
      <c r="X354" t="s">
        <v>3986</v>
      </c>
      <c r="Y354" t="s">
        <v>3739</v>
      </c>
      <c r="Z354">
        <v>0</v>
      </c>
      <c r="AA354" t="s">
        <v>2493</v>
      </c>
      <c r="AB354" t="s">
        <v>3987</v>
      </c>
      <c r="AC354" t="s">
        <v>3986</v>
      </c>
      <c r="AD354" t="s">
        <v>3986</v>
      </c>
    </row>
    <row r="355" spans="1:30" x14ac:dyDescent="0.25">
      <c r="A355" t="s">
        <v>4024</v>
      </c>
      <c r="B355">
        <v>42</v>
      </c>
      <c r="C355" t="s">
        <v>3310</v>
      </c>
      <c r="D355" t="b">
        <v>0</v>
      </c>
      <c r="E355" t="b">
        <v>1</v>
      </c>
      <c r="F355" t="s">
        <v>3373</v>
      </c>
      <c r="G355" t="s">
        <v>3986</v>
      </c>
      <c r="H355" t="s">
        <v>3986</v>
      </c>
      <c r="I355" t="s">
        <v>3359</v>
      </c>
      <c r="J355" t="s">
        <v>3986</v>
      </c>
      <c r="K355" t="s">
        <v>3399</v>
      </c>
      <c r="L355" t="s">
        <v>3400</v>
      </c>
      <c r="M355" t="s">
        <v>2782</v>
      </c>
      <c r="N355">
        <v>7</v>
      </c>
      <c r="O355" t="b">
        <v>0</v>
      </c>
      <c r="P355" t="b">
        <v>1</v>
      </c>
      <c r="Q355" t="b">
        <v>0</v>
      </c>
      <c r="R355" t="b">
        <v>0</v>
      </c>
      <c r="T355" t="s">
        <v>3677</v>
      </c>
      <c r="U355">
        <v>160</v>
      </c>
      <c r="V355" t="s">
        <v>3986</v>
      </c>
      <c r="W355">
        <v>4</v>
      </c>
      <c r="X355" t="s">
        <v>3986</v>
      </c>
      <c r="Y355" t="s">
        <v>3740</v>
      </c>
      <c r="Z355">
        <v>0</v>
      </c>
      <c r="AA355" t="s">
        <v>2493</v>
      </c>
      <c r="AB355" t="s">
        <v>3987</v>
      </c>
      <c r="AC355" t="s">
        <v>3986</v>
      </c>
      <c r="AD355" t="s">
        <v>3986</v>
      </c>
    </row>
    <row r="356" spans="1:30" x14ac:dyDescent="0.25">
      <c r="A356" t="s">
        <v>4025</v>
      </c>
      <c r="B356">
        <v>43</v>
      </c>
      <c r="C356" t="s">
        <v>3310</v>
      </c>
      <c r="D356" t="b">
        <v>0</v>
      </c>
      <c r="E356" t="b">
        <v>1</v>
      </c>
      <c r="F356" t="s">
        <v>3373</v>
      </c>
      <c r="G356" t="s">
        <v>3986</v>
      </c>
      <c r="H356" t="s">
        <v>3986</v>
      </c>
      <c r="I356" t="s">
        <v>3359</v>
      </c>
      <c r="J356" t="s">
        <v>3986</v>
      </c>
      <c r="K356" t="s">
        <v>3399</v>
      </c>
      <c r="L356" t="s">
        <v>3400</v>
      </c>
      <c r="M356" t="s">
        <v>2782</v>
      </c>
      <c r="N356">
        <v>7</v>
      </c>
      <c r="O356" t="b">
        <v>0</v>
      </c>
      <c r="P356" t="b">
        <v>1</v>
      </c>
      <c r="Q356" t="b">
        <v>0</v>
      </c>
      <c r="R356" t="b">
        <v>0</v>
      </c>
      <c r="T356" t="s">
        <v>3677</v>
      </c>
      <c r="U356">
        <v>161</v>
      </c>
      <c r="V356" t="s">
        <v>3986</v>
      </c>
      <c r="W356">
        <v>4</v>
      </c>
      <c r="X356" t="s">
        <v>3986</v>
      </c>
      <c r="Y356" t="s">
        <v>3741</v>
      </c>
      <c r="Z356">
        <v>0</v>
      </c>
      <c r="AA356" t="s">
        <v>2493</v>
      </c>
      <c r="AB356" t="s">
        <v>3987</v>
      </c>
      <c r="AC356" t="s">
        <v>3986</v>
      </c>
      <c r="AD356" t="s">
        <v>3986</v>
      </c>
    </row>
    <row r="357" spans="1:30" x14ac:dyDescent="0.25">
      <c r="A357" t="s">
        <v>4026</v>
      </c>
      <c r="B357">
        <v>44</v>
      </c>
      <c r="C357" t="s">
        <v>3310</v>
      </c>
      <c r="D357" t="b">
        <v>0</v>
      </c>
      <c r="E357" t="b">
        <v>1</v>
      </c>
      <c r="F357" t="s">
        <v>3373</v>
      </c>
      <c r="G357" t="s">
        <v>3986</v>
      </c>
      <c r="H357" t="s">
        <v>3986</v>
      </c>
      <c r="I357" t="s">
        <v>3359</v>
      </c>
      <c r="J357" t="s">
        <v>3986</v>
      </c>
      <c r="K357" t="s">
        <v>3399</v>
      </c>
      <c r="L357" t="s">
        <v>3400</v>
      </c>
      <c r="M357" t="s">
        <v>2782</v>
      </c>
      <c r="N357">
        <v>7</v>
      </c>
      <c r="O357" t="b">
        <v>0</v>
      </c>
      <c r="P357" t="b">
        <v>1</v>
      </c>
      <c r="Q357" t="b">
        <v>0</v>
      </c>
      <c r="R357" t="b">
        <v>0</v>
      </c>
      <c r="T357" t="s">
        <v>3677</v>
      </c>
      <c r="U357">
        <v>164</v>
      </c>
      <c r="V357" t="s">
        <v>3986</v>
      </c>
      <c r="W357">
        <v>4</v>
      </c>
      <c r="X357" t="s">
        <v>3986</v>
      </c>
      <c r="Y357" t="s">
        <v>3699</v>
      </c>
      <c r="Z357">
        <v>0</v>
      </c>
      <c r="AA357" t="s">
        <v>2493</v>
      </c>
      <c r="AB357" t="s">
        <v>3987</v>
      </c>
      <c r="AC357" t="s">
        <v>3986</v>
      </c>
      <c r="AD357" t="s">
        <v>3986</v>
      </c>
    </row>
    <row r="358" spans="1:30" x14ac:dyDescent="0.25">
      <c r="A358" t="s">
        <v>4027</v>
      </c>
      <c r="B358">
        <v>45</v>
      </c>
      <c r="C358" t="s">
        <v>3310</v>
      </c>
      <c r="D358" t="b">
        <v>0</v>
      </c>
      <c r="E358" t="b">
        <v>1</v>
      </c>
      <c r="F358" t="s">
        <v>3373</v>
      </c>
      <c r="G358" t="s">
        <v>3986</v>
      </c>
      <c r="H358" t="s">
        <v>3986</v>
      </c>
      <c r="I358" t="s">
        <v>3359</v>
      </c>
      <c r="J358" t="s">
        <v>3986</v>
      </c>
      <c r="K358" t="s">
        <v>3399</v>
      </c>
      <c r="L358" t="s">
        <v>3400</v>
      </c>
      <c r="M358" t="s">
        <v>2782</v>
      </c>
      <c r="N358">
        <v>7</v>
      </c>
      <c r="O358" t="b">
        <v>0</v>
      </c>
      <c r="P358" t="b">
        <v>1</v>
      </c>
      <c r="Q358" t="b">
        <v>0</v>
      </c>
      <c r="R358" t="b">
        <v>0</v>
      </c>
      <c r="T358" t="s">
        <v>3677</v>
      </c>
      <c r="U358">
        <v>165</v>
      </c>
      <c r="V358" t="s">
        <v>3986</v>
      </c>
      <c r="W358">
        <v>4</v>
      </c>
      <c r="X358" t="s">
        <v>3986</v>
      </c>
      <c r="Y358" t="s">
        <v>3700</v>
      </c>
      <c r="Z358">
        <v>0</v>
      </c>
      <c r="AA358" t="s">
        <v>2493</v>
      </c>
      <c r="AB358" t="s">
        <v>3987</v>
      </c>
      <c r="AC358" t="s">
        <v>3986</v>
      </c>
      <c r="AD358" t="s">
        <v>3986</v>
      </c>
    </row>
    <row r="359" spans="1:30" x14ac:dyDescent="0.25">
      <c r="A359" t="s">
        <v>4028</v>
      </c>
      <c r="B359">
        <v>46</v>
      </c>
      <c r="C359" t="s">
        <v>3310</v>
      </c>
      <c r="D359" t="b">
        <v>0</v>
      </c>
      <c r="E359" t="b">
        <v>1</v>
      </c>
      <c r="F359" t="s">
        <v>3373</v>
      </c>
      <c r="G359" t="s">
        <v>3986</v>
      </c>
      <c r="H359" t="s">
        <v>3986</v>
      </c>
      <c r="I359" t="s">
        <v>3359</v>
      </c>
      <c r="J359" t="s">
        <v>3986</v>
      </c>
      <c r="K359" t="s">
        <v>3399</v>
      </c>
      <c r="L359" t="s">
        <v>3400</v>
      </c>
      <c r="M359" t="s">
        <v>2782</v>
      </c>
      <c r="N359">
        <v>7</v>
      </c>
      <c r="O359" t="b">
        <v>0</v>
      </c>
      <c r="P359" t="b">
        <v>1</v>
      </c>
      <c r="Q359" t="b">
        <v>0</v>
      </c>
      <c r="R359" t="b">
        <v>0</v>
      </c>
      <c r="T359" t="s">
        <v>3677</v>
      </c>
      <c r="U359">
        <v>166</v>
      </c>
      <c r="V359" t="s">
        <v>3986</v>
      </c>
      <c r="W359">
        <v>4</v>
      </c>
      <c r="X359" t="s">
        <v>3986</v>
      </c>
      <c r="Y359" t="s">
        <v>3701</v>
      </c>
      <c r="Z359">
        <v>0</v>
      </c>
      <c r="AA359" t="s">
        <v>2493</v>
      </c>
      <c r="AB359" t="s">
        <v>3987</v>
      </c>
      <c r="AC359" t="s">
        <v>3986</v>
      </c>
      <c r="AD359" t="s">
        <v>3986</v>
      </c>
    </row>
    <row r="360" spans="1:30" x14ac:dyDescent="0.25">
      <c r="A360" t="s">
        <v>4029</v>
      </c>
      <c r="B360">
        <v>47</v>
      </c>
      <c r="C360" t="s">
        <v>3310</v>
      </c>
      <c r="D360" t="b">
        <v>0</v>
      </c>
      <c r="E360" t="b">
        <v>1</v>
      </c>
      <c r="F360" t="s">
        <v>3373</v>
      </c>
      <c r="G360" t="s">
        <v>3986</v>
      </c>
      <c r="H360" t="s">
        <v>3986</v>
      </c>
      <c r="I360" t="s">
        <v>3359</v>
      </c>
      <c r="J360" t="s">
        <v>3986</v>
      </c>
      <c r="K360" t="s">
        <v>3399</v>
      </c>
      <c r="L360" t="s">
        <v>3400</v>
      </c>
      <c r="M360" t="s">
        <v>2782</v>
      </c>
      <c r="N360">
        <v>7</v>
      </c>
      <c r="O360" t="b">
        <v>0</v>
      </c>
      <c r="P360" t="b">
        <v>1</v>
      </c>
      <c r="Q360" t="b">
        <v>0</v>
      </c>
      <c r="R360" t="b">
        <v>0</v>
      </c>
      <c r="T360" t="s">
        <v>3677</v>
      </c>
      <c r="U360">
        <v>167</v>
      </c>
      <c r="V360" t="s">
        <v>3986</v>
      </c>
      <c r="W360">
        <v>4</v>
      </c>
      <c r="X360" t="s">
        <v>3986</v>
      </c>
      <c r="Y360" t="s">
        <v>3702</v>
      </c>
      <c r="Z360">
        <v>0</v>
      </c>
      <c r="AA360" t="s">
        <v>2493</v>
      </c>
      <c r="AB360" t="s">
        <v>3987</v>
      </c>
      <c r="AC360" t="s">
        <v>3986</v>
      </c>
      <c r="AD360" t="s">
        <v>3986</v>
      </c>
    </row>
    <row r="361" spans="1:30" x14ac:dyDescent="0.25">
      <c r="A361" t="s">
        <v>4030</v>
      </c>
      <c r="B361">
        <v>48</v>
      </c>
      <c r="C361" t="s">
        <v>3310</v>
      </c>
      <c r="D361" t="b">
        <v>0</v>
      </c>
      <c r="E361" t="b">
        <v>1</v>
      </c>
      <c r="F361" t="s">
        <v>3373</v>
      </c>
      <c r="G361" t="s">
        <v>3986</v>
      </c>
      <c r="H361" t="s">
        <v>3986</v>
      </c>
      <c r="I361" t="s">
        <v>3359</v>
      </c>
      <c r="J361" t="s">
        <v>3986</v>
      </c>
      <c r="K361" t="s">
        <v>3399</v>
      </c>
      <c r="L361" t="s">
        <v>3400</v>
      </c>
      <c r="M361" t="s">
        <v>2782</v>
      </c>
      <c r="N361">
        <v>7</v>
      </c>
      <c r="O361" t="b">
        <v>0</v>
      </c>
      <c r="P361" t="b">
        <v>1</v>
      </c>
      <c r="Q361" t="b">
        <v>0</v>
      </c>
      <c r="R361" t="b">
        <v>0</v>
      </c>
      <c r="T361" t="s">
        <v>3677</v>
      </c>
      <c r="U361">
        <v>168</v>
      </c>
      <c r="V361" t="s">
        <v>3986</v>
      </c>
      <c r="W361">
        <v>4</v>
      </c>
      <c r="X361" t="s">
        <v>3986</v>
      </c>
      <c r="Y361" t="s">
        <v>3703</v>
      </c>
      <c r="Z361">
        <v>0</v>
      </c>
      <c r="AA361" t="s">
        <v>2493</v>
      </c>
      <c r="AB361" t="s">
        <v>3987</v>
      </c>
      <c r="AC361" t="s">
        <v>3986</v>
      </c>
      <c r="AD361" t="s">
        <v>3986</v>
      </c>
    </row>
    <row r="362" spans="1:30" x14ac:dyDescent="0.25">
      <c r="A362" t="s">
        <v>4031</v>
      </c>
      <c r="B362">
        <v>49</v>
      </c>
      <c r="C362" t="s">
        <v>3310</v>
      </c>
      <c r="D362" t="b">
        <v>0</v>
      </c>
      <c r="E362" t="b">
        <v>1</v>
      </c>
      <c r="F362" t="s">
        <v>3373</v>
      </c>
      <c r="G362" t="s">
        <v>3986</v>
      </c>
      <c r="H362" t="s">
        <v>3986</v>
      </c>
      <c r="I362" t="s">
        <v>3359</v>
      </c>
      <c r="J362" t="s">
        <v>3986</v>
      </c>
      <c r="K362" t="s">
        <v>3399</v>
      </c>
      <c r="L362" t="s">
        <v>3400</v>
      </c>
      <c r="M362" t="s">
        <v>2782</v>
      </c>
      <c r="N362">
        <v>7</v>
      </c>
      <c r="O362" t="b">
        <v>0</v>
      </c>
      <c r="P362" t="b">
        <v>1</v>
      </c>
      <c r="Q362" t="b">
        <v>0</v>
      </c>
      <c r="R362" t="b">
        <v>0</v>
      </c>
      <c r="T362" t="s">
        <v>3677</v>
      </c>
      <c r="U362">
        <v>169</v>
      </c>
      <c r="V362" t="s">
        <v>3986</v>
      </c>
      <c r="W362">
        <v>4</v>
      </c>
      <c r="X362" t="s">
        <v>3986</v>
      </c>
      <c r="Y362" t="s">
        <v>3704</v>
      </c>
      <c r="Z362">
        <v>0</v>
      </c>
      <c r="AA362" t="s">
        <v>2493</v>
      </c>
      <c r="AB362" t="s">
        <v>3987</v>
      </c>
      <c r="AC362" t="s">
        <v>3986</v>
      </c>
      <c r="AD362" t="s">
        <v>3986</v>
      </c>
    </row>
    <row r="363" spans="1:30" x14ac:dyDescent="0.25">
      <c r="A363" t="s">
        <v>4032</v>
      </c>
      <c r="B363">
        <v>50</v>
      </c>
      <c r="C363" t="s">
        <v>3310</v>
      </c>
      <c r="D363" t="b">
        <v>0</v>
      </c>
      <c r="E363" t="b">
        <v>1</v>
      </c>
      <c r="F363" t="s">
        <v>3373</v>
      </c>
      <c r="G363" t="s">
        <v>3986</v>
      </c>
      <c r="H363" t="s">
        <v>3986</v>
      </c>
      <c r="I363" t="s">
        <v>3359</v>
      </c>
      <c r="J363" t="s">
        <v>3986</v>
      </c>
      <c r="K363" t="s">
        <v>3399</v>
      </c>
      <c r="L363" t="s">
        <v>3400</v>
      </c>
      <c r="M363" t="s">
        <v>2782</v>
      </c>
      <c r="N363">
        <v>7</v>
      </c>
      <c r="O363" t="b">
        <v>0</v>
      </c>
      <c r="P363" t="b">
        <v>1</v>
      </c>
      <c r="Q363" t="b">
        <v>0</v>
      </c>
      <c r="R363" t="b">
        <v>0</v>
      </c>
      <c r="T363" t="s">
        <v>3677</v>
      </c>
      <c r="U363">
        <v>170</v>
      </c>
      <c r="V363" t="s">
        <v>3986</v>
      </c>
      <c r="W363">
        <v>4</v>
      </c>
      <c r="X363" t="s">
        <v>3986</v>
      </c>
      <c r="Y363" t="s">
        <v>3705</v>
      </c>
      <c r="Z363">
        <v>0</v>
      </c>
      <c r="AA363" t="s">
        <v>2493</v>
      </c>
      <c r="AB363" t="s">
        <v>3987</v>
      </c>
      <c r="AC363" t="s">
        <v>3986</v>
      </c>
      <c r="AD363" t="s">
        <v>3986</v>
      </c>
    </row>
    <row r="364" spans="1:30" x14ac:dyDescent="0.25">
      <c r="A364" t="s">
        <v>4033</v>
      </c>
      <c r="B364">
        <v>51</v>
      </c>
      <c r="C364" t="s">
        <v>3310</v>
      </c>
      <c r="D364" t="b">
        <v>0</v>
      </c>
      <c r="E364" t="b">
        <v>1</v>
      </c>
      <c r="F364" t="s">
        <v>3373</v>
      </c>
      <c r="G364" t="s">
        <v>3986</v>
      </c>
      <c r="H364" t="s">
        <v>3986</v>
      </c>
      <c r="I364" t="s">
        <v>3359</v>
      </c>
      <c r="J364" t="s">
        <v>3986</v>
      </c>
      <c r="K364" t="s">
        <v>3399</v>
      </c>
      <c r="L364" t="s">
        <v>3400</v>
      </c>
      <c r="M364" t="s">
        <v>2782</v>
      </c>
      <c r="N364">
        <v>7</v>
      </c>
      <c r="O364" t="b">
        <v>0</v>
      </c>
      <c r="P364" t="b">
        <v>1</v>
      </c>
      <c r="Q364" t="b">
        <v>0</v>
      </c>
      <c r="R364" t="b">
        <v>0</v>
      </c>
      <c r="T364" t="s">
        <v>3677</v>
      </c>
      <c r="U364">
        <v>171</v>
      </c>
      <c r="V364" t="s">
        <v>3986</v>
      </c>
      <c r="W364">
        <v>4</v>
      </c>
      <c r="X364" t="s">
        <v>3986</v>
      </c>
      <c r="Y364" t="s">
        <v>3706</v>
      </c>
      <c r="Z364">
        <v>0</v>
      </c>
      <c r="AA364" t="s">
        <v>2493</v>
      </c>
      <c r="AB364" t="s">
        <v>3987</v>
      </c>
      <c r="AC364" t="s">
        <v>3986</v>
      </c>
      <c r="AD364" t="s">
        <v>3986</v>
      </c>
    </row>
    <row r="365" spans="1:30" x14ac:dyDescent="0.25">
      <c r="A365" t="s">
        <v>4034</v>
      </c>
      <c r="B365">
        <v>52</v>
      </c>
      <c r="C365" t="s">
        <v>3310</v>
      </c>
      <c r="D365" t="b">
        <v>0</v>
      </c>
      <c r="E365" t="b">
        <v>1</v>
      </c>
      <c r="F365" t="s">
        <v>3373</v>
      </c>
      <c r="G365" t="s">
        <v>3986</v>
      </c>
      <c r="H365" t="s">
        <v>3986</v>
      </c>
      <c r="I365" t="s">
        <v>3359</v>
      </c>
      <c r="J365" t="s">
        <v>3986</v>
      </c>
      <c r="K365" t="s">
        <v>3399</v>
      </c>
      <c r="L365" t="s">
        <v>3400</v>
      </c>
      <c r="M365" t="s">
        <v>2782</v>
      </c>
      <c r="N365">
        <v>7</v>
      </c>
      <c r="O365" t="b">
        <v>0</v>
      </c>
      <c r="P365" t="b">
        <v>1</v>
      </c>
      <c r="Q365" t="b">
        <v>0</v>
      </c>
      <c r="R365" t="b">
        <v>0</v>
      </c>
      <c r="T365" t="s">
        <v>3677</v>
      </c>
      <c r="U365">
        <v>172</v>
      </c>
      <c r="V365" t="s">
        <v>3986</v>
      </c>
      <c r="W365">
        <v>4</v>
      </c>
      <c r="X365" t="s">
        <v>3986</v>
      </c>
      <c r="Y365" t="s">
        <v>3707</v>
      </c>
      <c r="Z365">
        <v>0</v>
      </c>
      <c r="AA365" t="s">
        <v>2493</v>
      </c>
      <c r="AB365" t="s">
        <v>3987</v>
      </c>
      <c r="AC365" t="s">
        <v>3986</v>
      </c>
      <c r="AD365" t="s">
        <v>3986</v>
      </c>
    </row>
    <row r="366" spans="1:30" x14ac:dyDescent="0.25">
      <c r="A366" t="s">
        <v>4035</v>
      </c>
      <c r="B366">
        <v>53</v>
      </c>
      <c r="C366" t="s">
        <v>3310</v>
      </c>
      <c r="D366" t="b">
        <v>0</v>
      </c>
      <c r="E366" t="b">
        <v>1</v>
      </c>
      <c r="F366" t="s">
        <v>3373</v>
      </c>
      <c r="G366" t="s">
        <v>3986</v>
      </c>
      <c r="H366" t="s">
        <v>3986</v>
      </c>
      <c r="I366" t="s">
        <v>3359</v>
      </c>
      <c r="J366" t="s">
        <v>3986</v>
      </c>
      <c r="K366" t="s">
        <v>3399</v>
      </c>
      <c r="L366" t="s">
        <v>3400</v>
      </c>
      <c r="M366" t="s">
        <v>2782</v>
      </c>
      <c r="N366">
        <v>7</v>
      </c>
      <c r="O366" t="b">
        <v>0</v>
      </c>
      <c r="P366" t="b">
        <v>1</v>
      </c>
      <c r="Q366" t="b">
        <v>0</v>
      </c>
      <c r="R366" t="b">
        <v>0</v>
      </c>
      <c r="T366" t="s">
        <v>3677</v>
      </c>
      <c r="U366">
        <v>173</v>
      </c>
      <c r="V366" t="s">
        <v>3986</v>
      </c>
      <c r="W366">
        <v>4</v>
      </c>
      <c r="X366" t="s">
        <v>3986</v>
      </c>
      <c r="Y366" t="s">
        <v>3708</v>
      </c>
      <c r="Z366">
        <v>0</v>
      </c>
      <c r="AA366" t="s">
        <v>2493</v>
      </c>
      <c r="AB366" t="s">
        <v>3987</v>
      </c>
      <c r="AC366" t="s">
        <v>3986</v>
      </c>
      <c r="AD366" t="s">
        <v>3986</v>
      </c>
    </row>
    <row r="367" spans="1:30" x14ac:dyDescent="0.25">
      <c r="A367" t="s">
        <v>4036</v>
      </c>
      <c r="B367">
        <v>54</v>
      </c>
      <c r="C367" t="s">
        <v>3310</v>
      </c>
      <c r="D367" t="b">
        <v>0</v>
      </c>
      <c r="E367" t="b">
        <v>1</v>
      </c>
      <c r="F367" t="s">
        <v>3373</v>
      </c>
      <c r="G367" t="s">
        <v>3986</v>
      </c>
      <c r="H367" t="s">
        <v>3986</v>
      </c>
      <c r="I367" t="s">
        <v>3359</v>
      </c>
      <c r="J367" t="s">
        <v>3986</v>
      </c>
      <c r="K367" t="s">
        <v>3399</v>
      </c>
      <c r="L367" t="s">
        <v>3400</v>
      </c>
      <c r="M367" t="s">
        <v>2782</v>
      </c>
      <c r="N367">
        <v>7</v>
      </c>
      <c r="O367" t="b">
        <v>0</v>
      </c>
      <c r="P367" t="b">
        <v>1</v>
      </c>
      <c r="Q367" t="b">
        <v>0</v>
      </c>
      <c r="R367" t="b">
        <v>0</v>
      </c>
      <c r="T367" t="s">
        <v>3677</v>
      </c>
      <c r="U367">
        <v>176</v>
      </c>
      <c r="V367" t="s">
        <v>3986</v>
      </c>
      <c r="W367">
        <v>4</v>
      </c>
      <c r="X367" t="s">
        <v>3986</v>
      </c>
      <c r="Y367" t="s">
        <v>3698</v>
      </c>
      <c r="Z367">
        <v>0</v>
      </c>
      <c r="AA367" t="s">
        <v>2493</v>
      </c>
      <c r="AB367" t="s">
        <v>3987</v>
      </c>
      <c r="AC367" t="s">
        <v>3986</v>
      </c>
      <c r="AD367" t="s">
        <v>3986</v>
      </c>
    </row>
    <row r="368" spans="1:30" x14ac:dyDescent="0.25">
      <c r="A368" t="s">
        <v>3401</v>
      </c>
      <c r="B368">
        <v>2</v>
      </c>
      <c r="C368" t="s">
        <v>3306</v>
      </c>
      <c r="D368" t="b">
        <v>1</v>
      </c>
      <c r="E368" t="b">
        <v>0</v>
      </c>
      <c r="F368" t="s">
        <v>3986</v>
      </c>
      <c r="G368" t="s">
        <v>3986</v>
      </c>
      <c r="H368" t="s">
        <v>3986</v>
      </c>
      <c r="I368" t="s">
        <v>3986</v>
      </c>
      <c r="J368" t="s">
        <v>3986</v>
      </c>
      <c r="K368" t="s">
        <v>3402</v>
      </c>
      <c r="L368" t="s">
        <v>3403</v>
      </c>
      <c r="M368" t="s">
        <v>3767</v>
      </c>
      <c r="N368">
        <v>7</v>
      </c>
      <c r="O368" t="b">
        <v>0</v>
      </c>
      <c r="P368" t="b">
        <v>0</v>
      </c>
      <c r="Q368" t="b">
        <v>0</v>
      </c>
      <c r="R368" t="b">
        <v>0</v>
      </c>
      <c r="T368" t="s">
        <v>3677</v>
      </c>
      <c r="U368">
        <v>177</v>
      </c>
      <c r="V368" t="s">
        <v>3986</v>
      </c>
      <c r="W368">
        <v>4</v>
      </c>
      <c r="X368" t="s">
        <v>3986</v>
      </c>
      <c r="Y368" t="s">
        <v>3963</v>
      </c>
      <c r="Z368">
        <v>0</v>
      </c>
      <c r="AA368" t="s">
        <v>2493</v>
      </c>
      <c r="AB368" t="s">
        <v>3987</v>
      </c>
      <c r="AC368" t="s">
        <v>3986</v>
      </c>
      <c r="AD368" t="s">
        <v>3986</v>
      </c>
    </row>
    <row r="369" spans="1:30" x14ac:dyDescent="0.25">
      <c r="A369" t="s">
        <v>3294</v>
      </c>
      <c r="B369">
        <v>3</v>
      </c>
      <c r="C369" t="s">
        <v>3306</v>
      </c>
      <c r="D369" t="b">
        <v>1</v>
      </c>
      <c r="E369" t="b">
        <v>0</v>
      </c>
      <c r="F369" t="s">
        <v>3986</v>
      </c>
      <c r="G369" t="s">
        <v>3986</v>
      </c>
      <c r="H369" t="s">
        <v>3986</v>
      </c>
      <c r="I369" t="s">
        <v>3986</v>
      </c>
      <c r="J369" t="s">
        <v>3986</v>
      </c>
      <c r="K369" t="s">
        <v>3402</v>
      </c>
      <c r="L369" t="s">
        <v>3403</v>
      </c>
      <c r="M369" t="s">
        <v>3767</v>
      </c>
      <c r="N369">
        <v>7</v>
      </c>
      <c r="O369" t="b">
        <v>0</v>
      </c>
      <c r="P369" t="b">
        <v>0</v>
      </c>
      <c r="Q369" t="b">
        <v>0</v>
      </c>
      <c r="R369" t="b">
        <v>0</v>
      </c>
      <c r="T369" t="s">
        <v>3677</v>
      </c>
      <c r="U369">
        <v>178</v>
      </c>
      <c r="V369" t="s">
        <v>3986</v>
      </c>
      <c r="W369">
        <v>4</v>
      </c>
      <c r="X369" t="s">
        <v>3986</v>
      </c>
      <c r="Y369" t="s">
        <v>3810</v>
      </c>
      <c r="Z369">
        <v>0</v>
      </c>
      <c r="AA369" t="s">
        <v>2493</v>
      </c>
      <c r="AB369" t="s">
        <v>3987</v>
      </c>
      <c r="AC369" t="s">
        <v>3986</v>
      </c>
      <c r="AD369" t="s">
        <v>3986</v>
      </c>
    </row>
    <row r="370" spans="1:30" x14ac:dyDescent="0.25">
      <c r="A370" t="s">
        <v>3292</v>
      </c>
      <c r="B370">
        <v>10</v>
      </c>
      <c r="C370" t="s">
        <v>3306</v>
      </c>
      <c r="D370" t="b">
        <v>1</v>
      </c>
      <c r="E370" t="b">
        <v>0</v>
      </c>
      <c r="F370" t="s">
        <v>3986</v>
      </c>
      <c r="G370" t="s">
        <v>3986</v>
      </c>
      <c r="H370" t="s">
        <v>3986</v>
      </c>
      <c r="I370" t="s">
        <v>3986</v>
      </c>
      <c r="J370" t="s">
        <v>3986</v>
      </c>
      <c r="K370" t="s">
        <v>3402</v>
      </c>
      <c r="L370" t="s">
        <v>3403</v>
      </c>
      <c r="M370" t="s">
        <v>3767</v>
      </c>
      <c r="N370">
        <v>7</v>
      </c>
      <c r="O370" t="b">
        <v>0</v>
      </c>
      <c r="P370" t="b">
        <v>0</v>
      </c>
      <c r="Q370" t="b">
        <v>0</v>
      </c>
      <c r="R370" t="b">
        <v>0</v>
      </c>
      <c r="T370" t="s">
        <v>3677</v>
      </c>
      <c r="U370">
        <v>182</v>
      </c>
      <c r="V370" t="s">
        <v>3986</v>
      </c>
      <c r="W370">
        <v>4</v>
      </c>
      <c r="X370" t="s">
        <v>3986</v>
      </c>
      <c r="Y370" t="s">
        <v>3811</v>
      </c>
      <c r="Z370">
        <v>0</v>
      </c>
      <c r="AA370" t="s">
        <v>2493</v>
      </c>
      <c r="AB370" t="s">
        <v>3987</v>
      </c>
      <c r="AC370" t="s">
        <v>3986</v>
      </c>
      <c r="AD370" t="s">
        <v>3986</v>
      </c>
    </row>
    <row r="371" spans="1:30" x14ac:dyDescent="0.25">
      <c r="A371" t="s">
        <v>3404</v>
      </c>
      <c r="B371">
        <v>11</v>
      </c>
      <c r="C371" t="s">
        <v>3310</v>
      </c>
      <c r="D371" t="b">
        <v>1</v>
      </c>
      <c r="E371" t="b">
        <v>0</v>
      </c>
      <c r="F371" t="s">
        <v>3986</v>
      </c>
      <c r="G371" t="s">
        <v>3986</v>
      </c>
      <c r="H371" t="s">
        <v>3986</v>
      </c>
      <c r="I371" t="s">
        <v>3986</v>
      </c>
      <c r="J371" t="s">
        <v>3986</v>
      </c>
      <c r="K371" t="s">
        <v>3402</v>
      </c>
      <c r="L371" t="s">
        <v>3403</v>
      </c>
      <c r="M371" t="s">
        <v>3767</v>
      </c>
      <c r="N371">
        <v>7</v>
      </c>
      <c r="O371" t="b">
        <v>0</v>
      </c>
      <c r="P371" t="b">
        <v>0</v>
      </c>
      <c r="Q371" t="b">
        <v>0</v>
      </c>
      <c r="R371" t="b">
        <v>0</v>
      </c>
      <c r="T371" t="s">
        <v>3677</v>
      </c>
      <c r="U371">
        <v>191</v>
      </c>
      <c r="V371" t="s">
        <v>3986</v>
      </c>
      <c r="W371">
        <v>4</v>
      </c>
      <c r="X371" t="s">
        <v>3986</v>
      </c>
      <c r="Y371" t="s">
        <v>3709</v>
      </c>
      <c r="Z371">
        <v>0</v>
      </c>
      <c r="AA371" t="s">
        <v>2493</v>
      </c>
      <c r="AB371" t="s">
        <v>3987</v>
      </c>
      <c r="AC371" t="s">
        <v>3986</v>
      </c>
      <c r="AD371" t="s">
        <v>3986</v>
      </c>
    </row>
    <row r="372" spans="1:30" x14ac:dyDescent="0.25">
      <c r="A372" t="s">
        <v>3405</v>
      </c>
      <c r="B372">
        <v>12</v>
      </c>
      <c r="C372" t="s">
        <v>3306</v>
      </c>
      <c r="D372" t="b">
        <v>1</v>
      </c>
      <c r="E372" t="b">
        <v>0</v>
      </c>
      <c r="F372" t="s">
        <v>3986</v>
      </c>
      <c r="G372" t="s">
        <v>3986</v>
      </c>
      <c r="H372" t="s">
        <v>3986</v>
      </c>
      <c r="I372" t="s">
        <v>3986</v>
      </c>
      <c r="J372" t="s">
        <v>3986</v>
      </c>
      <c r="K372" t="s">
        <v>3402</v>
      </c>
      <c r="L372" t="s">
        <v>3403</v>
      </c>
      <c r="M372" t="s">
        <v>3767</v>
      </c>
      <c r="N372">
        <v>7</v>
      </c>
      <c r="O372" t="b">
        <v>0</v>
      </c>
      <c r="P372" t="b">
        <v>0</v>
      </c>
      <c r="Q372" t="b">
        <v>0</v>
      </c>
      <c r="R372" t="b">
        <v>0</v>
      </c>
      <c r="T372" t="s">
        <v>3677</v>
      </c>
      <c r="U372">
        <v>192</v>
      </c>
      <c r="V372" t="s">
        <v>3986</v>
      </c>
      <c r="W372">
        <v>4</v>
      </c>
      <c r="X372" t="s">
        <v>3986</v>
      </c>
      <c r="Y372" t="s">
        <v>3710</v>
      </c>
      <c r="Z372">
        <v>0</v>
      </c>
      <c r="AA372" t="s">
        <v>2493</v>
      </c>
      <c r="AB372" t="s">
        <v>3987</v>
      </c>
      <c r="AC372" t="s">
        <v>3986</v>
      </c>
      <c r="AD372" t="s">
        <v>3986</v>
      </c>
    </row>
    <row r="373" spans="1:30" x14ac:dyDescent="0.25">
      <c r="A373" t="s">
        <v>3406</v>
      </c>
      <c r="B373">
        <v>13</v>
      </c>
      <c r="C373" t="s">
        <v>3306</v>
      </c>
      <c r="D373" t="b">
        <v>1</v>
      </c>
      <c r="E373" t="b">
        <v>0</v>
      </c>
      <c r="F373" t="s">
        <v>3407</v>
      </c>
      <c r="G373" t="s">
        <v>3986</v>
      </c>
      <c r="H373" t="s">
        <v>3986</v>
      </c>
      <c r="I373" t="s">
        <v>3986</v>
      </c>
      <c r="J373" t="s">
        <v>3408</v>
      </c>
      <c r="K373" t="s">
        <v>3402</v>
      </c>
      <c r="L373" t="s">
        <v>3403</v>
      </c>
      <c r="M373" t="s">
        <v>3767</v>
      </c>
      <c r="N373">
        <v>7</v>
      </c>
      <c r="O373" t="b">
        <v>0</v>
      </c>
      <c r="P373" t="b">
        <v>0</v>
      </c>
      <c r="Q373" t="b">
        <v>0</v>
      </c>
      <c r="R373" t="b">
        <v>0</v>
      </c>
      <c r="T373" t="s">
        <v>3677</v>
      </c>
      <c r="U373">
        <v>193</v>
      </c>
      <c r="V373" t="s">
        <v>3986</v>
      </c>
      <c r="W373">
        <v>4</v>
      </c>
      <c r="X373" t="s">
        <v>3986</v>
      </c>
      <c r="Y373" t="s">
        <v>3711</v>
      </c>
      <c r="Z373">
        <v>0</v>
      </c>
      <c r="AA373" t="s">
        <v>2493</v>
      </c>
      <c r="AB373" t="s">
        <v>3987</v>
      </c>
      <c r="AC373" t="s">
        <v>3986</v>
      </c>
      <c r="AD373" t="s">
        <v>3986</v>
      </c>
    </row>
    <row r="374" spans="1:30" x14ac:dyDescent="0.25">
      <c r="A374" t="s">
        <v>3401</v>
      </c>
      <c r="B374">
        <v>2</v>
      </c>
      <c r="C374" t="s">
        <v>3306</v>
      </c>
      <c r="D374" t="b">
        <v>1</v>
      </c>
      <c r="E374" t="b">
        <v>0</v>
      </c>
      <c r="F374" t="s">
        <v>3986</v>
      </c>
      <c r="G374" t="s">
        <v>3986</v>
      </c>
      <c r="H374" t="s">
        <v>3986</v>
      </c>
      <c r="I374" t="s">
        <v>3986</v>
      </c>
      <c r="J374" t="s">
        <v>3986</v>
      </c>
      <c r="K374" t="s">
        <v>3409</v>
      </c>
      <c r="L374" t="s">
        <v>3410</v>
      </c>
      <c r="M374" t="s">
        <v>3767</v>
      </c>
      <c r="N374">
        <v>7</v>
      </c>
      <c r="O374" t="b">
        <v>0</v>
      </c>
      <c r="P374" t="b">
        <v>0</v>
      </c>
      <c r="Q374" t="b">
        <v>0</v>
      </c>
      <c r="R374" t="b">
        <v>0</v>
      </c>
      <c r="T374" t="s">
        <v>3677</v>
      </c>
      <c r="U374">
        <v>200</v>
      </c>
      <c r="V374" t="s">
        <v>3986</v>
      </c>
      <c r="W374">
        <v>4</v>
      </c>
      <c r="X374" t="s">
        <v>3986</v>
      </c>
      <c r="Y374" t="s">
        <v>3712</v>
      </c>
      <c r="Z374">
        <v>0</v>
      </c>
      <c r="AA374" t="s">
        <v>2493</v>
      </c>
      <c r="AB374" t="s">
        <v>3987</v>
      </c>
      <c r="AC374" t="s">
        <v>3986</v>
      </c>
      <c r="AD374" t="s">
        <v>3986</v>
      </c>
    </row>
    <row r="375" spans="1:30" x14ac:dyDescent="0.25">
      <c r="A375" t="s">
        <v>3294</v>
      </c>
      <c r="B375">
        <v>3</v>
      </c>
      <c r="C375" t="s">
        <v>3306</v>
      </c>
      <c r="D375" t="b">
        <v>1</v>
      </c>
      <c r="E375" t="b">
        <v>0</v>
      </c>
      <c r="F375" t="s">
        <v>3986</v>
      </c>
      <c r="G375" t="s">
        <v>3986</v>
      </c>
      <c r="H375" t="s">
        <v>3605</v>
      </c>
      <c r="I375" t="s">
        <v>3986</v>
      </c>
      <c r="J375" t="s">
        <v>3986</v>
      </c>
      <c r="K375" t="s">
        <v>3409</v>
      </c>
      <c r="L375" t="s">
        <v>3410</v>
      </c>
      <c r="M375" t="s">
        <v>3767</v>
      </c>
      <c r="N375">
        <v>7</v>
      </c>
      <c r="O375" t="b">
        <v>0</v>
      </c>
      <c r="P375" t="b">
        <v>0</v>
      </c>
      <c r="Q375" t="b">
        <v>0</v>
      </c>
      <c r="R375" t="b">
        <v>0</v>
      </c>
      <c r="T375" t="s">
        <v>3677</v>
      </c>
      <c r="U375">
        <v>206</v>
      </c>
      <c r="V375" t="s">
        <v>3986</v>
      </c>
      <c r="W375">
        <v>4</v>
      </c>
      <c r="X375" t="s">
        <v>3986</v>
      </c>
      <c r="Y375" t="s">
        <v>3714</v>
      </c>
      <c r="Z375">
        <v>0</v>
      </c>
      <c r="AA375" t="s">
        <v>2493</v>
      </c>
      <c r="AB375" t="s">
        <v>3987</v>
      </c>
      <c r="AC375" t="s">
        <v>3986</v>
      </c>
      <c r="AD375" t="s">
        <v>3986</v>
      </c>
    </row>
    <row r="376" spans="1:30" x14ac:dyDescent="0.25">
      <c r="A376" t="s">
        <v>34</v>
      </c>
      <c r="B376">
        <v>4</v>
      </c>
      <c r="C376" t="s">
        <v>3306</v>
      </c>
      <c r="D376" t="b">
        <v>1</v>
      </c>
      <c r="E376" t="b">
        <v>0</v>
      </c>
      <c r="F376" t="s">
        <v>3307</v>
      </c>
      <c r="G376" t="s">
        <v>3986</v>
      </c>
      <c r="H376" t="s">
        <v>3986</v>
      </c>
      <c r="I376" t="s">
        <v>3986</v>
      </c>
      <c r="J376" t="s">
        <v>3370</v>
      </c>
      <c r="K376" t="s">
        <v>3409</v>
      </c>
      <c r="L376" t="s">
        <v>3410</v>
      </c>
      <c r="M376" t="s">
        <v>3767</v>
      </c>
      <c r="N376">
        <v>7</v>
      </c>
      <c r="O376" t="b">
        <v>0</v>
      </c>
      <c r="P376" t="b">
        <v>0</v>
      </c>
      <c r="Q376" t="b">
        <v>0</v>
      </c>
      <c r="R376" t="b">
        <v>0</v>
      </c>
      <c r="T376" t="s">
        <v>3677</v>
      </c>
      <c r="U376">
        <v>207</v>
      </c>
      <c r="V376" t="s">
        <v>3986</v>
      </c>
      <c r="W376">
        <v>4</v>
      </c>
      <c r="X376" t="s">
        <v>3986</v>
      </c>
      <c r="Y376" t="s">
        <v>3721</v>
      </c>
      <c r="Z376">
        <v>0</v>
      </c>
      <c r="AA376" t="s">
        <v>2493</v>
      </c>
      <c r="AB376" t="s">
        <v>3987</v>
      </c>
      <c r="AC376" t="s">
        <v>3986</v>
      </c>
      <c r="AD376" t="s">
        <v>3986</v>
      </c>
    </row>
    <row r="377" spans="1:30" x14ac:dyDescent="0.25">
      <c r="A377" t="s">
        <v>3374</v>
      </c>
      <c r="B377">
        <v>5</v>
      </c>
      <c r="C377" t="s">
        <v>3306</v>
      </c>
      <c r="D377" t="b">
        <v>1</v>
      </c>
      <c r="E377" t="b">
        <v>0</v>
      </c>
      <c r="F377" t="s">
        <v>3307</v>
      </c>
      <c r="G377" t="s">
        <v>3986</v>
      </c>
      <c r="H377" t="s">
        <v>3986</v>
      </c>
      <c r="I377" t="s">
        <v>3986</v>
      </c>
      <c r="J377" t="s">
        <v>3986</v>
      </c>
      <c r="K377" t="s">
        <v>3409</v>
      </c>
      <c r="L377" t="s">
        <v>3410</v>
      </c>
      <c r="M377" t="s">
        <v>3767</v>
      </c>
      <c r="N377">
        <v>7</v>
      </c>
      <c r="O377" t="b">
        <v>0</v>
      </c>
      <c r="P377" t="b">
        <v>0</v>
      </c>
      <c r="Q377" t="b">
        <v>0</v>
      </c>
      <c r="R377" t="b">
        <v>0</v>
      </c>
      <c r="T377" t="s">
        <v>3677</v>
      </c>
      <c r="U377">
        <v>208</v>
      </c>
      <c r="V377" t="s">
        <v>3986</v>
      </c>
      <c r="W377">
        <v>4</v>
      </c>
      <c r="X377" t="s">
        <v>3986</v>
      </c>
      <c r="Y377" t="s">
        <v>3722</v>
      </c>
      <c r="Z377">
        <v>0</v>
      </c>
      <c r="AA377" t="s">
        <v>2493</v>
      </c>
      <c r="AB377" t="s">
        <v>3987</v>
      </c>
      <c r="AC377" t="s">
        <v>3986</v>
      </c>
      <c r="AD377" t="s">
        <v>3986</v>
      </c>
    </row>
    <row r="378" spans="1:30" x14ac:dyDescent="0.25">
      <c r="A378" t="s">
        <v>3411</v>
      </c>
      <c r="B378">
        <v>6</v>
      </c>
      <c r="C378" t="s">
        <v>3306</v>
      </c>
      <c r="D378" t="b">
        <v>0</v>
      </c>
      <c r="E378" t="b">
        <v>0</v>
      </c>
      <c r="F378" t="s">
        <v>3986</v>
      </c>
      <c r="G378" t="s">
        <v>3986</v>
      </c>
      <c r="H378" t="s">
        <v>3986</v>
      </c>
      <c r="I378" t="s">
        <v>3986</v>
      </c>
      <c r="J378" t="s">
        <v>3412</v>
      </c>
      <c r="K378" t="s">
        <v>3409</v>
      </c>
      <c r="L378" t="s">
        <v>3410</v>
      </c>
      <c r="M378" t="s">
        <v>3767</v>
      </c>
      <c r="N378">
        <v>7</v>
      </c>
      <c r="O378" t="b">
        <v>0</v>
      </c>
      <c r="P378" t="b">
        <v>0</v>
      </c>
      <c r="Q378" t="b">
        <v>0</v>
      </c>
      <c r="R378" t="b">
        <v>0</v>
      </c>
      <c r="T378" t="s">
        <v>3677</v>
      </c>
      <c r="U378">
        <v>209</v>
      </c>
      <c r="V378" t="s">
        <v>3986</v>
      </c>
      <c r="W378">
        <v>4</v>
      </c>
      <c r="X378" t="s">
        <v>3986</v>
      </c>
      <c r="Y378" t="s">
        <v>3723</v>
      </c>
      <c r="Z378">
        <v>0</v>
      </c>
      <c r="AA378" t="s">
        <v>2493</v>
      </c>
      <c r="AB378" t="s">
        <v>3987</v>
      </c>
      <c r="AC378" t="s">
        <v>3986</v>
      </c>
      <c r="AD378" t="s">
        <v>3986</v>
      </c>
    </row>
    <row r="379" spans="1:30" x14ac:dyDescent="0.25">
      <c r="A379" t="s">
        <v>3413</v>
      </c>
      <c r="B379">
        <v>7</v>
      </c>
      <c r="C379" t="s">
        <v>3306</v>
      </c>
      <c r="D379" t="b">
        <v>0</v>
      </c>
      <c r="E379" t="b">
        <v>0</v>
      </c>
      <c r="F379" t="s">
        <v>3986</v>
      </c>
      <c r="G379" t="s">
        <v>3986</v>
      </c>
      <c r="H379" t="s">
        <v>3986</v>
      </c>
      <c r="I379" t="s">
        <v>3986</v>
      </c>
      <c r="J379" t="s">
        <v>3412</v>
      </c>
      <c r="K379" t="s">
        <v>3409</v>
      </c>
      <c r="L379" t="s">
        <v>3410</v>
      </c>
      <c r="M379" t="s">
        <v>3767</v>
      </c>
      <c r="N379">
        <v>7</v>
      </c>
      <c r="O379" t="b">
        <v>0</v>
      </c>
      <c r="P379" t="b">
        <v>0</v>
      </c>
      <c r="Q379" t="b">
        <v>0</v>
      </c>
      <c r="R379" t="b">
        <v>0</v>
      </c>
      <c r="T379" t="s">
        <v>3677</v>
      </c>
      <c r="U379">
        <v>210</v>
      </c>
      <c r="V379" t="s">
        <v>3986</v>
      </c>
      <c r="W379">
        <v>4</v>
      </c>
      <c r="X379" t="s">
        <v>3986</v>
      </c>
      <c r="Y379" t="s">
        <v>3724</v>
      </c>
      <c r="Z379">
        <v>0</v>
      </c>
      <c r="AA379" t="s">
        <v>2493</v>
      </c>
      <c r="AB379" t="s">
        <v>3987</v>
      </c>
      <c r="AC379" t="s">
        <v>3986</v>
      </c>
      <c r="AD379" t="s">
        <v>3986</v>
      </c>
    </row>
    <row r="380" spans="1:30" x14ac:dyDescent="0.25">
      <c r="A380" t="s">
        <v>3393</v>
      </c>
      <c r="B380">
        <v>8</v>
      </c>
      <c r="C380" t="s">
        <v>3306</v>
      </c>
      <c r="D380" t="b">
        <v>0</v>
      </c>
      <c r="E380" t="b">
        <v>0</v>
      </c>
      <c r="F380" t="s">
        <v>3986</v>
      </c>
      <c r="G380" t="s">
        <v>3986</v>
      </c>
      <c r="H380" t="s">
        <v>3986</v>
      </c>
      <c r="I380" t="s">
        <v>3986</v>
      </c>
      <c r="J380" t="s">
        <v>3412</v>
      </c>
      <c r="K380" t="s">
        <v>3409</v>
      </c>
      <c r="L380" t="s">
        <v>3410</v>
      </c>
      <c r="M380" t="s">
        <v>3767</v>
      </c>
      <c r="N380">
        <v>7</v>
      </c>
      <c r="O380" t="b">
        <v>0</v>
      </c>
      <c r="P380" t="b">
        <v>0</v>
      </c>
      <c r="Q380" t="b">
        <v>0</v>
      </c>
      <c r="R380" t="b">
        <v>0</v>
      </c>
      <c r="T380" t="s">
        <v>3677</v>
      </c>
      <c r="U380">
        <v>211</v>
      </c>
      <c r="V380" t="s">
        <v>3986</v>
      </c>
      <c r="W380">
        <v>4</v>
      </c>
      <c r="X380" t="s">
        <v>3986</v>
      </c>
      <c r="Y380" t="s">
        <v>3725</v>
      </c>
      <c r="Z380">
        <v>0</v>
      </c>
      <c r="AA380" t="s">
        <v>2493</v>
      </c>
      <c r="AB380" t="s">
        <v>3987</v>
      </c>
      <c r="AC380" t="s">
        <v>3986</v>
      </c>
      <c r="AD380" t="s">
        <v>3986</v>
      </c>
    </row>
    <row r="381" spans="1:30" x14ac:dyDescent="0.25">
      <c r="A381" t="s">
        <v>2336</v>
      </c>
      <c r="B381">
        <v>9</v>
      </c>
      <c r="C381" t="s">
        <v>3306</v>
      </c>
      <c r="D381" t="b">
        <v>0</v>
      </c>
      <c r="E381" t="b">
        <v>0</v>
      </c>
      <c r="F381" t="s">
        <v>3986</v>
      </c>
      <c r="G381" t="s">
        <v>3986</v>
      </c>
      <c r="H381" t="s">
        <v>3986</v>
      </c>
      <c r="I381" t="s">
        <v>3986</v>
      </c>
      <c r="J381" t="s">
        <v>3412</v>
      </c>
      <c r="K381" t="s">
        <v>3409</v>
      </c>
      <c r="L381" t="s">
        <v>3410</v>
      </c>
      <c r="M381" t="s">
        <v>3767</v>
      </c>
      <c r="N381">
        <v>7</v>
      </c>
      <c r="O381" t="b">
        <v>0</v>
      </c>
      <c r="P381" t="b">
        <v>0</v>
      </c>
      <c r="Q381" t="b">
        <v>0</v>
      </c>
      <c r="R381" t="b">
        <v>0</v>
      </c>
      <c r="T381" t="s">
        <v>3742</v>
      </c>
      <c r="U381">
        <v>18</v>
      </c>
      <c r="V381" t="s">
        <v>3994</v>
      </c>
      <c r="W381">
        <v>3</v>
      </c>
      <c r="X381" t="s">
        <v>3993</v>
      </c>
      <c r="Y381" t="s">
        <v>3986</v>
      </c>
      <c r="Z381">
        <v>0</v>
      </c>
      <c r="AA381" t="s">
        <v>2493</v>
      </c>
      <c r="AB381" t="s">
        <v>4037</v>
      </c>
      <c r="AC381" t="s">
        <v>3986</v>
      </c>
      <c r="AD381" t="s">
        <v>2781</v>
      </c>
    </row>
    <row r="382" spans="1:30" x14ac:dyDescent="0.25">
      <c r="A382" t="s">
        <v>3292</v>
      </c>
      <c r="B382">
        <v>10</v>
      </c>
      <c r="C382" t="s">
        <v>3306</v>
      </c>
      <c r="D382" t="b">
        <v>1</v>
      </c>
      <c r="E382" t="b">
        <v>0</v>
      </c>
      <c r="F382" t="s">
        <v>3986</v>
      </c>
      <c r="G382" t="s">
        <v>3986</v>
      </c>
      <c r="H382" t="s">
        <v>3986</v>
      </c>
      <c r="I382" t="s">
        <v>3986</v>
      </c>
      <c r="J382" t="s">
        <v>3986</v>
      </c>
      <c r="K382" t="s">
        <v>3409</v>
      </c>
      <c r="L382" t="s">
        <v>3410</v>
      </c>
      <c r="M382" t="s">
        <v>3767</v>
      </c>
      <c r="N382">
        <v>7</v>
      </c>
      <c r="O382" t="b">
        <v>0</v>
      </c>
      <c r="P382" t="b">
        <v>0</v>
      </c>
      <c r="Q382" t="b">
        <v>0</v>
      </c>
      <c r="R382" t="b">
        <v>0</v>
      </c>
      <c r="T382" t="s">
        <v>3742</v>
      </c>
      <c r="U382">
        <v>19</v>
      </c>
      <c r="V382" t="s">
        <v>4005</v>
      </c>
      <c r="W382">
        <v>3</v>
      </c>
      <c r="X382" t="s">
        <v>3993</v>
      </c>
      <c r="Y382" t="s">
        <v>3986</v>
      </c>
      <c r="Z382">
        <v>0</v>
      </c>
      <c r="AA382" t="s">
        <v>2493</v>
      </c>
      <c r="AB382" t="s">
        <v>4037</v>
      </c>
      <c r="AC382" t="s">
        <v>3986</v>
      </c>
      <c r="AD382" t="s">
        <v>2781</v>
      </c>
    </row>
    <row r="383" spans="1:30" x14ac:dyDescent="0.25">
      <c r="A383" t="s">
        <v>3404</v>
      </c>
      <c r="B383">
        <v>11</v>
      </c>
      <c r="C383" t="s">
        <v>3310</v>
      </c>
      <c r="D383" t="b">
        <v>1</v>
      </c>
      <c r="E383" t="b">
        <v>0</v>
      </c>
      <c r="F383" t="s">
        <v>3986</v>
      </c>
      <c r="G383" t="s">
        <v>3986</v>
      </c>
      <c r="H383" t="s">
        <v>3986</v>
      </c>
      <c r="I383" t="s">
        <v>3986</v>
      </c>
      <c r="J383" t="s">
        <v>3986</v>
      </c>
      <c r="K383" t="s">
        <v>3409</v>
      </c>
      <c r="L383" t="s">
        <v>3410</v>
      </c>
      <c r="M383" t="s">
        <v>3767</v>
      </c>
      <c r="N383">
        <v>7</v>
      </c>
      <c r="O383" t="b">
        <v>0</v>
      </c>
      <c r="P383" t="b">
        <v>0</v>
      </c>
      <c r="Q383" t="b">
        <v>0</v>
      </c>
      <c r="R383" t="b">
        <v>0</v>
      </c>
      <c r="T383" t="s">
        <v>3742</v>
      </c>
      <c r="U383">
        <v>20</v>
      </c>
      <c r="V383" t="s">
        <v>4006</v>
      </c>
      <c r="W383">
        <v>3</v>
      </c>
      <c r="X383" t="s">
        <v>3993</v>
      </c>
      <c r="Y383" t="s">
        <v>3986</v>
      </c>
      <c r="Z383">
        <v>0</v>
      </c>
      <c r="AA383" t="s">
        <v>2493</v>
      </c>
      <c r="AB383" t="s">
        <v>4037</v>
      </c>
      <c r="AC383" t="s">
        <v>3986</v>
      </c>
      <c r="AD383" t="s">
        <v>2781</v>
      </c>
    </row>
    <row r="384" spans="1:30" x14ac:dyDescent="0.25">
      <c r="A384" t="s">
        <v>3405</v>
      </c>
      <c r="B384">
        <v>12</v>
      </c>
      <c r="C384" t="s">
        <v>3306</v>
      </c>
      <c r="D384" t="b">
        <v>1</v>
      </c>
      <c r="E384" t="b">
        <v>0</v>
      </c>
      <c r="F384" t="s">
        <v>3986</v>
      </c>
      <c r="G384" t="s">
        <v>3986</v>
      </c>
      <c r="H384" t="s">
        <v>3986</v>
      </c>
      <c r="I384" t="s">
        <v>3986</v>
      </c>
      <c r="J384" t="s">
        <v>3986</v>
      </c>
      <c r="K384" t="s">
        <v>3409</v>
      </c>
      <c r="L384" t="s">
        <v>3410</v>
      </c>
      <c r="M384" t="s">
        <v>3767</v>
      </c>
      <c r="N384">
        <v>7</v>
      </c>
      <c r="O384" t="b">
        <v>0</v>
      </c>
      <c r="P384" t="b">
        <v>0</v>
      </c>
      <c r="Q384" t="b">
        <v>0</v>
      </c>
      <c r="R384" t="b">
        <v>0</v>
      </c>
      <c r="T384" t="s">
        <v>3742</v>
      </c>
      <c r="U384">
        <v>21</v>
      </c>
      <c r="V384" t="s">
        <v>4010</v>
      </c>
      <c r="W384">
        <v>3</v>
      </c>
      <c r="X384" t="s">
        <v>3993</v>
      </c>
      <c r="Y384" t="s">
        <v>3986</v>
      </c>
      <c r="Z384">
        <v>0</v>
      </c>
      <c r="AA384" t="s">
        <v>2493</v>
      </c>
      <c r="AB384" t="s">
        <v>4037</v>
      </c>
      <c r="AC384" t="s">
        <v>3986</v>
      </c>
      <c r="AD384" t="s">
        <v>2781</v>
      </c>
    </row>
    <row r="385" spans="1:30" x14ac:dyDescent="0.25">
      <c r="A385" t="s">
        <v>3401</v>
      </c>
      <c r="B385">
        <v>2</v>
      </c>
      <c r="C385" t="s">
        <v>3306</v>
      </c>
      <c r="D385" t="b">
        <v>1</v>
      </c>
      <c r="E385" t="b">
        <v>0</v>
      </c>
      <c r="F385" t="s">
        <v>3986</v>
      </c>
      <c r="G385" t="s">
        <v>3986</v>
      </c>
      <c r="H385" t="s">
        <v>3986</v>
      </c>
      <c r="I385" t="s">
        <v>3986</v>
      </c>
      <c r="J385" t="s">
        <v>3986</v>
      </c>
      <c r="K385" t="s">
        <v>3414</v>
      </c>
      <c r="L385" t="s">
        <v>3415</v>
      </c>
      <c r="M385" t="s">
        <v>3767</v>
      </c>
      <c r="N385">
        <v>7</v>
      </c>
      <c r="O385" t="b">
        <v>0</v>
      </c>
      <c r="P385" t="b">
        <v>0</v>
      </c>
      <c r="Q385" t="b">
        <v>0</v>
      </c>
      <c r="R385" t="b">
        <v>0</v>
      </c>
      <c r="T385" t="s">
        <v>3742</v>
      </c>
      <c r="U385">
        <v>22</v>
      </c>
      <c r="V385" t="s">
        <v>4014</v>
      </c>
      <c r="W385">
        <v>3</v>
      </c>
      <c r="X385" t="s">
        <v>3993</v>
      </c>
      <c r="Y385" t="s">
        <v>3986</v>
      </c>
      <c r="Z385">
        <v>0</v>
      </c>
      <c r="AA385" t="s">
        <v>2493</v>
      </c>
      <c r="AB385" t="s">
        <v>4037</v>
      </c>
      <c r="AC385" t="s">
        <v>3986</v>
      </c>
      <c r="AD385" t="s">
        <v>2781</v>
      </c>
    </row>
    <row r="386" spans="1:30" x14ac:dyDescent="0.25">
      <c r="A386" t="s">
        <v>3294</v>
      </c>
      <c r="B386">
        <v>3</v>
      </c>
      <c r="C386" t="s">
        <v>3306</v>
      </c>
      <c r="D386" t="b">
        <v>1</v>
      </c>
      <c r="E386" t="b">
        <v>0</v>
      </c>
      <c r="F386" t="s">
        <v>3986</v>
      </c>
      <c r="G386" t="s">
        <v>3986</v>
      </c>
      <c r="H386" t="s">
        <v>3606</v>
      </c>
      <c r="I386" t="s">
        <v>3986</v>
      </c>
      <c r="J386" t="s">
        <v>3986</v>
      </c>
      <c r="K386" t="s">
        <v>3414</v>
      </c>
      <c r="L386" t="s">
        <v>3415</v>
      </c>
      <c r="M386" t="s">
        <v>3767</v>
      </c>
      <c r="N386">
        <v>7</v>
      </c>
      <c r="O386" t="b">
        <v>0</v>
      </c>
      <c r="P386" t="b">
        <v>0</v>
      </c>
      <c r="Q386" t="b">
        <v>0</v>
      </c>
      <c r="R386" t="b">
        <v>0</v>
      </c>
      <c r="T386" t="s">
        <v>3742</v>
      </c>
      <c r="U386">
        <v>23</v>
      </c>
      <c r="V386" t="s">
        <v>4015</v>
      </c>
      <c r="W386">
        <v>3</v>
      </c>
      <c r="X386" t="s">
        <v>3993</v>
      </c>
      <c r="Y386" t="s">
        <v>3986</v>
      </c>
      <c r="Z386">
        <v>0</v>
      </c>
      <c r="AA386" t="s">
        <v>2493</v>
      </c>
      <c r="AB386" t="s">
        <v>4037</v>
      </c>
      <c r="AC386" t="s">
        <v>3986</v>
      </c>
      <c r="AD386" t="s">
        <v>2781</v>
      </c>
    </row>
    <row r="387" spans="1:30" x14ac:dyDescent="0.25">
      <c r="A387" t="s">
        <v>34</v>
      </c>
      <c r="B387">
        <v>4</v>
      </c>
      <c r="C387" t="s">
        <v>3306</v>
      </c>
      <c r="D387" t="b">
        <v>1</v>
      </c>
      <c r="E387" t="b">
        <v>0</v>
      </c>
      <c r="F387" t="s">
        <v>3307</v>
      </c>
      <c r="G387" t="s">
        <v>3986</v>
      </c>
      <c r="H387" t="s">
        <v>3986</v>
      </c>
      <c r="I387" t="s">
        <v>3986</v>
      </c>
      <c r="J387" t="s">
        <v>3370</v>
      </c>
      <c r="K387" t="s">
        <v>3414</v>
      </c>
      <c r="L387" t="s">
        <v>3415</v>
      </c>
      <c r="M387" t="s">
        <v>3767</v>
      </c>
      <c r="N387">
        <v>7</v>
      </c>
      <c r="O387" t="b">
        <v>0</v>
      </c>
      <c r="P387" t="b">
        <v>0</v>
      </c>
      <c r="Q387" t="b">
        <v>0</v>
      </c>
      <c r="R387" t="b">
        <v>0</v>
      </c>
      <c r="T387" t="s">
        <v>3742</v>
      </c>
      <c r="U387">
        <v>24</v>
      </c>
      <c r="V387" t="s">
        <v>4018</v>
      </c>
      <c r="W387">
        <v>3</v>
      </c>
      <c r="X387" t="s">
        <v>3993</v>
      </c>
      <c r="Y387" t="s">
        <v>3986</v>
      </c>
      <c r="Z387">
        <v>0</v>
      </c>
      <c r="AA387" t="s">
        <v>2493</v>
      </c>
      <c r="AB387" t="s">
        <v>4037</v>
      </c>
      <c r="AC387" t="s">
        <v>3986</v>
      </c>
      <c r="AD387" t="s">
        <v>2781</v>
      </c>
    </row>
    <row r="388" spans="1:30" x14ac:dyDescent="0.25">
      <c r="A388" t="s">
        <v>3374</v>
      </c>
      <c r="B388">
        <v>5</v>
      </c>
      <c r="C388" t="s">
        <v>3306</v>
      </c>
      <c r="D388" t="b">
        <v>0</v>
      </c>
      <c r="E388" t="b">
        <v>0</v>
      </c>
      <c r="F388" t="s">
        <v>3986</v>
      </c>
      <c r="G388" t="s">
        <v>3986</v>
      </c>
      <c r="H388" t="s">
        <v>3986</v>
      </c>
      <c r="I388" t="s">
        <v>3986</v>
      </c>
      <c r="J388" t="s">
        <v>3412</v>
      </c>
      <c r="K388" t="s">
        <v>3414</v>
      </c>
      <c r="L388" t="s">
        <v>3415</v>
      </c>
      <c r="M388" t="s">
        <v>3767</v>
      </c>
      <c r="N388">
        <v>7</v>
      </c>
      <c r="O388" t="b">
        <v>0</v>
      </c>
      <c r="P388" t="b">
        <v>0</v>
      </c>
      <c r="Q388" t="b">
        <v>0</v>
      </c>
      <c r="R388" t="b">
        <v>0</v>
      </c>
      <c r="T388" t="s">
        <v>3742</v>
      </c>
      <c r="U388">
        <v>25</v>
      </c>
      <c r="V388" t="s">
        <v>4024</v>
      </c>
      <c r="W388">
        <v>3</v>
      </c>
      <c r="X388" t="s">
        <v>3993</v>
      </c>
      <c r="Y388" t="s">
        <v>3986</v>
      </c>
      <c r="Z388">
        <v>0</v>
      </c>
      <c r="AA388" t="s">
        <v>2493</v>
      </c>
      <c r="AB388" t="s">
        <v>4037</v>
      </c>
      <c r="AC388" t="s">
        <v>3986</v>
      </c>
      <c r="AD388" t="s">
        <v>2781</v>
      </c>
    </row>
    <row r="389" spans="1:30" x14ac:dyDescent="0.25">
      <c r="A389" t="s">
        <v>3411</v>
      </c>
      <c r="B389">
        <v>6</v>
      </c>
      <c r="C389" t="s">
        <v>3306</v>
      </c>
      <c r="D389" t="b">
        <v>1</v>
      </c>
      <c r="E389" t="b">
        <v>0</v>
      </c>
      <c r="F389" t="s">
        <v>3986</v>
      </c>
      <c r="G389" t="s">
        <v>3986</v>
      </c>
      <c r="H389" t="s">
        <v>3986</v>
      </c>
      <c r="I389" t="s">
        <v>3986</v>
      </c>
      <c r="J389" t="s">
        <v>3370</v>
      </c>
      <c r="K389" t="s">
        <v>3414</v>
      </c>
      <c r="L389" t="s">
        <v>3415</v>
      </c>
      <c r="M389" t="s">
        <v>3767</v>
      </c>
      <c r="N389">
        <v>7</v>
      </c>
      <c r="O389" t="b">
        <v>0</v>
      </c>
      <c r="P389" t="b">
        <v>0</v>
      </c>
      <c r="Q389" t="b">
        <v>0</v>
      </c>
      <c r="R389" t="b">
        <v>0</v>
      </c>
      <c r="T389" t="s">
        <v>3742</v>
      </c>
      <c r="U389">
        <v>26</v>
      </c>
      <c r="V389" t="s">
        <v>4025</v>
      </c>
      <c r="W389">
        <v>3</v>
      </c>
      <c r="X389" t="s">
        <v>3993</v>
      </c>
      <c r="Y389" t="s">
        <v>3986</v>
      </c>
      <c r="Z389">
        <v>0</v>
      </c>
      <c r="AA389" t="s">
        <v>2493</v>
      </c>
      <c r="AB389" t="s">
        <v>4037</v>
      </c>
      <c r="AC389" t="s">
        <v>3986</v>
      </c>
      <c r="AD389" t="s">
        <v>2781</v>
      </c>
    </row>
    <row r="390" spans="1:30" x14ac:dyDescent="0.25">
      <c r="A390" t="s">
        <v>3413</v>
      </c>
      <c r="B390">
        <v>7</v>
      </c>
      <c r="C390" t="s">
        <v>3306</v>
      </c>
      <c r="D390" t="b">
        <v>0</v>
      </c>
      <c r="E390" t="b">
        <v>0</v>
      </c>
      <c r="F390" t="s">
        <v>3986</v>
      </c>
      <c r="G390" t="s">
        <v>3986</v>
      </c>
      <c r="H390" t="s">
        <v>3986</v>
      </c>
      <c r="I390" t="s">
        <v>3986</v>
      </c>
      <c r="J390" t="s">
        <v>3412</v>
      </c>
      <c r="K390" t="s">
        <v>3414</v>
      </c>
      <c r="L390" t="s">
        <v>3415</v>
      </c>
      <c r="M390" t="s">
        <v>3767</v>
      </c>
      <c r="N390">
        <v>7</v>
      </c>
      <c r="O390" t="b">
        <v>0</v>
      </c>
      <c r="P390" t="b">
        <v>0</v>
      </c>
      <c r="Q390" t="b">
        <v>0</v>
      </c>
      <c r="R390" t="b">
        <v>0</v>
      </c>
      <c r="T390" t="s">
        <v>3742</v>
      </c>
      <c r="U390">
        <v>27</v>
      </c>
      <c r="V390" t="s">
        <v>4026</v>
      </c>
      <c r="W390">
        <v>3</v>
      </c>
      <c r="X390" t="s">
        <v>3993</v>
      </c>
      <c r="Y390" t="s">
        <v>3986</v>
      </c>
      <c r="Z390">
        <v>0</v>
      </c>
      <c r="AA390" t="s">
        <v>2493</v>
      </c>
      <c r="AB390" t="s">
        <v>4037</v>
      </c>
      <c r="AC390" t="s">
        <v>3986</v>
      </c>
      <c r="AD390" t="s">
        <v>2781</v>
      </c>
    </row>
    <row r="391" spans="1:30" x14ac:dyDescent="0.25">
      <c r="A391" t="s">
        <v>3393</v>
      </c>
      <c r="B391">
        <v>8</v>
      </c>
      <c r="C391" t="s">
        <v>3306</v>
      </c>
      <c r="D391" t="b">
        <v>0</v>
      </c>
      <c r="E391" t="b">
        <v>0</v>
      </c>
      <c r="F391" t="s">
        <v>3986</v>
      </c>
      <c r="G391" t="s">
        <v>3986</v>
      </c>
      <c r="H391" t="s">
        <v>3986</v>
      </c>
      <c r="I391" t="s">
        <v>3986</v>
      </c>
      <c r="J391" t="s">
        <v>3412</v>
      </c>
      <c r="K391" t="s">
        <v>3414</v>
      </c>
      <c r="L391" t="s">
        <v>3415</v>
      </c>
      <c r="M391" t="s">
        <v>3767</v>
      </c>
      <c r="N391">
        <v>7</v>
      </c>
      <c r="O391" t="b">
        <v>0</v>
      </c>
      <c r="P391" t="b">
        <v>0</v>
      </c>
      <c r="Q391" t="b">
        <v>0</v>
      </c>
      <c r="R391" t="b">
        <v>0</v>
      </c>
      <c r="T391" t="s">
        <v>3742</v>
      </c>
      <c r="U391">
        <v>28</v>
      </c>
      <c r="V391" t="s">
        <v>4029</v>
      </c>
      <c r="W391">
        <v>3</v>
      </c>
      <c r="X391" t="s">
        <v>3993</v>
      </c>
      <c r="Y391" t="s">
        <v>3986</v>
      </c>
      <c r="Z391">
        <v>0</v>
      </c>
      <c r="AA391" t="s">
        <v>2493</v>
      </c>
      <c r="AB391" t="s">
        <v>4037</v>
      </c>
      <c r="AC391" t="s">
        <v>3986</v>
      </c>
      <c r="AD391" t="s">
        <v>2781</v>
      </c>
    </row>
    <row r="392" spans="1:30" x14ac:dyDescent="0.25">
      <c r="A392" t="s">
        <v>2336</v>
      </c>
      <c r="B392">
        <v>9</v>
      </c>
      <c r="C392" t="s">
        <v>3306</v>
      </c>
      <c r="D392" t="b">
        <v>0</v>
      </c>
      <c r="E392" t="b">
        <v>0</v>
      </c>
      <c r="F392" t="s">
        <v>3986</v>
      </c>
      <c r="G392" t="s">
        <v>3986</v>
      </c>
      <c r="H392" t="s">
        <v>3986</v>
      </c>
      <c r="I392" t="s">
        <v>3986</v>
      </c>
      <c r="J392" t="s">
        <v>3412</v>
      </c>
      <c r="K392" t="s">
        <v>3414</v>
      </c>
      <c r="L392" t="s">
        <v>3415</v>
      </c>
      <c r="M392" t="s">
        <v>3767</v>
      </c>
      <c r="N392">
        <v>7</v>
      </c>
      <c r="O392" t="b">
        <v>0</v>
      </c>
      <c r="P392" t="b">
        <v>0</v>
      </c>
      <c r="Q392" t="b">
        <v>0</v>
      </c>
      <c r="R392" t="b">
        <v>0</v>
      </c>
      <c r="T392" t="s">
        <v>3742</v>
      </c>
      <c r="U392">
        <v>29</v>
      </c>
      <c r="V392" t="s">
        <v>4038</v>
      </c>
      <c r="W392">
        <v>3</v>
      </c>
      <c r="X392" t="s">
        <v>3993</v>
      </c>
      <c r="Y392" t="s">
        <v>3986</v>
      </c>
      <c r="Z392">
        <v>0</v>
      </c>
      <c r="AA392" t="s">
        <v>2493</v>
      </c>
      <c r="AB392" t="s">
        <v>4037</v>
      </c>
      <c r="AC392" t="s">
        <v>3986</v>
      </c>
      <c r="AD392" t="s">
        <v>2781</v>
      </c>
    </row>
    <row r="393" spans="1:30" x14ac:dyDescent="0.25">
      <c r="A393" t="s">
        <v>3292</v>
      </c>
      <c r="B393">
        <v>10</v>
      </c>
      <c r="C393" t="s">
        <v>3306</v>
      </c>
      <c r="D393" t="b">
        <v>1</v>
      </c>
      <c r="E393" t="b">
        <v>0</v>
      </c>
      <c r="F393" t="s">
        <v>3986</v>
      </c>
      <c r="G393" t="s">
        <v>3986</v>
      </c>
      <c r="H393" t="s">
        <v>3986</v>
      </c>
      <c r="I393" t="s">
        <v>3986</v>
      </c>
      <c r="J393" t="s">
        <v>3986</v>
      </c>
      <c r="K393" t="s">
        <v>3414</v>
      </c>
      <c r="L393" t="s">
        <v>3415</v>
      </c>
      <c r="M393" t="s">
        <v>3767</v>
      </c>
      <c r="N393">
        <v>7</v>
      </c>
      <c r="O393" t="b">
        <v>0</v>
      </c>
      <c r="P393" t="b">
        <v>0</v>
      </c>
      <c r="Q393" t="b">
        <v>0</v>
      </c>
      <c r="R393" t="b">
        <v>0</v>
      </c>
      <c r="T393" t="s">
        <v>3742</v>
      </c>
      <c r="U393">
        <v>30</v>
      </c>
      <c r="V393" t="s">
        <v>4039</v>
      </c>
      <c r="W393">
        <v>3</v>
      </c>
      <c r="X393" t="s">
        <v>3993</v>
      </c>
      <c r="Y393" t="s">
        <v>3986</v>
      </c>
      <c r="Z393">
        <v>0</v>
      </c>
      <c r="AA393" t="s">
        <v>2493</v>
      </c>
      <c r="AB393" t="s">
        <v>4037</v>
      </c>
      <c r="AC393" t="s">
        <v>3986</v>
      </c>
      <c r="AD393" t="s">
        <v>2781</v>
      </c>
    </row>
    <row r="394" spans="1:30" x14ac:dyDescent="0.25">
      <c r="A394" t="s">
        <v>3404</v>
      </c>
      <c r="B394">
        <v>11</v>
      </c>
      <c r="C394" t="s">
        <v>3310</v>
      </c>
      <c r="D394" t="b">
        <v>1</v>
      </c>
      <c r="E394" t="b">
        <v>0</v>
      </c>
      <c r="F394" t="s">
        <v>3986</v>
      </c>
      <c r="G394" t="s">
        <v>3986</v>
      </c>
      <c r="H394" t="s">
        <v>3986</v>
      </c>
      <c r="I394" t="s">
        <v>3986</v>
      </c>
      <c r="J394" t="s">
        <v>3986</v>
      </c>
      <c r="K394" t="s">
        <v>3414</v>
      </c>
      <c r="L394" t="s">
        <v>3415</v>
      </c>
      <c r="M394" t="s">
        <v>3767</v>
      </c>
      <c r="N394">
        <v>7</v>
      </c>
      <c r="O394" t="b">
        <v>0</v>
      </c>
      <c r="P394" t="b">
        <v>0</v>
      </c>
      <c r="Q394" t="b">
        <v>0</v>
      </c>
      <c r="R394" t="b">
        <v>0</v>
      </c>
      <c r="T394" t="s">
        <v>3742</v>
      </c>
      <c r="U394">
        <v>31</v>
      </c>
      <c r="V394" t="s">
        <v>4040</v>
      </c>
      <c r="W394">
        <v>3</v>
      </c>
      <c r="X394" t="s">
        <v>3993</v>
      </c>
      <c r="Y394" t="s">
        <v>3986</v>
      </c>
      <c r="Z394">
        <v>0</v>
      </c>
      <c r="AA394" t="s">
        <v>2493</v>
      </c>
      <c r="AB394" t="s">
        <v>4037</v>
      </c>
      <c r="AC394" t="s">
        <v>3986</v>
      </c>
      <c r="AD394" t="s">
        <v>2781</v>
      </c>
    </row>
    <row r="395" spans="1:30" x14ac:dyDescent="0.25">
      <c r="A395" t="s">
        <v>3405</v>
      </c>
      <c r="B395">
        <v>12</v>
      </c>
      <c r="C395" t="s">
        <v>3306</v>
      </c>
      <c r="D395" t="b">
        <v>1</v>
      </c>
      <c r="E395" t="b">
        <v>0</v>
      </c>
      <c r="F395" t="s">
        <v>3986</v>
      </c>
      <c r="G395" t="s">
        <v>3986</v>
      </c>
      <c r="H395" t="s">
        <v>3986</v>
      </c>
      <c r="I395" t="s">
        <v>3986</v>
      </c>
      <c r="J395" t="s">
        <v>3986</v>
      </c>
      <c r="K395" t="s">
        <v>3414</v>
      </c>
      <c r="L395" t="s">
        <v>3415</v>
      </c>
      <c r="M395" t="s">
        <v>3767</v>
      </c>
      <c r="N395">
        <v>7</v>
      </c>
      <c r="O395" t="b">
        <v>0</v>
      </c>
      <c r="P395" t="b">
        <v>0</v>
      </c>
      <c r="Q395" t="b">
        <v>0</v>
      </c>
      <c r="R395" t="b">
        <v>0</v>
      </c>
      <c r="T395" t="s">
        <v>3742</v>
      </c>
      <c r="U395">
        <v>32</v>
      </c>
      <c r="V395" t="s">
        <v>4041</v>
      </c>
      <c r="W395">
        <v>3</v>
      </c>
      <c r="X395" t="s">
        <v>3993</v>
      </c>
      <c r="Y395" t="s">
        <v>3986</v>
      </c>
      <c r="Z395">
        <v>0</v>
      </c>
      <c r="AA395" t="s">
        <v>2493</v>
      </c>
      <c r="AB395" t="s">
        <v>4037</v>
      </c>
      <c r="AC395" t="s">
        <v>3986</v>
      </c>
      <c r="AD395" t="s">
        <v>2781</v>
      </c>
    </row>
    <row r="396" spans="1:30" x14ac:dyDescent="0.25">
      <c r="A396" t="s">
        <v>3401</v>
      </c>
      <c r="B396">
        <v>2</v>
      </c>
      <c r="C396" t="s">
        <v>3306</v>
      </c>
      <c r="D396" t="b">
        <v>1</v>
      </c>
      <c r="E396" t="b">
        <v>0</v>
      </c>
      <c r="F396" t="s">
        <v>3986</v>
      </c>
      <c r="G396" t="s">
        <v>3986</v>
      </c>
      <c r="H396" t="s">
        <v>3986</v>
      </c>
      <c r="I396" t="s">
        <v>3986</v>
      </c>
      <c r="J396" t="s">
        <v>3986</v>
      </c>
      <c r="K396" t="s">
        <v>3416</v>
      </c>
      <c r="L396" t="s">
        <v>3417</v>
      </c>
      <c r="M396" t="s">
        <v>3767</v>
      </c>
      <c r="N396">
        <v>7</v>
      </c>
      <c r="O396" t="b">
        <v>0</v>
      </c>
      <c r="P396" t="b">
        <v>0</v>
      </c>
      <c r="Q396" t="b">
        <v>0</v>
      </c>
      <c r="R396" t="b">
        <v>0</v>
      </c>
      <c r="T396" t="s">
        <v>3742</v>
      </c>
      <c r="U396">
        <v>33</v>
      </c>
      <c r="V396" t="s">
        <v>4042</v>
      </c>
      <c r="W396">
        <v>3</v>
      </c>
      <c r="X396" t="s">
        <v>3993</v>
      </c>
      <c r="Y396" t="s">
        <v>3986</v>
      </c>
      <c r="Z396">
        <v>0</v>
      </c>
      <c r="AA396" t="s">
        <v>2493</v>
      </c>
      <c r="AB396" t="s">
        <v>4037</v>
      </c>
      <c r="AC396" t="s">
        <v>3986</v>
      </c>
      <c r="AD396" t="s">
        <v>2781</v>
      </c>
    </row>
    <row r="397" spans="1:30" x14ac:dyDescent="0.25">
      <c r="A397" t="s">
        <v>3294</v>
      </c>
      <c r="B397">
        <v>3</v>
      </c>
      <c r="C397" t="s">
        <v>3306</v>
      </c>
      <c r="D397" t="b">
        <v>1</v>
      </c>
      <c r="E397" t="b">
        <v>0</v>
      </c>
      <c r="F397" t="s">
        <v>3986</v>
      </c>
      <c r="G397" t="s">
        <v>3986</v>
      </c>
      <c r="H397" t="s">
        <v>3607</v>
      </c>
      <c r="I397" t="s">
        <v>3986</v>
      </c>
      <c r="J397" t="s">
        <v>3986</v>
      </c>
      <c r="K397" t="s">
        <v>3416</v>
      </c>
      <c r="L397" t="s">
        <v>3417</v>
      </c>
      <c r="M397" t="s">
        <v>3767</v>
      </c>
      <c r="N397">
        <v>7</v>
      </c>
      <c r="O397" t="b">
        <v>0</v>
      </c>
      <c r="P397" t="b">
        <v>0</v>
      </c>
      <c r="Q397" t="b">
        <v>0</v>
      </c>
      <c r="R397" t="b">
        <v>0</v>
      </c>
      <c r="T397" t="s">
        <v>3742</v>
      </c>
      <c r="U397">
        <v>34</v>
      </c>
      <c r="V397" t="s">
        <v>4043</v>
      </c>
      <c r="W397">
        <v>3</v>
      </c>
      <c r="X397" t="s">
        <v>3993</v>
      </c>
      <c r="Y397" t="s">
        <v>3986</v>
      </c>
      <c r="Z397">
        <v>0</v>
      </c>
      <c r="AA397" t="s">
        <v>2493</v>
      </c>
      <c r="AB397" t="s">
        <v>4037</v>
      </c>
      <c r="AC397" t="s">
        <v>3986</v>
      </c>
      <c r="AD397" t="s">
        <v>2781</v>
      </c>
    </row>
    <row r="398" spans="1:30" x14ac:dyDescent="0.25">
      <c r="A398" t="s">
        <v>34</v>
      </c>
      <c r="B398">
        <v>4</v>
      </c>
      <c r="C398" t="s">
        <v>3306</v>
      </c>
      <c r="D398" t="b">
        <v>1</v>
      </c>
      <c r="E398" t="b">
        <v>0</v>
      </c>
      <c r="F398" t="s">
        <v>3307</v>
      </c>
      <c r="G398" t="s">
        <v>3986</v>
      </c>
      <c r="H398" t="s">
        <v>3986</v>
      </c>
      <c r="I398" t="s">
        <v>3986</v>
      </c>
      <c r="J398" t="s">
        <v>3370</v>
      </c>
      <c r="K398" t="s">
        <v>3416</v>
      </c>
      <c r="L398" t="s">
        <v>3417</v>
      </c>
      <c r="M398" t="s">
        <v>3767</v>
      </c>
      <c r="N398">
        <v>7</v>
      </c>
      <c r="O398" t="b">
        <v>0</v>
      </c>
      <c r="P398" t="b">
        <v>0</v>
      </c>
      <c r="Q398" t="b">
        <v>0</v>
      </c>
      <c r="R398" t="b">
        <v>0</v>
      </c>
      <c r="T398" t="s">
        <v>3742</v>
      </c>
      <c r="U398">
        <v>35</v>
      </c>
      <c r="V398" t="s">
        <v>4044</v>
      </c>
      <c r="W398">
        <v>3</v>
      </c>
      <c r="X398" t="s">
        <v>3993</v>
      </c>
      <c r="Y398" t="s">
        <v>3986</v>
      </c>
      <c r="Z398">
        <v>0</v>
      </c>
      <c r="AA398" t="s">
        <v>2493</v>
      </c>
      <c r="AB398" t="s">
        <v>4037</v>
      </c>
      <c r="AC398" t="s">
        <v>3986</v>
      </c>
      <c r="AD398" t="s">
        <v>2781</v>
      </c>
    </row>
    <row r="399" spans="1:30" x14ac:dyDescent="0.25">
      <c r="A399" t="s">
        <v>3374</v>
      </c>
      <c r="B399">
        <v>5</v>
      </c>
      <c r="C399" t="s">
        <v>3306</v>
      </c>
      <c r="D399" t="b">
        <v>0</v>
      </c>
      <c r="E399" t="b">
        <v>0</v>
      </c>
      <c r="F399" t="s">
        <v>3986</v>
      </c>
      <c r="G399" t="s">
        <v>3986</v>
      </c>
      <c r="H399" t="s">
        <v>3986</v>
      </c>
      <c r="I399" t="s">
        <v>3986</v>
      </c>
      <c r="J399" t="s">
        <v>3412</v>
      </c>
      <c r="K399" t="s">
        <v>3416</v>
      </c>
      <c r="L399" t="s">
        <v>3417</v>
      </c>
      <c r="M399" t="s">
        <v>3767</v>
      </c>
      <c r="N399">
        <v>7</v>
      </c>
      <c r="O399" t="b">
        <v>0</v>
      </c>
      <c r="P399" t="b">
        <v>0</v>
      </c>
      <c r="Q399" t="b">
        <v>0</v>
      </c>
      <c r="R399" t="b">
        <v>0</v>
      </c>
      <c r="T399" t="s">
        <v>3742</v>
      </c>
      <c r="U399">
        <v>36</v>
      </c>
      <c r="V399" t="s">
        <v>4045</v>
      </c>
      <c r="W399">
        <v>3</v>
      </c>
      <c r="X399" t="s">
        <v>3993</v>
      </c>
      <c r="Y399" t="s">
        <v>3986</v>
      </c>
      <c r="Z399">
        <v>0</v>
      </c>
      <c r="AA399" t="s">
        <v>2493</v>
      </c>
      <c r="AB399" t="s">
        <v>4037</v>
      </c>
      <c r="AC399" t="s">
        <v>3986</v>
      </c>
      <c r="AD399" t="s">
        <v>2781</v>
      </c>
    </row>
    <row r="400" spans="1:30" x14ac:dyDescent="0.25">
      <c r="A400" t="s">
        <v>3411</v>
      </c>
      <c r="B400">
        <v>6</v>
      </c>
      <c r="C400" t="s">
        <v>3306</v>
      </c>
      <c r="D400" t="b">
        <v>0</v>
      </c>
      <c r="E400" t="b">
        <v>0</v>
      </c>
      <c r="F400" t="s">
        <v>3986</v>
      </c>
      <c r="G400" t="s">
        <v>3986</v>
      </c>
      <c r="H400" t="s">
        <v>3986</v>
      </c>
      <c r="I400" t="s">
        <v>3986</v>
      </c>
      <c r="J400" t="s">
        <v>3412</v>
      </c>
      <c r="K400" t="s">
        <v>3416</v>
      </c>
      <c r="L400" t="s">
        <v>3417</v>
      </c>
      <c r="M400" t="s">
        <v>3767</v>
      </c>
      <c r="N400">
        <v>7</v>
      </c>
      <c r="O400" t="b">
        <v>0</v>
      </c>
      <c r="P400" t="b">
        <v>0</v>
      </c>
      <c r="Q400" t="b">
        <v>0</v>
      </c>
      <c r="R400" t="b">
        <v>0</v>
      </c>
      <c r="T400" t="s">
        <v>3742</v>
      </c>
      <c r="U400">
        <v>37</v>
      </c>
      <c r="V400" t="s">
        <v>4046</v>
      </c>
      <c r="W400">
        <v>3</v>
      </c>
      <c r="X400" t="s">
        <v>3993</v>
      </c>
      <c r="Y400" t="s">
        <v>3986</v>
      </c>
      <c r="Z400">
        <v>0</v>
      </c>
      <c r="AA400" t="s">
        <v>2493</v>
      </c>
      <c r="AB400" t="s">
        <v>4037</v>
      </c>
      <c r="AC400" t="s">
        <v>3986</v>
      </c>
      <c r="AD400" t="s">
        <v>2781</v>
      </c>
    </row>
    <row r="401" spans="1:30" x14ac:dyDescent="0.25">
      <c r="A401" t="s">
        <v>3413</v>
      </c>
      <c r="B401">
        <v>7</v>
      </c>
      <c r="C401" t="s">
        <v>3306</v>
      </c>
      <c r="D401" t="b">
        <v>0</v>
      </c>
      <c r="E401" t="b">
        <v>0</v>
      </c>
      <c r="F401" t="s">
        <v>3307</v>
      </c>
      <c r="G401" t="s">
        <v>3986</v>
      </c>
      <c r="H401" t="s">
        <v>3986</v>
      </c>
      <c r="I401" t="s">
        <v>3986</v>
      </c>
      <c r="J401" t="s">
        <v>3418</v>
      </c>
      <c r="K401" t="s">
        <v>3416</v>
      </c>
      <c r="L401" t="s">
        <v>3417</v>
      </c>
      <c r="M401" t="s">
        <v>3767</v>
      </c>
      <c r="N401">
        <v>7</v>
      </c>
      <c r="O401" t="b">
        <v>0</v>
      </c>
      <c r="P401" t="b">
        <v>0</v>
      </c>
      <c r="Q401" t="b">
        <v>0</v>
      </c>
      <c r="R401" t="b">
        <v>0</v>
      </c>
      <c r="T401" t="s">
        <v>3742</v>
      </c>
      <c r="U401">
        <v>38</v>
      </c>
      <c r="V401" t="s">
        <v>4047</v>
      </c>
      <c r="W401">
        <v>3</v>
      </c>
      <c r="X401" t="s">
        <v>3993</v>
      </c>
      <c r="Y401" t="s">
        <v>3986</v>
      </c>
      <c r="Z401">
        <v>0</v>
      </c>
      <c r="AA401" t="s">
        <v>2493</v>
      </c>
      <c r="AB401" t="s">
        <v>4037</v>
      </c>
      <c r="AC401" t="s">
        <v>3986</v>
      </c>
      <c r="AD401" t="s">
        <v>2781</v>
      </c>
    </row>
    <row r="402" spans="1:30" x14ac:dyDescent="0.25">
      <c r="A402" t="s">
        <v>3393</v>
      </c>
      <c r="B402">
        <v>8</v>
      </c>
      <c r="C402" t="s">
        <v>3306</v>
      </c>
      <c r="D402" t="b">
        <v>0</v>
      </c>
      <c r="E402" t="b">
        <v>0</v>
      </c>
      <c r="F402" t="s">
        <v>3986</v>
      </c>
      <c r="G402" t="s">
        <v>3986</v>
      </c>
      <c r="H402" t="s">
        <v>3986</v>
      </c>
      <c r="I402" t="s">
        <v>3986</v>
      </c>
      <c r="J402" t="s">
        <v>3412</v>
      </c>
      <c r="K402" t="s">
        <v>3416</v>
      </c>
      <c r="L402" t="s">
        <v>3417</v>
      </c>
      <c r="M402" t="s">
        <v>3767</v>
      </c>
      <c r="N402">
        <v>7</v>
      </c>
      <c r="O402" t="b">
        <v>0</v>
      </c>
      <c r="P402" t="b">
        <v>0</v>
      </c>
      <c r="Q402" t="b">
        <v>0</v>
      </c>
      <c r="R402" t="b">
        <v>0</v>
      </c>
      <c r="T402" t="s">
        <v>3742</v>
      </c>
      <c r="U402">
        <v>39</v>
      </c>
      <c r="V402" t="s">
        <v>4048</v>
      </c>
      <c r="W402">
        <v>3</v>
      </c>
      <c r="X402" t="s">
        <v>3993</v>
      </c>
      <c r="Y402" t="s">
        <v>3986</v>
      </c>
      <c r="Z402">
        <v>0</v>
      </c>
      <c r="AA402" t="s">
        <v>2493</v>
      </c>
      <c r="AB402" t="s">
        <v>4037</v>
      </c>
      <c r="AC402" t="s">
        <v>3986</v>
      </c>
      <c r="AD402" t="s">
        <v>2781</v>
      </c>
    </row>
    <row r="403" spans="1:30" x14ac:dyDescent="0.25">
      <c r="A403" t="s">
        <v>2336</v>
      </c>
      <c r="B403">
        <v>9</v>
      </c>
      <c r="C403" t="s">
        <v>3306</v>
      </c>
      <c r="D403" t="b">
        <v>0</v>
      </c>
      <c r="E403" t="b">
        <v>0</v>
      </c>
      <c r="F403" t="s">
        <v>3986</v>
      </c>
      <c r="G403" t="s">
        <v>3986</v>
      </c>
      <c r="H403" t="s">
        <v>3986</v>
      </c>
      <c r="I403" t="s">
        <v>3986</v>
      </c>
      <c r="J403" t="s">
        <v>3412</v>
      </c>
      <c r="K403" t="s">
        <v>3416</v>
      </c>
      <c r="L403" t="s">
        <v>3417</v>
      </c>
      <c r="M403" t="s">
        <v>3767</v>
      </c>
      <c r="N403">
        <v>7</v>
      </c>
      <c r="O403" t="b">
        <v>0</v>
      </c>
      <c r="P403" t="b">
        <v>0</v>
      </c>
      <c r="Q403" t="b">
        <v>0</v>
      </c>
      <c r="R403" t="b">
        <v>0</v>
      </c>
      <c r="T403" t="s">
        <v>3742</v>
      </c>
      <c r="U403">
        <v>40</v>
      </c>
      <c r="V403" t="s">
        <v>4049</v>
      </c>
      <c r="W403">
        <v>3</v>
      </c>
      <c r="X403" t="s">
        <v>3993</v>
      </c>
      <c r="Y403" t="s">
        <v>3986</v>
      </c>
      <c r="Z403">
        <v>0</v>
      </c>
      <c r="AA403" t="s">
        <v>2493</v>
      </c>
      <c r="AB403" t="s">
        <v>4037</v>
      </c>
      <c r="AC403" t="s">
        <v>3986</v>
      </c>
      <c r="AD403" t="s">
        <v>2781</v>
      </c>
    </row>
    <row r="404" spans="1:30" x14ac:dyDescent="0.25">
      <c r="A404" t="s">
        <v>3292</v>
      </c>
      <c r="B404">
        <v>10</v>
      </c>
      <c r="C404" t="s">
        <v>3306</v>
      </c>
      <c r="D404" t="b">
        <v>1</v>
      </c>
      <c r="E404" t="b">
        <v>0</v>
      </c>
      <c r="F404" t="s">
        <v>3986</v>
      </c>
      <c r="G404" t="s">
        <v>3986</v>
      </c>
      <c r="H404" t="s">
        <v>3986</v>
      </c>
      <c r="I404" t="s">
        <v>3986</v>
      </c>
      <c r="J404" t="s">
        <v>3986</v>
      </c>
      <c r="K404" t="s">
        <v>3416</v>
      </c>
      <c r="L404" t="s">
        <v>3417</v>
      </c>
      <c r="M404" t="s">
        <v>3767</v>
      </c>
      <c r="N404">
        <v>7</v>
      </c>
      <c r="O404" t="b">
        <v>0</v>
      </c>
      <c r="P404" t="b">
        <v>0</v>
      </c>
      <c r="Q404" t="b">
        <v>0</v>
      </c>
      <c r="R404" t="b">
        <v>0</v>
      </c>
      <c r="T404" t="s">
        <v>3742</v>
      </c>
      <c r="U404">
        <v>41</v>
      </c>
      <c r="V404" t="s">
        <v>4050</v>
      </c>
      <c r="W404">
        <v>3</v>
      </c>
      <c r="X404" t="s">
        <v>3993</v>
      </c>
      <c r="Y404" t="s">
        <v>3986</v>
      </c>
      <c r="Z404">
        <v>0</v>
      </c>
      <c r="AA404" t="s">
        <v>2493</v>
      </c>
      <c r="AB404" t="s">
        <v>4037</v>
      </c>
      <c r="AC404" t="s">
        <v>3986</v>
      </c>
      <c r="AD404" t="s">
        <v>2781</v>
      </c>
    </row>
    <row r="405" spans="1:30" x14ac:dyDescent="0.25">
      <c r="A405" t="s">
        <v>3404</v>
      </c>
      <c r="B405">
        <v>11</v>
      </c>
      <c r="C405" t="s">
        <v>3310</v>
      </c>
      <c r="D405" t="b">
        <v>1</v>
      </c>
      <c r="E405" t="b">
        <v>0</v>
      </c>
      <c r="F405" t="s">
        <v>3986</v>
      </c>
      <c r="G405" t="s">
        <v>3986</v>
      </c>
      <c r="H405" t="s">
        <v>3986</v>
      </c>
      <c r="I405" t="s">
        <v>3986</v>
      </c>
      <c r="J405" t="s">
        <v>3986</v>
      </c>
      <c r="K405" t="s">
        <v>3416</v>
      </c>
      <c r="L405" t="s">
        <v>3417</v>
      </c>
      <c r="M405" t="s">
        <v>3767</v>
      </c>
      <c r="N405">
        <v>7</v>
      </c>
      <c r="O405" t="b">
        <v>0</v>
      </c>
      <c r="P405" t="b">
        <v>0</v>
      </c>
      <c r="Q405" t="b">
        <v>0</v>
      </c>
      <c r="R405" t="b">
        <v>0</v>
      </c>
      <c r="T405" t="s">
        <v>3742</v>
      </c>
      <c r="U405">
        <v>42</v>
      </c>
      <c r="V405" t="s">
        <v>4051</v>
      </c>
      <c r="W405">
        <v>3</v>
      </c>
      <c r="X405" t="s">
        <v>3993</v>
      </c>
      <c r="Y405" t="s">
        <v>3986</v>
      </c>
      <c r="Z405">
        <v>0</v>
      </c>
      <c r="AA405" t="s">
        <v>2493</v>
      </c>
      <c r="AB405" t="s">
        <v>4037</v>
      </c>
      <c r="AC405" t="s">
        <v>3986</v>
      </c>
      <c r="AD405" t="s">
        <v>2781</v>
      </c>
    </row>
    <row r="406" spans="1:30" x14ac:dyDescent="0.25">
      <c r="A406" t="s">
        <v>3405</v>
      </c>
      <c r="B406">
        <v>12</v>
      </c>
      <c r="C406" t="s">
        <v>3306</v>
      </c>
      <c r="D406" t="b">
        <v>1</v>
      </c>
      <c r="E406" t="b">
        <v>0</v>
      </c>
      <c r="F406" t="s">
        <v>3986</v>
      </c>
      <c r="G406" t="s">
        <v>3986</v>
      </c>
      <c r="H406" t="s">
        <v>3986</v>
      </c>
      <c r="I406" t="s">
        <v>3986</v>
      </c>
      <c r="J406" t="s">
        <v>3986</v>
      </c>
      <c r="K406" t="s">
        <v>3416</v>
      </c>
      <c r="L406" t="s">
        <v>3417</v>
      </c>
      <c r="M406" t="s">
        <v>3767</v>
      </c>
      <c r="N406">
        <v>7</v>
      </c>
      <c r="O406" t="b">
        <v>0</v>
      </c>
      <c r="P406" t="b">
        <v>0</v>
      </c>
      <c r="Q406" t="b">
        <v>0</v>
      </c>
      <c r="R406" t="b">
        <v>0</v>
      </c>
      <c r="T406" t="s">
        <v>3742</v>
      </c>
      <c r="U406">
        <v>43</v>
      </c>
      <c r="V406" t="s">
        <v>4052</v>
      </c>
      <c r="W406">
        <v>3</v>
      </c>
      <c r="X406" t="s">
        <v>3993</v>
      </c>
      <c r="Y406" t="s">
        <v>3986</v>
      </c>
      <c r="Z406">
        <v>0</v>
      </c>
      <c r="AA406" t="s">
        <v>2493</v>
      </c>
      <c r="AB406" t="s">
        <v>4037</v>
      </c>
      <c r="AC406" t="s">
        <v>3986</v>
      </c>
      <c r="AD406" t="s">
        <v>2781</v>
      </c>
    </row>
    <row r="407" spans="1:30" x14ac:dyDescent="0.25">
      <c r="A407" t="s">
        <v>3401</v>
      </c>
      <c r="B407">
        <v>2</v>
      </c>
      <c r="C407" t="s">
        <v>3306</v>
      </c>
      <c r="D407" t="b">
        <v>1</v>
      </c>
      <c r="E407" t="b">
        <v>0</v>
      </c>
      <c r="F407" t="s">
        <v>3986</v>
      </c>
      <c r="G407" t="s">
        <v>3986</v>
      </c>
      <c r="H407" t="s">
        <v>3986</v>
      </c>
      <c r="I407" t="s">
        <v>3986</v>
      </c>
      <c r="J407" t="s">
        <v>3986</v>
      </c>
      <c r="K407" t="s">
        <v>3419</v>
      </c>
      <c r="L407" t="s">
        <v>3420</v>
      </c>
      <c r="M407" t="s">
        <v>3767</v>
      </c>
      <c r="N407">
        <v>7</v>
      </c>
      <c r="O407" t="b">
        <v>0</v>
      </c>
      <c r="P407" t="b">
        <v>0</v>
      </c>
      <c r="Q407" t="b">
        <v>0</v>
      </c>
      <c r="R407" t="b">
        <v>0</v>
      </c>
      <c r="T407" t="s">
        <v>3742</v>
      </c>
      <c r="U407">
        <v>44</v>
      </c>
      <c r="V407" t="s">
        <v>4053</v>
      </c>
      <c r="W407">
        <v>3</v>
      </c>
      <c r="X407" t="s">
        <v>3993</v>
      </c>
      <c r="Y407" t="s">
        <v>3986</v>
      </c>
      <c r="Z407">
        <v>0</v>
      </c>
      <c r="AA407" t="s">
        <v>2493</v>
      </c>
      <c r="AB407" t="s">
        <v>4037</v>
      </c>
      <c r="AC407" t="s">
        <v>3986</v>
      </c>
      <c r="AD407" t="s">
        <v>2781</v>
      </c>
    </row>
    <row r="408" spans="1:30" x14ac:dyDescent="0.25">
      <c r="A408" t="s">
        <v>3294</v>
      </c>
      <c r="B408">
        <v>3</v>
      </c>
      <c r="C408" t="s">
        <v>3306</v>
      </c>
      <c r="D408" t="b">
        <v>1</v>
      </c>
      <c r="E408" t="b">
        <v>0</v>
      </c>
      <c r="F408" t="s">
        <v>3986</v>
      </c>
      <c r="G408" t="s">
        <v>3986</v>
      </c>
      <c r="H408" t="s">
        <v>3608</v>
      </c>
      <c r="I408" t="s">
        <v>3986</v>
      </c>
      <c r="J408" t="s">
        <v>3986</v>
      </c>
      <c r="K408" t="s">
        <v>3419</v>
      </c>
      <c r="L408" t="s">
        <v>3420</v>
      </c>
      <c r="M408" t="s">
        <v>3767</v>
      </c>
      <c r="N408">
        <v>7</v>
      </c>
      <c r="O408" t="b">
        <v>0</v>
      </c>
      <c r="P408" t="b">
        <v>0</v>
      </c>
      <c r="Q408" t="b">
        <v>0</v>
      </c>
      <c r="R408" t="b">
        <v>0</v>
      </c>
      <c r="T408" t="s">
        <v>3742</v>
      </c>
      <c r="U408">
        <v>45</v>
      </c>
      <c r="V408" t="s">
        <v>4054</v>
      </c>
      <c r="W408">
        <v>3</v>
      </c>
      <c r="X408" t="s">
        <v>3993</v>
      </c>
      <c r="Y408" t="s">
        <v>3986</v>
      </c>
      <c r="Z408">
        <v>0</v>
      </c>
      <c r="AA408" t="s">
        <v>2493</v>
      </c>
      <c r="AB408" t="s">
        <v>4037</v>
      </c>
      <c r="AC408" t="s">
        <v>3986</v>
      </c>
      <c r="AD408" t="s">
        <v>2781</v>
      </c>
    </row>
    <row r="409" spans="1:30" x14ac:dyDescent="0.25">
      <c r="A409" t="s">
        <v>34</v>
      </c>
      <c r="B409">
        <v>4</v>
      </c>
      <c r="C409" t="s">
        <v>3306</v>
      </c>
      <c r="D409" t="b">
        <v>1</v>
      </c>
      <c r="E409" t="b">
        <v>0</v>
      </c>
      <c r="F409" t="s">
        <v>3307</v>
      </c>
      <c r="G409" t="s">
        <v>3986</v>
      </c>
      <c r="H409" t="s">
        <v>3986</v>
      </c>
      <c r="I409" t="s">
        <v>3986</v>
      </c>
      <c r="J409" t="s">
        <v>3370</v>
      </c>
      <c r="K409" t="s">
        <v>3419</v>
      </c>
      <c r="L409" t="s">
        <v>3420</v>
      </c>
      <c r="M409" t="s">
        <v>3767</v>
      </c>
      <c r="N409">
        <v>7</v>
      </c>
      <c r="O409" t="b">
        <v>0</v>
      </c>
      <c r="P409" t="b">
        <v>0</v>
      </c>
      <c r="Q409" t="b">
        <v>0</v>
      </c>
      <c r="R409" t="b">
        <v>0</v>
      </c>
      <c r="T409" t="s">
        <v>3742</v>
      </c>
      <c r="U409">
        <v>48</v>
      </c>
      <c r="V409" t="s">
        <v>4055</v>
      </c>
      <c r="W409">
        <v>3</v>
      </c>
      <c r="X409" t="s">
        <v>3993</v>
      </c>
      <c r="Y409" t="s">
        <v>3986</v>
      </c>
      <c r="Z409">
        <v>0</v>
      </c>
      <c r="AA409" t="s">
        <v>2493</v>
      </c>
      <c r="AB409" t="s">
        <v>4037</v>
      </c>
      <c r="AC409" t="s">
        <v>3986</v>
      </c>
      <c r="AD409" t="s">
        <v>2781</v>
      </c>
    </row>
    <row r="410" spans="1:30" x14ac:dyDescent="0.25">
      <c r="A410" t="s">
        <v>3374</v>
      </c>
      <c r="B410">
        <v>5</v>
      </c>
      <c r="C410" t="s">
        <v>3306</v>
      </c>
      <c r="D410" t="b">
        <v>0</v>
      </c>
      <c r="E410" t="b">
        <v>0</v>
      </c>
      <c r="F410" t="s">
        <v>3986</v>
      </c>
      <c r="G410" t="s">
        <v>3986</v>
      </c>
      <c r="H410" t="s">
        <v>3986</v>
      </c>
      <c r="I410" t="s">
        <v>3986</v>
      </c>
      <c r="J410" t="s">
        <v>3412</v>
      </c>
      <c r="K410" t="s">
        <v>3419</v>
      </c>
      <c r="L410" t="s">
        <v>3420</v>
      </c>
      <c r="M410" t="s">
        <v>3767</v>
      </c>
      <c r="N410">
        <v>7</v>
      </c>
      <c r="O410" t="b">
        <v>0</v>
      </c>
      <c r="P410" t="b">
        <v>0</v>
      </c>
      <c r="Q410" t="b">
        <v>0</v>
      </c>
      <c r="R410" t="b">
        <v>0</v>
      </c>
      <c r="T410" t="s">
        <v>3742</v>
      </c>
      <c r="U410">
        <v>49</v>
      </c>
      <c r="V410" t="s">
        <v>4056</v>
      </c>
      <c r="W410">
        <v>3</v>
      </c>
      <c r="X410" t="s">
        <v>3993</v>
      </c>
      <c r="Y410" t="s">
        <v>3986</v>
      </c>
      <c r="Z410">
        <v>0</v>
      </c>
      <c r="AA410" t="s">
        <v>2493</v>
      </c>
      <c r="AB410" t="s">
        <v>4037</v>
      </c>
      <c r="AC410" t="s">
        <v>3986</v>
      </c>
      <c r="AD410" t="s">
        <v>2781</v>
      </c>
    </row>
    <row r="411" spans="1:30" x14ac:dyDescent="0.25">
      <c r="A411" t="s">
        <v>3411</v>
      </c>
      <c r="B411">
        <v>6</v>
      </c>
      <c r="C411" t="s">
        <v>3306</v>
      </c>
      <c r="D411" t="b">
        <v>0</v>
      </c>
      <c r="E411" t="b">
        <v>0</v>
      </c>
      <c r="F411" t="s">
        <v>3986</v>
      </c>
      <c r="G411" t="s">
        <v>3986</v>
      </c>
      <c r="H411" t="s">
        <v>3986</v>
      </c>
      <c r="I411" t="s">
        <v>3986</v>
      </c>
      <c r="J411" t="s">
        <v>3412</v>
      </c>
      <c r="K411" t="s">
        <v>3419</v>
      </c>
      <c r="L411" t="s">
        <v>3420</v>
      </c>
      <c r="M411" t="s">
        <v>3767</v>
      </c>
      <c r="N411">
        <v>7</v>
      </c>
      <c r="O411" t="b">
        <v>0</v>
      </c>
      <c r="P411" t="b">
        <v>0</v>
      </c>
      <c r="Q411" t="b">
        <v>0</v>
      </c>
      <c r="R411" t="b">
        <v>0</v>
      </c>
      <c r="T411" t="s">
        <v>3742</v>
      </c>
      <c r="U411">
        <v>50</v>
      </c>
      <c r="V411" t="s">
        <v>4057</v>
      </c>
      <c r="W411">
        <v>3</v>
      </c>
      <c r="X411" t="s">
        <v>3993</v>
      </c>
      <c r="Y411" t="s">
        <v>3986</v>
      </c>
      <c r="Z411">
        <v>0</v>
      </c>
      <c r="AA411" t="s">
        <v>2493</v>
      </c>
      <c r="AB411" t="s">
        <v>4037</v>
      </c>
      <c r="AC411" t="s">
        <v>3986</v>
      </c>
      <c r="AD411" t="s">
        <v>2781</v>
      </c>
    </row>
    <row r="412" spans="1:30" x14ac:dyDescent="0.25">
      <c r="A412" t="s">
        <v>3413</v>
      </c>
      <c r="B412">
        <v>7</v>
      </c>
      <c r="C412" t="s">
        <v>3306</v>
      </c>
      <c r="D412" t="b">
        <v>0</v>
      </c>
      <c r="E412" t="b">
        <v>0</v>
      </c>
      <c r="F412" t="s">
        <v>3986</v>
      </c>
      <c r="G412" t="s">
        <v>3986</v>
      </c>
      <c r="H412" t="s">
        <v>3986</v>
      </c>
      <c r="I412" t="s">
        <v>3986</v>
      </c>
      <c r="J412" t="s">
        <v>3412</v>
      </c>
      <c r="K412" t="s">
        <v>3419</v>
      </c>
      <c r="L412" t="s">
        <v>3420</v>
      </c>
      <c r="M412" t="s">
        <v>3767</v>
      </c>
      <c r="N412">
        <v>7</v>
      </c>
      <c r="O412" t="b">
        <v>0</v>
      </c>
      <c r="P412" t="b">
        <v>0</v>
      </c>
      <c r="Q412" t="b">
        <v>0</v>
      </c>
      <c r="R412" t="b">
        <v>0</v>
      </c>
      <c r="T412" t="s">
        <v>3742</v>
      </c>
      <c r="U412">
        <v>51</v>
      </c>
      <c r="V412" t="s">
        <v>4058</v>
      </c>
      <c r="W412">
        <v>3</v>
      </c>
      <c r="X412" t="s">
        <v>3993</v>
      </c>
      <c r="Y412" t="s">
        <v>3986</v>
      </c>
      <c r="Z412">
        <v>0</v>
      </c>
      <c r="AA412" t="s">
        <v>2493</v>
      </c>
      <c r="AB412" t="s">
        <v>4037</v>
      </c>
      <c r="AC412" t="s">
        <v>3986</v>
      </c>
      <c r="AD412" t="s">
        <v>2781</v>
      </c>
    </row>
    <row r="413" spans="1:30" x14ac:dyDescent="0.25">
      <c r="A413" t="s">
        <v>3393</v>
      </c>
      <c r="B413">
        <v>8</v>
      </c>
      <c r="C413" t="s">
        <v>3306</v>
      </c>
      <c r="D413" t="b">
        <v>1</v>
      </c>
      <c r="E413" t="b">
        <v>0</v>
      </c>
      <c r="F413" t="s">
        <v>3307</v>
      </c>
      <c r="G413" t="s">
        <v>3986</v>
      </c>
      <c r="H413" t="s">
        <v>3986</v>
      </c>
      <c r="I413" t="s">
        <v>3986</v>
      </c>
      <c r="J413" t="s">
        <v>3986</v>
      </c>
      <c r="K413" t="s">
        <v>3419</v>
      </c>
      <c r="L413" t="s">
        <v>3420</v>
      </c>
      <c r="M413" t="s">
        <v>3767</v>
      </c>
      <c r="N413">
        <v>7</v>
      </c>
      <c r="O413" t="b">
        <v>0</v>
      </c>
      <c r="P413" t="b">
        <v>0</v>
      </c>
      <c r="Q413" t="b">
        <v>0</v>
      </c>
      <c r="R413" t="b">
        <v>0</v>
      </c>
      <c r="T413" t="s">
        <v>3742</v>
      </c>
      <c r="U413">
        <v>52</v>
      </c>
      <c r="V413" t="s">
        <v>4059</v>
      </c>
      <c r="W413">
        <v>3</v>
      </c>
      <c r="X413" t="s">
        <v>3993</v>
      </c>
      <c r="Y413" t="s">
        <v>3986</v>
      </c>
      <c r="Z413">
        <v>0</v>
      </c>
      <c r="AA413" t="s">
        <v>2493</v>
      </c>
      <c r="AB413" t="s">
        <v>4037</v>
      </c>
      <c r="AC413" t="s">
        <v>3986</v>
      </c>
      <c r="AD413" t="s">
        <v>2781</v>
      </c>
    </row>
    <row r="414" spans="1:30" x14ac:dyDescent="0.25">
      <c r="A414" t="s">
        <v>2336</v>
      </c>
      <c r="B414">
        <v>9</v>
      </c>
      <c r="C414" t="s">
        <v>3306</v>
      </c>
      <c r="D414" t="b">
        <v>0</v>
      </c>
      <c r="E414" t="b">
        <v>0</v>
      </c>
      <c r="F414" t="s">
        <v>3986</v>
      </c>
      <c r="G414" t="s">
        <v>3986</v>
      </c>
      <c r="H414" t="s">
        <v>3986</v>
      </c>
      <c r="I414" t="s">
        <v>3986</v>
      </c>
      <c r="J414" t="s">
        <v>3412</v>
      </c>
      <c r="K414" t="s">
        <v>3419</v>
      </c>
      <c r="L414" t="s">
        <v>3420</v>
      </c>
      <c r="M414" t="s">
        <v>3767</v>
      </c>
      <c r="N414">
        <v>7</v>
      </c>
      <c r="O414" t="b">
        <v>0</v>
      </c>
      <c r="P414" t="b">
        <v>0</v>
      </c>
      <c r="Q414" t="b">
        <v>0</v>
      </c>
      <c r="R414" t="b">
        <v>0</v>
      </c>
      <c r="T414" t="s">
        <v>3742</v>
      </c>
      <c r="U414">
        <v>53</v>
      </c>
      <c r="V414" t="s">
        <v>4060</v>
      </c>
      <c r="W414">
        <v>3</v>
      </c>
      <c r="X414" t="s">
        <v>3993</v>
      </c>
      <c r="Y414" t="s">
        <v>3986</v>
      </c>
      <c r="Z414">
        <v>0</v>
      </c>
      <c r="AA414" t="s">
        <v>2493</v>
      </c>
      <c r="AB414" t="s">
        <v>4037</v>
      </c>
      <c r="AC414" t="s">
        <v>3986</v>
      </c>
      <c r="AD414" t="s">
        <v>2781</v>
      </c>
    </row>
    <row r="415" spans="1:30" x14ac:dyDescent="0.25">
      <c r="A415" t="s">
        <v>3292</v>
      </c>
      <c r="B415">
        <v>10</v>
      </c>
      <c r="C415" t="s">
        <v>3306</v>
      </c>
      <c r="D415" t="b">
        <v>1</v>
      </c>
      <c r="E415" t="b">
        <v>0</v>
      </c>
      <c r="F415" t="s">
        <v>3986</v>
      </c>
      <c r="G415" t="s">
        <v>3986</v>
      </c>
      <c r="H415" t="s">
        <v>3986</v>
      </c>
      <c r="I415" t="s">
        <v>3986</v>
      </c>
      <c r="J415" t="s">
        <v>3986</v>
      </c>
      <c r="K415" t="s">
        <v>3419</v>
      </c>
      <c r="L415" t="s">
        <v>3420</v>
      </c>
      <c r="M415" t="s">
        <v>3767</v>
      </c>
      <c r="N415">
        <v>7</v>
      </c>
      <c r="O415" t="b">
        <v>0</v>
      </c>
      <c r="P415" t="b">
        <v>0</v>
      </c>
      <c r="Q415" t="b">
        <v>0</v>
      </c>
      <c r="R415" t="b">
        <v>0</v>
      </c>
      <c r="T415" t="s">
        <v>3742</v>
      </c>
      <c r="U415">
        <v>54</v>
      </c>
      <c r="V415" t="s">
        <v>4061</v>
      </c>
      <c r="W415">
        <v>3</v>
      </c>
      <c r="X415" t="s">
        <v>3993</v>
      </c>
      <c r="Y415" t="s">
        <v>3986</v>
      </c>
      <c r="Z415">
        <v>0</v>
      </c>
      <c r="AA415" t="s">
        <v>2493</v>
      </c>
      <c r="AB415" t="s">
        <v>4037</v>
      </c>
      <c r="AC415" t="s">
        <v>3986</v>
      </c>
      <c r="AD415" t="s">
        <v>2781</v>
      </c>
    </row>
    <row r="416" spans="1:30" x14ac:dyDescent="0.25">
      <c r="A416" t="s">
        <v>3404</v>
      </c>
      <c r="B416">
        <v>11</v>
      </c>
      <c r="C416" t="s">
        <v>3310</v>
      </c>
      <c r="D416" t="b">
        <v>1</v>
      </c>
      <c r="E416" t="b">
        <v>0</v>
      </c>
      <c r="F416" t="s">
        <v>3986</v>
      </c>
      <c r="G416" t="s">
        <v>3986</v>
      </c>
      <c r="H416" t="s">
        <v>3986</v>
      </c>
      <c r="I416" t="s">
        <v>3986</v>
      </c>
      <c r="J416" t="s">
        <v>3986</v>
      </c>
      <c r="K416" t="s">
        <v>3419</v>
      </c>
      <c r="L416" t="s">
        <v>3420</v>
      </c>
      <c r="M416" t="s">
        <v>3767</v>
      </c>
      <c r="N416">
        <v>7</v>
      </c>
      <c r="O416" t="b">
        <v>0</v>
      </c>
      <c r="P416" t="b">
        <v>0</v>
      </c>
      <c r="Q416" t="b">
        <v>0</v>
      </c>
      <c r="R416" t="b">
        <v>0</v>
      </c>
      <c r="T416" t="s">
        <v>3742</v>
      </c>
      <c r="U416">
        <v>55</v>
      </c>
      <c r="V416" t="s">
        <v>4062</v>
      </c>
      <c r="W416">
        <v>3</v>
      </c>
      <c r="X416" t="s">
        <v>3993</v>
      </c>
      <c r="Y416" t="s">
        <v>3986</v>
      </c>
      <c r="Z416">
        <v>0</v>
      </c>
      <c r="AA416" t="s">
        <v>2493</v>
      </c>
      <c r="AB416" t="s">
        <v>4037</v>
      </c>
      <c r="AC416" t="s">
        <v>3986</v>
      </c>
      <c r="AD416" t="s">
        <v>2781</v>
      </c>
    </row>
    <row r="417" spans="1:30" x14ac:dyDescent="0.25">
      <c r="A417" t="s">
        <v>3405</v>
      </c>
      <c r="B417">
        <v>12</v>
      </c>
      <c r="C417" t="s">
        <v>3306</v>
      </c>
      <c r="D417" t="b">
        <v>1</v>
      </c>
      <c r="E417" t="b">
        <v>0</v>
      </c>
      <c r="F417" t="s">
        <v>3986</v>
      </c>
      <c r="G417" t="s">
        <v>3986</v>
      </c>
      <c r="H417" t="s">
        <v>3986</v>
      </c>
      <c r="I417" t="s">
        <v>3986</v>
      </c>
      <c r="J417" t="s">
        <v>3986</v>
      </c>
      <c r="K417" t="s">
        <v>3419</v>
      </c>
      <c r="L417" t="s">
        <v>3420</v>
      </c>
      <c r="M417" t="s">
        <v>3767</v>
      </c>
      <c r="N417">
        <v>7</v>
      </c>
      <c r="O417" t="b">
        <v>0</v>
      </c>
      <c r="P417" t="b">
        <v>0</v>
      </c>
      <c r="Q417" t="b">
        <v>0</v>
      </c>
      <c r="R417" t="b">
        <v>0</v>
      </c>
      <c r="T417" t="s">
        <v>3742</v>
      </c>
      <c r="U417">
        <v>56</v>
      </c>
      <c r="V417" t="s">
        <v>4063</v>
      </c>
      <c r="W417">
        <v>3</v>
      </c>
      <c r="X417" t="s">
        <v>3993</v>
      </c>
      <c r="Y417" t="s">
        <v>3986</v>
      </c>
      <c r="Z417">
        <v>0</v>
      </c>
      <c r="AA417" t="s">
        <v>2493</v>
      </c>
      <c r="AB417" t="s">
        <v>4037</v>
      </c>
      <c r="AC417" t="s">
        <v>3986</v>
      </c>
      <c r="AD417" t="s">
        <v>2781</v>
      </c>
    </row>
    <row r="418" spans="1:30" x14ac:dyDescent="0.25">
      <c r="A418" t="s">
        <v>3401</v>
      </c>
      <c r="B418">
        <v>2</v>
      </c>
      <c r="C418" t="s">
        <v>3306</v>
      </c>
      <c r="D418" t="b">
        <v>1</v>
      </c>
      <c r="E418" t="b">
        <v>0</v>
      </c>
      <c r="F418" t="s">
        <v>3986</v>
      </c>
      <c r="G418" t="s">
        <v>3986</v>
      </c>
      <c r="H418" t="s">
        <v>3986</v>
      </c>
      <c r="I418" t="s">
        <v>3986</v>
      </c>
      <c r="J418" t="s">
        <v>3986</v>
      </c>
      <c r="K418" t="s">
        <v>3421</v>
      </c>
      <c r="L418" t="s">
        <v>3422</v>
      </c>
      <c r="M418" t="s">
        <v>3767</v>
      </c>
      <c r="N418">
        <v>7</v>
      </c>
      <c r="O418" t="b">
        <v>0</v>
      </c>
      <c r="P418" t="b">
        <v>0</v>
      </c>
      <c r="Q418" t="b">
        <v>0</v>
      </c>
      <c r="R418" t="b">
        <v>0</v>
      </c>
      <c r="T418" t="s">
        <v>3742</v>
      </c>
      <c r="U418">
        <v>57</v>
      </c>
      <c r="V418" t="s">
        <v>4064</v>
      </c>
      <c r="W418">
        <v>3</v>
      </c>
      <c r="X418" t="s">
        <v>3993</v>
      </c>
      <c r="Y418" t="s">
        <v>3986</v>
      </c>
      <c r="Z418">
        <v>0</v>
      </c>
      <c r="AA418" t="s">
        <v>2493</v>
      </c>
      <c r="AB418" t="s">
        <v>4037</v>
      </c>
      <c r="AC418" t="s">
        <v>3986</v>
      </c>
      <c r="AD418" t="s">
        <v>2781</v>
      </c>
    </row>
    <row r="419" spans="1:30" x14ac:dyDescent="0.25">
      <c r="A419" t="s">
        <v>3292</v>
      </c>
      <c r="B419">
        <v>10</v>
      </c>
      <c r="C419" t="s">
        <v>3306</v>
      </c>
      <c r="D419" t="b">
        <v>1</v>
      </c>
      <c r="E419" t="b">
        <v>0</v>
      </c>
      <c r="F419" t="s">
        <v>3307</v>
      </c>
      <c r="G419" t="s">
        <v>3986</v>
      </c>
      <c r="H419" t="s">
        <v>3986</v>
      </c>
      <c r="I419" t="s">
        <v>3986</v>
      </c>
      <c r="J419" t="s">
        <v>3986</v>
      </c>
      <c r="K419" t="s">
        <v>3421</v>
      </c>
      <c r="L419" t="s">
        <v>3422</v>
      </c>
      <c r="M419" t="s">
        <v>3767</v>
      </c>
      <c r="N419">
        <v>7</v>
      </c>
      <c r="O419" t="b">
        <v>0</v>
      </c>
      <c r="P419" t="b">
        <v>0</v>
      </c>
      <c r="Q419" t="b">
        <v>0</v>
      </c>
      <c r="R419" t="b">
        <v>0</v>
      </c>
      <c r="T419" t="s">
        <v>3742</v>
      </c>
      <c r="U419">
        <v>58</v>
      </c>
      <c r="V419" t="s">
        <v>4065</v>
      </c>
      <c r="W419">
        <v>3</v>
      </c>
      <c r="X419" t="s">
        <v>3993</v>
      </c>
      <c r="Y419" t="s">
        <v>3986</v>
      </c>
      <c r="Z419">
        <v>0</v>
      </c>
      <c r="AA419" t="s">
        <v>2493</v>
      </c>
      <c r="AB419" t="s">
        <v>4037</v>
      </c>
      <c r="AC419" t="s">
        <v>3986</v>
      </c>
      <c r="AD419" t="s">
        <v>2781</v>
      </c>
    </row>
    <row r="420" spans="1:30" x14ac:dyDescent="0.25">
      <c r="A420" t="s">
        <v>3404</v>
      </c>
      <c r="B420">
        <v>11</v>
      </c>
      <c r="C420" t="s">
        <v>3310</v>
      </c>
      <c r="D420" t="b">
        <v>1</v>
      </c>
      <c r="E420" t="b">
        <v>0</v>
      </c>
      <c r="F420" t="s">
        <v>3986</v>
      </c>
      <c r="G420" t="s">
        <v>3986</v>
      </c>
      <c r="H420" t="s">
        <v>3986</v>
      </c>
      <c r="I420" t="s">
        <v>3986</v>
      </c>
      <c r="J420" t="s">
        <v>3986</v>
      </c>
      <c r="K420" t="s">
        <v>3421</v>
      </c>
      <c r="L420" t="s">
        <v>3422</v>
      </c>
      <c r="M420" t="s">
        <v>3767</v>
      </c>
      <c r="N420">
        <v>7</v>
      </c>
      <c r="O420" t="b">
        <v>0</v>
      </c>
      <c r="P420" t="b">
        <v>0</v>
      </c>
      <c r="Q420" t="b">
        <v>0</v>
      </c>
      <c r="R420" t="b">
        <v>0</v>
      </c>
      <c r="T420" t="s">
        <v>3742</v>
      </c>
      <c r="U420">
        <v>59</v>
      </c>
      <c r="V420" t="s">
        <v>4066</v>
      </c>
      <c r="W420">
        <v>3</v>
      </c>
      <c r="X420" t="s">
        <v>3993</v>
      </c>
      <c r="Y420" t="s">
        <v>3986</v>
      </c>
      <c r="Z420">
        <v>0</v>
      </c>
      <c r="AA420" t="s">
        <v>2493</v>
      </c>
      <c r="AB420" t="s">
        <v>4037</v>
      </c>
      <c r="AC420" t="s">
        <v>3986</v>
      </c>
      <c r="AD420" t="s">
        <v>2781</v>
      </c>
    </row>
    <row r="421" spans="1:30" x14ac:dyDescent="0.25">
      <c r="A421" t="s">
        <v>3405</v>
      </c>
      <c r="B421">
        <v>12</v>
      </c>
      <c r="C421" t="s">
        <v>3306</v>
      </c>
      <c r="D421" t="b">
        <v>1</v>
      </c>
      <c r="E421" t="b">
        <v>0</v>
      </c>
      <c r="F421" t="s">
        <v>3986</v>
      </c>
      <c r="G421" t="s">
        <v>3986</v>
      </c>
      <c r="H421" t="s">
        <v>3609</v>
      </c>
      <c r="I421" t="s">
        <v>3986</v>
      </c>
      <c r="J421" t="s">
        <v>3986</v>
      </c>
      <c r="K421" t="s">
        <v>3421</v>
      </c>
      <c r="L421" t="s">
        <v>3422</v>
      </c>
      <c r="M421" t="s">
        <v>3767</v>
      </c>
      <c r="N421">
        <v>7</v>
      </c>
      <c r="O421" t="b">
        <v>0</v>
      </c>
      <c r="P421" t="b">
        <v>0</v>
      </c>
      <c r="Q421" t="b">
        <v>0</v>
      </c>
      <c r="R421" t="b">
        <v>0</v>
      </c>
      <c r="T421" t="s">
        <v>3742</v>
      </c>
      <c r="U421">
        <v>59</v>
      </c>
      <c r="V421" t="s">
        <v>4067</v>
      </c>
      <c r="W421">
        <v>3</v>
      </c>
      <c r="X421" t="s">
        <v>3993</v>
      </c>
      <c r="Y421" t="s">
        <v>3986</v>
      </c>
      <c r="Z421">
        <v>0</v>
      </c>
      <c r="AA421" t="s">
        <v>2493</v>
      </c>
      <c r="AB421" t="s">
        <v>4037</v>
      </c>
      <c r="AC421" t="s">
        <v>3986</v>
      </c>
      <c r="AD421" t="s">
        <v>2781</v>
      </c>
    </row>
    <row r="422" spans="1:30" x14ac:dyDescent="0.25">
      <c r="A422" t="s">
        <v>3401</v>
      </c>
      <c r="B422">
        <v>2</v>
      </c>
      <c r="C422" t="s">
        <v>3306</v>
      </c>
      <c r="D422" t="b">
        <v>1</v>
      </c>
      <c r="E422" t="b">
        <v>0</v>
      </c>
      <c r="F422" t="s">
        <v>3307</v>
      </c>
      <c r="G422" t="s">
        <v>3986</v>
      </c>
      <c r="H422" t="s">
        <v>3986</v>
      </c>
      <c r="I422" t="s">
        <v>3986</v>
      </c>
      <c r="J422" t="s">
        <v>3986</v>
      </c>
      <c r="K422" t="s">
        <v>3423</v>
      </c>
      <c r="L422" t="s">
        <v>3424</v>
      </c>
      <c r="M422" t="s">
        <v>3767</v>
      </c>
      <c r="N422">
        <v>7</v>
      </c>
      <c r="O422" t="b">
        <v>0</v>
      </c>
      <c r="P422" t="b">
        <v>0</v>
      </c>
      <c r="Q422" t="b">
        <v>0</v>
      </c>
      <c r="R422" t="b">
        <v>0</v>
      </c>
      <c r="T422" t="s">
        <v>3742</v>
      </c>
      <c r="U422">
        <v>59</v>
      </c>
      <c r="V422" t="s">
        <v>4068</v>
      </c>
      <c r="W422">
        <v>3</v>
      </c>
      <c r="X422" t="s">
        <v>3993</v>
      </c>
      <c r="Y422" t="s">
        <v>3986</v>
      </c>
      <c r="Z422">
        <v>0</v>
      </c>
      <c r="AA422" t="s">
        <v>2493</v>
      </c>
      <c r="AB422" t="s">
        <v>4037</v>
      </c>
      <c r="AC422" t="s">
        <v>3986</v>
      </c>
      <c r="AD422" t="s">
        <v>2781</v>
      </c>
    </row>
    <row r="423" spans="1:30" x14ac:dyDescent="0.25">
      <c r="A423" t="s">
        <v>3406</v>
      </c>
      <c r="B423">
        <v>13</v>
      </c>
      <c r="C423" t="s">
        <v>3306</v>
      </c>
      <c r="D423" t="b">
        <v>1</v>
      </c>
      <c r="E423" t="b">
        <v>0</v>
      </c>
      <c r="F423" t="s">
        <v>3407</v>
      </c>
      <c r="G423" t="s">
        <v>3986</v>
      </c>
      <c r="H423" t="s">
        <v>3986</v>
      </c>
      <c r="I423" t="s">
        <v>3986</v>
      </c>
      <c r="J423" t="s">
        <v>3408</v>
      </c>
      <c r="K423" t="s">
        <v>3423</v>
      </c>
      <c r="L423" t="s">
        <v>3424</v>
      </c>
      <c r="M423" t="s">
        <v>3767</v>
      </c>
      <c r="N423">
        <v>7</v>
      </c>
      <c r="O423" t="b">
        <v>0</v>
      </c>
      <c r="P423" t="b">
        <v>0</v>
      </c>
      <c r="Q423" t="b">
        <v>0</v>
      </c>
      <c r="R423" t="b">
        <v>0</v>
      </c>
      <c r="T423" t="s">
        <v>3742</v>
      </c>
      <c r="U423">
        <v>60</v>
      </c>
      <c r="V423" t="s">
        <v>4069</v>
      </c>
      <c r="W423">
        <v>3</v>
      </c>
      <c r="X423" t="s">
        <v>3993</v>
      </c>
      <c r="Y423" t="s">
        <v>3986</v>
      </c>
      <c r="Z423">
        <v>0</v>
      </c>
      <c r="AA423" t="s">
        <v>2493</v>
      </c>
      <c r="AB423" t="s">
        <v>4037</v>
      </c>
      <c r="AC423" t="s">
        <v>3986</v>
      </c>
      <c r="AD423" t="s">
        <v>2781</v>
      </c>
    </row>
    <row r="424" spans="1:30" x14ac:dyDescent="0.25">
      <c r="A424" t="s">
        <v>3292</v>
      </c>
      <c r="B424">
        <v>2</v>
      </c>
      <c r="C424" t="s">
        <v>3306</v>
      </c>
      <c r="D424" t="b">
        <v>1</v>
      </c>
      <c r="E424" t="b">
        <v>0</v>
      </c>
      <c r="F424" t="s">
        <v>3307</v>
      </c>
      <c r="G424" t="s">
        <v>3986</v>
      </c>
      <c r="H424" t="s">
        <v>3986</v>
      </c>
      <c r="I424" t="s">
        <v>3986</v>
      </c>
      <c r="J424" t="s">
        <v>3986</v>
      </c>
      <c r="K424" t="s">
        <v>3425</v>
      </c>
      <c r="L424" t="s">
        <v>3426</v>
      </c>
      <c r="M424" t="s">
        <v>3766</v>
      </c>
      <c r="N424">
        <v>7</v>
      </c>
      <c r="O424" t="b">
        <v>0</v>
      </c>
      <c r="P424" t="b">
        <v>0</v>
      </c>
      <c r="Q424" t="b">
        <v>0</v>
      </c>
      <c r="R424" t="b">
        <v>0</v>
      </c>
      <c r="T424" t="s">
        <v>3742</v>
      </c>
      <c r="U424">
        <v>60</v>
      </c>
      <c r="V424" t="s">
        <v>4070</v>
      </c>
      <c r="W424">
        <v>3</v>
      </c>
      <c r="X424" t="s">
        <v>3993</v>
      </c>
      <c r="Y424" t="s">
        <v>3986</v>
      </c>
      <c r="Z424">
        <v>0</v>
      </c>
      <c r="AA424" t="s">
        <v>2493</v>
      </c>
      <c r="AB424" t="s">
        <v>4037</v>
      </c>
      <c r="AC424" t="s">
        <v>3986</v>
      </c>
      <c r="AD424" t="s">
        <v>2781</v>
      </c>
    </row>
    <row r="425" spans="1:30" x14ac:dyDescent="0.25">
      <c r="A425" t="s">
        <v>3427</v>
      </c>
      <c r="B425">
        <v>4</v>
      </c>
      <c r="C425" t="s">
        <v>3310</v>
      </c>
      <c r="D425" t="b">
        <v>1</v>
      </c>
      <c r="E425" t="b">
        <v>0</v>
      </c>
      <c r="F425" t="s">
        <v>3428</v>
      </c>
      <c r="G425" t="s">
        <v>3986</v>
      </c>
      <c r="H425" t="s">
        <v>3986</v>
      </c>
      <c r="I425" t="s">
        <v>3986</v>
      </c>
      <c r="J425" t="s">
        <v>3429</v>
      </c>
      <c r="K425" t="s">
        <v>3425</v>
      </c>
      <c r="L425" t="s">
        <v>3426</v>
      </c>
      <c r="M425" t="s">
        <v>3766</v>
      </c>
      <c r="N425">
        <v>7</v>
      </c>
      <c r="O425" t="b">
        <v>0</v>
      </c>
      <c r="P425" t="b">
        <v>0</v>
      </c>
      <c r="Q425" t="b">
        <v>0</v>
      </c>
      <c r="R425" t="b">
        <v>0</v>
      </c>
      <c r="T425" t="s">
        <v>3742</v>
      </c>
      <c r="U425">
        <v>60</v>
      </c>
      <c r="V425" t="s">
        <v>4071</v>
      </c>
      <c r="W425">
        <v>3</v>
      </c>
      <c r="X425" t="s">
        <v>3993</v>
      </c>
      <c r="Y425" t="s">
        <v>3986</v>
      </c>
      <c r="Z425">
        <v>0</v>
      </c>
      <c r="AA425" t="s">
        <v>2493</v>
      </c>
      <c r="AB425" t="s">
        <v>4037</v>
      </c>
      <c r="AC425" t="s">
        <v>3986</v>
      </c>
      <c r="AD425" t="s">
        <v>2781</v>
      </c>
    </row>
    <row r="426" spans="1:30" x14ac:dyDescent="0.25">
      <c r="A426" t="s">
        <v>3292</v>
      </c>
      <c r="B426">
        <v>2</v>
      </c>
      <c r="C426" t="s">
        <v>3306</v>
      </c>
      <c r="D426" t="b">
        <v>1</v>
      </c>
      <c r="E426" t="b">
        <v>0</v>
      </c>
      <c r="F426" t="s">
        <v>3307</v>
      </c>
      <c r="G426" t="s">
        <v>3986</v>
      </c>
      <c r="H426" t="s">
        <v>3986</v>
      </c>
      <c r="I426" t="s">
        <v>3986</v>
      </c>
      <c r="J426" t="s">
        <v>3986</v>
      </c>
      <c r="K426" t="s">
        <v>3430</v>
      </c>
      <c r="L426" t="s">
        <v>3431</v>
      </c>
      <c r="M426" t="s">
        <v>3768</v>
      </c>
      <c r="N426">
        <v>7</v>
      </c>
      <c r="O426" t="b">
        <v>0</v>
      </c>
      <c r="P426" t="b">
        <v>1</v>
      </c>
      <c r="Q426" t="b">
        <v>0</v>
      </c>
      <c r="R426" t="b">
        <v>0</v>
      </c>
      <c r="T426" t="s">
        <v>3742</v>
      </c>
      <c r="U426">
        <v>60</v>
      </c>
      <c r="V426" t="s">
        <v>4072</v>
      </c>
      <c r="W426">
        <v>3</v>
      </c>
      <c r="X426" t="s">
        <v>3993</v>
      </c>
      <c r="Y426" t="s">
        <v>3986</v>
      </c>
      <c r="Z426">
        <v>0</v>
      </c>
      <c r="AA426" t="s">
        <v>2493</v>
      </c>
      <c r="AB426" t="s">
        <v>4037</v>
      </c>
      <c r="AC426" t="s">
        <v>3986</v>
      </c>
      <c r="AD426" t="s">
        <v>2781</v>
      </c>
    </row>
    <row r="427" spans="1:30" x14ac:dyDescent="0.25">
      <c r="A427" t="s">
        <v>4037</v>
      </c>
      <c r="B427">
        <v>6</v>
      </c>
      <c r="C427" t="s">
        <v>3310</v>
      </c>
      <c r="D427" t="b">
        <v>0</v>
      </c>
      <c r="E427" t="b">
        <v>1</v>
      </c>
      <c r="F427" t="s">
        <v>3373</v>
      </c>
      <c r="G427" t="s">
        <v>3986</v>
      </c>
      <c r="H427" t="s">
        <v>3986</v>
      </c>
      <c r="I427" t="s">
        <v>3986</v>
      </c>
      <c r="J427" t="s">
        <v>3986</v>
      </c>
      <c r="K427" t="s">
        <v>3430</v>
      </c>
      <c r="L427" t="s">
        <v>3431</v>
      </c>
      <c r="M427" t="s">
        <v>3768</v>
      </c>
      <c r="N427">
        <v>7</v>
      </c>
      <c r="O427" t="b">
        <v>0</v>
      </c>
      <c r="P427" t="b">
        <v>1</v>
      </c>
      <c r="Q427" t="b">
        <v>0</v>
      </c>
      <c r="R427" t="b">
        <v>0</v>
      </c>
      <c r="T427" t="s">
        <v>3742</v>
      </c>
      <c r="U427">
        <v>60</v>
      </c>
      <c r="V427" t="s">
        <v>4073</v>
      </c>
      <c r="W427">
        <v>3</v>
      </c>
      <c r="X427" t="s">
        <v>3993</v>
      </c>
      <c r="Y427" t="s">
        <v>3986</v>
      </c>
      <c r="Z427">
        <v>0</v>
      </c>
      <c r="AA427" t="s">
        <v>2493</v>
      </c>
      <c r="AB427" t="s">
        <v>4037</v>
      </c>
      <c r="AC427" t="s">
        <v>3986</v>
      </c>
      <c r="AD427" t="s">
        <v>2781</v>
      </c>
    </row>
    <row r="428" spans="1:30" x14ac:dyDescent="0.25">
      <c r="A428" t="s">
        <v>3987</v>
      </c>
      <c r="B428">
        <v>7</v>
      </c>
      <c r="C428" t="s">
        <v>3310</v>
      </c>
      <c r="D428" t="b">
        <v>0</v>
      </c>
      <c r="E428" t="b">
        <v>1</v>
      </c>
      <c r="F428" t="s">
        <v>3373</v>
      </c>
      <c r="G428" t="s">
        <v>3986</v>
      </c>
      <c r="H428" t="s">
        <v>3986</v>
      </c>
      <c r="I428" t="s">
        <v>3986</v>
      </c>
      <c r="J428" t="s">
        <v>3986</v>
      </c>
      <c r="K428" t="s">
        <v>3430</v>
      </c>
      <c r="L428" t="s">
        <v>3431</v>
      </c>
      <c r="M428" t="s">
        <v>3768</v>
      </c>
      <c r="N428">
        <v>7</v>
      </c>
      <c r="O428" t="b">
        <v>0</v>
      </c>
      <c r="P428" t="b">
        <v>1</v>
      </c>
      <c r="Q428" t="b">
        <v>0</v>
      </c>
      <c r="R428" t="b">
        <v>0</v>
      </c>
      <c r="T428" t="s">
        <v>3742</v>
      </c>
      <c r="U428">
        <v>61</v>
      </c>
      <c r="V428" t="s">
        <v>4074</v>
      </c>
      <c r="W428">
        <v>3</v>
      </c>
      <c r="X428" t="s">
        <v>3993</v>
      </c>
      <c r="Y428" t="s">
        <v>3986</v>
      </c>
      <c r="Z428">
        <v>0</v>
      </c>
      <c r="AA428" t="s">
        <v>2493</v>
      </c>
      <c r="AB428" t="s">
        <v>4037</v>
      </c>
      <c r="AC428" t="s">
        <v>3986</v>
      </c>
      <c r="AD428" t="s">
        <v>2781</v>
      </c>
    </row>
    <row r="429" spans="1:30" x14ac:dyDescent="0.25">
      <c r="A429" t="s">
        <v>3988</v>
      </c>
      <c r="B429">
        <v>8</v>
      </c>
      <c r="C429" t="s">
        <v>3310</v>
      </c>
      <c r="D429" t="b">
        <v>0</v>
      </c>
      <c r="E429" t="b">
        <v>1</v>
      </c>
      <c r="F429" t="s">
        <v>3373</v>
      </c>
      <c r="G429" t="s">
        <v>3986</v>
      </c>
      <c r="H429" t="s">
        <v>3986</v>
      </c>
      <c r="I429" t="s">
        <v>3986</v>
      </c>
      <c r="J429" t="s">
        <v>3986</v>
      </c>
      <c r="K429" t="s">
        <v>3430</v>
      </c>
      <c r="L429" t="s">
        <v>3431</v>
      </c>
      <c r="M429" t="s">
        <v>3768</v>
      </c>
      <c r="N429">
        <v>7</v>
      </c>
      <c r="O429" t="b">
        <v>0</v>
      </c>
      <c r="P429" t="b">
        <v>1</v>
      </c>
      <c r="Q429" t="b">
        <v>0</v>
      </c>
      <c r="R429" t="b">
        <v>0</v>
      </c>
      <c r="T429" t="s">
        <v>3742</v>
      </c>
      <c r="U429">
        <v>61</v>
      </c>
      <c r="V429" t="s">
        <v>4075</v>
      </c>
      <c r="W429">
        <v>3</v>
      </c>
      <c r="X429" t="s">
        <v>3993</v>
      </c>
      <c r="Y429" t="s">
        <v>3986</v>
      </c>
      <c r="Z429">
        <v>0</v>
      </c>
      <c r="AA429" t="s">
        <v>2493</v>
      </c>
      <c r="AB429" t="s">
        <v>4037</v>
      </c>
      <c r="AC429" t="s">
        <v>3986</v>
      </c>
      <c r="AD429" t="s">
        <v>2781</v>
      </c>
    </row>
    <row r="430" spans="1:30" x14ac:dyDescent="0.25">
      <c r="A430" t="s">
        <v>3989</v>
      </c>
      <c r="B430">
        <v>9</v>
      </c>
      <c r="C430" t="s">
        <v>3310</v>
      </c>
      <c r="D430" t="b">
        <v>0</v>
      </c>
      <c r="E430" t="b">
        <v>1</v>
      </c>
      <c r="F430" t="s">
        <v>3373</v>
      </c>
      <c r="G430" t="s">
        <v>3986</v>
      </c>
      <c r="H430" t="s">
        <v>3986</v>
      </c>
      <c r="I430" t="s">
        <v>3986</v>
      </c>
      <c r="J430" t="s">
        <v>3986</v>
      </c>
      <c r="K430" t="s">
        <v>3430</v>
      </c>
      <c r="L430" t="s">
        <v>3431</v>
      </c>
      <c r="M430" t="s">
        <v>3768</v>
      </c>
      <c r="N430">
        <v>7</v>
      </c>
      <c r="O430" t="b">
        <v>0</v>
      </c>
      <c r="P430" t="b">
        <v>1</v>
      </c>
      <c r="Q430" t="b">
        <v>0</v>
      </c>
      <c r="R430" t="b">
        <v>0</v>
      </c>
      <c r="T430" t="s">
        <v>3742</v>
      </c>
      <c r="U430">
        <v>62</v>
      </c>
      <c r="V430" t="s">
        <v>4076</v>
      </c>
      <c r="W430">
        <v>3</v>
      </c>
      <c r="X430" t="s">
        <v>3993</v>
      </c>
      <c r="Y430" t="s">
        <v>3986</v>
      </c>
      <c r="Z430">
        <v>0</v>
      </c>
      <c r="AA430" t="s">
        <v>2493</v>
      </c>
      <c r="AB430" t="s">
        <v>4037</v>
      </c>
      <c r="AC430" t="s">
        <v>3986</v>
      </c>
      <c r="AD430" t="s">
        <v>2781</v>
      </c>
    </row>
    <row r="431" spans="1:30" x14ac:dyDescent="0.25">
      <c r="A431" t="s">
        <v>3990</v>
      </c>
      <c r="B431">
        <v>10</v>
      </c>
      <c r="C431" t="s">
        <v>3310</v>
      </c>
      <c r="D431" t="b">
        <v>0</v>
      </c>
      <c r="E431" t="b">
        <v>1</v>
      </c>
      <c r="F431" t="s">
        <v>3373</v>
      </c>
      <c r="G431" t="s">
        <v>3986</v>
      </c>
      <c r="H431" t="s">
        <v>3986</v>
      </c>
      <c r="I431" t="s">
        <v>3986</v>
      </c>
      <c r="J431" t="s">
        <v>3986</v>
      </c>
      <c r="K431" t="s">
        <v>3430</v>
      </c>
      <c r="L431" t="s">
        <v>3431</v>
      </c>
      <c r="M431" t="s">
        <v>3768</v>
      </c>
      <c r="N431">
        <v>7</v>
      </c>
      <c r="O431" t="b">
        <v>0</v>
      </c>
      <c r="P431" t="b">
        <v>1</v>
      </c>
      <c r="Q431" t="b">
        <v>0</v>
      </c>
      <c r="R431" t="b">
        <v>0</v>
      </c>
      <c r="T431" t="s">
        <v>3742</v>
      </c>
      <c r="U431">
        <v>63</v>
      </c>
      <c r="V431" t="s">
        <v>4077</v>
      </c>
      <c r="W431">
        <v>3</v>
      </c>
      <c r="X431" t="s">
        <v>3993</v>
      </c>
      <c r="Y431" t="s">
        <v>3986</v>
      </c>
      <c r="Z431">
        <v>0</v>
      </c>
      <c r="AA431" t="s">
        <v>2493</v>
      </c>
      <c r="AB431" t="s">
        <v>4037</v>
      </c>
      <c r="AC431" t="s">
        <v>3986</v>
      </c>
      <c r="AD431" t="s">
        <v>2781</v>
      </c>
    </row>
    <row r="432" spans="1:30" x14ac:dyDescent="0.25">
      <c r="A432" t="s">
        <v>3991</v>
      </c>
      <c r="B432">
        <v>11</v>
      </c>
      <c r="C432" t="s">
        <v>3310</v>
      </c>
      <c r="D432" t="b">
        <v>0</v>
      </c>
      <c r="E432" t="b">
        <v>1</v>
      </c>
      <c r="F432" t="s">
        <v>3373</v>
      </c>
      <c r="G432" t="s">
        <v>3986</v>
      </c>
      <c r="H432" t="s">
        <v>3986</v>
      </c>
      <c r="I432" t="s">
        <v>3986</v>
      </c>
      <c r="J432" t="s">
        <v>3986</v>
      </c>
      <c r="K432" t="s">
        <v>3430</v>
      </c>
      <c r="L432" t="s">
        <v>3431</v>
      </c>
      <c r="M432" t="s">
        <v>3768</v>
      </c>
      <c r="N432">
        <v>7</v>
      </c>
      <c r="O432" t="b">
        <v>0</v>
      </c>
      <c r="P432" t="b">
        <v>1</v>
      </c>
      <c r="Q432" t="b">
        <v>0</v>
      </c>
      <c r="R432" t="b">
        <v>0</v>
      </c>
      <c r="T432" t="s">
        <v>3742</v>
      </c>
      <c r="U432">
        <v>63</v>
      </c>
      <c r="V432" t="s">
        <v>4078</v>
      </c>
      <c r="W432">
        <v>3</v>
      </c>
      <c r="X432" t="s">
        <v>3993</v>
      </c>
      <c r="Y432" t="s">
        <v>3986</v>
      </c>
      <c r="Z432">
        <v>0</v>
      </c>
      <c r="AA432" t="s">
        <v>2493</v>
      </c>
      <c r="AB432" t="s">
        <v>4037</v>
      </c>
      <c r="AC432" t="s">
        <v>3986</v>
      </c>
      <c r="AD432" t="s">
        <v>2781</v>
      </c>
    </row>
    <row r="433" spans="1:30" x14ac:dyDescent="0.25">
      <c r="A433" t="s">
        <v>3992</v>
      </c>
      <c r="B433">
        <v>12</v>
      </c>
      <c r="C433" t="s">
        <v>3310</v>
      </c>
      <c r="D433" t="b">
        <v>0</v>
      </c>
      <c r="E433" t="b">
        <v>1</v>
      </c>
      <c r="F433" t="s">
        <v>3373</v>
      </c>
      <c r="G433" t="s">
        <v>3986</v>
      </c>
      <c r="H433" t="s">
        <v>3986</v>
      </c>
      <c r="I433" t="s">
        <v>3986</v>
      </c>
      <c r="J433" t="s">
        <v>3986</v>
      </c>
      <c r="K433" t="s">
        <v>3430</v>
      </c>
      <c r="L433" t="s">
        <v>3431</v>
      </c>
      <c r="M433" t="s">
        <v>3768</v>
      </c>
      <c r="N433">
        <v>7</v>
      </c>
      <c r="O433" t="b">
        <v>0</v>
      </c>
      <c r="P433" t="b">
        <v>1</v>
      </c>
      <c r="Q433" t="b">
        <v>0</v>
      </c>
      <c r="R433" t="b">
        <v>0</v>
      </c>
      <c r="T433" t="s">
        <v>3742</v>
      </c>
      <c r="U433">
        <v>63</v>
      </c>
      <c r="V433" t="s">
        <v>4079</v>
      </c>
      <c r="W433">
        <v>3</v>
      </c>
      <c r="X433" t="s">
        <v>3993</v>
      </c>
      <c r="Y433" t="s">
        <v>3986</v>
      </c>
      <c r="Z433">
        <v>0</v>
      </c>
      <c r="AA433" t="s">
        <v>2493</v>
      </c>
      <c r="AB433" t="s">
        <v>4037</v>
      </c>
      <c r="AC433" t="s">
        <v>3986</v>
      </c>
      <c r="AD433" t="s">
        <v>2781</v>
      </c>
    </row>
    <row r="434" spans="1:30" x14ac:dyDescent="0.25">
      <c r="A434" t="s">
        <v>3993</v>
      </c>
      <c r="B434">
        <v>13</v>
      </c>
      <c r="C434" t="s">
        <v>3310</v>
      </c>
      <c r="D434" t="b">
        <v>0</v>
      </c>
      <c r="E434" t="b">
        <v>1</v>
      </c>
      <c r="F434" t="s">
        <v>3373</v>
      </c>
      <c r="G434" t="s">
        <v>3986</v>
      </c>
      <c r="H434" t="s">
        <v>3986</v>
      </c>
      <c r="I434" t="s">
        <v>3986</v>
      </c>
      <c r="J434" t="s">
        <v>3986</v>
      </c>
      <c r="K434" t="s">
        <v>3430</v>
      </c>
      <c r="L434" t="s">
        <v>3431</v>
      </c>
      <c r="M434" t="s">
        <v>3768</v>
      </c>
      <c r="N434">
        <v>7</v>
      </c>
      <c r="O434" t="b">
        <v>0</v>
      </c>
      <c r="P434" t="b">
        <v>1</v>
      </c>
      <c r="Q434" t="b">
        <v>0</v>
      </c>
      <c r="R434" t="b">
        <v>0</v>
      </c>
      <c r="T434" t="s">
        <v>3742</v>
      </c>
      <c r="U434">
        <v>63</v>
      </c>
      <c r="V434" t="s">
        <v>4080</v>
      </c>
      <c r="W434">
        <v>3</v>
      </c>
      <c r="X434" t="s">
        <v>3993</v>
      </c>
      <c r="Y434" t="s">
        <v>3986</v>
      </c>
      <c r="Z434">
        <v>0</v>
      </c>
      <c r="AA434" t="s">
        <v>2493</v>
      </c>
      <c r="AB434" t="s">
        <v>4037</v>
      </c>
      <c r="AC434" t="s">
        <v>3986</v>
      </c>
      <c r="AD434" t="s">
        <v>2781</v>
      </c>
    </row>
    <row r="435" spans="1:30" x14ac:dyDescent="0.25">
      <c r="A435" t="s">
        <v>3994</v>
      </c>
      <c r="B435">
        <v>14</v>
      </c>
      <c r="C435" t="s">
        <v>3310</v>
      </c>
      <c r="D435" t="b">
        <v>0</v>
      </c>
      <c r="E435" t="b">
        <v>1</v>
      </c>
      <c r="F435" t="s">
        <v>3373</v>
      </c>
      <c r="G435" t="s">
        <v>3986</v>
      </c>
      <c r="H435" t="s">
        <v>3986</v>
      </c>
      <c r="I435" t="s">
        <v>3986</v>
      </c>
      <c r="J435" t="s">
        <v>3986</v>
      </c>
      <c r="K435" t="s">
        <v>3430</v>
      </c>
      <c r="L435" t="s">
        <v>3431</v>
      </c>
      <c r="M435" t="s">
        <v>3768</v>
      </c>
      <c r="N435">
        <v>7</v>
      </c>
      <c r="O435" t="b">
        <v>0</v>
      </c>
      <c r="P435" t="b">
        <v>1</v>
      </c>
      <c r="Q435" t="b">
        <v>0</v>
      </c>
      <c r="R435" t="b">
        <v>0</v>
      </c>
      <c r="T435" t="s">
        <v>3742</v>
      </c>
      <c r="U435">
        <v>63</v>
      </c>
      <c r="V435" t="s">
        <v>4081</v>
      </c>
      <c r="W435">
        <v>3</v>
      </c>
      <c r="X435" t="s">
        <v>3993</v>
      </c>
      <c r="Y435" t="s">
        <v>3986</v>
      </c>
      <c r="Z435">
        <v>0</v>
      </c>
      <c r="AA435" t="s">
        <v>2493</v>
      </c>
      <c r="AB435" t="s">
        <v>4037</v>
      </c>
      <c r="AC435" t="s">
        <v>3986</v>
      </c>
      <c r="AD435" t="s">
        <v>2781</v>
      </c>
    </row>
    <row r="436" spans="1:30" x14ac:dyDescent="0.25">
      <c r="A436" t="s">
        <v>3995</v>
      </c>
      <c r="B436">
        <v>15</v>
      </c>
      <c r="C436" t="s">
        <v>3310</v>
      </c>
      <c r="D436" t="b">
        <v>0</v>
      </c>
      <c r="E436" t="b">
        <v>1</v>
      </c>
      <c r="F436" t="s">
        <v>3373</v>
      </c>
      <c r="G436" t="s">
        <v>3986</v>
      </c>
      <c r="H436" t="s">
        <v>3986</v>
      </c>
      <c r="I436" t="s">
        <v>3986</v>
      </c>
      <c r="J436" t="s">
        <v>3986</v>
      </c>
      <c r="K436" t="s">
        <v>3430</v>
      </c>
      <c r="L436" t="s">
        <v>3431</v>
      </c>
      <c r="M436" t="s">
        <v>3768</v>
      </c>
      <c r="N436">
        <v>7</v>
      </c>
      <c r="O436" t="b">
        <v>0</v>
      </c>
      <c r="P436" t="b">
        <v>1</v>
      </c>
      <c r="Q436" t="b">
        <v>0</v>
      </c>
      <c r="R436" t="b">
        <v>0</v>
      </c>
      <c r="T436" t="s">
        <v>3742</v>
      </c>
      <c r="U436">
        <v>63</v>
      </c>
      <c r="V436" t="s">
        <v>4082</v>
      </c>
      <c r="W436">
        <v>3</v>
      </c>
      <c r="X436" t="s">
        <v>3993</v>
      </c>
      <c r="Y436" t="s">
        <v>3986</v>
      </c>
      <c r="Z436">
        <v>0</v>
      </c>
      <c r="AA436" t="s">
        <v>2493</v>
      </c>
      <c r="AB436" t="s">
        <v>4037</v>
      </c>
      <c r="AC436" t="s">
        <v>3986</v>
      </c>
      <c r="AD436" t="s">
        <v>2781</v>
      </c>
    </row>
    <row r="437" spans="1:30" x14ac:dyDescent="0.25">
      <c r="A437" t="s">
        <v>3996</v>
      </c>
      <c r="B437">
        <v>16</v>
      </c>
      <c r="C437" t="s">
        <v>3310</v>
      </c>
      <c r="D437" t="b">
        <v>0</v>
      </c>
      <c r="E437" t="b">
        <v>1</v>
      </c>
      <c r="F437" t="s">
        <v>3373</v>
      </c>
      <c r="G437" t="s">
        <v>3986</v>
      </c>
      <c r="H437" t="s">
        <v>3986</v>
      </c>
      <c r="I437" t="s">
        <v>3986</v>
      </c>
      <c r="J437" t="s">
        <v>3986</v>
      </c>
      <c r="K437" t="s">
        <v>3430</v>
      </c>
      <c r="L437" t="s">
        <v>3431</v>
      </c>
      <c r="M437" t="s">
        <v>3768</v>
      </c>
      <c r="N437">
        <v>7</v>
      </c>
      <c r="O437" t="b">
        <v>0</v>
      </c>
      <c r="P437" t="b">
        <v>1</v>
      </c>
      <c r="Q437" t="b">
        <v>0</v>
      </c>
      <c r="R437" t="b">
        <v>0</v>
      </c>
      <c r="T437" t="s">
        <v>3742</v>
      </c>
      <c r="U437">
        <v>64</v>
      </c>
      <c r="V437" t="s">
        <v>4083</v>
      </c>
      <c r="W437">
        <v>3</v>
      </c>
      <c r="X437" t="s">
        <v>3993</v>
      </c>
      <c r="Y437" t="s">
        <v>3986</v>
      </c>
      <c r="Z437">
        <v>0</v>
      </c>
      <c r="AA437" t="s">
        <v>2493</v>
      </c>
      <c r="AB437" t="s">
        <v>4037</v>
      </c>
      <c r="AC437" t="s">
        <v>3986</v>
      </c>
      <c r="AD437" t="s">
        <v>2781</v>
      </c>
    </row>
    <row r="438" spans="1:30" x14ac:dyDescent="0.25">
      <c r="A438" t="s">
        <v>3997</v>
      </c>
      <c r="B438">
        <v>17</v>
      </c>
      <c r="C438" t="s">
        <v>3310</v>
      </c>
      <c r="D438" t="b">
        <v>0</v>
      </c>
      <c r="E438" t="b">
        <v>1</v>
      </c>
      <c r="F438" t="s">
        <v>3373</v>
      </c>
      <c r="G438" t="s">
        <v>3986</v>
      </c>
      <c r="H438" t="s">
        <v>3986</v>
      </c>
      <c r="I438" t="s">
        <v>3986</v>
      </c>
      <c r="J438" t="s">
        <v>3986</v>
      </c>
      <c r="K438" t="s">
        <v>3430</v>
      </c>
      <c r="L438" t="s">
        <v>3431</v>
      </c>
      <c r="M438" t="s">
        <v>3768</v>
      </c>
      <c r="N438">
        <v>7</v>
      </c>
      <c r="O438" t="b">
        <v>0</v>
      </c>
      <c r="P438" t="b">
        <v>1</v>
      </c>
      <c r="Q438" t="b">
        <v>0</v>
      </c>
      <c r="R438" t="b">
        <v>0</v>
      </c>
      <c r="T438" t="s">
        <v>3742</v>
      </c>
      <c r="U438">
        <v>66</v>
      </c>
      <c r="V438" t="s">
        <v>4084</v>
      </c>
      <c r="W438">
        <v>3</v>
      </c>
      <c r="X438" t="s">
        <v>3993</v>
      </c>
      <c r="Y438" t="s">
        <v>3986</v>
      </c>
      <c r="Z438">
        <v>0</v>
      </c>
      <c r="AA438" t="s">
        <v>2493</v>
      </c>
      <c r="AB438" t="s">
        <v>4037</v>
      </c>
      <c r="AC438" t="s">
        <v>3986</v>
      </c>
      <c r="AD438" t="s">
        <v>2781</v>
      </c>
    </row>
    <row r="439" spans="1:30" x14ac:dyDescent="0.25">
      <c r="A439" t="s">
        <v>3998</v>
      </c>
      <c r="B439">
        <v>18</v>
      </c>
      <c r="C439" t="s">
        <v>3310</v>
      </c>
      <c r="D439" t="b">
        <v>0</v>
      </c>
      <c r="E439" t="b">
        <v>1</v>
      </c>
      <c r="F439" t="s">
        <v>3373</v>
      </c>
      <c r="G439" t="s">
        <v>3986</v>
      </c>
      <c r="H439" t="s">
        <v>3986</v>
      </c>
      <c r="I439" t="s">
        <v>3986</v>
      </c>
      <c r="J439" t="s">
        <v>3986</v>
      </c>
      <c r="K439" t="s">
        <v>3430</v>
      </c>
      <c r="L439" t="s">
        <v>3431</v>
      </c>
      <c r="M439" t="s">
        <v>3768</v>
      </c>
      <c r="N439">
        <v>7</v>
      </c>
      <c r="O439" t="b">
        <v>0</v>
      </c>
      <c r="P439" t="b">
        <v>1</v>
      </c>
      <c r="Q439" t="b">
        <v>0</v>
      </c>
      <c r="R439" t="b">
        <v>0</v>
      </c>
      <c r="T439" t="s">
        <v>3742</v>
      </c>
      <c r="U439">
        <v>69</v>
      </c>
      <c r="V439" t="s">
        <v>4085</v>
      </c>
      <c r="W439">
        <v>3</v>
      </c>
      <c r="X439" t="s">
        <v>3993</v>
      </c>
      <c r="Y439" t="s">
        <v>3986</v>
      </c>
      <c r="Z439">
        <v>0</v>
      </c>
      <c r="AA439" t="s">
        <v>2493</v>
      </c>
      <c r="AB439" t="s">
        <v>4037</v>
      </c>
      <c r="AC439" t="s">
        <v>3986</v>
      </c>
      <c r="AD439" t="s">
        <v>2781</v>
      </c>
    </row>
    <row r="440" spans="1:30" x14ac:dyDescent="0.25">
      <c r="A440" t="s">
        <v>3999</v>
      </c>
      <c r="B440">
        <v>19</v>
      </c>
      <c r="C440" t="s">
        <v>3310</v>
      </c>
      <c r="D440" t="b">
        <v>0</v>
      </c>
      <c r="E440" t="b">
        <v>1</v>
      </c>
      <c r="F440" t="s">
        <v>3373</v>
      </c>
      <c r="G440" t="s">
        <v>3986</v>
      </c>
      <c r="H440" t="s">
        <v>3986</v>
      </c>
      <c r="I440" t="s">
        <v>3986</v>
      </c>
      <c r="J440" t="s">
        <v>3986</v>
      </c>
      <c r="K440" t="s">
        <v>3430</v>
      </c>
      <c r="L440" t="s">
        <v>3431</v>
      </c>
      <c r="M440" t="s">
        <v>3768</v>
      </c>
      <c r="N440">
        <v>7</v>
      </c>
      <c r="O440" t="b">
        <v>0</v>
      </c>
      <c r="P440" t="b">
        <v>1</v>
      </c>
      <c r="Q440" t="b">
        <v>0</v>
      </c>
      <c r="R440" t="b">
        <v>0</v>
      </c>
      <c r="T440" t="s">
        <v>3742</v>
      </c>
      <c r="U440">
        <v>69</v>
      </c>
      <c r="V440" t="s">
        <v>4086</v>
      </c>
      <c r="W440">
        <v>3</v>
      </c>
      <c r="X440" t="s">
        <v>3993</v>
      </c>
      <c r="Y440" t="s">
        <v>3986</v>
      </c>
      <c r="Z440">
        <v>0</v>
      </c>
      <c r="AA440" t="s">
        <v>2493</v>
      </c>
      <c r="AB440" t="s">
        <v>4037</v>
      </c>
      <c r="AC440" t="s">
        <v>3986</v>
      </c>
      <c r="AD440" t="s">
        <v>2781</v>
      </c>
    </row>
    <row r="441" spans="1:30" x14ac:dyDescent="0.25">
      <c r="A441" t="s">
        <v>4000</v>
      </c>
      <c r="B441">
        <v>20</v>
      </c>
      <c r="C441" t="s">
        <v>3310</v>
      </c>
      <c r="D441" t="b">
        <v>0</v>
      </c>
      <c r="E441" t="b">
        <v>1</v>
      </c>
      <c r="F441" t="s">
        <v>3373</v>
      </c>
      <c r="G441" t="s">
        <v>3986</v>
      </c>
      <c r="H441" t="s">
        <v>3986</v>
      </c>
      <c r="I441" t="s">
        <v>3986</v>
      </c>
      <c r="J441" t="s">
        <v>3986</v>
      </c>
      <c r="K441" t="s">
        <v>3430</v>
      </c>
      <c r="L441" t="s">
        <v>3431</v>
      </c>
      <c r="M441" t="s">
        <v>3768</v>
      </c>
      <c r="N441">
        <v>7</v>
      </c>
      <c r="O441" t="b">
        <v>0</v>
      </c>
      <c r="P441" t="b">
        <v>1</v>
      </c>
      <c r="Q441" t="b">
        <v>0</v>
      </c>
      <c r="R441" t="b">
        <v>0</v>
      </c>
      <c r="T441" t="s">
        <v>3742</v>
      </c>
      <c r="U441">
        <v>69</v>
      </c>
      <c r="V441" t="s">
        <v>4087</v>
      </c>
      <c r="W441">
        <v>3</v>
      </c>
      <c r="X441" t="s">
        <v>3993</v>
      </c>
      <c r="Y441" t="s">
        <v>3986</v>
      </c>
      <c r="Z441">
        <v>0</v>
      </c>
      <c r="AA441" t="s">
        <v>2493</v>
      </c>
      <c r="AB441" t="s">
        <v>4037</v>
      </c>
      <c r="AC441" t="s">
        <v>3986</v>
      </c>
      <c r="AD441" t="s">
        <v>2781</v>
      </c>
    </row>
    <row r="442" spans="1:30" x14ac:dyDescent="0.25">
      <c r="A442" t="s">
        <v>4001</v>
      </c>
      <c r="B442">
        <v>21</v>
      </c>
      <c r="C442" t="s">
        <v>3310</v>
      </c>
      <c r="D442" t="b">
        <v>0</v>
      </c>
      <c r="E442" t="b">
        <v>1</v>
      </c>
      <c r="F442" t="s">
        <v>3373</v>
      </c>
      <c r="G442" t="s">
        <v>3986</v>
      </c>
      <c r="H442" t="s">
        <v>3986</v>
      </c>
      <c r="I442" t="s">
        <v>3986</v>
      </c>
      <c r="J442" t="s">
        <v>3986</v>
      </c>
      <c r="K442" t="s">
        <v>3430</v>
      </c>
      <c r="L442" t="s">
        <v>3431</v>
      </c>
      <c r="M442" t="s">
        <v>3768</v>
      </c>
      <c r="N442">
        <v>7</v>
      </c>
      <c r="O442" t="b">
        <v>0</v>
      </c>
      <c r="P442" t="b">
        <v>1</v>
      </c>
      <c r="Q442" t="b">
        <v>0</v>
      </c>
      <c r="R442" t="b">
        <v>0</v>
      </c>
      <c r="T442" t="s">
        <v>3742</v>
      </c>
      <c r="U442">
        <v>69</v>
      </c>
      <c r="V442" t="s">
        <v>4088</v>
      </c>
      <c r="W442">
        <v>3</v>
      </c>
      <c r="X442" t="s">
        <v>3993</v>
      </c>
      <c r="Y442" t="s">
        <v>3986</v>
      </c>
      <c r="Z442">
        <v>0</v>
      </c>
      <c r="AA442" t="s">
        <v>2493</v>
      </c>
      <c r="AB442" t="s">
        <v>4037</v>
      </c>
      <c r="AC442" t="s">
        <v>3986</v>
      </c>
      <c r="AD442" t="s">
        <v>2781</v>
      </c>
    </row>
    <row r="443" spans="1:30" x14ac:dyDescent="0.25">
      <c r="A443" t="s">
        <v>4002</v>
      </c>
      <c r="B443">
        <v>22</v>
      </c>
      <c r="C443" t="s">
        <v>3310</v>
      </c>
      <c r="D443" t="b">
        <v>0</v>
      </c>
      <c r="E443" t="b">
        <v>1</v>
      </c>
      <c r="F443" t="s">
        <v>3373</v>
      </c>
      <c r="G443" t="s">
        <v>3986</v>
      </c>
      <c r="H443" t="s">
        <v>3986</v>
      </c>
      <c r="I443" t="s">
        <v>3986</v>
      </c>
      <c r="J443" t="s">
        <v>3986</v>
      </c>
      <c r="K443" t="s">
        <v>3430</v>
      </c>
      <c r="L443" t="s">
        <v>3431</v>
      </c>
      <c r="M443" t="s">
        <v>3768</v>
      </c>
      <c r="N443">
        <v>7</v>
      </c>
      <c r="O443" t="b">
        <v>0</v>
      </c>
      <c r="P443" t="b">
        <v>1</v>
      </c>
      <c r="Q443" t="b">
        <v>0</v>
      </c>
      <c r="R443" t="b">
        <v>0</v>
      </c>
      <c r="T443" t="s">
        <v>3742</v>
      </c>
      <c r="U443">
        <v>69</v>
      </c>
      <c r="V443" t="s">
        <v>4089</v>
      </c>
      <c r="W443">
        <v>3</v>
      </c>
      <c r="X443" t="s">
        <v>3993</v>
      </c>
      <c r="Y443" t="s">
        <v>3986</v>
      </c>
      <c r="Z443">
        <v>0</v>
      </c>
      <c r="AA443" t="s">
        <v>2493</v>
      </c>
      <c r="AB443" t="s">
        <v>4037</v>
      </c>
      <c r="AC443" t="s">
        <v>3986</v>
      </c>
      <c r="AD443" t="s">
        <v>2781</v>
      </c>
    </row>
    <row r="444" spans="1:30" x14ac:dyDescent="0.25">
      <c r="A444" t="s">
        <v>4003</v>
      </c>
      <c r="B444">
        <v>23</v>
      </c>
      <c r="C444" t="s">
        <v>3310</v>
      </c>
      <c r="D444" t="b">
        <v>0</v>
      </c>
      <c r="E444" t="b">
        <v>1</v>
      </c>
      <c r="F444" t="s">
        <v>3373</v>
      </c>
      <c r="G444" t="s">
        <v>3986</v>
      </c>
      <c r="H444" t="s">
        <v>3986</v>
      </c>
      <c r="I444" t="s">
        <v>3986</v>
      </c>
      <c r="J444" t="s">
        <v>3986</v>
      </c>
      <c r="K444" t="s">
        <v>3430</v>
      </c>
      <c r="L444" t="s">
        <v>3431</v>
      </c>
      <c r="M444" t="s">
        <v>3768</v>
      </c>
      <c r="N444">
        <v>7</v>
      </c>
      <c r="O444" t="b">
        <v>0</v>
      </c>
      <c r="P444" t="b">
        <v>1</v>
      </c>
      <c r="Q444" t="b">
        <v>0</v>
      </c>
      <c r="R444" t="b">
        <v>0</v>
      </c>
      <c r="T444" t="s">
        <v>3742</v>
      </c>
      <c r="U444">
        <v>70</v>
      </c>
      <c r="V444" t="s">
        <v>4088</v>
      </c>
      <c r="W444">
        <v>3</v>
      </c>
      <c r="X444" t="s">
        <v>3993</v>
      </c>
      <c r="Y444" t="s">
        <v>3986</v>
      </c>
      <c r="Z444">
        <v>0</v>
      </c>
      <c r="AA444" t="s">
        <v>2493</v>
      </c>
      <c r="AB444" t="s">
        <v>4037</v>
      </c>
      <c r="AC444" t="s">
        <v>3986</v>
      </c>
      <c r="AD444" t="s">
        <v>2781</v>
      </c>
    </row>
    <row r="445" spans="1:30" x14ac:dyDescent="0.25">
      <c r="A445" t="s">
        <v>4004</v>
      </c>
      <c r="B445">
        <v>24</v>
      </c>
      <c r="C445" t="s">
        <v>3310</v>
      </c>
      <c r="D445" t="b">
        <v>0</v>
      </c>
      <c r="E445" t="b">
        <v>1</v>
      </c>
      <c r="F445" t="s">
        <v>3373</v>
      </c>
      <c r="G445" t="s">
        <v>3986</v>
      </c>
      <c r="H445" t="s">
        <v>3986</v>
      </c>
      <c r="I445" t="s">
        <v>3986</v>
      </c>
      <c r="J445" t="s">
        <v>3986</v>
      </c>
      <c r="K445" t="s">
        <v>3430</v>
      </c>
      <c r="L445" t="s">
        <v>3431</v>
      </c>
      <c r="M445" t="s">
        <v>3768</v>
      </c>
      <c r="N445">
        <v>7</v>
      </c>
      <c r="O445" t="b">
        <v>0</v>
      </c>
      <c r="P445" t="b">
        <v>1</v>
      </c>
      <c r="Q445" t="b">
        <v>0</v>
      </c>
      <c r="R445" t="b">
        <v>0</v>
      </c>
      <c r="T445" t="s">
        <v>3742</v>
      </c>
      <c r="U445">
        <v>71</v>
      </c>
      <c r="V445" t="s">
        <v>4089</v>
      </c>
      <c r="W445">
        <v>3</v>
      </c>
      <c r="X445" t="s">
        <v>3993</v>
      </c>
      <c r="Y445" t="s">
        <v>3986</v>
      </c>
      <c r="Z445">
        <v>0</v>
      </c>
      <c r="AA445" t="s">
        <v>2493</v>
      </c>
      <c r="AB445" t="s">
        <v>4037</v>
      </c>
      <c r="AC445" t="s">
        <v>3986</v>
      </c>
      <c r="AD445" t="s">
        <v>2781</v>
      </c>
    </row>
    <row r="446" spans="1:30" x14ac:dyDescent="0.25">
      <c r="A446" t="s">
        <v>4005</v>
      </c>
      <c r="B446">
        <v>25</v>
      </c>
      <c r="C446" t="s">
        <v>3310</v>
      </c>
      <c r="D446" t="b">
        <v>0</v>
      </c>
      <c r="E446" t="b">
        <v>1</v>
      </c>
      <c r="F446" t="s">
        <v>3373</v>
      </c>
      <c r="G446" t="s">
        <v>3986</v>
      </c>
      <c r="H446" t="s">
        <v>3986</v>
      </c>
      <c r="I446" t="s">
        <v>3986</v>
      </c>
      <c r="J446" t="s">
        <v>3986</v>
      </c>
      <c r="K446" t="s">
        <v>3430</v>
      </c>
      <c r="L446" t="s">
        <v>3431</v>
      </c>
      <c r="M446" t="s">
        <v>3768</v>
      </c>
      <c r="N446">
        <v>7</v>
      </c>
      <c r="O446" t="b">
        <v>0</v>
      </c>
      <c r="P446" t="b">
        <v>1</v>
      </c>
      <c r="Q446" t="b">
        <v>0</v>
      </c>
      <c r="R446" t="b">
        <v>0</v>
      </c>
      <c r="T446" t="s">
        <v>3742</v>
      </c>
      <c r="U446">
        <v>72</v>
      </c>
      <c r="V446" t="s">
        <v>4085</v>
      </c>
      <c r="W446">
        <v>3</v>
      </c>
      <c r="X446" t="s">
        <v>3993</v>
      </c>
      <c r="Y446" t="s">
        <v>3986</v>
      </c>
      <c r="Z446">
        <v>0</v>
      </c>
      <c r="AA446" t="s">
        <v>2493</v>
      </c>
      <c r="AB446" t="s">
        <v>4037</v>
      </c>
      <c r="AC446" t="s">
        <v>3986</v>
      </c>
      <c r="AD446" t="s">
        <v>2781</v>
      </c>
    </row>
    <row r="447" spans="1:30" x14ac:dyDescent="0.25">
      <c r="A447" t="s">
        <v>4006</v>
      </c>
      <c r="B447">
        <v>26</v>
      </c>
      <c r="C447" t="s">
        <v>3310</v>
      </c>
      <c r="D447" t="b">
        <v>0</v>
      </c>
      <c r="E447" t="b">
        <v>1</v>
      </c>
      <c r="F447" t="s">
        <v>3373</v>
      </c>
      <c r="G447" t="s">
        <v>3986</v>
      </c>
      <c r="H447" t="s">
        <v>3986</v>
      </c>
      <c r="I447" t="s">
        <v>3986</v>
      </c>
      <c r="J447" t="s">
        <v>3986</v>
      </c>
      <c r="K447" t="s">
        <v>3430</v>
      </c>
      <c r="L447" t="s">
        <v>3431</v>
      </c>
      <c r="M447" t="s">
        <v>3768</v>
      </c>
      <c r="N447">
        <v>7</v>
      </c>
      <c r="O447" t="b">
        <v>0</v>
      </c>
      <c r="P447" t="b">
        <v>1</v>
      </c>
      <c r="Q447" t="b">
        <v>0</v>
      </c>
      <c r="R447" t="b">
        <v>0</v>
      </c>
      <c r="T447" t="s">
        <v>3742</v>
      </c>
      <c r="U447">
        <v>72</v>
      </c>
      <c r="V447" t="s">
        <v>4086</v>
      </c>
      <c r="W447">
        <v>3</v>
      </c>
      <c r="X447" t="s">
        <v>3993</v>
      </c>
      <c r="Y447" t="s">
        <v>3986</v>
      </c>
      <c r="Z447">
        <v>0</v>
      </c>
      <c r="AA447" t="s">
        <v>2493</v>
      </c>
      <c r="AB447" t="s">
        <v>4037</v>
      </c>
      <c r="AC447" t="s">
        <v>3986</v>
      </c>
      <c r="AD447" t="s">
        <v>2781</v>
      </c>
    </row>
    <row r="448" spans="1:30" x14ac:dyDescent="0.25">
      <c r="A448" t="s">
        <v>4007</v>
      </c>
      <c r="B448">
        <v>27</v>
      </c>
      <c r="C448" t="s">
        <v>3310</v>
      </c>
      <c r="D448" t="b">
        <v>0</v>
      </c>
      <c r="E448" t="b">
        <v>1</v>
      </c>
      <c r="F448" t="s">
        <v>3373</v>
      </c>
      <c r="G448" t="s">
        <v>3986</v>
      </c>
      <c r="H448" t="s">
        <v>3986</v>
      </c>
      <c r="I448" t="s">
        <v>3986</v>
      </c>
      <c r="J448" t="s">
        <v>3986</v>
      </c>
      <c r="K448" t="s">
        <v>3430</v>
      </c>
      <c r="L448" t="s">
        <v>3431</v>
      </c>
      <c r="M448" t="s">
        <v>3768</v>
      </c>
      <c r="N448">
        <v>7</v>
      </c>
      <c r="O448" t="b">
        <v>0</v>
      </c>
      <c r="P448" t="b">
        <v>1</v>
      </c>
      <c r="Q448" t="b">
        <v>0</v>
      </c>
      <c r="R448" t="b">
        <v>0</v>
      </c>
      <c r="T448" t="s">
        <v>3742</v>
      </c>
      <c r="U448">
        <v>72</v>
      </c>
      <c r="V448" t="s">
        <v>4087</v>
      </c>
      <c r="W448">
        <v>3</v>
      </c>
      <c r="X448" t="s">
        <v>3993</v>
      </c>
      <c r="Y448" t="s">
        <v>3986</v>
      </c>
      <c r="Z448">
        <v>0</v>
      </c>
      <c r="AA448" t="s">
        <v>2493</v>
      </c>
      <c r="AB448" t="s">
        <v>4037</v>
      </c>
      <c r="AC448" t="s">
        <v>3986</v>
      </c>
      <c r="AD448" t="s">
        <v>2781</v>
      </c>
    </row>
    <row r="449" spans="1:30" x14ac:dyDescent="0.25">
      <c r="A449" t="s">
        <v>4008</v>
      </c>
      <c r="B449">
        <v>28</v>
      </c>
      <c r="C449" t="s">
        <v>3310</v>
      </c>
      <c r="D449" t="b">
        <v>0</v>
      </c>
      <c r="E449" t="b">
        <v>1</v>
      </c>
      <c r="F449" t="s">
        <v>3373</v>
      </c>
      <c r="G449" t="s">
        <v>3986</v>
      </c>
      <c r="H449" t="s">
        <v>3986</v>
      </c>
      <c r="I449" t="s">
        <v>3986</v>
      </c>
      <c r="J449" t="s">
        <v>3986</v>
      </c>
      <c r="K449" t="s">
        <v>3430</v>
      </c>
      <c r="L449" t="s">
        <v>3431</v>
      </c>
      <c r="M449" t="s">
        <v>3768</v>
      </c>
      <c r="N449">
        <v>7</v>
      </c>
      <c r="O449" t="b">
        <v>0</v>
      </c>
      <c r="P449" t="b">
        <v>1</v>
      </c>
      <c r="Q449" t="b">
        <v>0</v>
      </c>
      <c r="R449" t="b">
        <v>0</v>
      </c>
      <c r="T449" t="s">
        <v>3742</v>
      </c>
      <c r="U449">
        <v>73</v>
      </c>
      <c r="V449" t="s">
        <v>4090</v>
      </c>
      <c r="W449">
        <v>3</v>
      </c>
      <c r="X449" t="s">
        <v>3993</v>
      </c>
      <c r="Y449" t="s">
        <v>3986</v>
      </c>
      <c r="Z449">
        <v>0</v>
      </c>
      <c r="AA449" t="s">
        <v>2493</v>
      </c>
      <c r="AB449" t="s">
        <v>4037</v>
      </c>
      <c r="AC449" t="s">
        <v>3986</v>
      </c>
      <c r="AD449" t="s">
        <v>2781</v>
      </c>
    </row>
    <row r="450" spans="1:30" x14ac:dyDescent="0.25">
      <c r="A450" t="s">
        <v>4009</v>
      </c>
      <c r="B450">
        <v>29</v>
      </c>
      <c r="C450" t="s">
        <v>3310</v>
      </c>
      <c r="D450" t="b">
        <v>0</v>
      </c>
      <c r="E450" t="b">
        <v>1</v>
      </c>
      <c r="F450" t="s">
        <v>3373</v>
      </c>
      <c r="G450" t="s">
        <v>3986</v>
      </c>
      <c r="H450" t="s">
        <v>3986</v>
      </c>
      <c r="I450" t="s">
        <v>3986</v>
      </c>
      <c r="J450" t="s">
        <v>3986</v>
      </c>
      <c r="K450" t="s">
        <v>3430</v>
      </c>
      <c r="L450" t="s">
        <v>3431</v>
      </c>
      <c r="M450" t="s">
        <v>3768</v>
      </c>
      <c r="N450">
        <v>7</v>
      </c>
      <c r="O450" t="b">
        <v>0</v>
      </c>
      <c r="P450" t="b">
        <v>1</v>
      </c>
      <c r="Q450" t="b">
        <v>0</v>
      </c>
      <c r="R450" t="b">
        <v>0</v>
      </c>
      <c r="T450" t="s">
        <v>3742</v>
      </c>
      <c r="U450">
        <v>74</v>
      </c>
      <c r="V450" t="s">
        <v>4091</v>
      </c>
      <c r="W450">
        <v>3</v>
      </c>
      <c r="X450" t="s">
        <v>3993</v>
      </c>
      <c r="Y450" t="s">
        <v>3986</v>
      </c>
      <c r="Z450">
        <v>0</v>
      </c>
      <c r="AA450" t="s">
        <v>2493</v>
      </c>
      <c r="AB450" t="s">
        <v>4037</v>
      </c>
      <c r="AC450" t="s">
        <v>3986</v>
      </c>
      <c r="AD450" t="s">
        <v>2781</v>
      </c>
    </row>
    <row r="451" spans="1:30" x14ac:dyDescent="0.25">
      <c r="A451" t="s">
        <v>4010</v>
      </c>
      <c r="B451">
        <v>30</v>
      </c>
      <c r="C451" t="s">
        <v>3310</v>
      </c>
      <c r="D451" t="b">
        <v>0</v>
      </c>
      <c r="E451" t="b">
        <v>1</v>
      </c>
      <c r="F451" t="s">
        <v>3373</v>
      </c>
      <c r="G451" t="s">
        <v>3986</v>
      </c>
      <c r="H451" t="s">
        <v>3986</v>
      </c>
      <c r="I451" t="s">
        <v>3986</v>
      </c>
      <c r="J451" t="s">
        <v>3986</v>
      </c>
      <c r="K451" t="s">
        <v>3430</v>
      </c>
      <c r="L451" t="s">
        <v>3431</v>
      </c>
      <c r="M451" t="s">
        <v>3768</v>
      </c>
      <c r="N451">
        <v>7</v>
      </c>
      <c r="O451" t="b">
        <v>0</v>
      </c>
      <c r="P451" t="b">
        <v>1</v>
      </c>
      <c r="Q451" t="b">
        <v>0</v>
      </c>
      <c r="R451" t="b">
        <v>0</v>
      </c>
      <c r="T451" t="s">
        <v>3742</v>
      </c>
      <c r="U451">
        <v>75</v>
      </c>
      <c r="V451" t="s">
        <v>4092</v>
      </c>
      <c r="W451">
        <v>3</v>
      </c>
      <c r="X451" t="s">
        <v>3993</v>
      </c>
      <c r="Y451" t="s">
        <v>3986</v>
      </c>
      <c r="Z451">
        <v>0</v>
      </c>
      <c r="AA451" t="s">
        <v>2493</v>
      </c>
      <c r="AB451" t="s">
        <v>4037</v>
      </c>
      <c r="AC451" t="s">
        <v>3986</v>
      </c>
      <c r="AD451" t="s">
        <v>2781</v>
      </c>
    </row>
    <row r="452" spans="1:30" x14ac:dyDescent="0.25">
      <c r="A452" t="s">
        <v>4011</v>
      </c>
      <c r="B452">
        <v>31</v>
      </c>
      <c r="C452" t="s">
        <v>3310</v>
      </c>
      <c r="D452" t="b">
        <v>0</v>
      </c>
      <c r="E452" t="b">
        <v>1</v>
      </c>
      <c r="F452" t="s">
        <v>3373</v>
      </c>
      <c r="G452" t="s">
        <v>3986</v>
      </c>
      <c r="H452" t="s">
        <v>3986</v>
      </c>
      <c r="I452" t="s">
        <v>3986</v>
      </c>
      <c r="J452" t="s">
        <v>3986</v>
      </c>
      <c r="K452" t="s">
        <v>3430</v>
      </c>
      <c r="L452" t="s">
        <v>3431</v>
      </c>
      <c r="M452" t="s">
        <v>3768</v>
      </c>
      <c r="N452">
        <v>7</v>
      </c>
      <c r="O452" t="b">
        <v>0</v>
      </c>
      <c r="P452" t="b">
        <v>1</v>
      </c>
      <c r="Q452" t="b">
        <v>0</v>
      </c>
      <c r="R452" t="b">
        <v>0</v>
      </c>
      <c r="T452" t="s">
        <v>3742</v>
      </c>
      <c r="U452">
        <v>76</v>
      </c>
      <c r="V452" t="s">
        <v>4093</v>
      </c>
      <c r="W452">
        <v>3</v>
      </c>
      <c r="X452" t="s">
        <v>3993</v>
      </c>
      <c r="Y452" t="s">
        <v>3986</v>
      </c>
      <c r="Z452">
        <v>0</v>
      </c>
      <c r="AA452" t="s">
        <v>2493</v>
      </c>
      <c r="AB452" t="s">
        <v>4037</v>
      </c>
      <c r="AC452" t="s">
        <v>3986</v>
      </c>
      <c r="AD452" t="s">
        <v>2781</v>
      </c>
    </row>
    <row r="453" spans="1:30" x14ac:dyDescent="0.25">
      <c r="A453" t="s">
        <v>4012</v>
      </c>
      <c r="B453">
        <v>32</v>
      </c>
      <c r="C453" t="s">
        <v>3310</v>
      </c>
      <c r="D453" t="b">
        <v>0</v>
      </c>
      <c r="E453" t="b">
        <v>1</v>
      </c>
      <c r="F453" t="s">
        <v>3373</v>
      </c>
      <c r="G453" t="s">
        <v>3986</v>
      </c>
      <c r="H453" t="s">
        <v>3986</v>
      </c>
      <c r="I453" t="s">
        <v>3986</v>
      </c>
      <c r="J453" t="s">
        <v>3986</v>
      </c>
      <c r="K453" t="s">
        <v>3430</v>
      </c>
      <c r="L453" t="s">
        <v>3431</v>
      </c>
      <c r="M453" t="s">
        <v>3768</v>
      </c>
      <c r="N453">
        <v>7</v>
      </c>
      <c r="O453" t="b">
        <v>0</v>
      </c>
      <c r="P453" t="b">
        <v>1</v>
      </c>
      <c r="Q453" t="b">
        <v>0</v>
      </c>
      <c r="R453" t="b">
        <v>0</v>
      </c>
      <c r="T453" t="s">
        <v>3742</v>
      </c>
      <c r="U453">
        <v>77</v>
      </c>
      <c r="V453" t="s">
        <v>4094</v>
      </c>
      <c r="W453">
        <v>3</v>
      </c>
      <c r="X453" t="s">
        <v>3993</v>
      </c>
      <c r="Y453" t="s">
        <v>3986</v>
      </c>
      <c r="Z453">
        <v>0</v>
      </c>
      <c r="AA453" t="s">
        <v>2493</v>
      </c>
      <c r="AB453" t="s">
        <v>4037</v>
      </c>
      <c r="AC453" t="s">
        <v>3986</v>
      </c>
      <c r="AD453" t="s">
        <v>2781</v>
      </c>
    </row>
    <row r="454" spans="1:30" x14ac:dyDescent="0.25">
      <c r="A454" t="s">
        <v>4013</v>
      </c>
      <c r="B454">
        <v>33</v>
      </c>
      <c r="C454" t="s">
        <v>3310</v>
      </c>
      <c r="D454" t="b">
        <v>0</v>
      </c>
      <c r="E454" t="b">
        <v>1</v>
      </c>
      <c r="F454" t="s">
        <v>3373</v>
      </c>
      <c r="G454" t="s">
        <v>3986</v>
      </c>
      <c r="H454" t="s">
        <v>3986</v>
      </c>
      <c r="I454" t="s">
        <v>3986</v>
      </c>
      <c r="J454" t="s">
        <v>3986</v>
      </c>
      <c r="K454" t="s">
        <v>3430</v>
      </c>
      <c r="L454" t="s">
        <v>3431</v>
      </c>
      <c r="M454" t="s">
        <v>3768</v>
      </c>
      <c r="N454">
        <v>7</v>
      </c>
      <c r="O454" t="b">
        <v>0</v>
      </c>
      <c r="P454" t="b">
        <v>1</v>
      </c>
      <c r="Q454" t="b">
        <v>0</v>
      </c>
      <c r="R454" t="b">
        <v>0</v>
      </c>
      <c r="T454" t="s">
        <v>3742</v>
      </c>
      <c r="U454">
        <v>78</v>
      </c>
      <c r="V454" t="s">
        <v>4095</v>
      </c>
      <c r="W454">
        <v>3</v>
      </c>
      <c r="X454" t="s">
        <v>3993</v>
      </c>
      <c r="Y454" t="s">
        <v>3986</v>
      </c>
      <c r="Z454">
        <v>0</v>
      </c>
      <c r="AA454" t="s">
        <v>2493</v>
      </c>
      <c r="AB454" t="s">
        <v>4037</v>
      </c>
      <c r="AC454" t="s">
        <v>3986</v>
      </c>
      <c r="AD454" t="s">
        <v>2781</v>
      </c>
    </row>
    <row r="455" spans="1:30" x14ac:dyDescent="0.25">
      <c r="A455" t="s">
        <v>4014</v>
      </c>
      <c r="B455">
        <v>34</v>
      </c>
      <c r="C455" t="s">
        <v>3310</v>
      </c>
      <c r="D455" t="b">
        <v>0</v>
      </c>
      <c r="E455" t="b">
        <v>1</v>
      </c>
      <c r="F455" t="s">
        <v>3373</v>
      </c>
      <c r="G455" t="s">
        <v>3986</v>
      </c>
      <c r="H455" t="s">
        <v>3986</v>
      </c>
      <c r="I455" t="s">
        <v>3986</v>
      </c>
      <c r="J455" t="s">
        <v>3986</v>
      </c>
      <c r="K455" t="s">
        <v>3430</v>
      </c>
      <c r="L455" t="s">
        <v>3431</v>
      </c>
      <c r="M455" t="s">
        <v>3768</v>
      </c>
      <c r="N455">
        <v>7</v>
      </c>
      <c r="O455" t="b">
        <v>0</v>
      </c>
      <c r="P455" t="b">
        <v>1</v>
      </c>
      <c r="Q455" t="b">
        <v>0</v>
      </c>
      <c r="R455" t="b">
        <v>0</v>
      </c>
      <c r="T455" t="s">
        <v>3742</v>
      </c>
      <c r="U455">
        <v>79</v>
      </c>
      <c r="V455" t="s">
        <v>4096</v>
      </c>
      <c r="W455">
        <v>3</v>
      </c>
      <c r="X455" t="s">
        <v>3993</v>
      </c>
      <c r="Y455" t="s">
        <v>3986</v>
      </c>
      <c r="Z455">
        <v>0</v>
      </c>
      <c r="AA455" t="s">
        <v>2493</v>
      </c>
      <c r="AB455" t="s">
        <v>4037</v>
      </c>
      <c r="AC455" t="s">
        <v>3986</v>
      </c>
      <c r="AD455" t="s">
        <v>2781</v>
      </c>
    </row>
    <row r="456" spans="1:30" x14ac:dyDescent="0.25">
      <c r="A456" t="s">
        <v>4015</v>
      </c>
      <c r="B456">
        <v>35</v>
      </c>
      <c r="C456" t="s">
        <v>3310</v>
      </c>
      <c r="D456" t="b">
        <v>0</v>
      </c>
      <c r="E456" t="b">
        <v>1</v>
      </c>
      <c r="F456" t="s">
        <v>3373</v>
      </c>
      <c r="G456" t="s">
        <v>3986</v>
      </c>
      <c r="H456" t="s">
        <v>3986</v>
      </c>
      <c r="I456" t="s">
        <v>3986</v>
      </c>
      <c r="J456" t="s">
        <v>3986</v>
      </c>
      <c r="K456" t="s">
        <v>3430</v>
      </c>
      <c r="L456" t="s">
        <v>3431</v>
      </c>
      <c r="M456" t="s">
        <v>3768</v>
      </c>
      <c r="N456">
        <v>7</v>
      </c>
      <c r="O456" t="b">
        <v>0</v>
      </c>
      <c r="P456" t="b">
        <v>1</v>
      </c>
      <c r="Q456" t="b">
        <v>0</v>
      </c>
      <c r="R456" t="b">
        <v>0</v>
      </c>
      <c r="T456" t="s">
        <v>3742</v>
      </c>
      <c r="U456">
        <v>79</v>
      </c>
      <c r="V456" t="s">
        <v>4097</v>
      </c>
      <c r="W456">
        <v>3</v>
      </c>
      <c r="X456" t="s">
        <v>3993</v>
      </c>
      <c r="Y456" t="s">
        <v>3986</v>
      </c>
      <c r="Z456">
        <v>0</v>
      </c>
      <c r="AA456" t="s">
        <v>2493</v>
      </c>
      <c r="AB456" t="s">
        <v>4037</v>
      </c>
      <c r="AC456" t="s">
        <v>3986</v>
      </c>
      <c r="AD456" t="s">
        <v>2781</v>
      </c>
    </row>
    <row r="457" spans="1:30" x14ac:dyDescent="0.25">
      <c r="A457" t="s">
        <v>4016</v>
      </c>
      <c r="B457">
        <v>36</v>
      </c>
      <c r="C457" t="s">
        <v>3310</v>
      </c>
      <c r="D457" t="b">
        <v>0</v>
      </c>
      <c r="E457" t="b">
        <v>1</v>
      </c>
      <c r="F457" t="s">
        <v>3373</v>
      </c>
      <c r="G457" t="s">
        <v>3986</v>
      </c>
      <c r="H457" t="s">
        <v>3986</v>
      </c>
      <c r="I457" t="s">
        <v>3986</v>
      </c>
      <c r="J457" t="s">
        <v>3986</v>
      </c>
      <c r="K457" t="s">
        <v>3430</v>
      </c>
      <c r="L457" t="s">
        <v>3431</v>
      </c>
      <c r="M457" t="s">
        <v>3768</v>
      </c>
      <c r="N457">
        <v>7</v>
      </c>
      <c r="O457" t="b">
        <v>0</v>
      </c>
      <c r="P457" t="b">
        <v>1</v>
      </c>
      <c r="Q457" t="b">
        <v>0</v>
      </c>
      <c r="R457" t="b">
        <v>0</v>
      </c>
      <c r="T457" t="s">
        <v>3742</v>
      </c>
      <c r="U457">
        <v>79</v>
      </c>
      <c r="V457" t="s">
        <v>4098</v>
      </c>
      <c r="W457">
        <v>3</v>
      </c>
      <c r="X457" t="s">
        <v>3993</v>
      </c>
      <c r="Y457" t="s">
        <v>3986</v>
      </c>
      <c r="Z457">
        <v>0</v>
      </c>
      <c r="AA457" t="s">
        <v>2493</v>
      </c>
      <c r="AB457" t="s">
        <v>4037</v>
      </c>
      <c r="AC457" t="s">
        <v>3986</v>
      </c>
      <c r="AD457" t="s">
        <v>2781</v>
      </c>
    </row>
    <row r="458" spans="1:30" x14ac:dyDescent="0.25">
      <c r="A458" t="s">
        <v>4017</v>
      </c>
      <c r="B458">
        <v>37</v>
      </c>
      <c r="C458" t="s">
        <v>3310</v>
      </c>
      <c r="D458" t="b">
        <v>0</v>
      </c>
      <c r="E458" t="b">
        <v>1</v>
      </c>
      <c r="F458" t="s">
        <v>3373</v>
      </c>
      <c r="G458" t="s">
        <v>3986</v>
      </c>
      <c r="H458" t="s">
        <v>3986</v>
      </c>
      <c r="I458" t="s">
        <v>3986</v>
      </c>
      <c r="J458" t="s">
        <v>3986</v>
      </c>
      <c r="K458" t="s">
        <v>3430</v>
      </c>
      <c r="L458" t="s">
        <v>3431</v>
      </c>
      <c r="M458" t="s">
        <v>3768</v>
      </c>
      <c r="N458">
        <v>7</v>
      </c>
      <c r="O458" t="b">
        <v>0</v>
      </c>
      <c r="P458" t="b">
        <v>1</v>
      </c>
      <c r="Q458" t="b">
        <v>0</v>
      </c>
      <c r="R458" t="b">
        <v>0</v>
      </c>
      <c r="T458" t="s">
        <v>3742</v>
      </c>
      <c r="U458">
        <v>80</v>
      </c>
      <c r="V458" t="s">
        <v>4099</v>
      </c>
      <c r="W458">
        <v>3</v>
      </c>
      <c r="X458" t="s">
        <v>3993</v>
      </c>
      <c r="Y458" t="s">
        <v>3986</v>
      </c>
      <c r="Z458">
        <v>0</v>
      </c>
      <c r="AA458" t="s">
        <v>2493</v>
      </c>
      <c r="AB458" t="s">
        <v>4037</v>
      </c>
      <c r="AC458" t="s">
        <v>3986</v>
      </c>
      <c r="AD458" t="s">
        <v>2781</v>
      </c>
    </row>
    <row r="459" spans="1:30" x14ac:dyDescent="0.25">
      <c r="A459" t="s">
        <v>4018</v>
      </c>
      <c r="B459">
        <v>38</v>
      </c>
      <c r="C459" t="s">
        <v>3310</v>
      </c>
      <c r="D459" t="b">
        <v>0</v>
      </c>
      <c r="E459" t="b">
        <v>1</v>
      </c>
      <c r="F459" t="s">
        <v>3373</v>
      </c>
      <c r="G459" t="s">
        <v>3986</v>
      </c>
      <c r="H459" t="s">
        <v>3986</v>
      </c>
      <c r="I459" t="s">
        <v>3986</v>
      </c>
      <c r="J459" t="s">
        <v>3986</v>
      </c>
      <c r="K459" t="s">
        <v>3430</v>
      </c>
      <c r="L459" t="s">
        <v>3431</v>
      </c>
      <c r="M459" t="s">
        <v>3768</v>
      </c>
      <c r="N459">
        <v>7</v>
      </c>
      <c r="O459" t="b">
        <v>0</v>
      </c>
      <c r="P459" t="b">
        <v>1</v>
      </c>
      <c r="Q459" t="b">
        <v>0</v>
      </c>
      <c r="R459" t="b">
        <v>0</v>
      </c>
      <c r="T459" t="s">
        <v>3742</v>
      </c>
      <c r="U459">
        <v>80</v>
      </c>
      <c r="V459" t="s">
        <v>4100</v>
      </c>
      <c r="W459">
        <v>3</v>
      </c>
      <c r="X459" t="s">
        <v>3993</v>
      </c>
      <c r="Y459" t="s">
        <v>3986</v>
      </c>
      <c r="Z459">
        <v>0</v>
      </c>
      <c r="AA459" t="s">
        <v>2493</v>
      </c>
      <c r="AB459" t="s">
        <v>4037</v>
      </c>
      <c r="AC459" t="s">
        <v>3986</v>
      </c>
      <c r="AD459" t="s">
        <v>2781</v>
      </c>
    </row>
    <row r="460" spans="1:30" x14ac:dyDescent="0.25">
      <c r="A460" t="s">
        <v>4019</v>
      </c>
      <c r="B460">
        <v>39</v>
      </c>
      <c r="C460" t="s">
        <v>3310</v>
      </c>
      <c r="D460" t="b">
        <v>0</v>
      </c>
      <c r="E460" t="b">
        <v>1</v>
      </c>
      <c r="F460" t="s">
        <v>3373</v>
      </c>
      <c r="G460" t="s">
        <v>3986</v>
      </c>
      <c r="H460" t="s">
        <v>3986</v>
      </c>
      <c r="I460" t="s">
        <v>3986</v>
      </c>
      <c r="J460" t="s">
        <v>3986</v>
      </c>
      <c r="K460" t="s">
        <v>3430</v>
      </c>
      <c r="L460" t="s">
        <v>3431</v>
      </c>
      <c r="M460" t="s">
        <v>3768</v>
      </c>
      <c r="N460">
        <v>7</v>
      </c>
      <c r="O460" t="b">
        <v>0</v>
      </c>
      <c r="P460" t="b">
        <v>1</v>
      </c>
      <c r="Q460" t="b">
        <v>0</v>
      </c>
      <c r="R460" t="b">
        <v>0</v>
      </c>
      <c r="T460" t="s">
        <v>3742</v>
      </c>
      <c r="U460">
        <v>80</v>
      </c>
      <c r="V460" t="s">
        <v>4101</v>
      </c>
      <c r="W460">
        <v>3</v>
      </c>
      <c r="X460" t="s">
        <v>3993</v>
      </c>
      <c r="Y460" t="s">
        <v>3986</v>
      </c>
      <c r="Z460">
        <v>0</v>
      </c>
      <c r="AA460" t="s">
        <v>2493</v>
      </c>
      <c r="AB460" t="s">
        <v>4037</v>
      </c>
      <c r="AC460" t="s">
        <v>3986</v>
      </c>
      <c r="AD460" t="s">
        <v>2781</v>
      </c>
    </row>
    <row r="461" spans="1:30" x14ac:dyDescent="0.25">
      <c r="A461" t="s">
        <v>4020</v>
      </c>
      <c r="B461">
        <v>40</v>
      </c>
      <c r="C461" t="s">
        <v>3310</v>
      </c>
      <c r="D461" t="b">
        <v>0</v>
      </c>
      <c r="E461" t="b">
        <v>1</v>
      </c>
      <c r="F461" t="s">
        <v>3373</v>
      </c>
      <c r="G461" t="s">
        <v>3986</v>
      </c>
      <c r="H461" t="s">
        <v>3986</v>
      </c>
      <c r="I461" t="s">
        <v>3986</v>
      </c>
      <c r="J461" t="s">
        <v>3986</v>
      </c>
      <c r="K461" t="s">
        <v>3430</v>
      </c>
      <c r="L461" t="s">
        <v>3431</v>
      </c>
      <c r="M461" t="s">
        <v>3768</v>
      </c>
      <c r="N461">
        <v>7</v>
      </c>
      <c r="O461" t="b">
        <v>0</v>
      </c>
      <c r="P461" t="b">
        <v>1</v>
      </c>
      <c r="Q461" t="b">
        <v>0</v>
      </c>
      <c r="R461" t="b">
        <v>0</v>
      </c>
      <c r="T461" t="s">
        <v>3742</v>
      </c>
      <c r="U461">
        <v>81</v>
      </c>
      <c r="V461" t="s">
        <v>4102</v>
      </c>
      <c r="W461">
        <v>3</v>
      </c>
      <c r="X461" t="s">
        <v>3993</v>
      </c>
      <c r="Y461" t="s">
        <v>3986</v>
      </c>
      <c r="Z461">
        <v>0</v>
      </c>
      <c r="AA461" t="s">
        <v>2493</v>
      </c>
      <c r="AB461" t="s">
        <v>4037</v>
      </c>
      <c r="AC461" t="s">
        <v>3986</v>
      </c>
      <c r="AD461" t="s">
        <v>2781</v>
      </c>
    </row>
    <row r="462" spans="1:30" x14ac:dyDescent="0.25">
      <c r="A462" t="s">
        <v>4021</v>
      </c>
      <c r="B462">
        <v>41</v>
      </c>
      <c r="C462" t="s">
        <v>3310</v>
      </c>
      <c r="D462" t="b">
        <v>0</v>
      </c>
      <c r="E462" t="b">
        <v>1</v>
      </c>
      <c r="F462" t="s">
        <v>3373</v>
      </c>
      <c r="G462" t="s">
        <v>3986</v>
      </c>
      <c r="H462" t="s">
        <v>3986</v>
      </c>
      <c r="I462" t="s">
        <v>3986</v>
      </c>
      <c r="J462" t="s">
        <v>3986</v>
      </c>
      <c r="K462" t="s">
        <v>3430</v>
      </c>
      <c r="L462" t="s">
        <v>3431</v>
      </c>
      <c r="M462" t="s">
        <v>3768</v>
      </c>
      <c r="N462">
        <v>7</v>
      </c>
      <c r="O462" t="b">
        <v>0</v>
      </c>
      <c r="P462" t="b">
        <v>1</v>
      </c>
      <c r="Q462" t="b">
        <v>0</v>
      </c>
      <c r="R462" t="b">
        <v>0</v>
      </c>
      <c r="T462" t="s">
        <v>3742</v>
      </c>
      <c r="U462">
        <v>82</v>
      </c>
      <c r="V462" t="s">
        <v>4103</v>
      </c>
      <c r="W462">
        <v>3</v>
      </c>
      <c r="X462" t="s">
        <v>3993</v>
      </c>
      <c r="Y462" t="s">
        <v>3986</v>
      </c>
      <c r="Z462">
        <v>0</v>
      </c>
      <c r="AA462" t="s">
        <v>2493</v>
      </c>
      <c r="AB462" t="s">
        <v>4037</v>
      </c>
      <c r="AC462" t="s">
        <v>3986</v>
      </c>
      <c r="AD462" t="s">
        <v>2781</v>
      </c>
    </row>
    <row r="463" spans="1:30" x14ac:dyDescent="0.25">
      <c r="A463" t="s">
        <v>4022</v>
      </c>
      <c r="B463">
        <v>42</v>
      </c>
      <c r="C463" t="s">
        <v>3310</v>
      </c>
      <c r="D463" t="b">
        <v>0</v>
      </c>
      <c r="E463" t="b">
        <v>1</v>
      </c>
      <c r="F463" t="s">
        <v>3373</v>
      </c>
      <c r="G463" t="s">
        <v>3986</v>
      </c>
      <c r="H463" t="s">
        <v>3986</v>
      </c>
      <c r="I463" t="s">
        <v>3986</v>
      </c>
      <c r="J463" t="s">
        <v>3986</v>
      </c>
      <c r="K463" t="s">
        <v>3430</v>
      </c>
      <c r="L463" t="s">
        <v>3431</v>
      </c>
      <c r="M463" t="s">
        <v>3768</v>
      </c>
      <c r="N463">
        <v>7</v>
      </c>
      <c r="O463" t="b">
        <v>0</v>
      </c>
      <c r="P463" t="b">
        <v>1</v>
      </c>
      <c r="Q463" t="b">
        <v>0</v>
      </c>
      <c r="R463" t="b">
        <v>0</v>
      </c>
      <c r="T463" t="s">
        <v>3742</v>
      </c>
      <c r="U463">
        <v>82</v>
      </c>
      <c r="V463" t="s">
        <v>4104</v>
      </c>
      <c r="W463">
        <v>3</v>
      </c>
      <c r="X463" t="s">
        <v>3993</v>
      </c>
      <c r="Y463" t="s">
        <v>3986</v>
      </c>
      <c r="Z463">
        <v>0</v>
      </c>
      <c r="AA463" t="s">
        <v>2493</v>
      </c>
      <c r="AB463" t="s">
        <v>4037</v>
      </c>
      <c r="AC463" t="s">
        <v>3986</v>
      </c>
      <c r="AD463" t="s">
        <v>2781</v>
      </c>
    </row>
    <row r="464" spans="1:30" x14ac:dyDescent="0.25">
      <c r="A464" t="s">
        <v>4023</v>
      </c>
      <c r="B464">
        <v>43</v>
      </c>
      <c r="C464" t="s">
        <v>3310</v>
      </c>
      <c r="D464" t="b">
        <v>0</v>
      </c>
      <c r="E464" t="b">
        <v>1</v>
      </c>
      <c r="F464" t="s">
        <v>3373</v>
      </c>
      <c r="G464" t="s">
        <v>3986</v>
      </c>
      <c r="H464" t="s">
        <v>3986</v>
      </c>
      <c r="I464" t="s">
        <v>3986</v>
      </c>
      <c r="J464" t="s">
        <v>3986</v>
      </c>
      <c r="K464" t="s">
        <v>3430</v>
      </c>
      <c r="L464" t="s">
        <v>3431</v>
      </c>
      <c r="M464" t="s">
        <v>3768</v>
      </c>
      <c r="N464">
        <v>7</v>
      </c>
      <c r="O464" t="b">
        <v>0</v>
      </c>
      <c r="P464" t="b">
        <v>1</v>
      </c>
      <c r="Q464" t="b">
        <v>0</v>
      </c>
      <c r="R464" t="b">
        <v>0</v>
      </c>
      <c r="T464" t="s">
        <v>3742</v>
      </c>
      <c r="U464">
        <v>82</v>
      </c>
      <c r="V464" t="s">
        <v>4105</v>
      </c>
      <c r="W464">
        <v>3</v>
      </c>
      <c r="X464" t="s">
        <v>3993</v>
      </c>
      <c r="Y464" t="s">
        <v>3986</v>
      </c>
      <c r="Z464">
        <v>0</v>
      </c>
      <c r="AA464" t="s">
        <v>2493</v>
      </c>
      <c r="AB464" t="s">
        <v>4037</v>
      </c>
      <c r="AC464" t="s">
        <v>3986</v>
      </c>
      <c r="AD464" t="s">
        <v>2781</v>
      </c>
    </row>
    <row r="465" spans="1:30" x14ac:dyDescent="0.25">
      <c r="A465" t="s">
        <v>4024</v>
      </c>
      <c r="B465">
        <v>44</v>
      </c>
      <c r="C465" t="s">
        <v>3310</v>
      </c>
      <c r="D465" t="b">
        <v>0</v>
      </c>
      <c r="E465" t="b">
        <v>1</v>
      </c>
      <c r="F465" t="s">
        <v>3373</v>
      </c>
      <c r="G465" t="s">
        <v>3986</v>
      </c>
      <c r="H465" t="s">
        <v>3986</v>
      </c>
      <c r="I465" t="s">
        <v>3986</v>
      </c>
      <c r="J465" t="s">
        <v>3986</v>
      </c>
      <c r="K465" t="s">
        <v>3430</v>
      </c>
      <c r="L465" t="s">
        <v>3431</v>
      </c>
      <c r="M465" t="s">
        <v>3768</v>
      </c>
      <c r="N465">
        <v>7</v>
      </c>
      <c r="O465" t="b">
        <v>0</v>
      </c>
      <c r="P465" t="b">
        <v>1</v>
      </c>
      <c r="Q465" t="b">
        <v>0</v>
      </c>
      <c r="R465" t="b">
        <v>0</v>
      </c>
      <c r="T465" t="s">
        <v>3742</v>
      </c>
      <c r="U465">
        <v>82</v>
      </c>
      <c r="V465" t="s">
        <v>4106</v>
      </c>
      <c r="W465">
        <v>3</v>
      </c>
      <c r="X465" t="s">
        <v>3993</v>
      </c>
      <c r="Y465" t="s">
        <v>3986</v>
      </c>
      <c r="Z465">
        <v>0</v>
      </c>
      <c r="AA465" t="s">
        <v>2493</v>
      </c>
      <c r="AB465" t="s">
        <v>4037</v>
      </c>
      <c r="AC465" t="s">
        <v>3986</v>
      </c>
      <c r="AD465" t="s">
        <v>2781</v>
      </c>
    </row>
    <row r="466" spans="1:30" x14ac:dyDescent="0.25">
      <c r="A466" t="s">
        <v>4025</v>
      </c>
      <c r="B466">
        <v>45</v>
      </c>
      <c r="C466" t="s">
        <v>3310</v>
      </c>
      <c r="D466" t="b">
        <v>0</v>
      </c>
      <c r="E466" t="b">
        <v>1</v>
      </c>
      <c r="F466" t="s">
        <v>3373</v>
      </c>
      <c r="G466" t="s">
        <v>3986</v>
      </c>
      <c r="H466" t="s">
        <v>3986</v>
      </c>
      <c r="I466" t="s">
        <v>3986</v>
      </c>
      <c r="J466" t="s">
        <v>3986</v>
      </c>
      <c r="K466" t="s">
        <v>3430</v>
      </c>
      <c r="L466" t="s">
        <v>3431</v>
      </c>
      <c r="M466" t="s">
        <v>3768</v>
      </c>
      <c r="N466">
        <v>7</v>
      </c>
      <c r="O466" t="b">
        <v>0</v>
      </c>
      <c r="P466" t="b">
        <v>1</v>
      </c>
      <c r="Q466" t="b">
        <v>0</v>
      </c>
      <c r="R466" t="b">
        <v>0</v>
      </c>
      <c r="T466" t="s">
        <v>3742</v>
      </c>
      <c r="U466">
        <v>82</v>
      </c>
      <c r="V466" t="s">
        <v>4107</v>
      </c>
      <c r="W466">
        <v>3</v>
      </c>
      <c r="X466" t="s">
        <v>3993</v>
      </c>
      <c r="Y466" t="s">
        <v>3986</v>
      </c>
      <c r="Z466">
        <v>0</v>
      </c>
      <c r="AA466" t="s">
        <v>2493</v>
      </c>
      <c r="AB466" t="s">
        <v>4037</v>
      </c>
      <c r="AC466" t="s">
        <v>3986</v>
      </c>
      <c r="AD466" t="s">
        <v>2781</v>
      </c>
    </row>
    <row r="467" spans="1:30" x14ac:dyDescent="0.25">
      <c r="A467" t="s">
        <v>4026</v>
      </c>
      <c r="B467">
        <v>46</v>
      </c>
      <c r="C467" t="s">
        <v>3310</v>
      </c>
      <c r="D467" t="b">
        <v>0</v>
      </c>
      <c r="E467" t="b">
        <v>1</v>
      </c>
      <c r="F467" t="s">
        <v>3373</v>
      </c>
      <c r="G467" t="s">
        <v>3986</v>
      </c>
      <c r="H467" t="s">
        <v>3986</v>
      </c>
      <c r="I467" t="s">
        <v>3986</v>
      </c>
      <c r="J467" t="s">
        <v>3986</v>
      </c>
      <c r="K467" t="s">
        <v>3430</v>
      </c>
      <c r="L467" t="s">
        <v>3431</v>
      </c>
      <c r="M467" t="s">
        <v>3768</v>
      </c>
      <c r="N467">
        <v>7</v>
      </c>
      <c r="O467" t="b">
        <v>0</v>
      </c>
      <c r="P467" t="b">
        <v>1</v>
      </c>
      <c r="Q467" t="b">
        <v>0</v>
      </c>
      <c r="R467" t="b">
        <v>0</v>
      </c>
      <c r="T467" t="s">
        <v>3742</v>
      </c>
      <c r="U467">
        <v>84</v>
      </c>
      <c r="V467" t="s">
        <v>4889</v>
      </c>
      <c r="W467">
        <v>3</v>
      </c>
      <c r="X467" t="s">
        <v>3993</v>
      </c>
      <c r="Y467" t="s">
        <v>3986</v>
      </c>
      <c r="Z467">
        <v>0</v>
      </c>
      <c r="AA467" t="s">
        <v>2493</v>
      </c>
      <c r="AB467" t="s">
        <v>4037</v>
      </c>
      <c r="AC467" t="s">
        <v>3986</v>
      </c>
      <c r="AD467" t="s">
        <v>2781</v>
      </c>
    </row>
    <row r="468" spans="1:30" x14ac:dyDescent="0.25">
      <c r="A468" t="s">
        <v>4027</v>
      </c>
      <c r="B468">
        <v>47</v>
      </c>
      <c r="C468" t="s">
        <v>3310</v>
      </c>
      <c r="D468" t="b">
        <v>0</v>
      </c>
      <c r="E468" t="b">
        <v>1</v>
      </c>
      <c r="F468" t="s">
        <v>3373</v>
      </c>
      <c r="G468" t="s">
        <v>3986</v>
      </c>
      <c r="H468" t="s">
        <v>3986</v>
      </c>
      <c r="I468" t="s">
        <v>3986</v>
      </c>
      <c r="J468" t="s">
        <v>3986</v>
      </c>
      <c r="K468" t="s">
        <v>3430</v>
      </c>
      <c r="L468" t="s">
        <v>3431</v>
      </c>
      <c r="M468" t="s">
        <v>3768</v>
      </c>
      <c r="N468">
        <v>7</v>
      </c>
      <c r="O468" t="b">
        <v>0</v>
      </c>
      <c r="P468" t="b">
        <v>1</v>
      </c>
      <c r="Q468" t="b">
        <v>0</v>
      </c>
      <c r="R468" t="b">
        <v>0</v>
      </c>
      <c r="T468" t="s">
        <v>3742</v>
      </c>
      <c r="U468">
        <v>85</v>
      </c>
      <c r="V468" t="s">
        <v>4108</v>
      </c>
      <c r="W468">
        <v>3</v>
      </c>
      <c r="X468" t="s">
        <v>3993</v>
      </c>
      <c r="Y468" t="s">
        <v>3986</v>
      </c>
      <c r="Z468">
        <v>0</v>
      </c>
      <c r="AA468" t="s">
        <v>2493</v>
      </c>
      <c r="AB468" t="s">
        <v>4037</v>
      </c>
      <c r="AC468" t="s">
        <v>3986</v>
      </c>
      <c r="AD468" t="s">
        <v>2781</v>
      </c>
    </row>
    <row r="469" spans="1:30" x14ac:dyDescent="0.25">
      <c r="A469" t="s">
        <v>4028</v>
      </c>
      <c r="B469">
        <v>48</v>
      </c>
      <c r="C469" t="s">
        <v>3310</v>
      </c>
      <c r="D469" t="b">
        <v>0</v>
      </c>
      <c r="E469" t="b">
        <v>1</v>
      </c>
      <c r="F469" t="s">
        <v>3373</v>
      </c>
      <c r="G469" t="s">
        <v>3986</v>
      </c>
      <c r="H469" t="s">
        <v>3986</v>
      </c>
      <c r="I469" t="s">
        <v>3986</v>
      </c>
      <c r="J469" t="s">
        <v>3986</v>
      </c>
      <c r="K469" t="s">
        <v>3430</v>
      </c>
      <c r="L469" t="s">
        <v>3431</v>
      </c>
      <c r="M469" t="s">
        <v>3768</v>
      </c>
      <c r="N469">
        <v>7</v>
      </c>
      <c r="O469" t="b">
        <v>0</v>
      </c>
      <c r="P469" t="b">
        <v>1</v>
      </c>
      <c r="Q469" t="b">
        <v>0</v>
      </c>
      <c r="R469" t="b">
        <v>0</v>
      </c>
      <c r="T469" t="s">
        <v>3742</v>
      </c>
      <c r="U469">
        <v>86</v>
      </c>
      <c r="V469" t="s">
        <v>4122</v>
      </c>
      <c r="W469">
        <v>3</v>
      </c>
      <c r="X469" t="s">
        <v>3993</v>
      </c>
      <c r="Y469" t="s">
        <v>3986</v>
      </c>
      <c r="Z469">
        <v>0</v>
      </c>
      <c r="AA469" t="s">
        <v>2493</v>
      </c>
      <c r="AB469" t="s">
        <v>4037</v>
      </c>
      <c r="AC469" t="s">
        <v>3986</v>
      </c>
      <c r="AD469" t="s">
        <v>2781</v>
      </c>
    </row>
    <row r="470" spans="1:30" x14ac:dyDescent="0.25">
      <c r="A470" t="s">
        <v>4029</v>
      </c>
      <c r="B470">
        <v>49</v>
      </c>
      <c r="C470" t="s">
        <v>3310</v>
      </c>
      <c r="D470" t="b">
        <v>0</v>
      </c>
      <c r="E470" t="b">
        <v>1</v>
      </c>
      <c r="F470" t="s">
        <v>3373</v>
      </c>
      <c r="G470" t="s">
        <v>3986</v>
      </c>
      <c r="H470" t="s">
        <v>3986</v>
      </c>
      <c r="I470" t="s">
        <v>3986</v>
      </c>
      <c r="J470" t="s">
        <v>3986</v>
      </c>
      <c r="K470" t="s">
        <v>3430</v>
      </c>
      <c r="L470" t="s">
        <v>3431</v>
      </c>
      <c r="M470" t="s">
        <v>3768</v>
      </c>
      <c r="N470">
        <v>7</v>
      </c>
      <c r="O470" t="b">
        <v>0</v>
      </c>
      <c r="P470" t="b">
        <v>1</v>
      </c>
      <c r="Q470" t="b">
        <v>0</v>
      </c>
      <c r="R470" t="b">
        <v>0</v>
      </c>
      <c r="T470" t="s">
        <v>3742</v>
      </c>
      <c r="U470">
        <v>87</v>
      </c>
      <c r="V470" t="s">
        <v>4109</v>
      </c>
      <c r="W470">
        <v>3</v>
      </c>
      <c r="X470" t="s">
        <v>3993</v>
      </c>
      <c r="Y470" t="s">
        <v>3986</v>
      </c>
      <c r="Z470">
        <v>0</v>
      </c>
      <c r="AA470" t="s">
        <v>2493</v>
      </c>
      <c r="AB470" t="s">
        <v>4037</v>
      </c>
      <c r="AC470" t="s">
        <v>3986</v>
      </c>
      <c r="AD470" t="s">
        <v>2781</v>
      </c>
    </row>
    <row r="471" spans="1:30" x14ac:dyDescent="0.25">
      <c r="A471" t="s">
        <v>4030</v>
      </c>
      <c r="B471">
        <v>50</v>
      </c>
      <c r="C471" t="s">
        <v>3310</v>
      </c>
      <c r="D471" t="b">
        <v>0</v>
      </c>
      <c r="E471" t="b">
        <v>1</v>
      </c>
      <c r="F471" t="s">
        <v>3373</v>
      </c>
      <c r="G471" t="s">
        <v>3986</v>
      </c>
      <c r="H471" t="s">
        <v>3986</v>
      </c>
      <c r="I471" t="s">
        <v>3986</v>
      </c>
      <c r="J471" t="s">
        <v>3986</v>
      </c>
      <c r="K471" t="s">
        <v>3430</v>
      </c>
      <c r="L471" t="s">
        <v>3431</v>
      </c>
      <c r="M471" t="s">
        <v>3768</v>
      </c>
      <c r="N471">
        <v>7</v>
      </c>
      <c r="O471" t="b">
        <v>0</v>
      </c>
      <c r="P471" t="b">
        <v>1</v>
      </c>
      <c r="Q471" t="b">
        <v>0</v>
      </c>
      <c r="R471" t="b">
        <v>0</v>
      </c>
      <c r="T471" t="s">
        <v>3742</v>
      </c>
      <c r="U471">
        <v>88</v>
      </c>
      <c r="V471" t="s">
        <v>4890</v>
      </c>
      <c r="W471">
        <v>3</v>
      </c>
      <c r="X471" t="s">
        <v>3993</v>
      </c>
      <c r="Y471" t="s">
        <v>3986</v>
      </c>
      <c r="Z471">
        <v>0</v>
      </c>
      <c r="AA471" t="s">
        <v>2493</v>
      </c>
      <c r="AB471" t="s">
        <v>4037</v>
      </c>
      <c r="AC471" t="s">
        <v>3986</v>
      </c>
      <c r="AD471" t="s">
        <v>2781</v>
      </c>
    </row>
    <row r="472" spans="1:30" x14ac:dyDescent="0.25">
      <c r="A472" t="s">
        <v>4031</v>
      </c>
      <c r="B472">
        <v>51</v>
      </c>
      <c r="C472" t="s">
        <v>3310</v>
      </c>
      <c r="D472" t="b">
        <v>0</v>
      </c>
      <c r="E472" t="b">
        <v>1</v>
      </c>
      <c r="F472" t="s">
        <v>3373</v>
      </c>
      <c r="G472" t="s">
        <v>3986</v>
      </c>
      <c r="H472" t="s">
        <v>3986</v>
      </c>
      <c r="I472" t="s">
        <v>3986</v>
      </c>
      <c r="J472" t="s">
        <v>3986</v>
      </c>
      <c r="K472" t="s">
        <v>3430</v>
      </c>
      <c r="L472" t="s">
        <v>3431</v>
      </c>
      <c r="M472" t="s">
        <v>3768</v>
      </c>
      <c r="N472">
        <v>7</v>
      </c>
      <c r="O472" t="b">
        <v>0</v>
      </c>
      <c r="P472" t="b">
        <v>1</v>
      </c>
      <c r="Q472" t="b">
        <v>0</v>
      </c>
      <c r="R472" t="b">
        <v>0</v>
      </c>
      <c r="T472" t="s">
        <v>3742</v>
      </c>
      <c r="U472">
        <v>89</v>
      </c>
      <c r="V472" t="s">
        <v>4891</v>
      </c>
      <c r="W472">
        <v>3</v>
      </c>
      <c r="X472" t="s">
        <v>3993</v>
      </c>
      <c r="Y472" t="s">
        <v>3986</v>
      </c>
      <c r="Z472">
        <v>0</v>
      </c>
      <c r="AA472" t="s">
        <v>2493</v>
      </c>
      <c r="AB472" t="s">
        <v>4037</v>
      </c>
      <c r="AC472" t="s">
        <v>3986</v>
      </c>
      <c r="AD472" t="s">
        <v>2781</v>
      </c>
    </row>
    <row r="473" spans="1:30" x14ac:dyDescent="0.25">
      <c r="A473" t="s">
        <v>4032</v>
      </c>
      <c r="B473">
        <v>52</v>
      </c>
      <c r="C473" t="s">
        <v>3310</v>
      </c>
      <c r="D473" t="b">
        <v>0</v>
      </c>
      <c r="E473" t="b">
        <v>1</v>
      </c>
      <c r="F473" t="s">
        <v>3373</v>
      </c>
      <c r="G473" t="s">
        <v>3986</v>
      </c>
      <c r="H473" t="s">
        <v>3986</v>
      </c>
      <c r="I473" t="s">
        <v>3986</v>
      </c>
      <c r="J473" t="s">
        <v>3986</v>
      </c>
      <c r="K473" t="s">
        <v>3430</v>
      </c>
      <c r="L473" t="s">
        <v>3431</v>
      </c>
      <c r="M473" t="s">
        <v>3768</v>
      </c>
      <c r="N473">
        <v>7</v>
      </c>
      <c r="O473" t="b">
        <v>0</v>
      </c>
      <c r="P473" t="b">
        <v>1</v>
      </c>
      <c r="Q473" t="b">
        <v>0</v>
      </c>
      <c r="R473" t="b">
        <v>0</v>
      </c>
      <c r="T473" t="s">
        <v>3742</v>
      </c>
      <c r="U473">
        <v>90</v>
      </c>
      <c r="V473" t="s">
        <v>4893</v>
      </c>
      <c r="W473">
        <v>3</v>
      </c>
      <c r="X473" t="s">
        <v>3993</v>
      </c>
      <c r="Y473" t="s">
        <v>3986</v>
      </c>
      <c r="Z473">
        <v>0</v>
      </c>
      <c r="AA473" t="s">
        <v>2493</v>
      </c>
      <c r="AB473" t="s">
        <v>4037</v>
      </c>
      <c r="AC473" t="s">
        <v>3986</v>
      </c>
      <c r="AD473" t="s">
        <v>2781</v>
      </c>
    </row>
    <row r="474" spans="1:30" x14ac:dyDescent="0.25">
      <c r="A474" t="s">
        <v>4033</v>
      </c>
      <c r="B474">
        <v>53</v>
      </c>
      <c r="C474" t="s">
        <v>3310</v>
      </c>
      <c r="D474" t="b">
        <v>0</v>
      </c>
      <c r="E474" t="b">
        <v>1</v>
      </c>
      <c r="F474" t="s">
        <v>3373</v>
      </c>
      <c r="G474" t="s">
        <v>3986</v>
      </c>
      <c r="H474" t="s">
        <v>3986</v>
      </c>
      <c r="I474" t="s">
        <v>3986</v>
      </c>
      <c r="J474" t="s">
        <v>3986</v>
      </c>
      <c r="K474" t="s">
        <v>3430</v>
      </c>
      <c r="L474" t="s">
        <v>3431</v>
      </c>
      <c r="M474" t="s">
        <v>3768</v>
      </c>
      <c r="N474">
        <v>7</v>
      </c>
      <c r="O474" t="b">
        <v>0</v>
      </c>
      <c r="P474" t="b">
        <v>1</v>
      </c>
      <c r="Q474" t="b">
        <v>0</v>
      </c>
      <c r="R474" t="b">
        <v>0</v>
      </c>
      <c r="T474" t="s">
        <v>3742</v>
      </c>
      <c r="U474">
        <v>90</v>
      </c>
      <c r="V474" t="s">
        <v>4892</v>
      </c>
      <c r="W474">
        <v>3</v>
      </c>
      <c r="X474" t="s">
        <v>3993</v>
      </c>
      <c r="Y474" t="s">
        <v>3986</v>
      </c>
      <c r="Z474">
        <v>0</v>
      </c>
      <c r="AA474" t="s">
        <v>2493</v>
      </c>
      <c r="AB474" t="s">
        <v>4037</v>
      </c>
      <c r="AC474" t="s">
        <v>3986</v>
      </c>
      <c r="AD474" t="s">
        <v>2781</v>
      </c>
    </row>
    <row r="475" spans="1:30" x14ac:dyDescent="0.25">
      <c r="A475" t="s">
        <v>4034</v>
      </c>
      <c r="B475">
        <v>54</v>
      </c>
      <c r="C475" t="s">
        <v>3310</v>
      </c>
      <c r="D475" t="b">
        <v>0</v>
      </c>
      <c r="E475" t="b">
        <v>1</v>
      </c>
      <c r="F475" t="s">
        <v>3373</v>
      </c>
      <c r="G475" t="s">
        <v>3986</v>
      </c>
      <c r="H475" t="s">
        <v>3986</v>
      </c>
      <c r="I475" t="s">
        <v>3986</v>
      </c>
      <c r="J475" t="s">
        <v>3986</v>
      </c>
      <c r="K475" t="s">
        <v>3430</v>
      </c>
      <c r="L475" t="s">
        <v>3431</v>
      </c>
      <c r="M475" t="s">
        <v>3768</v>
      </c>
      <c r="N475">
        <v>7</v>
      </c>
      <c r="O475" t="b">
        <v>0</v>
      </c>
      <c r="P475" t="b">
        <v>1</v>
      </c>
      <c r="Q475" t="b">
        <v>0</v>
      </c>
      <c r="R475" t="b">
        <v>0</v>
      </c>
      <c r="T475" t="s">
        <v>3742</v>
      </c>
      <c r="U475">
        <v>119</v>
      </c>
      <c r="V475" t="s">
        <v>3993</v>
      </c>
      <c r="W475">
        <v>3</v>
      </c>
      <c r="X475" t="s">
        <v>3991</v>
      </c>
      <c r="Y475" t="s">
        <v>3986</v>
      </c>
      <c r="Z475">
        <v>0</v>
      </c>
      <c r="AA475" t="s">
        <v>2493</v>
      </c>
      <c r="AB475" t="s">
        <v>4037</v>
      </c>
      <c r="AC475" t="s">
        <v>3986</v>
      </c>
      <c r="AD475" t="s">
        <v>3769</v>
      </c>
    </row>
    <row r="476" spans="1:30" x14ac:dyDescent="0.25">
      <c r="A476" t="s">
        <v>4035</v>
      </c>
      <c r="B476">
        <v>55</v>
      </c>
      <c r="C476" t="s">
        <v>3310</v>
      </c>
      <c r="D476" t="b">
        <v>0</v>
      </c>
      <c r="E476" t="b">
        <v>1</v>
      </c>
      <c r="F476" t="s">
        <v>3373</v>
      </c>
      <c r="G476" t="s">
        <v>3986</v>
      </c>
      <c r="H476" t="s">
        <v>3986</v>
      </c>
      <c r="I476" t="s">
        <v>3986</v>
      </c>
      <c r="J476" t="s">
        <v>3986</v>
      </c>
      <c r="K476" t="s">
        <v>3430</v>
      </c>
      <c r="L476" t="s">
        <v>3431</v>
      </c>
      <c r="M476" t="s">
        <v>3768</v>
      </c>
      <c r="N476">
        <v>7</v>
      </c>
      <c r="O476" t="b">
        <v>0</v>
      </c>
      <c r="P476" t="b">
        <v>1</v>
      </c>
      <c r="Q476" t="b">
        <v>0</v>
      </c>
      <c r="R476" t="b">
        <v>0</v>
      </c>
      <c r="T476" t="s">
        <v>3742</v>
      </c>
      <c r="U476">
        <v>120</v>
      </c>
      <c r="V476" t="s">
        <v>3994</v>
      </c>
      <c r="W476">
        <v>3</v>
      </c>
      <c r="X476" t="s">
        <v>3991</v>
      </c>
      <c r="Y476" t="s">
        <v>3986</v>
      </c>
      <c r="Z476">
        <v>0</v>
      </c>
      <c r="AA476" t="s">
        <v>2493</v>
      </c>
      <c r="AB476" t="s">
        <v>4037</v>
      </c>
      <c r="AC476" t="s">
        <v>3986</v>
      </c>
      <c r="AD476" t="s">
        <v>3769</v>
      </c>
    </row>
    <row r="477" spans="1:30" x14ac:dyDescent="0.25">
      <c r="A477" t="s">
        <v>244</v>
      </c>
      <c r="B477">
        <v>4</v>
      </c>
      <c r="C477" t="s">
        <v>3310</v>
      </c>
      <c r="D477" t="b">
        <v>1</v>
      </c>
      <c r="E477" t="b">
        <v>0</v>
      </c>
      <c r="F477" t="s">
        <v>3986</v>
      </c>
      <c r="G477" t="s">
        <v>3986</v>
      </c>
      <c r="H477" t="s">
        <v>3986</v>
      </c>
      <c r="I477" t="s">
        <v>3986</v>
      </c>
      <c r="J477" t="s">
        <v>3432</v>
      </c>
      <c r="K477" t="s">
        <v>3433</v>
      </c>
      <c r="L477" t="s">
        <v>3434</v>
      </c>
      <c r="M477" t="s">
        <v>560</v>
      </c>
      <c r="N477">
        <v>18</v>
      </c>
      <c r="O477" t="b">
        <v>0</v>
      </c>
      <c r="P477" t="b">
        <v>1</v>
      </c>
      <c r="Q477" t="b">
        <v>0</v>
      </c>
      <c r="R477" t="b">
        <v>0</v>
      </c>
      <c r="T477" t="s">
        <v>3742</v>
      </c>
      <c r="U477">
        <v>121</v>
      </c>
      <c r="V477" t="s">
        <v>3995</v>
      </c>
      <c r="W477">
        <v>3</v>
      </c>
      <c r="X477" t="s">
        <v>3991</v>
      </c>
      <c r="Y477" t="s">
        <v>3986</v>
      </c>
      <c r="Z477">
        <v>0</v>
      </c>
      <c r="AA477" t="s">
        <v>2493</v>
      </c>
      <c r="AB477" t="s">
        <v>4037</v>
      </c>
      <c r="AC477" t="s">
        <v>3986</v>
      </c>
      <c r="AD477" t="s">
        <v>3769</v>
      </c>
    </row>
    <row r="478" spans="1:30" x14ac:dyDescent="0.25">
      <c r="A478" t="s">
        <v>3435</v>
      </c>
      <c r="B478">
        <v>5</v>
      </c>
      <c r="C478" t="s">
        <v>3310</v>
      </c>
      <c r="D478" t="b">
        <v>1</v>
      </c>
      <c r="E478" t="b">
        <v>0</v>
      </c>
      <c r="F478" t="s">
        <v>3986</v>
      </c>
      <c r="G478" t="s">
        <v>3986</v>
      </c>
      <c r="H478" t="s">
        <v>3986</v>
      </c>
      <c r="I478" t="s">
        <v>3986</v>
      </c>
      <c r="J478" t="s">
        <v>3436</v>
      </c>
      <c r="K478" t="s">
        <v>3433</v>
      </c>
      <c r="L478" t="s">
        <v>3434</v>
      </c>
      <c r="M478" t="s">
        <v>560</v>
      </c>
      <c r="N478">
        <v>18</v>
      </c>
      <c r="O478" t="b">
        <v>0</v>
      </c>
      <c r="P478" t="b">
        <v>1</v>
      </c>
      <c r="Q478" t="b">
        <v>0</v>
      </c>
      <c r="R478" t="b">
        <v>0</v>
      </c>
      <c r="T478" t="s">
        <v>3742</v>
      </c>
      <c r="U478">
        <v>122</v>
      </c>
      <c r="V478" t="s">
        <v>3996</v>
      </c>
      <c r="W478">
        <v>3</v>
      </c>
      <c r="X478" t="s">
        <v>3991</v>
      </c>
      <c r="Y478" t="s">
        <v>3986</v>
      </c>
      <c r="Z478">
        <v>0</v>
      </c>
      <c r="AA478" t="s">
        <v>2493</v>
      </c>
      <c r="AB478" t="s">
        <v>4037</v>
      </c>
      <c r="AC478" t="s">
        <v>3986</v>
      </c>
      <c r="AD478" t="s">
        <v>3769</v>
      </c>
    </row>
    <row r="479" spans="1:30" x14ac:dyDescent="0.25">
      <c r="A479" t="s">
        <v>3437</v>
      </c>
      <c r="B479">
        <v>2</v>
      </c>
      <c r="C479" t="s">
        <v>3310</v>
      </c>
      <c r="D479" t="b">
        <v>1</v>
      </c>
      <c r="E479" t="b">
        <v>0</v>
      </c>
      <c r="F479" t="s">
        <v>3986</v>
      </c>
      <c r="G479" t="s">
        <v>3986</v>
      </c>
      <c r="H479" t="s">
        <v>3986</v>
      </c>
      <c r="I479" t="s">
        <v>3986</v>
      </c>
      <c r="J479" t="s">
        <v>3986</v>
      </c>
      <c r="K479" t="s">
        <v>3438</v>
      </c>
      <c r="L479" t="s">
        <v>3439</v>
      </c>
      <c r="M479" t="s">
        <v>560</v>
      </c>
      <c r="N479">
        <v>18</v>
      </c>
      <c r="O479" t="b">
        <v>0</v>
      </c>
      <c r="P479" t="b">
        <v>1</v>
      </c>
      <c r="Q479" t="b">
        <v>0</v>
      </c>
      <c r="R479" t="b">
        <v>0</v>
      </c>
      <c r="T479" t="s">
        <v>3742</v>
      </c>
      <c r="U479">
        <v>123</v>
      </c>
      <c r="V479" t="s">
        <v>3997</v>
      </c>
      <c r="W479">
        <v>3</v>
      </c>
      <c r="X479" t="s">
        <v>3991</v>
      </c>
      <c r="Y479" t="s">
        <v>3986</v>
      </c>
      <c r="Z479">
        <v>0</v>
      </c>
      <c r="AA479" t="s">
        <v>2493</v>
      </c>
      <c r="AB479" t="s">
        <v>4037</v>
      </c>
      <c r="AC479" t="s">
        <v>3986</v>
      </c>
      <c r="AD479" t="s">
        <v>3769</v>
      </c>
    </row>
    <row r="480" spans="1:30" x14ac:dyDescent="0.25">
      <c r="A480" t="s">
        <v>3292</v>
      </c>
      <c r="B480">
        <v>2</v>
      </c>
      <c r="C480" t="s">
        <v>3306</v>
      </c>
      <c r="D480" t="b">
        <v>1</v>
      </c>
      <c r="E480" t="b">
        <v>0</v>
      </c>
      <c r="F480" t="s">
        <v>3307</v>
      </c>
      <c r="G480" t="s">
        <v>3986</v>
      </c>
      <c r="H480" t="s">
        <v>3986</v>
      </c>
      <c r="I480" t="s">
        <v>3986</v>
      </c>
      <c r="J480" t="s">
        <v>3440</v>
      </c>
      <c r="K480" t="s">
        <v>3441</v>
      </c>
      <c r="L480" t="s">
        <v>3442</v>
      </c>
      <c r="M480" t="s">
        <v>236</v>
      </c>
      <c r="N480">
        <v>6</v>
      </c>
      <c r="O480" t="b">
        <v>0</v>
      </c>
      <c r="P480" t="b">
        <v>0</v>
      </c>
      <c r="Q480" t="b">
        <v>0</v>
      </c>
      <c r="R480" t="b">
        <v>0</v>
      </c>
      <c r="T480" t="s">
        <v>3742</v>
      </c>
      <c r="U480">
        <v>179</v>
      </c>
      <c r="V480" t="s">
        <v>4002</v>
      </c>
      <c r="W480">
        <v>3</v>
      </c>
      <c r="X480" t="s">
        <v>3991</v>
      </c>
      <c r="Y480" t="s">
        <v>3986</v>
      </c>
      <c r="Z480">
        <v>0</v>
      </c>
      <c r="AA480" t="s">
        <v>2493</v>
      </c>
      <c r="AB480" t="s">
        <v>4037</v>
      </c>
      <c r="AC480" t="s">
        <v>3986</v>
      </c>
      <c r="AD480" t="s">
        <v>3769</v>
      </c>
    </row>
    <row r="481" spans="1:30" x14ac:dyDescent="0.25">
      <c r="A481" t="s">
        <v>3389</v>
      </c>
      <c r="B481">
        <v>3</v>
      </c>
      <c r="C481" t="s">
        <v>3306</v>
      </c>
      <c r="D481" t="b">
        <v>1</v>
      </c>
      <c r="E481" t="b">
        <v>0</v>
      </c>
      <c r="F481" t="s">
        <v>3986</v>
      </c>
      <c r="G481" t="s">
        <v>3986</v>
      </c>
      <c r="H481" t="s">
        <v>3986</v>
      </c>
      <c r="I481" t="s">
        <v>3986</v>
      </c>
      <c r="J481" t="s">
        <v>3390</v>
      </c>
      <c r="K481" t="s">
        <v>3441</v>
      </c>
      <c r="L481" t="s">
        <v>3442</v>
      </c>
      <c r="M481" t="s">
        <v>236</v>
      </c>
      <c r="N481">
        <v>6</v>
      </c>
      <c r="O481" t="b">
        <v>0</v>
      </c>
      <c r="P481" t="b">
        <v>0</v>
      </c>
      <c r="Q481" t="b">
        <v>0</v>
      </c>
      <c r="R481" t="b">
        <v>0</v>
      </c>
      <c r="T481" t="s">
        <v>3742</v>
      </c>
      <c r="U481">
        <v>180</v>
      </c>
      <c r="V481" t="s">
        <v>4003</v>
      </c>
      <c r="W481">
        <v>3</v>
      </c>
      <c r="X481" t="s">
        <v>3991</v>
      </c>
      <c r="Y481" t="s">
        <v>3986</v>
      </c>
      <c r="Z481">
        <v>0</v>
      </c>
      <c r="AA481" t="s">
        <v>2493</v>
      </c>
      <c r="AB481" t="s">
        <v>4037</v>
      </c>
      <c r="AC481" t="s">
        <v>3986</v>
      </c>
      <c r="AD481" t="s">
        <v>3769</v>
      </c>
    </row>
    <row r="482" spans="1:30" x14ac:dyDescent="0.25">
      <c r="A482" t="s">
        <v>620</v>
      </c>
      <c r="B482">
        <v>4</v>
      </c>
      <c r="C482" t="s">
        <v>3310</v>
      </c>
      <c r="D482" t="b">
        <v>1</v>
      </c>
      <c r="E482" t="b">
        <v>0</v>
      </c>
      <c r="F482" t="s">
        <v>3986</v>
      </c>
      <c r="G482" t="s">
        <v>3986</v>
      </c>
      <c r="H482" t="s">
        <v>3986</v>
      </c>
      <c r="I482" t="s">
        <v>3986</v>
      </c>
      <c r="J482" t="s">
        <v>3986</v>
      </c>
      <c r="K482" t="s">
        <v>3441</v>
      </c>
      <c r="L482" t="s">
        <v>3442</v>
      </c>
      <c r="M482" t="s">
        <v>236</v>
      </c>
      <c r="N482">
        <v>6</v>
      </c>
      <c r="O482" t="b">
        <v>0</v>
      </c>
      <c r="P482" t="b">
        <v>0</v>
      </c>
      <c r="Q482" t="b">
        <v>0</v>
      </c>
      <c r="R482" t="b">
        <v>0</v>
      </c>
      <c r="T482" t="s">
        <v>3742</v>
      </c>
      <c r="U482">
        <v>181</v>
      </c>
      <c r="V482" t="s">
        <v>4004</v>
      </c>
      <c r="W482">
        <v>3</v>
      </c>
      <c r="X482" t="s">
        <v>3991</v>
      </c>
      <c r="Y482" t="s">
        <v>3986</v>
      </c>
      <c r="Z482">
        <v>0</v>
      </c>
      <c r="AA482" t="s">
        <v>2493</v>
      </c>
      <c r="AB482" t="s">
        <v>4037</v>
      </c>
      <c r="AC482" t="s">
        <v>3986</v>
      </c>
      <c r="AD482" t="s">
        <v>3769</v>
      </c>
    </row>
    <row r="483" spans="1:30" x14ac:dyDescent="0.25">
      <c r="A483" t="s">
        <v>621</v>
      </c>
      <c r="B483">
        <v>5</v>
      </c>
      <c r="C483" t="s">
        <v>3310</v>
      </c>
      <c r="D483" t="b">
        <v>1</v>
      </c>
      <c r="E483" t="b">
        <v>0</v>
      </c>
      <c r="F483" t="s">
        <v>3986</v>
      </c>
      <c r="G483" t="s">
        <v>3986</v>
      </c>
      <c r="H483" t="s">
        <v>3986</v>
      </c>
      <c r="I483" t="s">
        <v>3986</v>
      </c>
      <c r="J483" t="s">
        <v>3986</v>
      </c>
      <c r="K483" t="s">
        <v>3441</v>
      </c>
      <c r="L483" t="s">
        <v>3442</v>
      </c>
      <c r="M483" t="s">
        <v>236</v>
      </c>
      <c r="N483">
        <v>6</v>
      </c>
      <c r="O483" t="b">
        <v>0</v>
      </c>
      <c r="P483" t="b">
        <v>0</v>
      </c>
      <c r="Q483" t="b">
        <v>0</v>
      </c>
      <c r="R483" t="b">
        <v>0</v>
      </c>
      <c r="T483" t="s">
        <v>3742</v>
      </c>
      <c r="U483">
        <v>183</v>
      </c>
      <c r="V483" t="s">
        <v>4006</v>
      </c>
      <c r="W483">
        <v>3</v>
      </c>
      <c r="X483" t="s">
        <v>3991</v>
      </c>
      <c r="Y483" t="s">
        <v>3986</v>
      </c>
      <c r="Z483">
        <v>0</v>
      </c>
      <c r="AA483" t="s">
        <v>2493</v>
      </c>
      <c r="AB483" t="s">
        <v>4037</v>
      </c>
      <c r="AC483" t="s">
        <v>3986</v>
      </c>
      <c r="AD483" t="s">
        <v>3769</v>
      </c>
    </row>
    <row r="484" spans="1:30" x14ac:dyDescent="0.25">
      <c r="A484" t="s">
        <v>622</v>
      </c>
      <c r="B484">
        <v>6</v>
      </c>
      <c r="C484" t="s">
        <v>3310</v>
      </c>
      <c r="D484" t="b">
        <v>1</v>
      </c>
      <c r="E484" t="b">
        <v>0</v>
      </c>
      <c r="F484" t="s">
        <v>3986</v>
      </c>
      <c r="G484" t="s">
        <v>3986</v>
      </c>
      <c r="H484" t="s">
        <v>3986</v>
      </c>
      <c r="I484" t="s">
        <v>3986</v>
      </c>
      <c r="J484" t="s">
        <v>3986</v>
      </c>
      <c r="K484" t="s">
        <v>3441</v>
      </c>
      <c r="L484" t="s">
        <v>3442</v>
      </c>
      <c r="M484" t="s">
        <v>236</v>
      </c>
      <c r="N484">
        <v>6</v>
      </c>
      <c r="O484" t="b">
        <v>0</v>
      </c>
      <c r="P484" t="b">
        <v>0</v>
      </c>
      <c r="Q484" t="b">
        <v>0</v>
      </c>
      <c r="R484" t="b">
        <v>0</v>
      </c>
      <c r="T484" t="s">
        <v>3742</v>
      </c>
      <c r="U484">
        <v>184</v>
      </c>
      <c r="V484" t="s">
        <v>4007</v>
      </c>
      <c r="W484">
        <v>3</v>
      </c>
      <c r="X484" t="s">
        <v>3991</v>
      </c>
      <c r="Y484" t="s">
        <v>3986</v>
      </c>
      <c r="Z484">
        <v>0</v>
      </c>
      <c r="AA484" t="s">
        <v>2493</v>
      </c>
      <c r="AB484" t="s">
        <v>4037</v>
      </c>
      <c r="AC484" t="s">
        <v>3986</v>
      </c>
      <c r="AD484" t="s">
        <v>3769</v>
      </c>
    </row>
    <row r="485" spans="1:30" x14ac:dyDescent="0.25">
      <c r="A485" t="s">
        <v>4150</v>
      </c>
      <c r="B485">
        <v>7</v>
      </c>
      <c r="C485" t="s">
        <v>3310</v>
      </c>
      <c r="D485" t="b">
        <v>1</v>
      </c>
      <c r="E485" t="b">
        <v>0</v>
      </c>
      <c r="F485" t="s">
        <v>3986</v>
      </c>
      <c r="G485" t="s">
        <v>3986</v>
      </c>
      <c r="H485" t="s">
        <v>3986</v>
      </c>
      <c r="I485" t="s">
        <v>3986</v>
      </c>
      <c r="J485" t="s">
        <v>3986</v>
      </c>
      <c r="K485" t="s">
        <v>3441</v>
      </c>
      <c r="L485" t="s">
        <v>3442</v>
      </c>
      <c r="M485" t="s">
        <v>236</v>
      </c>
      <c r="N485">
        <v>6</v>
      </c>
      <c r="O485" t="b">
        <v>0</v>
      </c>
      <c r="P485" t="b">
        <v>0</v>
      </c>
      <c r="Q485" t="b">
        <v>0</v>
      </c>
      <c r="R485" t="b">
        <v>0</v>
      </c>
      <c r="T485" t="s">
        <v>3742</v>
      </c>
      <c r="U485">
        <v>185</v>
      </c>
      <c r="V485" t="s">
        <v>4008</v>
      </c>
      <c r="W485">
        <v>3</v>
      </c>
      <c r="X485" t="s">
        <v>3991</v>
      </c>
      <c r="Y485" t="s">
        <v>3986</v>
      </c>
      <c r="Z485">
        <v>0</v>
      </c>
      <c r="AA485" t="s">
        <v>2493</v>
      </c>
      <c r="AB485" t="s">
        <v>4037</v>
      </c>
      <c r="AC485" t="s">
        <v>3986</v>
      </c>
      <c r="AD485" t="s">
        <v>3769</v>
      </c>
    </row>
    <row r="486" spans="1:30" x14ac:dyDescent="0.25">
      <c r="A486" t="s">
        <v>1965</v>
      </c>
      <c r="B486">
        <v>8</v>
      </c>
      <c r="C486" t="s">
        <v>3310</v>
      </c>
      <c r="D486" t="b">
        <v>1</v>
      </c>
      <c r="E486" t="b">
        <v>0</v>
      </c>
      <c r="F486" t="s">
        <v>3986</v>
      </c>
      <c r="G486" t="s">
        <v>3986</v>
      </c>
      <c r="H486" t="s">
        <v>3986</v>
      </c>
      <c r="I486" t="s">
        <v>3986</v>
      </c>
      <c r="J486" t="s">
        <v>3986</v>
      </c>
      <c r="K486" t="s">
        <v>3441</v>
      </c>
      <c r="L486" t="s">
        <v>3442</v>
      </c>
      <c r="M486" t="s">
        <v>236</v>
      </c>
      <c r="N486">
        <v>6</v>
      </c>
      <c r="O486" t="b">
        <v>0</v>
      </c>
      <c r="P486" t="b">
        <v>0</v>
      </c>
      <c r="Q486" t="b">
        <v>0</v>
      </c>
      <c r="R486" t="b">
        <v>0</v>
      </c>
      <c r="T486" t="s">
        <v>3742</v>
      </c>
      <c r="U486">
        <v>186</v>
      </c>
      <c r="V486" t="s">
        <v>4009</v>
      </c>
      <c r="W486">
        <v>3</v>
      </c>
      <c r="X486" t="s">
        <v>3991</v>
      </c>
      <c r="Y486" t="s">
        <v>3986</v>
      </c>
      <c r="Z486">
        <v>0</v>
      </c>
      <c r="AA486" t="s">
        <v>2493</v>
      </c>
      <c r="AB486" t="s">
        <v>4037</v>
      </c>
      <c r="AC486" t="s">
        <v>3986</v>
      </c>
      <c r="AD486" t="s">
        <v>3769</v>
      </c>
    </row>
    <row r="487" spans="1:30" x14ac:dyDescent="0.25">
      <c r="A487" t="s">
        <v>1966</v>
      </c>
      <c r="B487">
        <v>9</v>
      </c>
      <c r="C487" t="s">
        <v>3310</v>
      </c>
      <c r="D487" t="b">
        <v>1</v>
      </c>
      <c r="E487" t="b">
        <v>0</v>
      </c>
      <c r="F487" t="s">
        <v>3986</v>
      </c>
      <c r="G487" t="s">
        <v>3986</v>
      </c>
      <c r="H487" t="s">
        <v>3986</v>
      </c>
      <c r="I487" t="s">
        <v>3986</v>
      </c>
      <c r="J487" t="s">
        <v>3986</v>
      </c>
      <c r="K487" t="s">
        <v>3441</v>
      </c>
      <c r="L487" t="s">
        <v>3442</v>
      </c>
      <c r="M487" t="s">
        <v>236</v>
      </c>
      <c r="N487">
        <v>6</v>
      </c>
      <c r="O487" t="b">
        <v>0</v>
      </c>
      <c r="P487" t="b">
        <v>0</v>
      </c>
      <c r="Q487" t="b">
        <v>0</v>
      </c>
      <c r="R487" t="b">
        <v>0</v>
      </c>
      <c r="T487" t="s">
        <v>3742</v>
      </c>
      <c r="U487">
        <v>187</v>
      </c>
      <c r="V487" t="s">
        <v>4010</v>
      </c>
      <c r="W487">
        <v>3</v>
      </c>
      <c r="X487" t="s">
        <v>3991</v>
      </c>
      <c r="Y487" t="s">
        <v>3986</v>
      </c>
      <c r="Z487">
        <v>0</v>
      </c>
      <c r="AA487" t="s">
        <v>2493</v>
      </c>
      <c r="AB487" t="s">
        <v>4037</v>
      </c>
      <c r="AC487" t="s">
        <v>3986</v>
      </c>
      <c r="AD487" t="s">
        <v>3769</v>
      </c>
    </row>
    <row r="488" spans="1:30" x14ac:dyDescent="0.25">
      <c r="A488" t="s">
        <v>3374</v>
      </c>
      <c r="B488">
        <v>2</v>
      </c>
      <c r="C488" t="s">
        <v>3306</v>
      </c>
      <c r="D488" t="b">
        <v>1</v>
      </c>
      <c r="E488" t="b">
        <v>0</v>
      </c>
      <c r="F488" t="s">
        <v>3307</v>
      </c>
      <c r="G488" t="s">
        <v>3986</v>
      </c>
      <c r="H488" t="s">
        <v>3986</v>
      </c>
      <c r="I488" t="s">
        <v>3986</v>
      </c>
      <c r="J488" t="s">
        <v>3986</v>
      </c>
      <c r="K488" t="s">
        <v>3443</v>
      </c>
      <c r="L488" t="s">
        <v>3444</v>
      </c>
      <c r="M488" t="s">
        <v>13</v>
      </c>
      <c r="N488">
        <v>7</v>
      </c>
      <c r="O488" t="b">
        <v>0</v>
      </c>
      <c r="P488" t="b">
        <v>1</v>
      </c>
      <c r="Q488" t="b">
        <v>0</v>
      </c>
      <c r="R488" t="b">
        <v>0</v>
      </c>
      <c r="T488" t="s">
        <v>3742</v>
      </c>
      <c r="U488">
        <v>188</v>
      </c>
      <c r="V488" t="s">
        <v>4011</v>
      </c>
      <c r="W488">
        <v>3</v>
      </c>
      <c r="X488" t="s">
        <v>3991</v>
      </c>
      <c r="Y488" t="s">
        <v>3986</v>
      </c>
      <c r="Z488">
        <v>0</v>
      </c>
      <c r="AA488" t="s">
        <v>2493</v>
      </c>
      <c r="AB488" t="s">
        <v>4037</v>
      </c>
      <c r="AC488" t="s">
        <v>3986</v>
      </c>
      <c r="AD488" t="s">
        <v>3769</v>
      </c>
    </row>
    <row r="489" spans="1:30" x14ac:dyDescent="0.25">
      <c r="A489" t="s">
        <v>3292</v>
      </c>
      <c r="B489">
        <v>3</v>
      </c>
      <c r="C489" t="s">
        <v>3306</v>
      </c>
      <c r="D489" t="b">
        <v>1</v>
      </c>
      <c r="E489" t="b">
        <v>0</v>
      </c>
      <c r="F489" t="s">
        <v>3986</v>
      </c>
      <c r="G489" t="s">
        <v>3986</v>
      </c>
      <c r="H489" t="s">
        <v>3986</v>
      </c>
      <c r="I489" t="s">
        <v>3986</v>
      </c>
      <c r="J489" t="s">
        <v>3986</v>
      </c>
      <c r="K489" t="s">
        <v>3443</v>
      </c>
      <c r="L489" t="s">
        <v>3444</v>
      </c>
      <c r="M489" t="s">
        <v>13</v>
      </c>
      <c r="N489">
        <v>7</v>
      </c>
      <c r="O489" t="b">
        <v>0</v>
      </c>
      <c r="P489" t="b">
        <v>1</v>
      </c>
      <c r="Q489" t="b">
        <v>0</v>
      </c>
      <c r="R489" t="b">
        <v>0</v>
      </c>
      <c r="T489" t="s">
        <v>3742</v>
      </c>
      <c r="U489">
        <v>194</v>
      </c>
      <c r="V489" t="s">
        <v>4015</v>
      </c>
      <c r="W489">
        <v>3</v>
      </c>
      <c r="X489" t="s">
        <v>3991</v>
      </c>
      <c r="Y489" t="s">
        <v>3986</v>
      </c>
      <c r="Z489">
        <v>0</v>
      </c>
      <c r="AA489" t="s">
        <v>2493</v>
      </c>
      <c r="AB489" t="s">
        <v>4037</v>
      </c>
      <c r="AC489" t="s">
        <v>3986</v>
      </c>
      <c r="AD489" t="s">
        <v>3769</v>
      </c>
    </row>
    <row r="490" spans="1:30" x14ac:dyDescent="0.25">
      <c r="A490" t="s">
        <v>3445</v>
      </c>
      <c r="B490">
        <v>7</v>
      </c>
      <c r="C490" t="s">
        <v>3310</v>
      </c>
      <c r="D490" t="b">
        <v>0</v>
      </c>
      <c r="E490" t="b">
        <v>1</v>
      </c>
      <c r="F490" t="s">
        <v>3986</v>
      </c>
      <c r="G490" t="s">
        <v>3986</v>
      </c>
      <c r="H490" t="s">
        <v>3986</v>
      </c>
      <c r="I490" t="s">
        <v>3986</v>
      </c>
      <c r="J490" t="s">
        <v>3986</v>
      </c>
      <c r="K490" t="s">
        <v>3443</v>
      </c>
      <c r="L490" t="s">
        <v>3444</v>
      </c>
      <c r="M490" t="s">
        <v>13</v>
      </c>
      <c r="N490">
        <v>7</v>
      </c>
      <c r="O490" t="b">
        <v>0</v>
      </c>
      <c r="P490" t="b">
        <v>1</v>
      </c>
      <c r="Q490" t="b">
        <v>0</v>
      </c>
      <c r="R490" t="b">
        <v>0</v>
      </c>
      <c r="T490" t="s">
        <v>3742</v>
      </c>
      <c r="U490">
        <v>195</v>
      </c>
      <c r="V490" t="s">
        <v>4016</v>
      </c>
      <c r="W490">
        <v>3</v>
      </c>
      <c r="X490" t="s">
        <v>3991</v>
      </c>
      <c r="Y490" t="s">
        <v>3986</v>
      </c>
      <c r="Z490">
        <v>0</v>
      </c>
      <c r="AA490" t="s">
        <v>2493</v>
      </c>
      <c r="AB490" t="s">
        <v>4037</v>
      </c>
      <c r="AC490" t="s">
        <v>3986</v>
      </c>
      <c r="AD490" t="s">
        <v>3769</v>
      </c>
    </row>
    <row r="491" spans="1:30" x14ac:dyDescent="0.25">
      <c r="A491" t="s">
        <v>3446</v>
      </c>
      <c r="B491">
        <v>8</v>
      </c>
      <c r="C491" t="s">
        <v>3310</v>
      </c>
      <c r="D491" t="b">
        <v>0</v>
      </c>
      <c r="E491" t="b">
        <v>1</v>
      </c>
      <c r="F491" t="s">
        <v>3986</v>
      </c>
      <c r="G491" t="s">
        <v>3986</v>
      </c>
      <c r="H491" t="s">
        <v>3986</v>
      </c>
      <c r="I491" t="s">
        <v>3986</v>
      </c>
      <c r="J491" t="s">
        <v>3770</v>
      </c>
      <c r="K491" t="s">
        <v>3443</v>
      </c>
      <c r="L491" t="s">
        <v>3444</v>
      </c>
      <c r="M491" t="s">
        <v>13</v>
      </c>
      <c r="N491">
        <v>7</v>
      </c>
      <c r="O491" t="b">
        <v>0</v>
      </c>
      <c r="P491" t="b">
        <v>1</v>
      </c>
      <c r="Q491" t="b">
        <v>0</v>
      </c>
      <c r="R491" t="b">
        <v>0</v>
      </c>
      <c r="T491" t="s">
        <v>3742</v>
      </c>
      <c r="U491">
        <v>196</v>
      </c>
      <c r="V491" t="s">
        <v>4017</v>
      </c>
      <c r="W491">
        <v>3</v>
      </c>
      <c r="X491" t="s">
        <v>3991</v>
      </c>
      <c r="Y491" t="s">
        <v>3986</v>
      </c>
      <c r="Z491">
        <v>0</v>
      </c>
      <c r="AA491" t="s">
        <v>2493</v>
      </c>
      <c r="AB491" t="s">
        <v>4037</v>
      </c>
      <c r="AC491" t="s">
        <v>3986</v>
      </c>
      <c r="AD491" t="s">
        <v>3769</v>
      </c>
    </row>
    <row r="492" spans="1:30" x14ac:dyDescent="0.25">
      <c r="A492" t="s">
        <v>3374</v>
      </c>
      <c r="B492">
        <v>7</v>
      </c>
      <c r="C492" t="s">
        <v>3306</v>
      </c>
      <c r="D492" t="b">
        <v>1</v>
      </c>
      <c r="E492" t="b">
        <v>0</v>
      </c>
      <c r="F492" t="s">
        <v>3307</v>
      </c>
      <c r="G492" t="s">
        <v>3986</v>
      </c>
      <c r="H492" t="s">
        <v>3986</v>
      </c>
      <c r="I492" t="s">
        <v>3986</v>
      </c>
      <c r="J492" t="s">
        <v>3986</v>
      </c>
      <c r="K492" t="s">
        <v>3447</v>
      </c>
      <c r="L492" t="s">
        <v>3448</v>
      </c>
      <c r="M492" t="s">
        <v>281</v>
      </c>
      <c r="N492">
        <v>7</v>
      </c>
      <c r="O492" t="b">
        <v>0</v>
      </c>
      <c r="P492" t="b">
        <v>1</v>
      </c>
      <c r="Q492" t="b">
        <v>0</v>
      </c>
      <c r="R492" t="b">
        <v>0</v>
      </c>
      <c r="T492" t="s">
        <v>3742</v>
      </c>
      <c r="U492">
        <v>197</v>
      </c>
      <c r="V492" t="s">
        <v>4018</v>
      </c>
      <c r="W492">
        <v>3</v>
      </c>
      <c r="X492" t="s">
        <v>3991</v>
      </c>
      <c r="Y492" t="s">
        <v>3986</v>
      </c>
      <c r="Z492">
        <v>0</v>
      </c>
      <c r="AA492" t="s">
        <v>2493</v>
      </c>
      <c r="AB492" t="s">
        <v>4037</v>
      </c>
      <c r="AC492" t="s">
        <v>3986</v>
      </c>
      <c r="AD492" t="s">
        <v>3769</v>
      </c>
    </row>
    <row r="493" spans="1:30" x14ac:dyDescent="0.25">
      <c r="A493" t="s">
        <v>3445</v>
      </c>
      <c r="B493">
        <v>8</v>
      </c>
      <c r="C493" t="s">
        <v>3310</v>
      </c>
      <c r="D493" t="b">
        <v>0</v>
      </c>
      <c r="E493" t="b">
        <v>1</v>
      </c>
      <c r="F493" t="s">
        <v>3986</v>
      </c>
      <c r="G493" t="s">
        <v>3986</v>
      </c>
      <c r="H493" t="s">
        <v>3986</v>
      </c>
      <c r="I493" t="s">
        <v>3986</v>
      </c>
      <c r="J493" t="s">
        <v>3986</v>
      </c>
      <c r="K493" t="s">
        <v>3447</v>
      </c>
      <c r="L493" t="s">
        <v>3448</v>
      </c>
      <c r="M493" t="s">
        <v>281</v>
      </c>
      <c r="N493">
        <v>7</v>
      </c>
      <c r="O493" t="b">
        <v>0</v>
      </c>
      <c r="P493" t="b">
        <v>1</v>
      </c>
      <c r="Q493" t="b">
        <v>0</v>
      </c>
      <c r="R493" t="b">
        <v>0</v>
      </c>
      <c r="T493" t="s">
        <v>3742</v>
      </c>
      <c r="U493">
        <v>198</v>
      </c>
      <c r="V493" t="s">
        <v>4019</v>
      </c>
      <c r="W493">
        <v>3</v>
      </c>
      <c r="X493" t="s">
        <v>3991</v>
      </c>
      <c r="Y493" t="s">
        <v>3986</v>
      </c>
      <c r="Z493">
        <v>0</v>
      </c>
      <c r="AA493" t="s">
        <v>2493</v>
      </c>
      <c r="AB493" t="s">
        <v>4037</v>
      </c>
      <c r="AC493" t="s">
        <v>3986</v>
      </c>
      <c r="AD493" t="s">
        <v>3769</v>
      </c>
    </row>
    <row r="494" spans="1:30" x14ac:dyDescent="0.25">
      <c r="A494" t="s">
        <v>3446</v>
      </c>
      <c r="B494">
        <v>9</v>
      </c>
      <c r="C494" t="s">
        <v>3310</v>
      </c>
      <c r="D494" t="b">
        <v>0</v>
      </c>
      <c r="E494" t="b">
        <v>1</v>
      </c>
      <c r="F494" t="s">
        <v>3986</v>
      </c>
      <c r="G494" t="s">
        <v>3986</v>
      </c>
      <c r="H494" t="s">
        <v>3986</v>
      </c>
      <c r="I494" t="s">
        <v>3986</v>
      </c>
      <c r="J494" t="s">
        <v>3770</v>
      </c>
      <c r="K494" t="s">
        <v>3447</v>
      </c>
      <c r="L494" t="s">
        <v>3448</v>
      </c>
      <c r="M494" t="s">
        <v>281</v>
      </c>
      <c r="N494">
        <v>7</v>
      </c>
      <c r="O494" t="b">
        <v>0</v>
      </c>
      <c r="P494" t="b">
        <v>1</v>
      </c>
      <c r="Q494" t="b">
        <v>0</v>
      </c>
      <c r="R494" t="b">
        <v>0</v>
      </c>
      <c r="T494" t="s">
        <v>3742</v>
      </c>
      <c r="U494">
        <v>199</v>
      </c>
      <c r="V494" t="s">
        <v>4020</v>
      </c>
      <c r="W494">
        <v>3</v>
      </c>
      <c r="X494" t="s">
        <v>3991</v>
      </c>
      <c r="Y494" t="s">
        <v>3986</v>
      </c>
      <c r="Z494">
        <v>0</v>
      </c>
      <c r="AA494" t="s">
        <v>2493</v>
      </c>
      <c r="AB494" t="s">
        <v>4037</v>
      </c>
      <c r="AC494" t="s">
        <v>3986</v>
      </c>
      <c r="AD494" t="s">
        <v>3769</v>
      </c>
    </row>
    <row r="495" spans="1:30" x14ac:dyDescent="0.25">
      <c r="A495" t="s">
        <v>3374</v>
      </c>
      <c r="B495">
        <v>30</v>
      </c>
      <c r="C495" t="s">
        <v>3306</v>
      </c>
      <c r="D495" t="b">
        <v>1</v>
      </c>
      <c r="E495" t="b">
        <v>0</v>
      </c>
      <c r="F495" t="s">
        <v>3307</v>
      </c>
      <c r="G495" t="s">
        <v>3986</v>
      </c>
      <c r="H495" t="s">
        <v>3986</v>
      </c>
      <c r="I495" t="s">
        <v>3986</v>
      </c>
      <c r="J495" t="s">
        <v>3986</v>
      </c>
      <c r="K495" t="s">
        <v>3879</v>
      </c>
      <c r="L495" t="s">
        <v>3880</v>
      </c>
      <c r="M495" t="s">
        <v>560</v>
      </c>
      <c r="N495">
        <v>18</v>
      </c>
      <c r="O495" t="b">
        <v>0</v>
      </c>
      <c r="P495" t="b">
        <v>1</v>
      </c>
      <c r="Q495" t="b">
        <v>0</v>
      </c>
      <c r="R495" t="b">
        <v>0</v>
      </c>
      <c r="T495" t="s">
        <v>3742</v>
      </c>
      <c r="U495">
        <v>201</v>
      </c>
      <c r="V495" t="s">
        <v>4022</v>
      </c>
      <c r="W495">
        <v>3</v>
      </c>
      <c r="X495" t="s">
        <v>3991</v>
      </c>
      <c r="Y495" t="s">
        <v>3986</v>
      </c>
      <c r="Z495">
        <v>0</v>
      </c>
      <c r="AA495" t="s">
        <v>2493</v>
      </c>
      <c r="AB495" t="s">
        <v>4037</v>
      </c>
      <c r="AC495" t="s">
        <v>3986</v>
      </c>
      <c r="AD495" t="s">
        <v>3769</v>
      </c>
    </row>
    <row r="496" spans="1:30" x14ac:dyDescent="0.25">
      <c r="A496" t="s">
        <v>3445</v>
      </c>
      <c r="B496">
        <v>31</v>
      </c>
      <c r="C496" t="s">
        <v>3310</v>
      </c>
      <c r="D496" t="b">
        <v>0</v>
      </c>
      <c r="E496" t="b">
        <v>1</v>
      </c>
      <c r="F496" t="s">
        <v>3986</v>
      </c>
      <c r="G496" t="s">
        <v>3986</v>
      </c>
      <c r="H496" t="s">
        <v>3986</v>
      </c>
      <c r="I496" t="s">
        <v>3986</v>
      </c>
      <c r="J496" t="s">
        <v>3986</v>
      </c>
      <c r="K496" t="s">
        <v>3879</v>
      </c>
      <c r="L496" t="s">
        <v>3880</v>
      </c>
      <c r="M496" t="s">
        <v>560</v>
      </c>
      <c r="N496">
        <v>18</v>
      </c>
      <c r="O496" t="b">
        <v>0</v>
      </c>
      <c r="P496" t="b">
        <v>1</v>
      </c>
      <c r="Q496" t="b">
        <v>0</v>
      </c>
      <c r="R496" t="b">
        <v>0</v>
      </c>
      <c r="T496" t="s">
        <v>3742</v>
      </c>
      <c r="U496">
        <v>202</v>
      </c>
      <c r="V496" t="s">
        <v>4023</v>
      </c>
      <c r="W496">
        <v>3</v>
      </c>
      <c r="X496" t="s">
        <v>3991</v>
      </c>
      <c r="Y496" t="s">
        <v>3986</v>
      </c>
      <c r="Z496">
        <v>0</v>
      </c>
      <c r="AA496" t="s">
        <v>2493</v>
      </c>
      <c r="AB496" t="s">
        <v>4037</v>
      </c>
      <c r="AC496" t="s">
        <v>3986</v>
      </c>
      <c r="AD496" t="s">
        <v>3769</v>
      </c>
    </row>
    <row r="497" spans="1:30" x14ac:dyDescent="0.25">
      <c r="A497" t="s">
        <v>3446</v>
      </c>
      <c r="B497">
        <v>32</v>
      </c>
      <c r="C497" t="s">
        <v>3310</v>
      </c>
      <c r="D497" t="b">
        <v>0</v>
      </c>
      <c r="E497" t="b">
        <v>1</v>
      </c>
      <c r="F497" t="s">
        <v>3986</v>
      </c>
      <c r="G497" t="s">
        <v>3986</v>
      </c>
      <c r="H497" t="s">
        <v>3986</v>
      </c>
      <c r="I497" t="s">
        <v>3986</v>
      </c>
      <c r="J497" t="s">
        <v>3770</v>
      </c>
      <c r="K497" t="s">
        <v>3879</v>
      </c>
      <c r="L497" t="s">
        <v>3880</v>
      </c>
      <c r="M497" t="s">
        <v>560</v>
      </c>
      <c r="N497">
        <v>18</v>
      </c>
      <c r="O497" t="b">
        <v>0</v>
      </c>
      <c r="P497" t="b">
        <v>1</v>
      </c>
      <c r="Q497" t="b">
        <v>0</v>
      </c>
      <c r="R497" t="b">
        <v>0</v>
      </c>
      <c r="T497" t="s">
        <v>3742</v>
      </c>
      <c r="U497">
        <v>203</v>
      </c>
      <c r="V497" t="s">
        <v>4021</v>
      </c>
      <c r="W497">
        <v>3</v>
      </c>
      <c r="X497" t="s">
        <v>3991</v>
      </c>
      <c r="Y497" t="s">
        <v>3986</v>
      </c>
      <c r="Z497">
        <v>0</v>
      </c>
      <c r="AA497" t="s">
        <v>2493</v>
      </c>
      <c r="AB497" t="s">
        <v>4037</v>
      </c>
      <c r="AC497" t="s">
        <v>3986</v>
      </c>
      <c r="AD497" t="s">
        <v>3769</v>
      </c>
    </row>
    <row r="498" spans="1:30" x14ac:dyDescent="0.25">
      <c r="A498" t="s">
        <v>3393</v>
      </c>
      <c r="B498">
        <v>7</v>
      </c>
      <c r="C498" t="s">
        <v>3306</v>
      </c>
      <c r="D498" t="b">
        <v>1</v>
      </c>
      <c r="E498" t="b">
        <v>0</v>
      </c>
      <c r="F498" t="s">
        <v>3986</v>
      </c>
      <c r="G498" t="s">
        <v>3986</v>
      </c>
      <c r="H498" t="s">
        <v>3986</v>
      </c>
      <c r="I498" t="s">
        <v>3986</v>
      </c>
      <c r="J498" t="s">
        <v>3986</v>
      </c>
      <c r="K498" t="s">
        <v>3449</v>
      </c>
      <c r="L498" t="s">
        <v>3450</v>
      </c>
      <c r="M498" t="s">
        <v>3753</v>
      </c>
      <c r="N498">
        <v>7</v>
      </c>
      <c r="O498" t="b">
        <v>0</v>
      </c>
      <c r="P498" t="b">
        <v>0</v>
      </c>
      <c r="Q498" t="b">
        <v>1</v>
      </c>
      <c r="R498" t="b">
        <v>0</v>
      </c>
      <c r="T498" t="s">
        <v>3742</v>
      </c>
      <c r="U498">
        <v>214</v>
      </c>
      <c r="V498" t="s">
        <v>4015</v>
      </c>
      <c r="W498">
        <v>3</v>
      </c>
      <c r="X498" t="s">
        <v>3998</v>
      </c>
      <c r="Y498" t="s">
        <v>3986</v>
      </c>
      <c r="Z498">
        <v>0</v>
      </c>
      <c r="AA498" t="s">
        <v>2493</v>
      </c>
      <c r="AB498" t="s">
        <v>4037</v>
      </c>
      <c r="AC498" t="s">
        <v>3986</v>
      </c>
      <c r="AD498" t="s">
        <v>2781</v>
      </c>
    </row>
    <row r="499" spans="1:30" x14ac:dyDescent="0.25">
      <c r="A499" t="s">
        <v>3451</v>
      </c>
      <c r="B499">
        <v>8</v>
      </c>
      <c r="C499" t="s">
        <v>3310</v>
      </c>
      <c r="D499" t="b">
        <v>0</v>
      </c>
      <c r="E499" t="b">
        <v>1</v>
      </c>
      <c r="F499" t="s">
        <v>3986</v>
      </c>
      <c r="G499" t="s">
        <v>3986</v>
      </c>
      <c r="H499" t="s">
        <v>3986</v>
      </c>
      <c r="I499" t="s">
        <v>3986</v>
      </c>
      <c r="J499" t="s">
        <v>3986</v>
      </c>
      <c r="K499" t="s">
        <v>3449</v>
      </c>
      <c r="L499" t="s">
        <v>3450</v>
      </c>
      <c r="M499" t="s">
        <v>3753</v>
      </c>
      <c r="N499">
        <v>7</v>
      </c>
      <c r="O499" t="b">
        <v>0</v>
      </c>
      <c r="P499" t="b">
        <v>0</v>
      </c>
      <c r="Q499" t="b">
        <v>1</v>
      </c>
      <c r="R499" t="b">
        <v>0</v>
      </c>
      <c r="T499" t="s">
        <v>3742</v>
      </c>
      <c r="U499">
        <v>215</v>
      </c>
      <c r="V499" t="s">
        <v>4015</v>
      </c>
      <c r="W499">
        <v>3</v>
      </c>
      <c r="X499" t="s">
        <v>3999</v>
      </c>
      <c r="Y499" t="s">
        <v>3986</v>
      </c>
      <c r="Z499">
        <v>0</v>
      </c>
      <c r="AA499" t="s">
        <v>2493</v>
      </c>
      <c r="AB499" t="s">
        <v>4037</v>
      </c>
      <c r="AC499" t="s">
        <v>3986</v>
      </c>
      <c r="AD499" t="s">
        <v>2781</v>
      </c>
    </row>
    <row r="500" spans="1:30" x14ac:dyDescent="0.25">
      <c r="A500" t="s">
        <v>3452</v>
      </c>
      <c r="B500">
        <v>12</v>
      </c>
      <c r="C500" t="s">
        <v>3310</v>
      </c>
      <c r="D500" t="b">
        <v>1</v>
      </c>
      <c r="E500" t="b">
        <v>0</v>
      </c>
      <c r="F500" t="s">
        <v>3986</v>
      </c>
      <c r="G500" t="s">
        <v>3986</v>
      </c>
      <c r="H500" t="s">
        <v>3986</v>
      </c>
      <c r="I500" t="s">
        <v>3986</v>
      </c>
      <c r="J500" t="s">
        <v>3986</v>
      </c>
      <c r="K500" t="s">
        <v>3449</v>
      </c>
      <c r="L500" t="s">
        <v>3450</v>
      </c>
      <c r="M500" t="s">
        <v>3753</v>
      </c>
      <c r="N500">
        <v>7</v>
      </c>
      <c r="O500" t="b">
        <v>0</v>
      </c>
      <c r="P500" t="b">
        <v>0</v>
      </c>
      <c r="Q500" t="b">
        <v>1</v>
      </c>
      <c r="R500" t="b">
        <v>0</v>
      </c>
      <c r="T500" t="s">
        <v>3742</v>
      </c>
      <c r="U500">
        <v>216</v>
      </c>
      <c r="V500" t="s">
        <v>4015</v>
      </c>
      <c r="W500">
        <v>3</v>
      </c>
      <c r="X500" t="s">
        <v>4000</v>
      </c>
      <c r="Y500" t="s">
        <v>3986</v>
      </c>
      <c r="Z500">
        <v>0</v>
      </c>
      <c r="AA500" t="s">
        <v>2493</v>
      </c>
      <c r="AB500" t="s">
        <v>4037</v>
      </c>
      <c r="AC500" t="s">
        <v>3986</v>
      </c>
      <c r="AD500" t="s">
        <v>2781</v>
      </c>
    </row>
    <row r="501" spans="1:30" x14ac:dyDescent="0.25">
      <c r="A501" t="s">
        <v>3453</v>
      </c>
      <c r="B501">
        <v>2</v>
      </c>
      <c r="C501" t="s">
        <v>3306</v>
      </c>
      <c r="D501" t="b">
        <v>0</v>
      </c>
      <c r="E501" t="b">
        <v>0</v>
      </c>
      <c r="F501" t="s">
        <v>3454</v>
      </c>
      <c r="G501" t="s">
        <v>3986</v>
      </c>
      <c r="H501" t="s">
        <v>3610</v>
      </c>
      <c r="I501" t="s">
        <v>3986</v>
      </c>
      <c r="J501" t="s">
        <v>3986</v>
      </c>
      <c r="K501" t="s">
        <v>3611</v>
      </c>
      <c r="L501" t="s">
        <v>3450</v>
      </c>
      <c r="M501" t="s">
        <v>3753</v>
      </c>
      <c r="N501">
        <v>7</v>
      </c>
      <c r="O501" t="b">
        <v>0</v>
      </c>
      <c r="P501" t="b">
        <v>0</v>
      </c>
      <c r="Q501" t="b">
        <v>1</v>
      </c>
      <c r="R501" t="b">
        <v>0</v>
      </c>
      <c r="T501" t="s">
        <v>3742</v>
      </c>
      <c r="U501">
        <v>217</v>
      </c>
      <c r="V501" t="s">
        <v>4015</v>
      </c>
      <c r="W501">
        <v>3</v>
      </c>
      <c r="X501" t="s">
        <v>4001</v>
      </c>
      <c r="Y501" t="s">
        <v>3986</v>
      </c>
      <c r="Z501">
        <v>0</v>
      </c>
      <c r="AA501" t="s">
        <v>2493</v>
      </c>
      <c r="AB501" t="s">
        <v>4037</v>
      </c>
      <c r="AC501" t="s">
        <v>3986</v>
      </c>
      <c r="AD501" t="s">
        <v>2781</v>
      </c>
    </row>
    <row r="502" spans="1:30" x14ac:dyDescent="0.25">
      <c r="A502" t="s">
        <v>3393</v>
      </c>
      <c r="B502">
        <v>7</v>
      </c>
      <c r="C502" t="s">
        <v>3306</v>
      </c>
      <c r="D502" t="b">
        <v>1</v>
      </c>
      <c r="E502" t="b">
        <v>0</v>
      </c>
      <c r="F502" t="s">
        <v>3986</v>
      </c>
      <c r="G502" t="s">
        <v>3986</v>
      </c>
      <c r="H502" t="s">
        <v>3986</v>
      </c>
      <c r="I502" t="s">
        <v>3986</v>
      </c>
      <c r="J502" t="s">
        <v>3986</v>
      </c>
      <c r="K502" t="s">
        <v>3611</v>
      </c>
      <c r="L502" t="s">
        <v>3450</v>
      </c>
      <c r="M502" t="s">
        <v>3753</v>
      </c>
      <c r="N502">
        <v>7</v>
      </c>
      <c r="O502" t="b">
        <v>0</v>
      </c>
      <c r="P502" t="b">
        <v>0</v>
      </c>
      <c r="Q502" t="b">
        <v>1</v>
      </c>
      <c r="R502" t="b">
        <v>0</v>
      </c>
      <c r="T502" t="s">
        <v>3742</v>
      </c>
      <c r="U502">
        <v>218</v>
      </c>
      <c r="V502" t="s">
        <v>4018</v>
      </c>
      <c r="W502">
        <v>3</v>
      </c>
      <c r="X502" t="s">
        <v>3998</v>
      </c>
      <c r="Y502" t="s">
        <v>3986</v>
      </c>
      <c r="Z502">
        <v>0</v>
      </c>
      <c r="AA502" t="s">
        <v>2493</v>
      </c>
      <c r="AB502" t="s">
        <v>4037</v>
      </c>
      <c r="AC502" t="s">
        <v>3986</v>
      </c>
      <c r="AD502" t="s">
        <v>2781</v>
      </c>
    </row>
    <row r="503" spans="1:30" x14ac:dyDescent="0.25">
      <c r="A503" t="s">
        <v>3451</v>
      </c>
      <c r="B503">
        <v>8</v>
      </c>
      <c r="C503" t="s">
        <v>3310</v>
      </c>
      <c r="D503" t="b">
        <v>0</v>
      </c>
      <c r="E503" t="b">
        <v>1</v>
      </c>
      <c r="F503" t="s">
        <v>3986</v>
      </c>
      <c r="G503" t="s">
        <v>3986</v>
      </c>
      <c r="H503" t="s">
        <v>3986</v>
      </c>
      <c r="I503" t="s">
        <v>3986</v>
      </c>
      <c r="J503" t="s">
        <v>3986</v>
      </c>
      <c r="K503" t="s">
        <v>3611</v>
      </c>
      <c r="L503" t="s">
        <v>3450</v>
      </c>
      <c r="M503" t="s">
        <v>3753</v>
      </c>
      <c r="N503">
        <v>7</v>
      </c>
      <c r="O503" t="b">
        <v>0</v>
      </c>
      <c r="P503" t="b">
        <v>0</v>
      </c>
      <c r="Q503" t="b">
        <v>1</v>
      </c>
      <c r="R503" t="b">
        <v>0</v>
      </c>
      <c r="T503" t="s">
        <v>3742</v>
      </c>
      <c r="U503">
        <v>219</v>
      </c>
      <c r="V503" t="s">
        <v>4018</v>
      </c>
      <c r="W503">
        <v>3</v>
      </c>
      <c r="X503" t="s">
        <v>3999</v>
      </c>
      <c r="Y503" t="s">
        <v>3986</v>
      </c>
      <c r="Z503">
        <v>0</v>
      </c>
      <c r="AA503" t="s">
        <v>2493</v>
      </c>
      <c r="AB503" t="s">
        <v>4037</v>
      </c>
      <c r="AC503" t="s">
        <v>3986</v>
      </c>
      <c r="AD503" t="s">
        <v>2781</v>
      </c>
    </row>
    <row r="504" spans="1:30" x14ac:dyDescent="0.25">
      <c r="A504" t="s">
        <v>3452</v>
      </c>
      <c r="B504">
        <v>12</v>
      </c>
      <c r="C504" t="s">
        <v>3310</v>
      </c>
      <c r="D504" t="b">
        <v>1</v>
      </c>
      <c r="E504" t="b">
        <v>0</v>
      </c>
      <c r="F504" t="s">
        <v>3986</v>
      </c>
      <c r="G504" t="s">
        <v>3986</v>
      </c>
      <c r="H504" t="s">
        <v>3986</v>
      </c>
      <c r="I504" t="s">
        <v>3986</v>
      </c>
      <c r="J504" t="s">
        <v>3986</v>
      </c>
      <c r="K504" t="s">
        <v>3611</v>
      </c>
      <c r="L504" t="s">
        <v>3450</v>
      </c>
      <c r="M504" t="s">
        <v>3753</v>
      </c>
      <c r="N504">
        <v>7</v>
      </c>
      <c r="O504" t="b">
        <v>0</v>
      </c>
      <c r="P504" t="b">
        <v>0</v>
      </c>
      <c r="Q504" t="b">
        <v>1</v>
      </c>
      <c r="R504" t="b">
        <v>0</v>
      </c>
      <c r="T504" t="s">
        <v>3742</v>
      </c>
      <c r="U504">
        <v>220</v>
      </c>
      <c r="V504" t="s">
        <v>4018</v>
      </c>
      <c r="W504">
        <v>3</v>
      </c>
      <c r="X504" t="s">
        <v>4000</v>
      </c>
      <c r="Y504" t="s">
        <v>3986</v>
      </c>
      <c r="Z504">
        <v>0</v>
      </c>
      <c r="AA504" t="s">
        <v>2493</v>
      </c>
      <c r="AB504" t="s">
        <v>4037</v>
      </c>
      <c r="AC504" t="s">
        <v>3986</v>
      </c>
      <c r="AD504" t="s">
        <v>2781</v>
      </c>
    </row>
    <row r="505" spans="1:30" x14ac:dyDescent="0.25">
      <c r="A505" t="s">
        <v>3453</v>
      </c>
      <c r="B505">
        <v>2</v>
      </c>
      <c r="C505" t="s">
        <v>3306</v>
      </c>
      <c r="D505" t="b">
        <v>0</v>
      </c>
      <c r="E505" t="b">
        <v>0</v>
      </c>
      <c r="F505" t="s">
        <v>3454</v>
      </c>
      <c r="G505" t="s">
        <v>3986</v>
      </c>
      <c r="H505" t="s">
        <v>4110</v>
      </c>
      <c r="I505" t="s">
        <v>3986</v>
      </c>
      <c r="J505" t="s">
        <v>3986</v>
      </c>
      <c r="K505" t="s">
        <v>3612</v>
      </c>
      <c r="L505" t="s">
        <v>3450</v>
      </c>
      <c r="M505" t="s">
        <v>3753</v>
      </c>
      <c r="N505">
        <v>7</v>
      </c>
      <c r="O505" t="b">
        <v>0</v>
      </c>
      <c r="P505" t="b">
        <v>0</v>
      </c>
      <c r="Q505" t="b">
        <v>1</v>
      </c>
      <c r="R505" t="b">
        <v>0</v>
      </c>
      <c r="T505" t="s">
        <v>3742</v>
      </c>
      <c r="U505">
        <v>221</v>
      </c>
      <c r="V505" t="s">
        <v>4018</v>
      </c>
      <c r="W505">
        <v>3</v>
      </c>
      <c r="X505" t="s">
        <v>4001</v>
      </c>
      <c r="Y505" t="s">
        <v>3986</v>
      </c>
      <c r="Z505">
        <v>0</v>
      </c>
      <c r="AA505" t="s">
        <v>2493</v>
      </c>
      <c r="AB505" t="s">
        <v>4037</v>
      </c>
      <c r="AC505" t="s">
        <v>3986</v>
      </c>
      <c r="AD505" t="s">
        <v>2781</v>
      </c>
    </row>
    <row r="506" spans="1:30" x14ac:dyDescent="0.25">
      <c r="A506" t="s">
        <v>3393</v>
      </c>
      <c r="B506">
        <v>7</v>
      </c>
      <c r="C506" t="s">
        <v>3306</v>
      </c>
      <c r="D506" t="b">
        <v>1</v>
      </c>
      <c r="E506" t="b">
        <v>0</v>
      </c>
      <c r="F506" t="s">
        <v>3986</v>
      </c>
      <c r="G506" t="s">
        <v>3986</v>
      </c>
      <c r="H506" t="s">
        <v>3986</v>
      </c>
      <c r="I506" t="s">
        <v>3986</v>
      </c>
      <c r="J506" t="s">
        <v>3986</v>
      </c>
      <c r="K506" t="s">
        <v>3612</v>
      </c>
      <c r="L506" t="s">
        <v>3450</v>
      </c>
      <c r="M506" t="s">
        <v>3753</v>
      </c>
      <c r="N506">
        <v>7</v>
      </c>
      <c r="O506" t="b">
        <v>0</v>
      </c>
      <c r="P506" t="b">
        <v>0</v>
      </c>
      <c r="Q506" t="b">
        <v>1</v>
      </c>
      <c r="R506" t="b">
        <v>0</v>
      </c>
      <c r="T506" t="s">
        <v>3742</v>
      </c>
      <c r="U506">
        <v>222</v>
      </c>
      <c r="V506" t="s">
        <v>4020</v>
      </c>
      <c r="W506">
        <v>3</v>
      </c>
      <c r="X506" t="s">
        <v>3998</v>
      </c>
      <c r="Y506" t="s">
        <v>3986</v>
      </c>
      <c r="Z506">
        <v>0</v>
      </c>
      <c r="AA506" t="s">
        <v>2493</v>
      </c>
      <c r="AB506" t="s">
        <v>4037</v>
      </c>
      <c r="AC506" t="s">
        <v>3986</v>
      </c>
      <c r="AD506" t="s">
        <v>2781</v>
      </c>
    </row>
    <row r="507" spans="1:30" x14ac:dyDescent="0.25">
      <c r="A507" t="s">
        <v>3451</v>
      </c>
      <c r="B507">
        <v>8</v>
      </c>
      <c r="C507" t="s">
        <v>3310</v>
      </c>
      <c r="D507" t="b">
        <v>0</v>
      </c>
      <c r="E507" t="b">
        <v>1</v>
      </c>
      <c r="F507" t="s">
        <v>3986</v>
      </c>
      <c r="G507" t="s">
        <v>3986</v>
      </c>
      <c r="H507" t="s">
        <v>3986</v>
      </c>
      <c r="I507" t="s">
        <v>3986</v>
      </c>
      <c r="J507" t="s">
        <v>3986</v>
      </c>
      <c r="K507" t="s">
        <v>3612</v>
      </c>
      <c r="L507" t="s">
        <v>3450</v>
      </c>
      <c r="M507" t="s">
        <v>3753</v>
      </c>
      <c r="N507">
        <v>7</v>
      </c>
      <c r="O507" t="b">
        <v>0</v>
      </c>
      <c r="P507" t="b">
        <v>0</v>
      </c>
      <c r="Q507" t="b">
        <v>1</v>
      </c>
      <c r="R507" t="b">
        <v>0</v>
      </c>
      <c r="T507" t="s">
        <v>3742</v>
      </c>
      <c r="U507">
        <v>223</v>
      </c>
      <c r="V507" t="s">
        <v>4020</v>
      </c>
      <c r="W507">
        <v>3</v>
      </c>
      <c r="X507" t="s">
        <v>3999</v>
      </c>
      <c r="Y507" t="s">
        <v>3986</v>
      </c>
      <c r="Z507">
        <v>0</v>
      </c>
      <c r="AA507" t="s">
        <v>2493</v>
      </c>
      <c r="AB507" t="s">
        <v>4037</v>
      </c>
      <c r="AC507" t="s">
        <v>3986</v>
      </c>
      <c r="AD507" t="s">
        <v>2781</v>
      </c>
    </row>
    <row r="508" spans="1:30" x14ac:dyDescent="0.25">
      <c r="A508" t="s">
        <v>3452</v>
      </c>
      <c r="B508">
        <v>12</v>
      </c>
      <c r="C508" t="s">
        <v>3310</v>
      </c>
      <c r="D508" t="b">
        <v>1</v>
      </c>
      <c r="E508" t="b">
        <v>0</v>
      </c>
      <c r="F508" t="s">
        <v>3986</v>
      </c>
      <c r="G508" t="s">
        <v>3986</v>
      </c>
      <c r="H508" t="s">
        <v>3986</v>
      </c>
      <c r="I508" t="s">
        <v>3986</v>
      </c>
      <c r="J508" t="s">
        <v>3986</v>
      </c>
      <c r="K508" t="s">
        <v>3612</v>
      </c>
      <c r="L508" t="s">
        <v>3450</v>
      </c>
      <c r="M508" t="s">
        <v>3753</v>
      </c>
      <c r="N508">
        <v>7</v>
      </c>
      <c r="O508" t="b">
        <v>0</v>
      </c>
      <c r="P508" t="b">
        <v>0</v>
      </c>
      <c r="Q508" t="b">
        <v>1</v>
      </c>
      <c r="R508" t="b">
        <v>0</v>
      </c>
      <c r="T508" t="s">
        <v>3742</v>
      </c>
      <c r="U508">
        <v>224</v>
      </c>
      <c r="V508" t="s">
        <v>4020</v>
      </c>
      <c r="W508">
        <v>3</v>
      </c>
      <c r="X508" t="s">
        <v>4000</v>
      </c>
      <c r="Y508" t="s">
        <v>3986</v>
      </c>
      <c r="Z508">
        <v>0</v>
      </c>
      <c r="AA508" t="s">
        <v>2493</v>
      </c>
      <c r="AB508" t="s">
        <v>4037</v>
      </c>
      <c r="AC508" t="s">
        <v>3986</v>
      </c>
      <c r="AD508" t="s">
        <v>2781</v>
      </c>
    </row>
    <row r="509" spans="1:30" x14ac:dyDescent="0.25">
      <c r="A509" t="s">
        <v>3292</v>
      </c>
      <c r="B509">
        <v>2</v>
      </c>
      <c r="C509" t="s">
        <v>3306</v>
      </c>
      <c r="D509" t="b">
        <v>1</v>
      </c>
      <c r="E509" t="b">
        <v>0</v>
      </c>
      <c r="F509" t="s">
        <v>3307</v>
      </c>
      <c r="G509" t="s">
        <v>3986</v>
      </c>
      <c r="H509" t="s">
        <v>3986</v>
      </c>
      <c r="I509" t="s">
        <v>3986</v>
      </c>
      <c r="J509" t="s">
        <v>3986</v>
      </c>
      <c r="K509" t="s">
        <v>3455</v>
      </c>
      <c r="L509" t="s">
        <v>3456</v>
      </c>
      <c r="M509" t="s">
        <v>281</v>
      </c>
      <c r="N509">
        <v>7</v>
      </c>
      <c r="O509" t="b">
        <v>0</v>
      </c>
      <c r="P509" t="b">
        <v>1</v>
      </c>
      <c r="Q509" t="b">
        <v>0</v>
      </c>
      <c r="R509" t="b">
        <v>0</v>
      </c>
      <c r="T509" t="s">
        <v>3742</v>
      </c>
      <c r="U509">
        <v>225</v>
      </c>
      <c r="V509" t="s">
        <v>4020</v>
      </c>
      <c r="W509">
        <v>3</v>
      </c>
      <c r="X509" t="s">
        <v>4001</v>
      </c>
      <c r="Y509" t="s">
        <v>3986</v>
      </c>
      <c r="Z509">
        <v>0</v>
      </c>
      <c r="AA509" t="s">
        <v>2493</v>
      </c>
      <c r="AB509" t="s">
        <v>4037</v>
      </c>
      <c r="AC509" t="s">
        <v>3986</v>
      </c>
      <c r="AD509" t="s">
        <v>2781</v>
      </c>
    </row>
    <row r="510" spans="1:30" x14ac:dyDescent="0.25">
      <c r="A510" t="s">
        <v>3457</v>
      </c>
      <c r="B510">
        <v>5</v>
      </c>
      <c r="C510" t="s">
        <v>3310</v>
      </c>
      <c r="D510" t="b">
        <v>0</v>
      </c>
      <c r="E510" t="b">
        <v>1</v>
      </c>
      <c r="F510" t="s">
        <v>3428</v>
      </c>
      <c r="G510" t="s">
        <v>3986</v>
      </c>
      <c r="H510" t="s">
        <v>3986</v>
      </c>
      <c r="I510" t="s">
        <v>3986</v>
      </c>
      <c r="J510" t="s">
        <v>3359</v>
      </c>
      <c r="K510" t="s">
        <v>3455</v>
      </c>
      <c r="L510" t="s">
        <v>3456</v>
      </c>
      <c r="M510" t="s">
        <v>281</v>
      </c>
      <c r="N510">
        <v>7</v>
      </c>
      <c r="O510" t="b">
        <v>0</v>
      </c>
      <c r="P510" t="b">
        <v>1</v>
      </c>
      <c r="Q510" t="b">
        <v>0</v>
      </c>
      <c r="R510" t="b">
        <v>0</v>
      </c>
      <c r="T510" t="s">
        <v>3742</v>
      </c>
      <c r="U510">
        <v>228</v>
      </c>
      <c r="V510" t="s">
        <v>4004</v>
      </c>
      <c r="W510">
        <v>3</v>
      </c>
      <c r="X510" t="s">
        <v>3990</v>
      </c>
      <c r="Y510" t="s">
        <v>3986</v>
      </c>
      <c r="Z510">
        <v>0</v>
      </c>
      <c r="AA510" t="s">
        <v>2493</v>
      </c>
      <c r="AB510" t="s">
        <v>4037</v>
      </c>
      <c r="AC510" t="s">
        <v>3986</v>
      </c>
      <c r="AD510" t="s">
        <v>5</v>
      </c>
    </row>
    <row r="511" spans="1:30" x14ac:dyDescent="0.25">
      <c r="A511" t="s">
        <v>3292</v>
      </c>
      <c r="B511">
        <v>2</v>
      </c>
      <c r="C511" t="s">
        <v>3306</v>
      </c>
      <c r="D511" t="b">
        <v>1</v>
      </c>
      <c r="E511" t="b">
        <v>0</v>
      </c>
      <c r="F511" t="s">
        <v>3307</v>
      </c>
      <c r="G511" t="s">
        <v>3986</v>
      </c>
      <c r="H511" t="s">
        <v>3986</v>
      </c>
      <c r="I511" t="s">
        <v>3986</v>
      </c>
      <c r="J511" t="s">
        <v>3986</v>
      </c>
      <c r="K511" t="s">
        <v>3458</v>
      </c>
      <c r="L511" t="s">
        <v>3459</v>
      </c>
      <c r="M511" t="s">
        <v>280</v>
      </c>
      <c r="N511">
        <v>7</v>
      </c>
      <c r="O511" t="b">
        <v>0</v>
      </c>
      <c r="P511" t="b">
        <v>1</v>
      </c>
      <c r="Q511" t="b">
        <v>0</v>
      </c>
      <c r="R511" t="b">
        <v>0</v>
      </c>
      <c r="T511" t="s">
        <v>3742</v>
      </c>
      <c r="U511">
        <v>229</v>
      </c>
      <c r="V511" t="s">
        <v>4005</v>
      </c>
      <c r="W511">
        <v>3</v>
      </c>
      <c r="X511" t="s">
        <v>3990</v>
      </c>
      <c r="Y511" t="s">
        <v>3986</v>
      </c>
      <c r="Z511">
        <v>0</v>
      </c>
      <c r="AA511" t="s">
        <v>2493</v>
      </c>
      <c r="AB511" t="s">
        <v>4037</v>
      </c>
      <c r="AC511" t="s">
        <v>3986</v>
      </c>
      <c r="AD511" t="s">
        <v>5</v>
      </c>
    </row>
    <row r="512" spans="1:30" x14ac:dyDescent="0.25">
      <c r="A512" t="s">
        <v>3457</v>
      </c>
      <c r="B512">
        <v>5</v>
      </c>
      <c r="C512" t="s">
        <v>3310</v>
      </c>
      <c r="D512" t="b">
        <v>0</v>
      </c>
      <c r="E512" t="b">
        <v>1</v>
      </c>
      <c r="F512" t="s">
        <v>3428</v>
      </c>
      <c r="G512" t="s">
        <v>3986</v>
      </c>
      <c r="H512" t="s">
        <v>3986</v>
      </c>
      <c r="I512" t="s">
        <v>3986</v>
      </c>
      <c r="J512" t="s">
        <v>3986</v>
      </c>
      <c r="K512" t="s">
        <v>3458</v>
      </c>
      <c r="L512" t="s">
        <v>3459</v>
      </c>
      <c r="M512" t="s">
        <v>280</v>
      </c>
      <c r="N512">
        <v>7</v>
      </c>
      <c r="O512" t="b">
        <v>0</v>
      </c>
      <c r="P512" t="b">
        <v>1</v>
      </c>
      <c r="Q512" t="b">
        <v>0</v>
      </c>
      <c r="R512" t="b">
        <v>0</v>
      </c>
      <c r="T512" t="s">
        <v>3742</v>
      </c>
      <c r="U512">
        <v>230</v>
      </c>
      <c r="V512" t="s">
        <v>4006</v>
      </c>
      <c r="W512">
        <v>3</v>
      </c>
      <c r="X512" t="s">
        <v>3990</v>
      </c>
      <c r="Y512" t="s">
        <v>3986</v>
      </c>
      <c r="Z512">
        <v>0</v>
      </c>
      <c r="AA512" t="s">
        <v>2493</v>
      </c>
      <c r="AB512" t="s">
        <v>4037</v>
      </c>
      <c r="AC512" t="s">
        <v>3986</v>
      </c>
      <c r="AD512" t="s">
        <v>5</v>
      </c>
    </row>
    <row r="513" spans="1:30" x14ac:dyDescent="0.25">
      <c r="A513" t="s">
        <v>3460</v>
      </c>
      <c r="B513">
        <v>16</v>
      </c>
      <c r="C513" t="s">
        <v>3306</v>
      </c>
      <c r="D513" t="b">
        <v>0</v>
      </c>
      <c r="E513" t="b">
        <v>0</v>
      </c>
      <c r="F513" t="s">
        <v>3986</v>
      </c>
      <c r="G513" t="s">
        <v>3986</v>
      </c>
      <c r="H513" t="s">
        <v>3986</v>
      </c>
      <c r="I513" t="s">
        <v>3986</v>
      </c>
      <c r="J513" t="s">
        <v>3986</v>
      </c>
      <c r="K513" t="s">
        <v>3613</v>
      </c>
      <c r="L513" t="s">
        <v>3614</v>
      </c>
      <c r="M513" t="s">
        <v>2781</v>
      </c>
      <c r="N513">
        <v>1</v>
      </c>
      <c r="O513" t="b">
        <v>1</v>
      </c>
      <c r="P513" t="b">
        <v>0</v>
      </c>
      <c r="Q513" t="b">
        <v>0</v>
      </c>
      <c r="R513" t="b">
        <v>0</v>
      </c>
      <c r="T513" t="s">
        <v>3742</v>
      </c>
      <c r="U513">
        <v>231</v>
      </c>
      <c r="V513" t="s">
        <v>4007</v>
      </c>
      <c r="W513">
        <v>3</v>
      </c>
      <c r="X513" t="s">
        <v>3990</v>
      </c>
      <c r="Y513" t="s">
        <v>3986</v>
      </c>
      <c r="Z513">
        <v>0</v>
      </c>
      <c r="AA513" t="s">
        <v>2493</v>
      </c>
      <c r="AB513" t="s">
        <v>4037</v>
      </c>
      <c r="AC513" t="s">
        <v>3986</v>
      </c>
      <c r="AD513" t="s">
        <v>5</v>
      </c>
    </row>
    <row r="514" spans="1:30" x14ac:dyDescent="0.25">
      <c r="A514" t="s">
        <v>3460</v>
      </c>
      <c r="B514">
        <v>5</v>
      </c>
      <c r="C514" t="s">
        <v>3306</v>
      </c>
      <c r="D514" t="b">
        <v>0</v>
      </c>
      <c r="E514" t="b">
        <v>0</v>
      </c>
      <c r="F514" t="s">
        <v>3986</v>
      </c>
      <c r="G514" t="s">
        <v>3986</v>
      </c>
      <c r="H514" t="s">
        <v>3986</v>
      </c>
      <c r="I514" t="s">
        <v>3986</v>
      </c>
      <c r="J514" t="s">
        <v>3986</v>
      </c>
      <c r="K514" t="s">
        <v>3615</v>
      </c>
      <c r="L514" t="s">
        <v>3616</v>
      </c>
      <c r="M514" t="s">
        <v>3769</v>
      </c>
      <c r="N514">
        <v>1</v>
      </c>
      <c r="O514" t="b">
        <v>1</v>
      </c>
      <c r="P514" t="b">
        <v>0</v>
      </c>
      <c r="Q514" t="b">
        <v>0</v>
      </c>
      <c r="R514" t="b">
        <v>0</v>
      </c>
      <c r="T514" t="s">
        <v>3742</v>
      </c>
      <c r="U514">
        <v>18</v>
      </c>
      <c r="V514" t="s">
        <v>3994</v>
      </c>
      <c r="W514">
        <v>4</v>
      </c>
      <c r="X514" t="s">
        <v>3993</v>
      </c>
      <c r="Y514" t="s">
        <v>3986</v>
      </c>
      <c r="Z514">
        <v>0</v>
      </c>
      <c r="AA514" t="s">
        <v>2493</v>
      </c>
      <c r="AB514" t="s">
        <v>3987</v>
      </c>
      <c r="AC514" t="s">
        <v>3986</v>
      </c>
      <c r="AD514" t="s">
        <v>2781</v>
      </c>
    </row>
    <row r="515" spans="1:30" x14ac:dyDescent="0.25">
      <c r="A515" t="s">
        <v>3460</v>
      </c>
      <c r="B515">
        <v>26</v>
      </c>
      <c r="C515" t="s">
        <v>3310</v>
      </c>
      <c r="D515" t="b">
        <v>1</v>
      </c>
      <c r="E515" t="b">
        <v>0</v>
      </c>
      <c r="F515" t="s">
        <v>3986</v>
      </c>
      <c r="G515" t="s">
        <v>3986</v>
      </c>
      <c r="H515" t="s">
        <v>3986</v>
      </c>
      <c r="I515" t="s">
        <v>3986</v>
      </c>
      <c r="J515" t="s">
        <v>3986</v>
      </c>
      <c r="K515" t="s">
        <v>3617</v>
      </c>
      <c r="L515" t="s">
        <v>3801</v>
      </c>
      <c r="M515" t="s">
        <v>3341</v>
      </c>
      <c r="N515">
        <v>2</v>
      </c>
      <c r="O515" t="b">
        <v>1</v>
      </c>
      <c r="P515" t="b">
        <v>0</v>
      </c>
      <c r="Q515" t="b">
        <v>0</v>
      </c>
      <c r="R515" t="b">
        <v>0</v>
      </c>
      <c r="T515" t="s">
        <v>3742</v>
      </c>
      <c r="U515">
        <v>19</v>
      </c>
      <c r="V515" t="s">
        <v>4005</v>
      </c>
      <c r="W515">
        <v>4</v>
      </c>
      <c r="X515" t="s">
        <v>3993</v>
      </c>
      <c r="Y515" t="s">
        <v>3986</v>
      </c>
      <c r="Z515">
        <v>0</v>
      </c>
      <c r="AA515" t="s">
        <v>2493</v>
      </c>
      <c r="AB515" t="s">
        <v>3987</v>
      </c>
      <c r="AC515" t="s">
        <v>3986</v>
      </c>
      <c r="AD515" t="s">
        <v>2781</v>
      </c>
    </row>
    <row r="516" spans="1:30" x14ac:dyDescent="0.25">
      <c r="A516" t="s">
        <v>3460</v>
      </c>
      <c r="B516">
        <v>6</v>
      </c>
      <c r="C516" t="s">
        <v>3310</v>
      </c>
      <c r="D516" t="b">
        <v>0</v>
      </c>
      <c r="E516" t="b">
        <v>1</v>
      </c>
      <c r="F516" t="s">
        <v>3986</v>
      </c>
      <c r="G516" t="s">
        <v>3986</v>
      </c>
      <c r="H516" t="s">
        <v>3986</v>
      </c>
      <c r="I516" t="s">
        <v>3986</v>
      </c>
      <c r="J516" t="s">
        <v>3359</v>
      </c>
      <c r="K516" t="s">
        <v>3461</v>
      </c>
      <c r="L516" t="s">
        <v>3462</v>
      </c>
      <c r="M516" t="s">
        <v>8</v>
      </c>
      <c r="N516">
        <v>7</v>
      </c>
      <c r="O516" t="b">
        <v>1</v>
      </c>
      <c r="P516" t="b">
        <v>0</v>
      </c>
      <c r="Q516" t="b">
        <v>0</v>
      </c>
      <c r="R516" t="b">
        <v>0</v>
      </c>
      <c r="T516" t="s">
        <v>3742</v>
      </c>
      <c r="U516">
        <v>20</v>
      </c>
      <c r="V516" t="s">
        <v>4006</v>
      </c>
      <c r="W516">
        <v>4</v>
      </c>
      <c r="X516" t="s">
        <v>3993</v>
      </c>
      <c r="Y516" t="s">
        <v>3986</v>
      </c>
      <c r="Z516">
        <v>0</v>
      </c>
      <c r="AA516" t="s">
        <v>2493</v>
      </c>
      <c r="AB516" t="s">
        <v>3987</v>
      </c>
      <c r="AC516" t="s">
        <v>3986</v>
      </c>
      <c r="AD516" t="s">
        <v>2781</v>
      </c>
    </row>
    <row r="517" spans="1:30" x14ac:dyDescent="0.25">
      <c r="A517" t="s">
        <v>3460</v>
      </c>
      <c r="B517">
        <v>5</v>
      </c>
      <c r="C517" t="s">
        <v>3310</v>
      </c>
      <c r="D517" t="b">
        <v>0</v>
      </c>
      <c r="E517" t="b">
        <v>1</v>
      </c>
      <c r="F517" t="s">
        <v>3986</v>
      </c>
      <c r="G517" t="s">
        <v>3986</v>
      </c>
      <c r="H517" t="s">
        <v>3986</v>
      </c>
      <c r="I517" t="s">
        <v>3986</v>
      </c>
      <c r="J517" t="s">
        <v>3986</v>
      </c>
      <c r="K517" t="s">
        <v>3812</v>
      </c>
      <c r="L517" t="s">
        <v>3813</v>
      </c>
      <c r="M517" t="s">
        <v>3769</v>
      </c>
      <c r="N517">
        <v>15</v>
      </c>
      <c r="O517" t="b">
        <v>1</v>
      </c>
      <c r="P517" t="b">
        <v>0</v>
      </c>
      <c r="Q517" t="b">
        <v>0</v>
      </c>
      <c r="R517" t="b">
        <v>0</v>
      </c>
      <c r="T517" t="s">
        <v>3742</v>
      </c>
      <c r="U517">
        <v>21</v>
      </c>
      <c r="V517" t="s">
        <v>4010</v>
      </c>
      <c r="W517">
        <v>4</v>
      </c>
      <c r="X517" t="s">
        <v>3993</v>
      </c>
      <c r="Y517" t="s">
        <v>3986</v>
      </c>
      <c r="Z517">
        <v>0</v>
      </c>
      <c r="AA517" t="s">
        <v>2493</v>
      </c>
      <c r="AB517" t="s">
        <v>3987</v>
      </c>
      <c r="AC517" t="s">
        <v>3986</v>
      </c>
      <c r="AD517" t="s">
        <v>2781</v>
      </c>
    </row>
    <row r="518" spans="1:30" x14ac:dyDescent="0.25">
      <c r="A518" t="s">
        <v>3460</v>
      </c>
      <c r="B518">
        <v>5</v>
      </c>
      <c r="C518" t="s">
        <v>3310</v>
      </c>
      <c r="D518" t="b">
        <v>0</v>
      </c>
      <c r="E518" t="b">
        <v>1</v>
      </c>
      <c r="F518" t="s">
        <v>3986</v>
      </c>
      <c r="G518" t="s">
        <v>3986</v>
      </c>
      <c r="H518" t="s">
        <v>3986</v>
      </c>
      <c r="I518" t="s">
        <v>3986</v>
      </c>
      <c r="J518" t="s">
        <v>3986</v>
      </c>
      <c r="K518" t="s">
        <v>3814</v>
      </c>
      <c r="L518" t="s">
        <v>3815</v>
      </c>
      <c r="M518" t="s">
        <v>3769</v>
      </c>
      <c r="N518">
        <v>19</v>
      </c>
      <c r="O518" t="b">
        <v>1</v>
      </c>
      <c r="P518" t="b">
        <v>0</v>
      </c>
      <c r="Q518" t="b">
        <v>0</v>
      </c>
      <c r="R518" t="b">
        <v>0</v>
      </c>
      <c r="T518" t="s">
        <v>3742</v>
      </c>
      <c r="U518">
        <v>22</v>
      </c>
      <c r="V518" t="s">
        <v>4014</v>
      </c>
      <c r="W518">
        <v>4</v>
      </c>
      <c r="X518" t="s">
        <v>3993</v>
      </c>
      <c r="Y518" t="s">
        <v>3986</v>
      </c>
      <c r="Z518">
        <v>0</v>
      </c>
      <c r="AA518" t="s">
        <v>2493</v>
      </c>
      <c r="AB518" t="s">
        <v>3987</v>
      </c>
      <c r="AC518" t="s">
        <v>3986</v>
      </c>
      <c r="AD518" t="s">
        <v>2781</v>
      </c>
    </row>
    <row r="519" spans="1:30" x14ac:dyDescent="0.25">
      <c r="A519" t="s">
        <v>3460</v>
      </c>
      <c r="B519">
        <v>5</v>
      </c>
      <c r="C519" t="s">
        <v>3306</v>
      </c>
      <c r="D519" t="b">
        <v>1</v>
      </c>
      <c r="E519" t="b">
        <v>0</v>
      </c>
      <c r="F519" t="s">
        <v>3986</v>
      </c>
      <c r="G519" t="s">
        <v>3986</v>
      </c>
      <c r="H519" t="s">
        <v>3986</v>
      </c>
      <c r="I519" t="s">
        <v>3986</v>
      </c>
      <c r="J519" t="s">
        <v>3986</v>
      </c>
      <c r="K519" t="s">
        <v>3466</v>
      </c>
      <c r="L519" t="s">
        <v>3467</v>
      </c>
      <c r="M519" t="s">
        <v>0</v>
      </c>
      <c r="N519">
        <v>11</v>
      </c>
      <c r="O519" t="b">
        <v>1</v>
      </c>
      <c r="P519" t="b">
        <v>0</v>
      </c>
      <c r="Q519" t="b">
        <v>0</v>
      </c>
      <c r="R519" t="b">
        <v>0</v>
      </c>
      <c r="T519" t="s">
        <v>3742</v>
      </c>
      <c r="U519">
        <v>23</v>
      </c>
      <c r="V519" t="s">
        <v>4015</v>
      </c>
      <c r="W519">
        <v>4</v>
      </c>
      <c r="X519" t="s">
        <v>3993</v>
      </c>
      <c r="Y519" t="s">
        <v>3986</v>
      </c>
      <c r="Z519">
        <v>0</v>
      </c>
      <c r="AA519" t="s">
        <v>2493</v>
      </c>
      <c r="AB519" t="s">
        <v>3987</v>
      </c>
      <c r="AC519" t="s">
        <v>3986</v>
      </c>
      <c r="AD519" t="s">
        <v>2781</v>
      </c>
    </row>
    <row r="520" spans="1:30" x14ac:dyDescent="0.25">
      <c r="A520" t="s">
        <v>3460</v>
      </c>
      <c r="B520">
        <v>5</v>
      </c>
      <c r="C520" t="s">
        <v>3306</v>
      </c>
      <c r="D520" t="b">
        <v>0</v>
      </c>
      <c r="E520" t="b">
        <v>0</v>
      </c>
      <c r="F520" t="s">
        <v>3986</v>
      </c>
      <c r="G520" t="s">
        <v>3986</v>
      </c>
      <c r="H520" t="s">
        <v>3986</v>
      </c>
      <c r="I520" t="s">
        <v>3986</v>
      </c>
      <c r="J520" t="s">
        <v>3986</v>
      </c>
      <c r="K520" t="s">
        <v>3468</v>
      </c>
      <c r="L520" t="s">
        <v>3469</v>
      </c>
      <c r="M520" t="s">
        <v>0</v>
      </c>
      <c r="N520">
        <v>21</v>
      </c>
      <c r="O520" t="b">
        <v>1</v>
      </c>
      <c r="P520" t="b">
        <v>0</v>
      </c>
      <c r="Q520" t="b">
        <v>0</v>
      </c>
      <c r="R520" t="b">
        <v>0</v>
      </c>
      <c r="T520" t="s">
        <v>3742</v>
      </c>
      <c r="U520">
        <v>24</v>
      </c>
      <c r="V520" t="s">
        <v>4018</v>
      </c>
      <c r="W520">
        <v>4</v>
      </c>
      <c r="X520" t="s">
        <v>3993</v>
      </c>
      <c r="Y520" t="s">
        <v>3986</v>
      </c>
      <c r="Z520">
        <v>0</v>
      </c>
      <c r="AA520" t="s">
        <v>2493</v>
      </c>
      <c r="AB520" t="s">
        <v>3987</v>
      </c>
      <c r="AC520" t="s">
        <v>3986</v>
      </c>
      <c r="AD520" t="s">
        <v>2781</v>
      </c>
    </row>
    <row r="521" spans="1:30" x14ac:dyDescent="0.25">
      <c r="A521" t="s">
        <v>3460</v>
      </c>
      <c r="B521">
        <v>7</v>
      </c>
      <c r="C521" t="s">
        <v>3310</v>
      </c>
      <c r="D521" t="b">
        <v>0</v>
      </c>
      <c r="E521" t="b">
        <v>0</v>
      </c>
      <c r="F521" t="s">
        <v>3986</v>
      </c>
      <c r="G521" t="s">
        <v>3986</v>
      </c>
      <c r="H521" t="s">
        <v>3986</v>
      </c>
      <c r="I521" t="s">
        <v>3986</v>
      </c>
      <c r="J521" t="s">
        <v>3986</v>
      </c>
      <c r="K521" t="s">
        <v>3470</v>
      </c>
      <c r="L521" t="s">
        <v>3471</v>
      </c>
      <c r="M521" t="s">
        <v>560</v>
      </c>
      <c r="N521">
        <v>18</v>
      </c>
      <c r="O521" t="b">
        <v>1</v>
      </c>
      <c r="P521" t="b">
        <v>0</v>
      </c>
      <c r="Q521" t="b">
        <v>0</v>
      </c>
      <c r="R521" t="b">
        <v>0</v>
      </c>
      <c r="T521" t="s">
        <v>3742</v>
      </c>
      <c r="U521">
        <v>25</v>
      </c>
      <c r="V521" t="s">
        <v>4024</v>
      </c>
      <c r="W521">
        <v>4</v>
      </c>
      <c r="X521" t="s">
        <v>3993</v>
      </c>
      <c r="Y521" t="s">
        <v>3986</v>
      </c>
      <c r="Z521">
        <v>0</v>
      </c>
      <c r="AA521" t="s">
        <v>2493</v>
      </c>
      <c r="AB521" t="s">
        <v>3987</v>
      </c>
      <c r="AC521" t="s">
        <v>3986</v>
      </c>
      <c r="AD521" t="s">
        <v>2781</v>
      </c>
    </row>
    <row r="522" spans="1:30" x14ac:dyDescent="0.25">
      <c r="A522" t="s">
        <v>3460</v>
      </c>
      <c r="B522">
        <v>8</v>
      </c>
      <c r="C522" t="s">
        <v>3310</v>
      </c>
      <c r="D522" t="b">
        <v>0</v>
      </c>
      <c r="E522" t="b">
        <v>0</v>
      </c>
      <c r="F522" t="s">
        <v>3986</v>
      </c>
      <c r="G522" t="s">
        <v>3986</v>
      </c>
      <c r="H522" t="s">
        <v>3986</v>
      </c>
      <c r="I522" t="s">
        <v>3986</v>
      </c>
      <c r="J522" t="s">
        <v>3359</v>
      </c>
      <c r="K522" t="s">
        <v>3472</v>
      </c>
      <c r="L522" t="s">
        <v>3473</v>
      </c>
      <c r="M522" t="s">
        <v>560</v>
      </c>
      <c r="N522">
        <v>18</v>
      </c>
      <c r="O522" t="b">
        <v>1</v>
      </c>
      <c r="P522" t="b">
        <v>0</v>
      </c>
      <c r="Q522" t="b">
        <v>0</v>
      </c>
      <c r="R522" t="b">
        <v>0</v>
      </c>
      <c r="T522" t="s">
        <v>3742</v>
      </c>
      <c r="U522">
        <v>26</v>
      </c>
      <c r="V522" t="s">
        <v>4025</v>
      </c>
      <c r="W522">
        <v>4</v>
      </c>
      <c r="X522" t="s">
        <v>3993</v>
      </c>
      <c r="Y522" t="s">
        <v>3986</v>
      </c>
      <c r="Z522">
        <v>0</v>
      </c>
      <c r="AA522" t="s">
        <v>2493</v>
      </c>
      <c r="AB522" t="s">
        <v>3987</v>
      </c>
      <c r="AC522" t="s">
        <v>3986</v>
      </c>
      <c r="AD522" t="s">
        <v>2781</v>
      </c>
    </row>
    <row r="523" spans="1:30" x14ac:dyDescent="0.25">
      <c r="A523" t="s">
        <v>3460</v>
      </c>
      <c r="B523">
        <v>5</v>
      </c>
      <c r="C523" t="s">
        <v>3306</v>
      </c>
      <c r="D523" t="b">
        <v>1</v>
      </c>
      <c r="E523" t="b">
        <v>0</v>
      </c>
      <c r="F523" t="s">
        <v>3986</v>
      </c>
      <c r="G523" t="s">
        <v>3986</v>
      </c>
      <c r="H523" t="s">
        <v>3986</v>
      </c>
      <c r="I523" t="s">
        <v>3986</v>
      </c>
      <c r="J523" t="s">
        <v>3474</v>
      </c>
      <c r="K523" t="s">
        <v>3475</v>
      </c>
      <c r="L523" t="s">
        <v>3476</v>
      </c>
      <c r="M523" t="s">
        <v>560</v>
      </c>
      <c r="N523">
        <v>5</v>
      </c>
      <c r="O523" t="b">
        <v>1</v>
      </c>
      <c r="P523" t="b">
        <v>0</v>
      </c>
      <c r="Q523" t="b">
        <v>0</v>
      </c>
      <c r="R523" t="b">
        <v>0</v>
      </c>
      <c r="T523" t="s">
        <v>3742</v>
      </c>
      <c r="U523">
        <v>27</v>
      </c>
      <c r="V523" t="s">
        <v>4026</v>
      </c>
      <c r="W523">
        <v>4</v>
      </c>
      <c r="X523" t="s">
        <v>3993</v>
      </c>
      <c r="Y523" t="s">
        <v>3986</v>
      </c>
      <c r="Z523">
        <v>0</v>
      </c>
      <c r="AA523" t="s">
        <v>2493</v>
      </c>
      <c r="AB523" t="s">
        <v>3987</v>
      </c>
      <c r="AC523" t="s">
        <v>3986</v>
      </c>
      <c r="AD523" t="s">
        <v>2781</v>
      </c>
    </row>
    <row r="524" spans="1:30" x14ac:dyDescent="0.25">
      <c r="A524" t="s">
        <v>3460</v>
      </c>
      <c r="B524">
        <v>5</v>
      </c>
      <c r="C524" t="s">
        <v>3306</v>
      </c>
      <c r="D524" t="b">
        <v>1</v>
      </c>
      <c r="E524" t="b">
        <v>0</v>
      </c>
      <c r="F524" t="s">
        <v>3986</v>
      </c>
      <c r="G524" t="s">
        <v>3986</v>
      </c>
      <c r="H524" t="s">
        <v>3986</v>
      </c>
      <c r="I524" t="s">
        <v>3986</v>
      </c>
      <c r="J524" t="s">
        <v>3986</v>
      </c>
      <c r="K524" t="s">
        <v>3477</v>
      </c>
      <c r="L524" t="s">
        <v>3478</v>
      </c>
      <c r="M524" t="s">
        <v>0</v>
      </c>
      <c r="N524">
        <v>9</v>
      </c>
      <c r="O524" t="b">
        <v>1</v>
      </c>
      <c r="P524" t="b">
        <v>0</v>
      </c>
      <c r="Q524" t="b">
        <v>0</v>
      </c>
      <c r="R524" t="b">
        <v>0</v>
      </c>
      <c r="T524" t="s">
        <v>3742</v>
      </c>
      <c r="U524">
        <v>28</v>
      </c>
      <c r="V524" t="s">
        <v>4029</v>
      </c>
      <c r="W524">
        <v>4</v>
      </c>
      <c r="X524" t="s">
        <v>3993</v>
      </c>
      <c r="Y524" t="s">
        <v>3986</v>
      </c>
      <c r="Z524">
        <v>0</v>
      </c>
      <c r="AA524" t="s">
        <v>2493</v>
      </c>
      <c r="AB524" t="s">
        <v>3987</v>
      </c>
      <c r="AC524" t="s">
        <v>3986</v>
      </c>
      <c r="AD524" t="s">
        <v>2781</v>
      </c>
    </row>
    <row r="525" spans="1:30" x14ac:dyDescent="0.25">
      <c r="A525" t="s">
        <v>3460</v>
      </c>
      <c r="B525">
        <v>4</v>
      </c>
      <c r="C525" t="s">
        <v>3306</v>
      </c>
      <c r="D525" t="b">
        <v>1</v>
      </c>
      <c r="E525" t="b">
        <v>0</v>
      </c>
      <c r="F525" t="s">
        <v>3986</v>
      </c>
      <c r="G525" t="s">
        <v>3986</v>
      </c>
      <c r="H525" t="s">
        <v>3986</v>
      </c>
      <c r="I525" t="s">
        <v>3986</v>
      </c>
      <c r="J525" t="s">
        <v>3370</v>
      </c>
      <c r="K525" t="s">
        <v>3479</v>
      </c>
      <c r="L525" t="s">
        <v>561</v>
      </c>
      <c r="M525" t="s">
        <v>5</v>
      </c>
      <c r="N525">
        <v>7</v>
      </c>
      <c r="O525" t="b">
        <v>1</v>
      </c>
      <c r="P525" t="b">
        <v>0</v>
      </c>
      <c r="Q525" t="b">
        <v>0</v>
      </c>
      <c r="R525" t="b">
        <v>0</v>
      </c>
      <c r="T525" t="s">
        <v>3742</v>
      </c>
      <c r="U525">
        <v>29</v>
      </c>
      <c r="V525" t="s">
        <v>4038</v>
      </c>
      <c r="W525">
        <v>4</v>
      </c>
      <c r="X525" t="s">
        <v>3993</v>
      </c>
      <c r="Y525" t="s">
        <v>3986</v>
      </c>
      <c r="Z525">
        <v>0</v>
      </c>
      <c r="AA525" t="s">
        <v>2493</v>
      </c>
      <c r="AB525" t="s">
        <v>3987</v>
      </c>
      <c r="AC525" t="s">
        <v>3986</v>
      </c>
      <c r="AD525" t="s">
        <v>2781</v>
      </c>
    </row>
    <row r="526" spans="1:30" x14ac:dyDescent="0.25">
      <c r="A526" t="s">
        <v>3460</v>
      </c>
      <c r="B526">
        <v>4</v>
      </c>
      <c r="C526" t="s">
        <v>3310</v>
      </c>
      <c r="D526" t="b">
        <v>0</v>
      </c>
      <c r="E526" t="b">
        <v>1</v>
      </c>
      <c r="F526" t="s">
        <v>3986</v>
      </c>
      <c r="G526" t="s">
        <v>3986</v>
      </c>
      <c r="H526" t="s">
        <v>3986</v>
      </c>
      <c r="I526" t="s">
        <v>3986</v>
      </c>
      <c r="J526" t="s">
        <v>3359</v>
      </c>
      <c r="K526" t="s">
        <v>4894</v>
      </c>
      <c r="L526" t="s">
        <v>4895</v>
      </c>
      <c r="M526" t="s">
        <v>5</v>
      </c>
      <c r="N526">
        <v>8</v>
      </c>
      <c r="O526" t="b">
        <v>1</v>
      </c>
      <c r="P526" t="b">
        <v>0</v>
      </c>
      <c r="Q526" t="b">
        <v>0</v>
      </c>
      <c r="R526" t="b">
        <v>0</v>
      </c>
      <c r="T526" t="s">
        <v>3742</v>
      </c>
      <c r="U526">
        <v>30</v>
      </c>
      <c r="V526" t="s">
        <v>4039</v>
      </c>
      <c r="W526">
        <v>4</v>
      </c>
      <c r="X526" t="s">
        <v>3993</v>
      </c>
      <c r="Y526" t="s">
        <v>3986</v>
      </c>
      <c r="Z526">
        <v>0</v>
      </c>
      <c r="AA526" t="s">
        <v>2493</v>
      </c>
      <c r="AB526" t="s">
        <v>3987</v>
      </c>
      <c r="AC526" t="s">
        <v>3986</v>
      </c>
      <c r="AD526" t="s">
        <v>2781</v>
      </c>
    </row>
    <row r="527" spans="1:30" x14ac:dyDescent="0.25">
      <c r="A527" t="s">
        <v>3460</v>
      </c>
      <c r="B527">
        <v>4</v>
      </c>
      <c r="C527" t="s">
        <v>3310</v>
      </c>
      <c r="D527" t="b">
        <v>0</v>
      </c>
      <c r="E527" t="b">
        <v>1</v>
      </c>
      <c r="F527" t="s">
        <v>3986</v>
      </c>
      <c r="G527" t="s">
        <v>3986</v>
      </c>
      <c r="H527" t="s">
        <v>3986</v>
      </c>
      <c r="I527" t="s">
        <v>3986</v>
      </c>
      <c r="J527" t="s">
        <v>3359</v>
      </c>
      <c r="K527" t="s">
        <v>4887</v>
      </c>
      <c r="L527" t="s">
        <v>4896</v>
      </c>
      <c r="M527" t="s">
        <v>5</v>
      </c>
      <c r="N527">
        <v>9</v>
      </c>
      <c r="O527" t="b">
        <v>1</v>
      </c>
      <c r="P527" t="b">
        <v>0</v>
      </c>
      <c r="Q527" t="b">
        <v>0</v>
      </c>
      <c r="R527" t="b">
        <v>0</v>
      </c>
      <c r="T527" t="s">
        <v>3742</v>
      </c>
      <c r="U527">
        <v>31</v>
      </c>
      <c r="V527" t="s">
        <v>4040</v>
      </c>
      <c r="W527">
        <v>4</v>
      </c>
      <c r="X527" t="s">
        <v>3993</v>
      </c>
      <c r="Y527" t="s">
        <v>3986</v>
      </c>
      <c r="Z527">
        <v>0</v>
      </c>
      <c r="AA527" t="s">
        <v>2493</v>
      </c>
      <c r="AB527" t="s">
        <v>3987</v>
      </c>
      <c r="AC527" t="s">
        <v>3986</v>
      </c>
      <c r="AD527" t="s">
        <v>2781</v>
      </c>
    </row>
    <row r="528" spans="1:30" x14ac:dyDescent="0.25">
      <c r="A528" t="s">
        <v>3460</v>
      </c>
      <c r="B528">
        <v>4</v>
      </c>
      <c r="C528" t="s">
        <v>3310</v>
      </c>
      <c r="D528" t="b">
        <v>0</v>
      </c>
      <c r="E528" t="b">
        <v>1</v>
      </c>
      <c r="F528" t="s">
        <v>3986</v>
      </c>
      <c r="G528" t="s">
        <v>3986</v>
      </c>
      <c r="H528" t="s">
        <v>3986</v>
      </c>
      <c r="I528" t="s">
        <v>3359</v>
      </c>
      <c r="J528" t="s">
        <v>3986</v>
      </c>
      <c r="K528" t="s">
        <v>3491</v>
      </c>
      <c r="L528" t="s">
        <v>3492</v>
      </c>
      <c r="M528" t="s">
        <v>5</v>
      </c>
      <c r="N528">
        <v>10</v>
      </c>
      <c r="O528" t="b">
        <v>1</v>
      </c>
      <c r="P528" t="b">
        <v>0</v>
      </c>
      <c r="Q528" t="b">
        <v>0</v>
      </c>
      <c r="R528" t="b">
        <v>0</v>
      </c>
      <c r="T528" t="s">
        <v>3742</v>
      </c>
      <c r="U528">
        <v>32</v>
      </c>
      <c r="V528" t="s">
        <v>4041</v>
      </c>
      <c r="W528">
        <v>4</v>
      </c>
      <c r="X528" t="s">
        <v>3993</v>
      </c>
      <c r="Y528" t="s">
        <v>3986</v>
      </c>
      <c r="Z528">
        <v>0</v>
      </c>
      <c r="AA528" t="s">
        <v>2493</v>
      </c>
      <c r="AB528" t="s">
        <v>3987</v>
      </c>
      <c r="AC528" t="s">
        <v>3986</v>
      </c>
      <c r="AD528" t="s">
        <v>2781</v>
      </c>
    </row>
    <row r="529" spans="1:30" x14ac:dyDescent="0.25">
      <c r="A529" t="s">
        <v>3460</v>
      </c>
      <c r="B529">
        <v>4</v>
      </c>
      <c r="C529" t="s">
        <v>3310</v>
      </c>
      <c r="D529" t="b">
        <v>0</v>
      </c>
      <c r="E529" t="b">
        <v>1</v>
      </c>
      <c r="F529" t="s">
        <v>3986</v>
      </c>
      <c r="G529" t="s">
        <v>3986</v>
      </c>
      <c r="H529" t="s">
        <v>3986</v>
      </c>
      <c r="I529" t="s">
        <v>3986</v>
      </c>
      <c r="J529" t="s">
        <v>3986</v>
      </c>
      <c r="K529" t="s">
        <v>3480</v>
      </c>
      <c r="L529" t="s">
        <v>3481</v>
      </c>
      <c r="M529" t="s">
        <v>5</v>
      </c>
      <c r="N529">
        <v>11</v>
      </c>
      <c r="O529" t="b">
        <v>1</v>
      </c>
      <c r="P529" t="b">
        <v>0</v>
      </c>
      <c r="Q529" t="b">
        <v>0</v>
      </c>
      <c r="R529" t="b">
        <v>0</v>
      </c>
      <c r="T529" t="s">
        <v>3742</v>
      </c>
      <c r="U529">
        <v>33</v>
      </c>
      <c r="V529" t="s">
        <v>4042</v>
      </c>
      <c r="W529">
        <v>4</v>
      </c>
      <c r="X529" t="s">
        <v>3993</v>
      </c>
      <c r="Y529" t="s">
        <v>3986</v>
      </c>
      <c r="Z529">
        <v>0</v>
      </c>
      <c r="AA529" t="s">
        <v>2493</v>
      </c>
      <c r="AB529" t="s">
        <v>3987</v>
      </c>
      <c r="AC529" t="s">
        <v>3986</v>
      </c>
      <c r="AD529" t="s">
        <v>2781</v>
      </c>
    </row>
    <row r="530" spans="1:30" x14ac:dyDescent="0.25">
      <c r="A530" t="s">
        <v>3460</v>
      </c>
      <c r="B530">
        <v>4</v>
      </c>
      <c r="C530" t="s">
        <v>3310</v>
      </c>
      <c r="D530" t="b">
        <v>0</v>
      </c>
      <c r="E530" t="b">
        <v>1</v>
      </c>
      <c r="F530" t="s">
        <v>3986</v>
      </c>
      <c r="G530" t="s">
        <v>3986</v>
      </c>
      <c r="H530" t="s">
        <v>3986</v>
      </c>
      <c r="I530" t="s">
        <v>3986</v>
      </c>
      <c r="J530" t="s">
        <v>3359</v>
      </c>
      <c r="K530" t="s">
        <v>3465</v>
      </c>
      <c r="L530" t="s">
        <v>3464</v>
      </c>
      <c r="M530" t="s">
        <v>5</v>
      </c>
      <c r="N530">
        <v>16</v>
      </c>
      <c r="O530" t="b">
        <v>1</v>
      </c>
      <c r="P530" t="b">
        <v>0</v>
      </c>
      <c r="Q530" t="b">
        <v>0</v>
      </c>
      <c r="R530" t="b">
        <v>0</v>
      </c>
      <c r="T530" t="s">
        <v>3742</v>
      </c>
      <c r="U530">
        <v>34</v>
      </c>
      <c r="V530" t="s">
        <v>4043</v>
      </c>
      <c r="W530">
        <v>4</v>
      </c>
      <c r="X530" t="s">
        <v>3993</v>
      </c>
      <c r="Y530" t="s">
        <v>3986</v>
      </c>
      <c r="Z530">
        <v>0</v>
      </c>
      <c r="AA530" t="s">
        <v>2493</v>
      </c>
      <c r="AB530" t="s">
        <v>3987</v>
      </c>
      <c r="AC530" t="s">
        <v>3986</v>
      </c>
      <c r="AD530" t="s">
        <v>2781</v>
      </c>
    </row>
    <row r="531" spans="1:30" x14ac:dyDescent="0.25">
      <c r="A531" t="s">
        <v>3460</v>
      </c>
      <c r="B531">
        <v>4</v>
      </c>
      <c r="C531" t="s">
        <v>3310</v>
      </c>
      <c r="D531" t="b">
        <v>0</v>
      </c>
      <c r="E531" t="b">
        <v>1</v>
      </c>
      <c r="F531" t="s">
        <v>3986</v>
      </c>
      <c r="G531" t="s">
        <v>3986</v>
      </c>
      <c r="H531" t="s">
        <v>3986</v>
      </c>
      <c r="I531" t="s">
        <v>3986</v>
      </c>
      <c r="J531" t="s">
        <v>3359</v>
      </c>
      <c r="K531" t="s">
        <v>3463</v>
      </c>
      <c r="L531" t="s">
        <v>3464</v>
      </c>
      <c r="M531" t="s">
        <v>5</v>
      </c>
      <c r="N531">
        <v>17</v>
      </c>
      <c r="O531" t="b">
        <v>1</v>
      </c>
      <c r="P531" t="b">
        <v>0</v>
      </c>
      <c r="Q531" t="b">
        <v>0</v>
      </c>
      <c r="R531" t="b">
        <v>0</v>
      </c>
      <c r="T531" t="s">
        <v>3742</v>
      </c>
      <c r="U531">
        <v>35</v>
      </c>
      <c r="V531" t="s">
        <v>4044</v>
      </c>
      <c r="W531">
        <v>4</v>
      </c>
      <c r="X531" t="s">
        <v>3993</v>
      </c>
      <c r="Y531" t="s">
        <v>3986</v>
      </c>
      <c r="Z531">
        <v>0</v>
      </c>
      <c r="AA531" t="s">
        <v>2493</v>
      </c>
      <c r="AB531" t="s">
        <v>3987</v>
      </c>
      <c r="AC531" t="s">
        <v>3986</v>
      </c>
      <c r="AD531" t="s">
        <v>2781</v>
      </c>
    </row>
    <row r="532" spans="1:30" x14ac:dyDescent="0.25">
      <c r="A532" t="s">
        <v>3460</v>
      </c>
      <c r="B532">
        <v>4</v>
      </c>
      <c r="C532" t="s">
        <v>3310</v>
      </c>
      <c r="D532" t="b">
        <v>0</v>
      </c>
      <c r="E532" t="b">
        <v>0</v>
      </c>
      <c r="F532" t="s">
        <v>3986</v>
      </c>
      <c r="G532" t="s">
        <v>3986</v>
      </c>
      <c r="H532" t="s">
        <v>3986</v>
      </c>
      <c r="I532" t="s">
        <v>3986</v>
      </c>
      <c r="J532" t="s">
        <v>3986</v>
      </c>
      <c r="K532" t="s">
        <v>3482</v>
      </c>
      <c r="L532" t="s">
        <v>3483</v>
      </c>
      <c r="M532" t="s">
        <v>5</v>
      </c>
      <c r="N532">
        <v>22</v>
      </c>
      <c r="O532" t="b">
        <v>1</v>
      </c>
      <c r="P532" t="b">
        <v>0</v>
      </c>
      <c r="Q532" t="b">
        <v>0</v>
      </c>
      <c r="R532" t="b">
        <v>0</v>
      </c>
      <c r="T532" t="s">
        <v>3742</v>
      </c>
      <c r="U532">
        <v>36</v>
      </c>
      <c r="V532" t="s">
        <v>4045</v>
      </c>
      <c r="W532">
        <v>4</v>
      </c>
      <c r="X532" t="s">
        <v>3993</v>
      </c>
      <c r="Y532" t="s">
        <v>3986</v>
      </c>
      <c r="Z532">
        <v>0</v>
      </c>
      <c r="AA532" t="s">
        <v>2493</v>
      </c>
      <c r="AB532" t="s">
        <v>3987</v>
      </c>
      <c r="AC532" t="s">
        <v>3986</v>
      </c>
      <c r="AD532" t="s">
        <v>2781</v>
      </c>
    </row>
    <row r="533" spans="1:30" x14ac:dyDescent="0.25">
      <c r="A533" t="s">
        <v>3460</v>
      </c>
      <c r="B533">
        <v>4</v>
      </c>
      <c r="C533" t="s">
        <v>3310</v>
      </c>
      <c r="D533" t="b">
        <v>0</v>
      </c>
      <c r="E533" t="b">
        <v>0</v>
      </c>
      <c r="F533" t="s">
        <v>3986</v>
      </c>
      <c r="G533" t="s">
        <v>3986</v>
      </c>
      <c r="H533" t="s">
        <v>3986</v>
      </c>
      <c r="I533" t="s">
        <v>3986</v>
      </c>
      <c r="J533" t="s">
        <v>3986</v>
      </c>
      <c r="K533" t="s">
        <v>3484</v>
      </c>
      <c r="L533" t="s">
        <v>3485</v>
      </c>
      <c r="M533" t="s">
        <v>5</v>
      </c>
      <c r="N533">
        <v>23</v>
      </c>
      <c r="O533" t="b">
        <v>1</v>
      </c>
      <c r="P533" t="b">
        <v>0</v>
      </c>
      <c r="Q533" t="b">
        <v>0</v>
      </c>
      <c r="R533" t="b">
        <v>0</v>
      </c>
      <c r="T533" t="s">
        <v>3742</v>
      </c>
      <c r="U533">
        <v>37</v>
      </c>
      <c r="V533" t="s">
        <v>4046</v>
      </c>
      <c r="W533">
        <v>4</v>
      </c>
      <c r="X533" t="s">
        <v>3993</v>
      </c>
      <c r="Y533" t="s">
        <v>3986</v>
      </c>
      <c r="Z533">
        <v>0</v>
      </c>
      <c r="AA533" t="s">
        <v>2493</v>
      </c>
      <c r="AB533" t="s">
        <v>3987</v>
      </c>
      <c r="AC533" t="s">
        <v>3986</v>
      </c>
      <c r="AD533" t="s">
        <v>2781</v>
      </c>
    </row>
    <row r="534" spans="1:30" x14ac:dyDescent="0.25">
      <c r="A534" t="s">
        <v>3460</v>
      </c>
      <c r="B534">
        <v>4</v>
      </c>
      <c r="C534" t="s">
        <v>3618</v>
      </c>
      <c r="D534" t="b">
        <v>0</v>
      </c>
      <c r="E534" t="b">
        <v>0</v>
      </c>
      <c r="F534" t="s">
        <v>3986</v>
      </c>
      <c r="G534" t="s">
        <v>3986</v>
      </c>
      <c r="H534" t="s">
        <v>3986</v>
      </c>
      <c r="I534" t="s">
        <v>3986</v>
      </c>
      <c r="J534" t="s">
        <v>3986</v>
      </c>
      <c r="K534" t="s">
        <v>3486</v>
      </c>
      <c r="L534" t="s">
        <v>3487</v>
      </c>
      <c r="M534" t="s">
        <v>5</v>
      </c>
      <c r="N534">
        <v>24</v>
      </c>
      <c r="O534" t="b">
        <v>1</v>
      </c>
      <c r="P534" t="b">
        <v>0</v>
      </c>
      <c r="Q534" t="b">
        <v>0</v>
      </c>
      <c r="R534" t="b">
        <v>0</v>
      </c>
      <c r="T534" t="s">
        <v>3742</v>
      </c>
      <c r="U534">
        <v>38</v>
      </c>
      <c r="V534" t="s">
        <v>4047</v>
      </c>
      <c r="W534">
        <v>4</v>
      </c>
      <c r="X534" t="s">
        <v>3993</v>
      </c>
      <c r="Y534" t="s">
        <v>3986</v>
      </c>
      <c r="Z534">
        <v>0</v>
      </c>
      <c r="AA534" t="s">
        <v>2493</v>
      </c>
      <c r="AB534" t="s">
        <v>3987</v>
      </c>
      <c r="AC534" t="s">
        <v>3986</v>
      </c>
      <c r="AD534" t="s">
        <v>2781</v>
      </c>
    </row>
    <row r="535" spans="1:30" x14ac:dyDescent="0.25">
      <c r="A535" t="s">
        <v>3460</v>
      </c>
      <c r="B535">
        <v>4</v>
      </c>
      <c r="C535" t="s">
        <v>3618</v>
      </c>
      <c r="D535" t="b">
        <v>0</v>
      </c>
      <c r="E535" t="b">
        <v>0</v>
      </c>
      <c r="F535" t="s">
        <v>3986</v>
      </c>
      <c r="G535" t="s">
        <v>3986</v>
      </c>
      <c r="H535" t="s">
        <v>3986</v>
      </c>
      <c r="I535" t="s">
        <v>3986</v>
      </c>
      <c r="J535" t="s">
        <v>3986</v>
      </c>
      <c r="K535" t="s">
        <v>3619</v>
      </c>
      <c r="L535" t="s">
        <v>3488</v>
      </c>
      <c r="M535" t="s">
        <v>5</v>
      </c>
      <c r="N535">
        <v>25</v>
      </c>
      <c r="O535" t="b">
        <v>1</v>
      </c>
      <c r="P535" t="b">
        <v>0</v>
      </c>
      <c r="Q535" t="b">
        <v>0</v>
      </c>
      <c r="R535" t="b">
        <v>0</v>
      </c>
      <c r="T535" t="s">
        <v>3742</v>
      </c>
      <c r="U535">
        <v>39</v>
      </c>
      <c r="V535" t="s">
        <v>4048</v>
      </c>
      <c r="W535">
        <v>4</v>
      </c>
      <c r="X535" t="s">
        <v>3993</v>
      </c>
      <c r="Y535" t="s">
        <v>3986</v>
      </c>
      <c r="Z535">
        <v>0</v>
      </c>
      <c r="AA535" t="s">
        <v>2493</v>
      </c>
      <c r="AB535" t="s">
        <v>3987</v>
      </c>
      <c r="AC535" t="s">
        <v>3986</v>
      </c>
      <c r="AD535" t="s">
        <v>2781</v>
      </c>
    </row>
    <row r="536" spans="1:30" x14ac:dyDescent="0.25">
      <c r="A536" t="s">
        <v>3460</v>
      </c>
      <c r="B536">
        <v>5</v>
      </c>
      <c r="C536" t="s">
        <v>3310</v>
      </c>
      <c r="D536" t="b">
        <v>0</v>
      </c>
      <c r="E536" t="b">
        <v>1</v>
      </c>
      <c r="F536" t="s">
        <v>3986</v>
      </c>
      <c r="G536" t="s">
        <v>3986</v>
      </c>
      <c r="H536" t="s">
        <v>3986</v>
      </c>
      <c r="I536" t="s">
        <v>3986</v>
      </c>
      <c r="J536" t="s">
        <v>3986</v>
      </c>
      <c r="K536" t="s">
        <v>4935</v>
      </c>
      <c r="L536" t="s">
        <v>2483</v>
      </c>
      <c r="M536" t="s">
        <v>1432</v>
      </c>
      <c r="N536">
        <v>16</v>
      </c>
      <c r="O536" t="b">
        <v>1</v>
      </c>
      <c r="P536" t="b">
        <v>0</v>
      </c>
      <c r="Q536" t="b">
        <v>0</v>
      </c>
      <c r="R536" t="b">
        <v>0</v>
      </c>
      <c r="T536" t="s">
        <v>3742</v>
      </c>
      <c r="U536">
        <v>40</v>
      </c>
      <c r="V536" t="s">
        <v>4049</v>
      </c>
      <c r="W536">
        <v>4</v>
      </c>
      <c r="X536" t="s">
        <v>3993</v>
      </c>
      <c r="Y536" t="s">
        <v>3986</v>
      </c>
      <c r="Z536">
        <v>0</v>
      </c>
      <c r="AA536" t="s">
        <v>2493</v>
      </c>
      <c r="AB536" t="s">
        <v>3987</v>
      </c>
      <c r="AC536" t="s">
        <v>3986</v>
      </c>
      <c r="AD536" t="s">
        <v>2781</v>
      </c>
    </row>
    <row r="537" spans="1:30" x14ac:dyDescent="0.25">
      <c r="A537" t="s">
        <v>3460</v>
      </c>
      <c r="B537">
        <v>5</v>
      </c>
      <c r="C537" t="s">
        <v>3310</v>
      </c>
      <c r="D537" t="b">
        <v>0</v>
      </c>
      <c r="E537" t="b">
        <v>1</v>
      </c>
      <c r="F537" t="s">
        <v>3986</v>
      </c>
      <c r="G537" t="s">
        <v>3986</v>
      </c>
      <c r="H537" t="s">
        <v>3986</v>
      </c>
      <c r="I537" t="s">
        <v>3986</v>
      </c>
      <c r="J537" t="s">
        <v>3359</v>
      </c>
      <c r="K537" t="s">
        <v>4936</v>
      </c>
      <c r="L537" t="s">
        <v>4937</v>
      </c>
      <c r="M537" t="s">
        <v>1432</v>
      </c>
      <c r="N537">
        <v>20</v>
      </c>
      <c r="O537" t="b">
        <v>1</v>
      </c>
      <c r="P537" t="b">
        <v>0</v>
      </c>
      <c r="Q537" t="b">
        <v>0</v>
      </c>
      <c r="R537" t="b">
        <v>0</v>
      </c>
      <c r="T537" t="s">
        <v>3742</v>
      </c>
      <c r="U537">
        <v>41</v>
      </c>
      <c r="V537" t="s">
        <v>4050</v>
      </c>
      <c r="W537">
        <v>4</v>
      </c>
      <c r="X537" t="s">
        <v>3993</v>
      </c>
      <c r="Y537" t="s">
        <v>3986</v>
      </c>
      <c r="Z537">
        <v>0</v>
      </c>
      <c r="AA537" t="s">
        <v>2493</v>
      </c>
      <c r="AB537" t="s">
        <v>3987</v>
      </c>
      <c r="AC537" t="s">
        <v>3986</v>
      </c>
      <c r="AD537" t="s">
        <v>2781</v>
      </c>
    </row>
    <row r="538" spans="1:30" x14ac:dyDescent="0.25">
      <c r="A538" t="s">
        <v>3460</v>
      </c>
      <c r="B538">
        <v>5</v>
      </c>
      <c r="C538" t="s">
        <v>3310</v>
      </c>
      <c r="D538" t="b">
        <v>0</v>
      </c>
      <c r="E538" t="b">
        <v>1</v>
      </c>
      <c r="F538" t="s">
        <v>3986</v>
      </c>
      <c r="G538" t="s">
        <v>3986</v>
      </c>
      <c r="H538" t="s">
        <v>3986</v>
      </c>
      <c r="I538" t="s">
        <v>3986</v>
      </c>
      <c r="J538" t="s">
        <v>3359</v>
      </c>
      <c r="K538" t="s">
        <v>4938</v>
      </c>
      <c r="L538" t="s">
        <v>4939</v>
      </c>
      <c r="M538" t="s">
        <v>1432</v>
      </c>
      <c r="N538">
        <v>27</v>
      </c>
      <c r="O538" t="b">
        <v>1</v>
      </c>
      <c r="P538" t="b">
        <v>0</v>
      </c>
      <c r="Q538" t="b">
        <v>0</v>
      </c>
      <c r="R538" t="b">
        <v>0</v>
      </c>
      <c r="T538" t="s">
        <v>3742</v>
      </c>
      <c r="U538">
        <v>42</v>
      </c>
      <c r="V538" t="s">
        <v>4051</v>
      </c>
      <c r="W538">
        <v>4</v>
      </c>
      <c r="X538" t="s">
        <v>3993</v>
      </c>
      <c r="Y538" t="s">
        <v>3986</v>
      </c>
      <c r="Z538">
        <v>0</v>
      </c>
      <c r="AA538" t="s">
        <v>2493</v>
      </c>
      <c r="AB538" t="s">
        <v>3987</v>
      </c>
      <c r="AC538" t="s">
        <v>3986</v>
      </c>
      <c r="AD538" t="s">
        <v>2781</v>
      </c>
    </row>
    <row r="539" spans="1:30" x14ac:dyDescent="0.25">
      <c r="A539" t="s">
        <v>3460</v>
      </c>
      <c r="B539">
        <v>5</v>
      </c>
      <c r="C539" t="s">
        <v>3310</v>
      </c>
      <c r="D539" t="b">
        <v>0</v>
      </c>
      <c r="E539" t="b">
        <v>1</v>
      </c>
      <c r="F539" t="s">
        <v>3986</v>
      </c>
      <c r="G539" t="s">
        <v>3986</v>
      </c>
      <c r="H539" t="s">
        <v>3986</v>
      </c>
      <c r="I539" t="s">
        <v>3986</v>
      </c>
      <c r="J539" t="s">
        <v>3359</v>
      </c>
      <c r="K539" t="s">
        <v>4940</v>
      </c>
      <c r="L539" t="s">
        <v>2491</v>
      </c>
      <c r="M539" t="s">
        <v>1432</v>
      </c>
      <c r="N539">
        <v>35</v>
      </c>
      <c r="O539" t="b">
        <v>1</v>
      </c>
      <c r="P539" t="b">
        <v>0</v>
      </c>
      <c r="Q539" t="b">
        <v>0</v>
      </c>
      <c r="R539" t="b">
        <v>0</v>
      </c>
      <c r="T539" t="s">
        <v>3742</v>
      </c>
      <c r="U539">
        <v>43</v>
      </c>
      <c r="V539" t="s">
        <v>4052</v>
      </c>
      <c r="W539">
        <v>4</v>
      </c>
      <c r="X539" t="s">
        <v>3993</v>
      </c>
      <c r="Y539" t="s">
        <v>3986</v>
      </c>
      <c r="Z539">
        <v>0</v>
      </c>
      <c r="AA539" t="s">
        <v>2493</v>
      </c>
      <c r="AB539" t="s">
        <v>3987</v>
      </c>
      <c r="AC539" t="s">
        <v>3986</v>
      </c>
      <c r="AD539" t="s">
        <v>2781</v>
      </c>
    </row>
    <row r="540" spans="1:30" x14ac:dyDescent="0.25">
      <c r="A540" t="s">
        <v>3460</v>
      </c>
      <c r="B540">
        <v>4</v>
      </c>
      <c r="C540" t="s">
        <v>3310</v>
      </c>
      <c r="D540" t="b">
        <v>1</v>
      </c>
      <c r="E540" t="b">
        <v>0</v>
      </c>
      <c r="F540" t="s">
        <v>3986</v>
      </c>
      <c r="G540" t="s">
        <v>3986</v>
      </c>
      <c r="H540" t="s">
        <v>3986</v>
      </c>
      <c r="I540" t="s">
        <v>3986</v>
      </c>
      <c r="J540" t="s">
        <v>3359</v>
      </c>
      <c r="K540" t="s">
        <v>3493</v>
      </c>
      <c r="L540" t="s">
        <v>3492</v>
      </c>
      <c r="M540" t="s">
        <v>3281</v>
      </c>
      <c r="N540">
        <v>6</v>
      </c>
      <c r="O540" t="b">
        <v>1</v>
      </c>
      <c r="P540" t="b">
        <v>0</v>
      </c>
      <c r="Q540" t="b">
        <v>0</v>
      </c>
      <c r="R540" t="b">
        <v>0</v>
      </c>
      <c r="T540" t="s">
        <v>3742</v>
      </c>
      <c r="U540">
        <v>44</v>
      </c>
      <c r="V540" t="s">
        <v>4053</v>
      </c>
      <c r="W540">
        <v>4</v>
      </c>
      <c r="X540" t="s">
        <v>3993</v>
      </c>
      <c r="Y540" t="s">
        <v>3986</v>
      </c>
      <c r="Z540">
        <v>0</v>
      </c>
      <c r="AA540" t="s">
        <v>2493</v>
      </c>
      <c r="AB540" t="s">
        <v>3987</v>
      </c>
      <c r="AC540" t="s">
        <v>3986</v>
      </c>
      <c r="AD540" t="s">
        <v>2781</v>
      </c>
    </row>
    <row r="541" spans="1:30" x14ac:dyDescent="0.25">
      <c r="A541" t="s">
        <v>3460</v>
      </c>
      <c r="B541">
        <v>4</v>
      </c>
      <c r="C541" t="s">
        <v>3310</v>
      </c>
      <c r="D541" t="b">
        <v>1</v>
      </c>
      <c r="E541" t="b">
        <v>0</v>
      </c>
      <c r="F541" t="s">
        <v>3986</v>
      </c>
      <c r="G541" t="s">
        <v>3986</v>
      </c>
      <c r="H541" t="s">
        <v>3986</v>
      </c>
      <c r="I541" t="s">
        <v>3986</v>
      </c>
      <c r="J541" t="s">
        <v>3359</v>
      </c>
      <c r="K541" t="s">
        <v>3494</v>
      </c>
      <c r="L541" t="s">
        <v>3495</v>
      </c>
      <c r="M541" t="s">
        <v>3281</v>
      </c>
      <c r="N541">
        <v>7</v>
      </c>
      <c r="O541" t="b">
        <v>1</v>
      </c>
      <c r="P541" t="b">
        <v>0</v>
      </c>
      <c r="Q541" t="b">
        <v>0</v>
      </c>
      <c r="R541" t="b">
        <v>0</v>
      </c>
      <c r="T541" t="s">
        <v>3742</v>
      </c>
      <c r="U541">
        <v>45</v>
      </c>
      <c r="V541" t="s">
        <v>4054</v>
      </c>
      <c r="W541">
        <v>4</v>
      </c>
      <c r="X541" t="s">
        <v>3993</v>
      </c>
      <c r="Y541" t="s">
        <v>3986</v>
      </c>
      <c r="Z541">
        <v>0</v>
      </c>
      <c r="AA541" t="s">
        <v>2493</v>
      </c>
      <c r="AB541" t="s">
        <v>3987</v>
      </c>
      <c r="AC541" t="s">
        <v>3986</v>
      </c>
      <c r="AD541" t="s">
        <v>2781</v>
      </c>
    </row>
    <row r="542" spans="1:30" x14ac:dyDescent="0.25">
      <c r="A542" t="s">
        <v>3460</v>
      </c>
      <c r="B542">
        <v>4</v>
      </c>
      <c r="C542" t="s">
        <v>3310</v>
      </c>
      <c r="D542" t="b">
        <v>1</v>
      </c>
      <c r="E542" t="b">
        <v>0</v>
      </c>
      <c r="F542" t="s">
        <v>3986</v>
      </c>
      <c r="G542" t="s">
        <v>3986</v>
      </c>
      <c r="H542" t="s">
        <v>3986</v>
      </c>
      <c r="I542" t="s">
        <v>3986</v>
      </c>
      <c r="J542" t="s">
        <v>3359</v>
      </c>
      <c r="K542" t="s">
        <v>3496</v>
      </c>
      <c r="L542" t="s">
        <v>3497</v>
      </c>
      <c r="M542" t="s">
        <v>3281</v>
      </c>
      <c r="N542">
        <v>8</v>
      </c>
      <c r="O542" t="b">
        <v>1</v>
      </c>
      <c r="P542" t="b">
        <v>0</v>
      </c>
      <c r="Q542" t="b">
        <v>0</v>
      </c>
      <c r="R542" t="b">
        <v>0</v>
      </c>
      <c r="T542" t="s">
        <v>3742</v>
      </c>
      <c r="U542">
        <v>48</v>
      </c>
      <c r="V542" t="s">
        <v>4055</v>
      </c>
      <c r="W542">
        <v>4</v>
      </c>
      <c r="X542" t="s">
        <v>3993</v>
      </c>
      <c r="Y542" t="s">
        <v>3986</v>
      </c>
      <c r="Z542">
        <v>0</v>
      </c>
      <c r="AA542" t="s">
        <v>2493</v>
      </c>
      <c r="AB542" t="s">
        <v>3987</v>
      </c>
      <c r="AC542" t="s">
        <v>3986</v>
      </c>
      <c r="AD542" t="s">
        <v>2781</v>
      </c>
    </row>
    <row r="543" spans="1:30" x14ac:dyDescent="0.25">
      <c r="A543" t="s">
        <v>3460</v>
      </c>
      <c r="B543">
        <v>4</v>
      </c>
      <c r="C543" t="s">
        <v>3310</v>
      </c>
      <c r="D543" t="b">
        <v>1</v>
      </c>
      <c r="E543" t="b">
        <v>0</v>
      </c>
      <c r="F543" t="s">
        <v>3986</v>
      </c>
      <c r="G543" t="s">
        <v>3986</v>
      </c>
      <c r="H543" t="s">
        <v>3986</v>
      </c>
      <c r="I543" t="s">
        <v>3986</v>
      </c>
      <c r="J543" t="s">
        <v>3359</v>
      </c>
      <c r="K543" t="s">
        <v>3498</v>
      </c>
      <c r="L543" t="s">
        <v>3499</v>
      </c>
      <c r="M543" t="s">
        <v>3281</v>
      </c>
      <c r="N543">
        <v>10</v>
      </c>
      <c r="O543" t="b">
        <v>1</v>
      </c>
      <c r="P543" t="b">
        <v>0</v>
      </c>
      <c r="Q543" t="b">
        <v>0</v>
      </c>
      <c r="R543" t="b">
        <v>0</v>
      </c>
      <c r="T543" t="s">
        <v>3742</v>
      </c>
      <c r="U543">
        <v>49</v>
      </c>
      <c r="V543" t="s">
        <v>4056</v>
      </c>
      <c r="W543">
        <v>4</v>
      </c>
      <c r="X543" t="s">
        <v>3993</v>
      </c>
      <c r="Y543" t="s">
        <v>3986</v>
      </c>
      <c r="Z543">
        <v>0</v>
      </c>
      <c r="AA543" t="s">
        <v>2493</v>
      </c>
      <c r="AB543" t="s">
        <v>3987</v>
      </c>
      <c r="AC543" t="s">
        <v>3986</v>
      </c>
      <c r="AD543" t="s">
        <v>2781</v>
      </c>
    </row>
    <row r="544" spans="1:30" x14ac:dyDescent="0.25">
      <c r="A544" t="s">
        <v>3460</v>
      </c>
      <c r="B544">
        <v>4</v>
      </c>
      <c r="C544" t="s">
        <v>3310</v>
      </c>
      <c r="D544" t="b">
        <v>1</v>
      </c>
      <c r="E544" t="b">
        <v>0</v>
      </c>
      <c r="F544" t="s">
        <v>3986</v>
      </c>
      <c r="G544" t="s">
        <v>3986</v>
      </c>
      <c r="H544" t="s">
        <v>3986</v>
      </c>
      <c r="I544" t="s">
        <v>3986</v>
      </c>
      <c r="J544" t="s">
        <v>3359</v>
      </c>
      <c r="K544" t="s">
        <v>3500</v>
      </c>
      <c r="L544" t="s">
        <v>3492</v>
      </c>
      <c r="M544" t="s">
        <v>3281</v>
      </c>
      <c r="N544">
        <v>9</v>
      </c>
      <c r="O544" t="b">
        <v>1</v>
      </c>
      <c r="P544" t="b">
        <v>0</v>
      </c>
      <c r="Q544" t="b">
        <v>0</v>
      </c>
      <c r="R544" t="b">
        <v>0</v>
      </c>
      <c r="T544" t="s">
        <v>3742</v>
      </c>
      <c r="U544">
        <v>50</v>
      </c>
      <c r="V544" t="s">
        <v>4057</v>
      </c>
      <c r="W544">
        <v>4</v>
      </c>
      <c r="X544" t="s">
        <v>3993</v>
      </c>
      <c r="Y544" t="s">
        <v>3986</v>
      </c>
      <c r="Z544">
        <v>0</v>
      </c>
      <c r="AA544" t="s">
        <v>2493</v>
      </c>
      <c r="AB544" t="s">
        <v>3987</v>
      </c>
      <c r="AC544" t="s">
        <v>3986</v>
      </c>
      <c r="AD544" t="s">
        <v>2781</v>
      </c>
    </row>
    <row r="545" spans="1:30" x14ac:dyDescent="0.25">
      <c r="A545" t="s">
        <v>3620</v>
      </c>
      <c r="B545">
        <v>5</v>
      </c>
      <c r="C545" t="s">
        <v>3343</v>
      </c>
      <c r="D545" t="b">
        <v>1</v>
      </c>
      <c r="E545" t="b">
        <v>0</v>
      </c>
      <c r="F545" t="s">
        <v>3307</v>
      </c>
      <c r="G545" t="s">
        <v>3986</v>
      </c>
      <c r="H545" t="s">
        <v>3986</v>
      </c>
      <c r="I545" t="s">
        <v>3986</v>
      </c>
      <c r="J545" t="s">
        <v>3986</v>
      </c>
      <c r="K545" t="s">
        <v>3621</v>
      </c>
      <c r="L545" t="s">
        <v>3622</v>
      </c>
      <c r="M545" t="s">
        <v>3550</v>
      </c>
      <c r="N545">
        <v>7</v>
      </c>
      <c r="O545" t="b">
        <v>0</v>
      </c>
      <c r="P545" t="b">
        <v>0</v>
      </c>
      <c r="Q545" t="b">
        <v>0</v>
      </c>
      <c r="R545" t="b">
        <v>0</v>
      </c>
      <c r="T545" t="s">
        <v>3742</v>
      </c>
      <c r="U545">
        <v>51</v>
      </c>
      <c r="V545" t="s">
        <v>4058</v>
      </c>
      <c r="W545">
        <v>4</v>
      </c>
      <c r="X545" t="s">
        <v>3993</v>
      </c>
      <c r="Y545" t="s">
        <v>3986</v>
      </c>
      <c r="Z545">
        <v>0</v>
      </c>
      <c r="AA545" t="s">
        <v>2493</v>
      </c>
      <c r="AB545" t="s">
        <v>3987</v>
      </c>
      <c r="AC545" t="s">
        <v>3986</v>
      </c>
      <c r="AD545" t="s">
        <v>2781</v>
      </c>
    </row>
    <row r="546" spans="1:30" x14ac:dyDescent="0.25">
      <c r="A546" t="s">
        <v>3987</v>
      </c>
      <c r="B546">
        <v>6</v>
      </c>
      <c r="C546" t="s">
        <v>3310</v>
      </c>
      <c r="D546" t="b">
        <v>1</v>
      </c>
      <c r="E546" t="b">
        <v>0</v>
      </c>
      <c r="F546" t="s">
        <v>3986</v>
      </c>
      <c r="G546" t="s">
        <v>3986</v>
      </c>
      <c r="H546" t="s">
        <v>3986</v>
      </c>
      <c r="I546" t="s">
        <v>3986</v>
      </c>
      <c r="J546" t="s">
        <v>3359</v>
      </c>
      <c r="K546" t="s">
        <v>3621</v>
      </c>
      <c r="L546" t="s">
        <v>3622</v>
      </c>
      <c r="M546" t="s">
        <v>3550</v>
      </c>
      <c r="N546">
        <v>7</v>
      </c>
      <c r="O546" t="b">
        <v>0</v>
      </c>
      <c r="P546" t="b">
        <v>0</v>
      </c>
      <c r="Q546" t="b">
        <v>0</v>
      </c>
      <c r="R546" t="b">
        <v>0</v>
      </c>
      <c r="T546" t="s">
        <v>3742</v>
      </c>
      <c r="U546">
        <v>52</v>
      </c>
      <c r="V546" t="s">
        <v>4059</v>
      </c>
      <c r="W546">
        <v>4</v>
      </c>
      <c r="X546" t="s">
        <v>3993</v>
      </c>
      <c r="Y546" t="s">
        <v>3986</v>
      </c>
      <c r="Z546">
        <v>0</v>
      </c>
      <c r="AA546" t="s">
        <v>2493</v>
      </c>
      <c r="AB546" t="s">
        <v>3987</v>
      </c>
      <c r="AC546" t="s">
        <v>3986</v>
      </c>
      <c r="AD546" t="s">
        <v>2781</v>
      </c>
    </row>
    <row r="547" spans="1:30" x14ac:dyDescent="0.25">
      <c r="A547" t="s">
        <v>3988</v>
      </c>
      <c r="B547">
        <v>7</v>
      </c>
      <c r="C547" t="s">
        <v>3310</v>
      </c>
      <c r="D547" t="b">
        <v>1</v>
      </c>
      <c r="E547" t="b">
        <v>0</v>
      </c>
      <c r="F547" t="s">
        <v>3986</v>
      </c>
      <c r="G547" t="s">
        <v>3986</v>
      </c>
      <c r="H547" t="s">
        <v>3986</v>
      </c>
      <c r="I547" t="s">
        <v>3986</v>
      </c>
      <c r="J547" t="s">
        <v>3359</v>
      </c>
      <c r="K547" t="s">
        <v>3621</v>
      </c>
      <c r="L547" t="s">
        <v>3622</v>
      </c>
      <c r="M547" t="s">
        <v>3550</v>
      </c>
      <c r="N547">
        <v>7</v>
      </c>
      <c r="O547" t="b">
        <v>0</v>
      </c>
      <c r="P547" t="b">
        <v>0</v>
      </c>
      <c r="Q547" t="b">
        <v>0</v>
      </c>
      <c r="R547" t="b">
        <v>0</v>
      </c>
      <c r="T547" t="s">
        <v>3742</v>
      </c>
      <c r="U547">
        <v>53</v>
      </c>
      <c r="V547" t="s">
        <v>4060</v>
      </c>
      <c r="W547">
        <v>4</v>
      </c>
      <c r="X547" t="s">
        <v>3993</v>
      </c>
      <c r="Y547" t="s">
        <v>3986</v>
      </c>
      <c r="Z547">
        <v>0</v>
      </c>
      <c r="AA547" t="s">
        <v>2493</v>
      </c>
      <c r="AB547" t="s">
        <v>3987</v>
      </c>
      <c r="AC547" t="s">
        <v>3986</v>
      </c>
      <c r="AD547" t="s">
        <v>2781</v>
      </c>
    </row>
    <row r="548" spans="1:30" x14ac:dyDescent="0.25">
      <c r="A548" t="s">
        <v>3989</v>
      </c>
      <c r="B548">
        <v>8</v>
      </c>
      <c r="C548" t="s">
        <v>3310</v>
      </c>
      <c r="D548" t="b">
        <v>1</v>
      </c>
      <c r="E548" t="b">
        <v>0</v>
      </c>
      <c r="F548" t="s">
        <v>3986</v>
      </c>
      <c r="G548" t="s">
        <v>3986</v>
      </c>
      <c r="H548" t="s">
        <v>3986</v>
      </c>
      <c r="I548" t="s">
        <v>3986</v>
      </c>
      <c r="J548" t="s">
        <v>3359</v>
      </c>
      <c r="K548" t="s">
        <v>3621</v>
      </c>
      <c r="L548" t="s">
        <v>3622</v>
      </c>
      <c r="M548" t="s">
        <v>3550</v>
      </c>
      <c r="N548">
        <v>7</v>
      </c>
      <c r="O548" t="b">
        <v>0</v>
      </c>
      <c r="P548" t="b">
        <v>0</v>
      </c>
      <c r="Q548" t="b">
        <v>0</v>
      </c>
      <c r="R548" t="b">
        <v>0</v>
      </c>
      <c r="T548" t="s">
        <v>3742</v>
      </c>
      <c r="U548">
        <v>54</v>
      </c>
      <c r="V548" t="s">
        <v>4061</v>
      </c>
      <c r="W548">
        <v>4</v>
      </c>
      <c r="X548" t="s">
        <v>3993</v>
      </c>
      <c r="Y548" t="s">
        <v>3986</v>
      </c>
      <c r="Z548">
        <v>0</v>
      </c>
      <c r="AA548" t="s">
        <v>2493</v>
      </c>
      <c r="AB548" t="s">
        <v>3987</v>
      </c>
      <c r="AC548" t="s">
        <v>3986</v>
      </c>
      <c r="AD548" t="s">
        <v>2781</v>
      </c>
    </row>
    <row r="549" spans="1:30" x14ac:dyDescent="0.25">
      <c r="A549" t="s">
        <v>3990</v>
      </c>
      <c r="B549">
        <v>9</v>
      </c>
      <c r="C549" t="s">
        <v>3310</v>
      </c>
      <c r="D549" t="b">
        <v>1</v>
      </c>
      <c r="E549" t="b">
        <v>0</v>
      </c>
      <c r="F549" t="s">
        <v>3986</v>
      </c>
      <c r="G549" t="s">
        <v>3986</v>
      </c>
      <c r="H549" t="s">
        <v>3986</v>
      </c>
      <c r="I549" t="s">
        <v>3986</v>
      </c>
      <c r="J549" t="s">
        <v>3359</v>
      </c>
      <c r="K549" t="s">
        <v>3621</v>
      </c>
      <c r="L549" t="s">
        <v>3622</v>
      </c>
      <c r="M549" t="s">
        <v>3550</v>
      </c>
      <c r="N549">
        <v>7</v>
      </c>
      <c r="O549" t="b">
        <v>0</v>
      </c>
      <c r="P549" t="b">
        <v>0</v>
      </c>
      <c r="Q549" t="b">
        <v>0</v>
      </c>
      <c r="R549" t="b">
        <v>0</v>
      </c>
      <c r="T549" t="s">
        <v>3742</v>
      </c>
      <c r="U549">
        <v>55</v>
      </c>
      <c r="V549" t="s">
        <v>4062</v>
      </c>
      <c r="W549">
        <v>4</v>
      </c>
      <c r="X549" t="s">
        <v>3993</v>
      </c>
      <c r="Y549" t="s">
        <v>3986</v>
      </c>
      <c r="Z549">
        <v>0</v>
      </c>
      <c r="AA549" t="s">
        <v>2493</v>
      </c>
      <c r="AB549" t="s">
        <v>3987</v>
      </c>
      <c r="AC549" t="s">
        <v>3986</v>
      </c>
      <c r="AD549" t="s">
        <v>2781</v>
      </c>
    </row>
    <row r="550" spans="1:30" x14ac:dyDescent="0.25">
      <c r="A550" t="s">
        <v>3991</v>
      </c>
      <c r="B550">
        <v>10</v>
      </c>
      <c r="C550" t="s">
        <v>3310</v>
      </c>
      <c r="D550" t="b">
        <v>1</v>
      </c>
      <c r="E550" t="b">
        <v>0</v>
      </c>
      <c r="F550" t="s">
        <v>3986</v>
      </c>
      <c r="G550" t="s">
        <v>3986</v>
      </c>
      <c r="H550" t="s">
        <v>3986</v>
      </c>
      <c r="I550" t="s">
        <v>3986</v>
      </c>
      <c r="J550" t="s">
        <v>3359</v>
      </c>
      <c r="K550" t="s">
        <v>3621</v>
      </c>
      <c r="L550" t="s">
        <v>3622</v>
      </c>
      <c r="M550" t="s">
        <v>3550</v>
      </c>
      <c r="N550">
        <v>7</v>
      </c>
      <c r="O550" t="b">
        <v>0</v>
      </c>
      <c r="P550" t="b">
        <v>0</v>
      </c>
      <c r="Q550" t="b">
        <v>0</v>
      </c>
      <c r="R550" t="b">
        <v>0</v>
      </c>
      <c r="T550" t="s">
        <v>3742</v>
      </c>
      <c r="U550">
        <v>56</v>
      </c>
      <c r="V550" t="s">
        <v>4063</v>
      </c>
      <c r="W550">
        <v>4</v>
      </c>
      <c r="X550" t="s">
        <v>3993</v>
      </c>
      <c r="Y550" t="s">
        <v>3986</v>
      </c>
      <c r="Z550">
        <v>0</v>
      </c>
      <c r="AA550" t="s">
        <v>2493</v>
      </c>
      <c r="AB550" t="s">
        <v>3987</v>
      </c>
      <c r="AC550" t="s">
        <v>3986</v>
      </c>
      <c r="AD550" t="s">
        <v>2781</v>
      </c>
    </row>
    <row r="551" spans="1:30" x14ac:dyDescent="0.25">
      <c r="A551" t="s">
        <v>3992</v>
      </c>
      <c r="B551">
        <v>11</v>
      </c>
      <c r="C551" t="s">
        <v>3310</v>
      </c>
      <c r="D551" t="b">
        <v>1</v>
      </c>
      <c r="E551" t="b">
        <v>0</v>
      </c>
      <c r="F551" t="s">
        <v>3986</v>
      </c>
      <c r="G551" t="s">
        <v>3986</v>
      </c>
      <c r="H551" t="s">
        <v>3986</v>
      </c>
      <c r="I551" t="s">
        <v>3986</v>
      </c>
      <c r="J551" t="s">
        <v>3359</v>
      </c>
      <c r="K551" t="s">
        <v>3621</v>
      </c>
      <c r="L551" t="s">
        <v>3622</v>
      </c>
      <c r="M551" t="s">
        <v>3550</v>
      </c>
      <c r="N551">
        <v>7</v>
      </c>
      <c r="O551" t="b">
        <v>0</v>
      </c>
      <c r="P551" t="b">
        <v>0</v>
      </c>
      <c r="Q551" t="b">
        <v>0</v>
      </c>
      <c r="R551" t="b">
        <v>0</v>
      </c>
      <c r="T551" t="s">
        <v>3742</v>
      </c>
      <c r="U551">
        <v>57</v>
      </c>
      <c r="V551" t="s">
        <v>4064</v>
      </c>
      <c r="W551">
        <v>4</v>
      </c>
      <c r="X551" t="s">
        <v>3993</v>
      </c>
      <c r="Y551" t="s">
        <v>3986</v>
      </c>
      <c r="Z551">
        <v>0</v>
      </c>
      <c r="AA551" t="s">
        <v>2493</v>
      </c>
      <c r="AB551" t="s">
        <v>3987</v>
      </c>
      <c r="AC551" t="s">
        <v>3986</v>
      </c>
      <c r="AD551" t="s">
        <v>2781</v>
      </c>
    </row>
    <row r="552" spans="1:30" x14ac:dyDescent="0.25">
      <c r="A552" t="s">
        <v>3993</v>
      </c>
      <c r="B552">
        <v>12</v>
      </c>
      <c r="C552" t="s">
        <v>3310</v>
      </c>
      <c r="D552" t="b">
        <v>1</v>
      </c>
      <c r="E552" t="b">
        <v>0</v>
      </c>
      <c r="F552" t="s">
        <v>3986</v>
      </c>
      <c r="G552" t="s">
        <v>3986</v>
      </c>
      <c r="H552" t="s">
        <v>3986</v>
      </c>
      <c r="I552" t="s">
        <v>3986</v>
      </c>
      <c r="J552" t="s">
        <v>3359</v>
      </c>
      <c r="K552" t="s">
        <v>3621</v>
      </c>
      <c r="L552" t="s">
        <v>3622</v>
      </c>
      <c r="M552" t="s">
        <v>3550</v>
      </c>
      <c r="N552">
        <v>7</v>
      </c>
      <c r="O552" t="b">
        <v>0</v>
      </c>
      <c r="P552" t="b">
        <v>0</v>
      </c>
      <c r="Q552" t="b">
        <v>0</v>
      </c>
      <c r="R552" t="b">
        <v>0</v>
      </c>
      <c r="T552" t="s">
        <v>3742</v>
      </c>
      <c r="U552">
        <v>58</v>
      </c>
      <c r="V552" t="s">
        <v>4065</v>
      </c>
      <c r="W552">
        <v>4</v>
      </c>
      <c r="X552" t="s">
        <v>3993</v>
      </c>
      <c r="Y552" t="s">
        <v>3986</v>
      </c>
      <c r="Z552">
        <v>0</v>
      </c>
      <c r="AA552" t="s">
        <v>2493</v>
      </c>
      <c r="AB552" t="s">
        <v>3987</v>
      </c>
      <c r="AC552" t="s">
        <v>3986</v>
      </c>
      <c r="AD552" t="s">
        <v>2781</v>
      </c>
    </row>
    <row r="553" spans="1:30" x14ac:dyDescent="0.25">
      <c r="A553" t="s">
        <v>3994</v>
      </c>
      <c r="B553">
        <v>13</v>
      </c>
      <c r="C553" t="s">
        <v>3310</v>
      </c>
      <c r="D553" t="b">
        <v>1</v>
      </c>
      <c r="E553" t="b">
        <v>0</v>
      </c>
      <c r="F553" t="s">
        <v>3986</v>
      </c>
      <c r="G553" t="s">
        <v>3986</v>
      </c>
      <c r="H553" t="s">
        <v>3986</v>
      </c>
      <c r="I553" t="s">
        <v>3986</v>
      </c>
      <c r="J553" t="s">
        <v>3359</v>
      </c>
      <c r="K553" t="s">
        <v>3621</v>
      </c>
      <c r="L553" t="s">
        <v>3622</v>
      </c>
      <c r="M553" t="s">
        <v>3550</v>
      </c>
      <c r="N553">
        <v>7</v>
      </c>
      <c r="O553" t="b">
        <v>0</v>
      </c>
      <c r="P553" t="b">
        <v>0</v>
      </c>
      <c r="Q553" t="b">
        <v>0</v>
      </c>
      <c r="R553" t="b">
        <v>0</v>
      </c>
      <c r="T553" t="s">
        <v>3742</v>
      </c>
      <c r="U553">
        <v>59</v>
      </c>
      <c r="V553" t="s">
        <v>4066</v>
      </c>
      <c r="W553">
        <v>4</v>
      </c>
      <c r="X553" t="s">
        <v>3993</v>
      </c>
      <c r="Y553" t="s">
        <v>3986</v>
      </c>
      <c r="Z553">
        <v>0</v>
      </c>
      <c r="AA553" t="s">
        <v>2493</v>
      </c>
      <c r="AB553" t="s">
        <v>3987</v>
      </c>
      <c r="AC553" t="s">
        <v>3986</v>
      </c>
      <c r="AD553" t="s">
        <v>2781</v>
      </c>
    </row>
    <row r="554" spans="1:30" x14ac:dyDescent="0.25">
      <c r="A554" t="s">
        <v>3995</v>
      </c>
      <c r="B554">
        <v>14</v>
      </c>
      <c r="C554" t="s">
        <v>3310</v>
      </c>
      <c r="D554" t="b">
        <v>1</v>
      </c>
      <c r="E554" t="b">
        <v>0</v>
      </c>
      <c r="F554" t="s">
        <v>3986</v>
      </c>
      <c r="G554" t="s">
        <v>3986</v>
      </c>
      <c r="H554" t="s">
        <v>3986</v>
      </c>
      <c r="I554" t="s">
        <v>3986</v>
      </c>
      <c r="J554" t="s">
        <v>3359</v>
      </c>
      <c r="K554" t="s">
        <v>3621</v>
      </c>
      <c r="L554" t="s">
        <v>3622</v>
      </c>
      <c r="M554" t="s">
        <v>3550</v>
      </c>
      <c r="N554">
        <v>7</v>
      </c>
      <c r="O554" t="b">
        <v>0</v>
      </c>
      <c r="P554" t="b">
        <v>0</v>
      </c>
      <c r="Q554" t="b">
        <v>0</v>
      </c>
      <c r="R554" t="b">
        <v>0</v>
      </c>
      <c r="T554" t="s">
        <v>3742</v>
      </c>
      <c r="U554">
        <v>59</v>
      </c>
      <c r="V554" t="s">
        <v>4067</v>
      </c>
      <c r="W554">
        <v>4</v>
      </c>
      <c r="X554" t="s">
        <v>3993</v>
      </c>
      <c r="Y554" t="s">
        <v>3986</v>
      </c>
      <c r="Z554">
        <v>0</v>
      </c>
      <c r="AA554" t="s">
        <v>2493</v>
      </c>
      <c r="AB554" t="s">
        <v>3987</v>
      </c>
      <c r="AC554" t="s">
        <v>3986</v>
      </c>
      <c r="AD554" t="s">
        <v>2781</v>
      </c>
    </row>
    <row r="555" spans="1:30" x14ac:dyDescent="0.25">
      <c r="A555" t="s">
        <v>3620</v>
      </c>
      <c r="B555">
        <v>16</v>
      </c>
      <c r="C555" t="s">
        <v>3343</v>
      </c>
      <c r="D555" t="b">
        <v>1</v>
      </c>
      <c r="E555" t="b">
        <v>0</v>
      </c>
      <c r="F555" t="s">
        <v>3307</v>
      </c>
      <c r="G555" t="s">
        <v>3986</v>
      </c>
      <c r="H555" t="s">
        <v>3986</v>
      </c>
      <c r="I555" t="s">
        <v>3986</v>
      </c>
      <c r="J555" t="s">
        <v>3986</v>
      </c>
      <c r="K555" t="s">
        <v>3623</v>
      </c>
      <c r="L555" t="s">
        <v>3624</v>
      </c>
      <c r="M555" t="s">
        <v>3550</v>
      </c>
      <c r="N555">
        <v>7</v>
      </c>
      <c r="O555" t="b">
        <v>0</v>
      </c>
      <c r="P555" t="b">
        <v>0</v>
      </c>
      <c r="Q555" t="b">
        <v>0</v>
      </c>
      <c r="R555" t="b">
        <v>0</v>
      </c>
      <c r="T555" t="s">
        <v>3742</v>
      </c>
      <c r="U555">
        <v>59</v>
      </c>
      <c r="V555" t="s">
        <v>4068</v>
      </c>
      <c r="W555">
        <v>4</v>
      </c>
      <c r="X555" t="s">
        <v>3993</v>
      </c>
      <c r="Y555" t="s">
        <v>3986</v>
      </c>
      <c r="Z555">
        <v>0</v>
      </c>
      <c r="AA555" t="s">
        <v>2493</v>
      </c>
      <c r="AB555" t="s">
        <v>3987</v>
      </c>
      <c r="AC555" t="s">
        <v>3986</v>
      </c>
      <c r="AD555" t="s">
        <v>2781</v>
      </c>
    </row>
    <row r="556" spans="1:30" x14ac:dyDescent="0.25">
      <c r="A556" t="s">
        <v>3625</v>
      </c>
      <c r="B556">
        <v>17</v>
      </c>
      <c r="C556" t="s">
        <v>3310</v>
      </c>
      <c r="D556" t="b">
        <v>1</v>
      </c>
      <c r="E556" t="b">
        <v>0</v>
      </c>
      <c r="F556" t="s">
        <v>3986</v>
      </c>
      <c r="G556" t="s">
        <v>3986</v>
      </c>
      <c r="H556" t="s">
        <v>3986</v>
      </c>
      <c r="I556" t="s">
        <v>3359</v>
      </c>
      <c r="J556" t="s">
        <v>3626</v>
      </c>
      <c r="K556" t="s">
        <v>3623</v>
      </c>
      <c r="L556" t="s">
        <v>3624</v>
      </c>
      <c r="M556" t="s">
        <v>3550</v>
      </c>
      <c r="N556">
        <v>7</v>
      </c>
      <c r="O556" t="b">
        <v>0</v>
      </c>
      <c r="P556" t="b">
        <v>0</v>
      </c>
      <c r="Q556" t="b">
        <v>0</v>
      </c>
      <c r="R556" t="b">
        <v>0</v>
      </c>
      <c r="T556" t="s">
        <v>3742</v>
      </c>
      <c r="U556">
        <v>60</v>
      </c>
      <c r="V556" t="s">
        <v>4069</v>
      </c>
      <c r="W556">
        <v>4</v>
      </c>
      <c r="X556" t="s">
        <v>3993</v>
      </c>
      <c r="Y556" t="s">
        <v>3986</v>
      </c>
      <c r="Z556">
        <v>0</v>
      </c>
      <c r="AA556" t="s">
        <v>2493</v>
      </c>
      <c r="AB556" t="s">
        <v>3987</v>
      </c>
      <c r="AC556" t="s">
        <v>3986</v>
      </c>
      <c r="AD556" t="s">
        <v>2781</v>
      </c>
    </row>
    <row r="557" spans="1:30" x14ac:dyDescent="0.25">
      <c r="A557" t="s">
        <v>3453</v>
      </c>
      <c r="B557">
        <v>2</v>
      </c>
      <c r="C557" t="s">
        <v>3306</v>
      </c>
      <c r="D557" t="b">
        <v>1</v>
      </c>
      <c r="E557" t="b">
        <v>0</v>
      </c>
      <c r="F557" t="s">
        <v>3307</v>
      </c>
      <c r="G557" t="s">
        <v>3986</v>
      </c>
      <c r="H557" t="s">
        <v>3986</v>
      </c>
      <c r="I557" t="s">
        <v>3986</v>
      </c>
      <c r="J557" t="s">
        <v>3986</v>
      </c>
      <c r="K557" t="s">
        <v>3627</v>
      </c>
      <c r="L557" t="s">
        <v>3628</v>
      </c>
      <c r="M557" t="s">
        <v>3550</v>
      </c>
      <c r="N557">
        <v>7</v>
      </c>
      <c r="O557" t="b">
        <v>0</v>
      </c>
      <c r="P557" t="b">
        <v>0</v>
      </c>
      <c r="Q557" t="b">
        <v>0</v>
      </c>
      <c r="R557" t="b">
        <v>0</v>
      </c>
      <c r="T557" t="s">
        <v>3742</v>
      </c>
      <c r="U557">
        <v>60</v>
      </c>
      <c r="V557" t="s">
        <v>4070</v>
      </c>
      <c r="W557">
        <v>4</v>
      </c>
      <c r="X557" t="s">
        <v>3993</v>
      </c>
      <c r="Y557" t="s">
        <v>3986</v>
      </c>
      <c r="Z557">
        <v>0</v>
      </c>
      <c r="AA557" t="s">
        <v>2493</v>
      </c>
      <c r="AB557" t="s">
        <v>3987</v>
      </c>
      <c r="AC557" t="s">
        <v>3986</v>
      </c>
      <c r="AD557" t="s">
        <v>2781</v>
      </c>
    </row>
    <row r="558" spans="1:30" x14ac:dyDescent="0.25">
      <c r="A558" t="s">
        <v>3528</v>
      </c>
      <c r="B558">
        <v>3</v>
      </c>
      <c r="C558" t="s">
        <v>3310</v>
      </c>
      <c r="D558" t="b">
        <v>1</v>
      </c>
      <c r="E558" t="b">
        <v>0</v>
      </c>
      <c r="F558" t="s">
        <v>3986</v>
      </c>
      <c r="G558" t="s">
        <v>3986</v>
      </c>
      <c r="H558" t="s">
        <v>3986</v>
      </c>
      <c r="I558" t="s">
        <v>3986</v>
      </c>
      <c r="J558" t="s">
        <v>3770</v>
      </c>
      <c r="K558" t="s">
        <v>3627</v>
      </c>
      <c r="L558" t="s">
        <v>3628</v>
      </c>
      <c r="M558" t="s">
        <v>3550</v>
      </c>
      <c r="N558">
        <v>7</v>
      </c>
      <c r="O558" t="b">
        <v>0</v>
      </c>
      <c r="P558" t="b">
        <v>0</v>
      </c>
      <c r="Q558" t="b">
        <v>0</v>
      </c>
      <c r="R558" t="b">
        <v>0</v>
      </c>
      <c r="T558" t="s">
        <v>3742</v>
      </c>
      <c r="U558">
        <v>60</v>
      </c>
      <c r="V558" t="s">
        <v>4071</v>
      </c>
      <c r="W558">
        <v>4</v>
      </c>
      <c r="X558" t="s">
        <v>3993</v>
      </c>
      <c r="Y558" t="s">
        <v>3986</v>
      </c>
      <c r="Z558">
        <v>0</v>
      </c>
      <c r="AA558" t="s">
        <v>2493</v>
      </c>
      <c r="AB558" t="s">
        <v>3987</v>
      </c>
      <c r="AC558" t="s">
        <v>3986</v>
      </c>
      <c r="AD558" t="s">
        <v>2781</v>
      </c>
    </row>
    <row r="559" spans="1:30" x14ac:dyDescent="0.25">
      <c r="A559" t="s">
        <v>3629</v>
      </c>
      <c r="B559">
        <v>2</v>
      </c>
      <c r="C559" t="s">
        <v>3306</v>
      </c>
      <c r="D559" t="b">
        <v>1</v>
      </c>
      <c r="E559" t="b">
        <v>0</v>
      </c>
      <c r="F559" t="s">
        <v>3986</v>
      </c>
      <c r="G559" t="s">
        <v>3986</v>
      </c>
      <c r="H559" t="s">
        <v>3986</v>
      </c>
      <c r="I559" t="s">
        <v>3986</v>
      </c>
      <c r="J559" t="s">
        <v>3986</v>
      </c>
      <c r="K559" t="s">
        <v>3630</v>
      </c>
      <c r="L559" t="s">
        <v>3631</v>
      </c>
      <c r="M559" t="s">
        <v>3754</v>
      </c>
      <c r="N559">
        <v>7</v>
      </c>
      <c r="O559" t="b">
        <v>0</v>
      </c>
      <c r="P559" t="b">
        <v>1</v>
      </c>
      <c r="Q559" t="b">
        <v>0</v>
      </c>
      <c r="R559" t="b">
        <v>0</v>
      </c>
      <c r="T559" t="s">
        <v>3742</v>
      </c>
      <c r="U559">
        <v>60</v>
      </c>
      <c r="V559" t="s">
        <v>4072</v>
      </c>
      <c r="W559">
        <v>4</v>
      </c>
      <c r="X559" t="s">
        <v>3993</v>
      </c>
      <c r="Y559" t="s">
        <v>3986</v>
      </c>
      <c r="Z559">
        <v>0</v>
      </c>
      <c r="AA559" t="s">
        <v>2493</v>
      </c>
      <c r="AB559" t="s">
        <v>3987</v>
      </c>
      <c r="AC559" t="s">
        <v>3986</v>
      </c>
      <c r="AD559" t="s">
        <v>2781</v>
      </c>
    </row>
    <row r="560" spans="1:30" x14ac:dyDescent="0.25">
      <c r="A560" t="s">
        <v>3632</v>
      </c>
      <c r="B560">
        <v>3</v>
      </c>
      <c r="C560" t="s">
        <v>3306</v>
      </c>
      <c r="D560" t="b">
        <v>1</v>
      </c>
      <c r="E560" t="b">
        <v>0</v>
      </c>
      <c r="F560" t="s">
        <v>3986</v>
      </c>
      <c r="G560" t="s">
        <v>3986</v>
      </c>
      <c r="H560" t="s">
        <v>3986</v>
      </c>
      <c r="I560" t="s">
        <v>3986</v>
      </c>
      <c r="J560" t="s">
        <v>3986</v>
      </c>
      <c r="K560" t="s">
        <v>3630</v>
      </c>
      <c r="L560" t="s">
        <v>3631</v>
      </c>
      <c r="M560" t="s">
        <v>3754</v>
      </c>
      <c r="N560">
        <v>7</v>
      </c>
      <c r="O560" t="b">
        <v>0</v>
      </c>
      <c r="P560" t="b">
        <v>1</v>
      </c>
      <c r="Q560" t="b">
        <v>0</v>
      </c>
      <c r="R560" t="b">
        <v>0</v>
      </c>
      <c r="T560" t="s">
        <v>3742</v>
      </c>
      <c r="U560">
        <v>60</v>
      </c>
      <c r="V560" t="s">
        <v>4073</v>
      </c>
      <c r="W560">
        <v>4</v>
      </c>
      <c r="X560" t="s">
        <v>3993</v>
      </c>
      <c r="Y560" t="s">
        <v>3986</v>
      </c>
      <c r="Z560">
        <v>0</v>
      </c>
      <c r="AA560" t="s">
        <v>2493</v>
      </c>
      <c r="AB560" t="s">
        <v>3987</v>
      </c>
      <c r="AC560" t="s">
        <v>3986</v>
      </c>
      <c r="AD560" t="s">
        <v>2781</v>
      </c>
    </row>
    <row r="561" spans="1:30" x14ac:dyDescent="0.25">
      <c r="A561" t="s">
        <v>3633</v>
      </c>
      <c r="B561">
        <v>4</v>
      </c>
      <c r="C561" t="s">
        <v>3618</v>
      </c>
      <c r="D561" t="b">
        <v>1</v>
      </c>
      <c r="E561" t="b">
        <v>0</v>
      </c>
      <c r="F561" t="s">
        <v>3986</v>
      </c>
      <c r="G561" t="s">
        <v>3986</v>
      </c>
      <c r="H561" t="s">
        <v>3609</v>
      </c>
      <c r="I561" t="s">
        <v>3986</v>
      </c>
      <c r="J561" t="s">
        <v>3986</v>
      </c>
      <c r="K561" t="s">
        <v>3630</v>
      </c>
      <c r="L561" t="s">
        <v>3631</v>
      </c>
      <c r="M561" t="s">
        <v>3754</v>
      </c>
      <c r="N561">
        <v>7</v>
      </c>
      <c r="O561" t="b">
        <v>0</v>
      </c>
      <c r="P561" t="b">
        <v>1</v>
      </c>
      <c r="Q561" t="b">
        <v>0</v>
      </c>
      <c r="R561" t="b">
        <v>0</v>
      </c>
      <c r="T561" t="s">
        <v>3742</v>
      </c>
      <c r="U561">
        <v>61</v>
      </c>
      <c r="V561" t="s">
        <v>4074</v>
      </c>
      <c r="W561">
        <v>4</v>
      </c>
      <c r="X561" t="s">
        <v>3993</v>
      </c>
      <c r="Y561" t="s">
        <v>3986</v>
      </c>
      <c r="Z561">
        <v>0</v>
      </c>
      <c r="AA561" t="s">
        <v>2493</v>
      </c>
      <c r="AB561" t="s">
        <v>3987</v>
      </c>
      <c r="AC561" t="s">
        <v>3986</v>
      </c>
      <c r="AD561" t="s">
        <v>2781</v>
      </c>
    </row>
    <row r="562" spans="1:30" x14ac:dyDescent="0.25">
      <c r="A562" t="s">
        <v>3634</v>
      </c>
      <c r="B562">
        <v>5</v>
      </c>
      <c r="C562" t="s">
        <v>3306</v>
      </c>
      <c r="D562" t="b">
        <v>1</v>
      </c>
      <c r="E562" t="b">
        <v>0</v>
      </c>
      <c r="F562" t="s">
        <v>3986</v>
      </c>
      <c r="G562" t="s">
        <v>3986</v>
      </c>
      <c r="H562" t="s">
        <v>3986</v>
      </c>
      <c r="I562" t="s">
        <v>3986</v>
      </c>
      <c r="J562" t="s">
        <v>3986</v>
      </c>
      <c r="K562" t="s">
        <v>3630</v>
      </c>
      <c r="L562" t="s">
        <v>3631</v>
      </c>
      <c r="M562" t="s">
        <v>3754</v>
      </c>
      <c r="N562">
        <v>7</v>
      </c>
      <c r="O562" t="b">
        <v>0</v>
      </c>
      <c r="P562" t="b">
        <v>1</v>
      </c>
      <c r="Q562" t="b">
        <v>0</v>
      </c>
      <c r="R562" t="b">
        <v>0</v>
      </c>
      <c r="T562" t="s">
        <v>3742</v>
      </c>
      <c r="U562">
        <v>61</v>
      </c>
      <c r="V562" t="s">
        <v>4075</v>
      </c>
      <c r="W562">
        <v>4</v>
      </c>
      <c r="X562" t="s">
        <v>3993</v>
      </c>
      <c r="Y562" t="s">
        <v>3986</v>
      </c>
      <c r="Z562">
        <v>0</v>
      </c>
      <c r="AA562" t="s">
        <v>2493</v>
      </c>
      <c r="AB562" t="s">
        <v>3987</v>
      </c>
      <c r="AC562" t="s">
        <v>3986</v>
      </c>
      <c r="AD562" t="s">
        <v>2781</v>
      </c>
    </row>
    <row r="563" spans="1:30" x14ac:dyDescent="0.25">
      <c r="A563" t="s">
        <v>3635</v>
      </c>
      <c r="B563">
        <v>6</v>
      </c>
      <c r="C563" t="s">
        <v>3306</v>
      </c>
      <c r="D563" t="b">
        <v>1</v>
      </c>
      <c r="E563" t="b">
        <v>0</v>
      </c>
      <c r="F563" t="s">
        <v>3986</v>
      </c>
      <c r="G563" t="s">
        <v>3986</v>
      </c>
      <c r="H563" t="s">
        <v>3986</v>
      </c>
      <c r="I563" t="s">
        <v>3986</v>
      </c>
      <c r="J563" t="s">
        <v>3986</v>
      </c>
      <c r="K563" t="s">
        <v>3630</v>
      </c>
      <c r="L563" t="s">
        <v>3631</v>
      </c>
      <c r="M563" t="s">
        <v>3754</v>
      </c>
      <c r="N563">
        <v>7</v>
      </c>
      <c r="O563" t="b">
        <v>0</v>
      </c>
      <c r="P563" t="b">
        <v>1</v>
      </c>
      <c r="Q563" t="b">
        <v>0</v>
      </c>
      <c r="R563" t="b">
        <v>0</v>
      </c>
      <c r="T563" t="s">
        <v>3742</v>
      </c>
      <c r="U563">
        <v>62</v>
      </c>
      <c r="V563" t="s">
        <v>4076</v>
      </c>
      <c r="W563">
        <v>4</v>
      </c>
      <c r="X563" t="s">
        <v>3993</v>
      </c>
      <c r="Y563" t="s">
        <v>3986</v>
      </c>
      <c r="Z563">
        <v>0</v>
      </c>
      <c r="AA563" t="s">
        <v>2493</v>
      </c>
      <c r="AB563" t="s">
        <v>3987</v>
      </c>
      <c r="AC563" t="s">
        <v>3986</v>
      </c>
      <c r="AD563" t="s">
        <v>2781</v>
      </c>
    </row>
    <row r="564" spans="1:30" x14ac:dyDescent="0.25">
      <c r="A564" t="s">
        <v>3393</v>
      </c>
      <c r="B564">
        <v>7</v>
      </c>
      <c r="C564" t="s">
        <v>3343</v>
      </c>
      <c r="D564" t="b">
        <v>1</v>
      </c>
      <c r="E564" t="b">
        <v>0</v>
      </c>
      <c r="F564" t="s">
        <v>3986</v>
      </c>
      <c r="G564" t="s">
        <v>3986</v>
      </c>
      <c r="H564" t="s">
        <v>3986</v>
      </c>
      <c r="I564" t="s">
        <v>3986</v>
      </c>
      <c r="J564" t="s">
        <v>3636</v>
      </c>
      <c r="K564" t="s">
        <v>3630</v>
      </c>
      <c r="L564" t="s">
        <v>3631</v>
      </c>
      <c r="M564" t="s">
        <v>3754</v>
      </c>
      <c r="N564">
        <v>7</v>
      </c>
      <c r="O564" t="b">
        <v>0</v>
      </c>
      <c r="P564" t="b">
        <v>1</v>
      </c>
      <c r="Q564" t="b">
        <v>0</v>
      </c>
      <c r="R564" t="b">
        <v>0</v>
      </c>
      <c r="T564" t="s">
        <v>3742</v>
      </c>
      <c r="U564">
        <v>63</v>
      </c>
      <c r="V564" t="s">
        <v>4077</v>
      </c>
      <c r="W564">
        <v>4</v>
      </c>
      <c r="X564" t="s">
        <v>3993</v>
      </c>
      <c r="Y564" t="s">
        <v>3986</v>
      </c>
      <c r="Z564">
        <v>0</v>
      </c>
      <c r="AA564" t="s">
        <v>2493</v>
      </c>
      <c r="AB564" t="s">
        <v>3987</v>
      </c>
      <c r="AC564" t="s">
        <v>3986</v>
      </c>
      <c r="AD564" t="s">
        <v>2781</v>
      </c>
    </row>
    <row r="565" spans="1:30" x14ac:dyDescent="0.25">
      <c r="A565" t="s">
        <v>3637</v>
      </c>
      <c r="B565">
        <v>9</v>
      </c>
      <c r="C565" t="s">
        <v>3306</v>
      </c>
      <c r="D565" t="b">
        <v>1</v>
      </c>
      <c r="E565" t="b">
        <v>0</v>
      </c>
      <c r="F565" t="s">
        <v>3986</v>
      </c>
      <c r="G565" t="s">
        <v>3986</v>
      </c>
      <c r="H565" t="s">
        <v>3986</v>
      </c>
      <c r="I565" t="s">
        <v>3986</v>
      </c>
      <c r="J565" t="s">
        <v>3638</v>
      </c>
      <c r="K565" t="s">
        <v>3630</v>
      </c>
      <c r="L565" t="s">
        <v>3631</v>
      </c>
      <c r="M565" t="s">
        <v>3754</v>
      </c>
      <c r="N565">
        <v>7</v>
      </c>
      <c r="O565" t="b">
        <v>0</v>
      </c>
      <c r="P565" t="b">
        <v>1</v>
      </c>
      <c r="Q565" t="b">
        <v>0</v>
      </c>
      <c r="R565" t="b">
        <v>0</v>
      </c>
      <c r="T565" t="s">
        <v>3742</v>
      </c>
      <c r="U565">
        <v>63</v>
      </c>
      <c r="V565" t="s">
        <v>4078</v>
      </c>
      <c r="W565">
        <v>4</v>
      </c>
      <c r="X565" t="s">
        <v>3993</v>
      </c>
      <c r="Y565" t="s">
        <v>3986</v>
      </c>
      <c r="Z565">
        <v>0</v>
      </c>
      <c r="AA565" t="s">
        <v>2493</v>
      </c>
      <c r="AB565" t="s">
        <v>3987</v>
      </c>
      <c r="AC565" t="s">
        <v>3986</v>
      </c>
      <c r="AD565" t="s">
        <v>2781</v>
      </c>
    </row>
    <row r="566" spans="1:30" x14ac:dyDescent="0.25">
      <c r="A566" t="s">
        <v>3639</v>
      </c>
      <c r="B566">
        <v>10</v>
      </c>
      <c r="C566" t="s">
        <v>3618</v>
      </c>
      <c r="D566" t="b">
        <v>1</v>
      </c>
      <c r="E566" t="b">
        <v>0</v>
      </c>
      <c r="F566" t="s">
        <v>3986</v>
      </c>
      <c r="G566" t="s">
        <v>3986</v>
      </c>
      <c r="H566" t="s">
        <v>3986</v>
      </c>
      <c r="I566" t="s">
        <v>3986</v>
      </c>
      <c r="J566" t="s">
        <v>3986</v>
      </c>
      <c r="K566" t="s">
        <v>3630</v>
      </c>
      <c r="L566" t="s">
        <v>3631</v>
      </c>
      <c r="M566" t="s">
        <v>3754</v>
      </c>
      <c r="N566">
        <v>7</v>
      </c>
      <c r="O566" t="b">
        <v>0</v>
      </c>
      <c r="P566" t="b">
        <v>1</v>
      </c>
      <c r="Q566" t="b">
        <v>0</v>
      </c>
      <c r="R566" t="b">
        <v>0</v>
      </c>
      <c r="T566" t="s">
        <v>3742</v>
      </c>
      <c r="U566">
        <v>63</v>
      </c>
      <c r="V566" t="s">
        <v>4079</v>
      </c>
      <c r="W566">
        <v>4</v>
      </c>
      <c r="X566" t="s">
        <v>3993</v>
      </c>
      <c r="Y566" t="s">
        <v>3986</v>
      </c>
      <c r="Z566">
        <v>0</v>
      </c>
      <c r="AA566" t="s">
        <v>2493</v>
      </c>
      <c r="AB566" t="s">
        <v>3987</v>
      </c>
      <c r="AC566" t="s">
        <v>3986</v>
      </c>
      <c r="AD566" t="s">
        <v>2781</v>
      </c>
    </row>
    <row r="567" spans="1:30" x14ac:dyDescent="0.25">
      <c r="A567" t="s">
        <v>34</v>
      </c>
      <c r="B567">
        <v>11</v>
      </c>
      <c r="C567" t="s">
        <v>3306</v>
      </c>
      <c r="D567" t="b">
        <v>1</v>
      </c>
      <c r="E567" t="b">
        <v>0</v>
      </c>
      <c r="F567" t="s">
        <v>3986</v>
      </c>
      <c r="G567" t="s">
        <v>3986</v>
      </c>
      <c r="H567" t="s">
        <v>3986</v>
      </c>
      <c r="I567" t="s">
        <v>3986</v>
      </c>
      <c r="J567" t="s">
        <v>3370</v>
      </c>
      <c r="K567" t="s">
        <v>3630</v>
      </c>
      <c r="L567" t="s">
        <v>3631</v>
      </c>
      <c r="M567" t="s">
        <v>3754</v>
      </c>
      <c r="N567">
        <v>7</v>
      </c>
      <c r="O567" t="b">
        <v>0</v>
      </c>
      <c r="P567" t="b">
        <v>1</v>
      </c>
      <c r="Q567" t="b">
        <v>0</v>
      </c>
      <c r="R567" t="b">
        <v>0</v>
      </c>
      <c r="T567" t="s">
        <v>3742</v>
      </c>
      <c r="U567">
        <v>63</v>
      </c>
      <c r="V567" t="s">
        <v>4080</v>
      </c>
      <c r="W567">
        <v>4</v>
      </c>
      <c r="X567" t="s">
        <v>3993</v>
      </c>
      <c r="Y567" t="s">
        <v>3986</v>
      </c>
      <c r="Z567">
        <v>0</v>
      </c>
      <c r="AA567" t="s">
        <v>2493</v>
      </c>
      <c r="AB567" t="s">
        <v>3987</v>
      </c>
      <c r="AC567" t="s">
        <v>3986</v>
      </c>
      <c r="AD567" t="s">
        <v>2781</v>
      </c>
    </row>
    <row r="568" spans="1:30" x14ac:dyDescent="0.25">
      <c r="A568" t="s">
        <v>3755</v>
      </c>
      <c r="B568">
        <v>12</v>
      </c>
      <c r="C568" t="s">
        <v>3310</v>
      </c>
      <c r="D568" t="b">
        <v>0</v>
      </c>
      <c r="E568" t="b">
        <v>0</v>
      </c>
      <c r="F568" t="s">
        <v>3986</v>
      </c>
      <c r="G568" t="s">
        <v>3986</v>
      </c>
      <c r="H568" t="s">
        <v>3986</v>
      </c>
      <c r="I568" t="s">
        <v>3986</v>
      </c>
      <c r="J568" t="s">
        <v>3771</v>
      </c>
      <c r="K568" t="s">
        <v>3630</v>
      </c>
      <c r="L568" t="s">
        <v>3631</v>
      </c>
      <c r="M568" t="s">
        <v>3754</v>
      </c>
      <c r="N568">
        <v>7</v>
      </c>
      <c r="O568" t="b">
        <v>0</v>
      </c>
      <c r="P568" t="b">
        <v>1</v>
      </c>
      <c r="Q568" t="b">
        <v>0</v>
      </c>
      <c r="R568" t="b">
        <v>0</v>
      </c>
      <c r="T568" t="s">
        <v>3742</v>
      </c>
      <c r="U568">
        <v>63</v>
      </c>
      <c r="V568" t="s">
        <v>4081</v>
      </c>
      <c r="W568">
        <v>4</v>
      </c>
      <c r="X568" t="s">
        <v>3993</v>
      </c>
      <c r="Y568" t="s">
        <v>3986</v>
      </c>
      <c r="Z568">
        <v>0</v>
      </c>
      <c r="AA568" t="s">
        <v>2493</v>
      </c>
      <c r="AB568" t="s">
        <v>3987</v>
      </c>
      <c r="AC568" t="s">
        <v>3986</v>
      </c>
      <c r="AD568" t="s">
        <v>2781</v>
      </c>
    </row>
    <row r="569" spans="1:30" x14ac:dyDescent="0.25">
      <c r="A569" t="s">
        <v>3756</v>
      </c>
      <c r="B569">
        <v>13</v>
      </c>
      <c r="C569" t="s">
        <v>3310</v>
      </c>
      <c r="D569" t="b">
        <v>0</v>
      </c>
      <c r="E569" t="b">
        <v>0</v>
      </c>
      <c r="F569" t="s">
        <v>3986</v>
      </c>
      <c r="G569" t="s">
        <v>3986</v>
      </c>
      <c r="H569" t="s">
        <v>3986</v>
      </c>
      <c r="I569" t="s">
        <v>3986</v>
      </c>
      <c r="J569" t="s">
        <v>3771</v>
      </c>
      <c r="K569" t="s">
        <v>3630</v>
      </c>
      <c r="L569" t="s">
        <v>3631</v>
      </c>
      <c r="M569" t="s">
        <v>3754</v>
      </c>
      <c r="N569">
        <v>7</v>
      </c>
      <c r="O569" t="b">
        <v>0</v>
      </c>
      <c r="P569" t="b">
        <v>1</v>
      </c>
      <c r="Q569" t="b">
        <v>0</v>
      </c>
      <c r="R569" t="b">
        <v>0</v>
      </c>
      <c r="T569" t="s">
        <v>3742</v>
      </c>
      <c r="U569">
        <v>63</v>
      </c>
      <c r="V569" t="s">
        <v>4082</v>
      </c>
      <c r="W569">
        <v>4</v>
      </c>
      <c r="X569" t="s">
        <v>3993</v>
      </c>
      <c r="Y569" t="s">
        <v>3986</v>
      </c>
      <c r="Z569">
        <v>0</v>
      </c>
      <c r="AA569" t="s">
        <v>2493</v>
      </c>
      <c r="AB569" t="s">
        <v>3987</v>
      </c>
      <c r="AC569" t="s">
        <v>3986</v>
      </c>
      <c r="AD569" t="s">
        <v>2781</v>
      </c>
    </row>
    <row r="570" spans="1:30" x14ac:dyDescent="0.25">
      <c r="A570" t="s">
        <v>3394</v>
      </c>
      <c r="B570">
        <v>14</v>
      </c>
      <c r="C570" t="s">
        <v>3310</v>
      </c>
      <c r="D570" t="b">
        <v>1</v>
      </c>
      <c r="E570" t="b">
        <v>0</v>
      </c>
      <c r="F570" t="s">
        <v>3986</v>
      </c>
      <c r="G570" t="s">
        <v>3986</v>
      </c>
      <c r="H570" t="s">
        <v>3986</v>
      </c>
      <c r="I570" t="s">
        <v>3986</v>
      </c>
      <c r="J570" t="s">
        <v>3359</v>
      </c>
      <c r="K570" t="s">
        <v>3630</v>
      </c>
      <c r="L570" t="s">
        <v>3631</v>
      </c>
      <c r="M570" t="s">
        <v>3754</v>
      </c>
      <c r="N570">
        <v>7</v>
      </c>
      <c r="O570" t="b">
        <v>0</v>
      </c>
      <c r="P570" t="b">
        <v>1</v>
      </c>
      <c r="Q570" t="b">
        <v>0</v>
      </c>
      <c r="R570" t="b">
        <v>0</v>
      </c>
      <c r="T570" t="s">
        <v>3742</v>
      </c>
      <c r="U570">
        <v>64</v>
      </c>
      <c r="V570" t="s">
        <v>4083</v>
      </c>
      <c r="W570">
        <v>4</v>
      </c>
      <c r="X570" t="s">
        <v>3993</v>
      </c>
      <c r="Y570" t="s">
        <v>3986</v>
      </c>
      <c r="Z570">
        <v>0</v>
      </c>
      <c r="AA570" t="s">
        <v>2493</v>
      </c>
      <c r="AB570" t="s">
        <v>3987</v>
      </c>
      <c r="AC570" t="s">
        <v>3986</v>
      </c>
      <c r="AD570" t="s">
        <v>2781</v>
      </c>
    </row>
    <row r="571" spans="1:30" x14ac:dyDescent="0.25">
      <c r="A571" t="s">
        <v>3555</v>
      </c>
      <c r="B571">
        <v>15</v>
      </c>
      <c r="C571" t="s">
        <v>3310</v>
      </c>
      <c r="D571" t="b">
        <v>0</v>
      </c>
      <c r="E571" t="b">
        <v>0</v>
      </c>
      <c r="F571" t="s">
        <v>3986</v>
      </c>
      <c r="G571" t="s">
        <v>3986</v>
      </c>
      <c r="H571" t="s">
        <v>3986</v>
      </c>
      <c r="I571" t="s">
        <v>3986</v>
      </c>
      <c r="J571" t="s">
        <v>3359</v>
      </c>
      <c r="K571" t="s">
        <v>3630</v>
      </c>
      <c r="L571" t="s">
        <v>3631</v>
      </c>
      <c r="M571" t="s">
        <v>3754</v>
      </c>
      <c r="N571">
        <v>7</v>
      </c>
      <c r="O571" t="b">
        <v>0</v>
      </c>
      <c r="P571" t="b">
        <v>1</v>
      </c>
      <c r="Q571" t="b">
        <v>0</v>
      </c>
      <c r="R571" t="b">
        <v>0</v>
      </c>
      <c r="T571" t="s">
        <v>3742</v>
      </c>
      <c r="U571">
        <v>66</v>
      </c>
      <c r="V571" t="s">
        <v>4084</v>
      </c>
      <c r="W571">
        <v>4</v>
      </c>
      <c r="X571" t="s">
        <v>3993</v>
      </c>
      <c r="Y571" t="s">
        <v>3986</v>
      </c>
      <c r="Z571">
        <v>0</v>
      </c>
      <c r="AA571" t="s">
        <v>2493</v>
      </c>
      <c r="AB571" t="s">
        <v>3987</v>
      </c>
      <c r="AC571" t="s">
        <v>3986</v>
      </c>
      <c r="AD571" t="s">
        <v>2781</v>
      </c>
    </row>
    <row r="572" spans="1:30" x14ac:dyDescent="0.25">
      <c r="A572" t="s">
        <v>3556</v>
      </c>
      <c r="B572">
        <v>16</v>
      </c>
      <c r="C572" t="s">
        <v>3310</v>
      </c>
      <c r="D572" t="b">
        <v>0</v>
      </c>
      <c r="E572" t="b">
        <v>0</v>
      </c>
      <c r="F572" t="s">
        <v>3986</v>
      </c>
      <c r="G572" t="s">
        <v>3986</v>
      </c>
      <c r="H572" t="s">
        <v>3986</v>
      </c>
      <c r="I572" t="s">
        <v>3986</v>
      </c>
      <c r="J572" t="s">
        <v>3359</v>
      </c>
      <c r="K572" t="s">
        <v>3630</v>
      </c>
      <c r="L572" t="s">
        <v>3631</v>
      </c>
      <c r="M572" t="s">
        <v>3754</v>
      </c>
      <c r="N572">
        <v>7</v>
      </c>
      <c r="O572" t="b">
        <v>0</v>
      </c>
      <c r="P572" t="b">
        <v>1</v>
      </c>
      <c r="Q572" t="b">
        <v>0</v>
      </c>
      <c r="R572" t="b">
        <v>0</v>
      </c>
      <c r="T572" t="s">
        <v>3742</v>
      </c>
      <c r="U572">
        <v>69</v>
      </c>
      <c r="V572" t="s">
        <v>4085</v>
      </c>
      <c r="W572">
        <v>4</v>
      </c>
      <c r="X572" t="s">
        <v>3993</v>
      </c>
      <c r="Y572" t="s">
        <v>3986</v>
      </c>
      <c r="Z572">
        <v>0</v>
      </c>
      <c r="AA572" t="s">
        <v>2493</v>
      </c>
      <c r="AB572" t="s">
        <v>3987</v>
      </c>
      <c r="AC572" t="s">
        <v>3986</v>
      </c>
      <c r="AD572" t="s">
        <v>2781</v>
      </c>
    </row>
    <row r="573" spans="1:30" x14ac:dyDescent="0.25">
      <c r="A573" t="s">
        <v>3557</v>
      </c>
      <c r="B573">
        <v>17</v>
      </c>
      <c r="C573" t="s">
        <v>3310</v>
      </c>
      <c r="D573" t="b">
        <v>0</v>
      </c>
      <c r="E573" t="b">
        <v>0</v>
      </c>
      <c r="F573" t="s">
        <v>3986</v>
      </c>
      <c r="G573" t="s">
        <v>3986</v>
      </c>
      <c r="H573" t="s">
        <v>3986</v>
      </c>
      <c r="I573" t="s">
        <v>3986</v>
      </c>
      <c r="J573" t="s">
        <v>3359</v>
      </c>
      <c r="K573" t="s">
        <v>3630</v>
      </c>
      <c r="L573" t="s">
        <v>3631</v>
      </c>
      <c r="M573" t="s">
        <v>3754</v>
      </c>
      <c r="N573">
        <v>7</v>
      </c>
      <c r="O573" t="b">
        <v>0</v>
      </c>
      <c r="P573" t="b">
        <v>1</v>
      </c>
      <c r="Q573" t="b">
        <v>0</v>
      </c>
      <c r="R573" t="b">
        <v>0</v>
      </c>
      <c r="T573" t="s">
        <v>3742</v>
      </c>
      <c r="U573">
        <v>69</v>
      </c>
      <c r="V573" t="s">
        <v>4086</v>
      </c>
      <c r="W573">
        <v>4</v>
      </c>
      <c r="X573" t="s">
        <v>3993</v>
      </c>
      <c r="Y573" t="s">
        <v>3986</v>
      </c>
      <c r="Z573">
        <v>0</v>
      </c>
      <c r="AA573" t="s">
        <v>2493</v>
      </c>
      <c r="AB573" t="s">
        <v>3987</v>
      </c>
      <c r="AC573" t="s">
        <v>3986</v>
      </c>
      <c r="AD573" t="s">
        <v>2781</v>
      </c>
    </row>
    <row r="574" spans="1:30" x14ac:dyDescent="0.25">
      <c r="A574" t="s">
        <v>3558</v>
      </c>
      <c r="B574">
        <v>18</v>
      </c>
      <c r="C574" t="s">
        <v>3310</v>
      </c>
      <c r="D574" t="b">
        <v>0</v>
      </c>
      <c r="E574" t="b">
        <v>0</v>
      </c>
      <c r="F574" t="s">
        <v>3986</v>
      </c>
      <c r="G574" t="s">
        <v>3986</v>
      </c>
      <c r="H574" t="s">
        <v>3986</v>
      </c>
      <c r="I574" t="s">
        <v>3986</v>
      </c>
      <c r="J574" t="s">
        <v>3359</v>
      </c>
      <c r="K574" t="s">
        <v>3630</v>
      </c>
      <c r="L574" t="s">
        <v>3631</v>
      </c>
      <c r="M574" t="s">
        <v>3754</v>
      </c>
      <c r="N574">
        <v>7</v>
      </c>
      <c r="O574" t="b">
        <v>0</v>
      </c>
      <c r="P574" t="b">
        <v>1</v>
      </c>
      <c r="Q574" t="b">
        <v>0</v>
      </c>
      <c r="R574" t="b">
        <v>0</v>
      </c>
      <c r="T574" t="s">
        <v>3742</v>
      </c>
      <c r="U574">
        <v>69</v>
      </c>
      <c r="V574" t="s">
        <v>4087</v>
      </c>
      <c r="W574">
        <v>4</v>
      </c>
      <c r="X574" t="s">
        <v>3993</v>
      </c>
      <c r="Y574" t="s">
        <v>3986</v>
      </c>
      <c r="Z574">
        <v>0</v>
      </c>
      <c r="AA574" t="s">
        <v>2493</v>
      </c>
      <c r="AB574" t="s">
        <v>3987</v>
      </c>
      <c r="AC574" t="s">
        <v>3986</v>
      </c>
      <c r="AD574" t="s">
        <v>2781</v>
      </c>
    </row>
    <row r="575" spans="1:30" x14ac:dyDescent="0.25">
      <c r="A575" t="s">
        <v>3559</v>
      </c>
      <c r="B575">
        <v>19</v>
      </c>
      <c r="C575" t="s">
        <v>3310</v>
      </c>
      <c r="D575" t="b">
        <v>0</v>
      </c>
      <c r="E575" t="b">
        <v>0</v>
      </c>
      <c r="F575" t="s">
        <v>3986</v>
      </c>
      <c r="G575" t="s">
        <v>3986</v>
      </c>
      <c r="H575" t="s">
        <v>3986</v>
      </c>
      <c r="I575" t="s">
        <v>3986</v>
      </c>
      <c r="J575" t="s">
        <v>3359</v>
      </c>
      <c r="K575" t="s">
        <v>3630</v>
      </c>
      <c r="L575" t="s">
        <v>3631</v>
      </c>
      <c r="M575" t="s">
        <v>3754</v>
      </c>
      <c r="N575">
        <v>7</v>
      </c>
      <c r="O575" t="b">
        <v>0</v>
      </c>
      <c r="P575" t="b">
        <v>1</v>
      </c>
      <c r="Q575" t="b">
        <v>0</v>
      </c>
      <c r="R575" t="b">
        <v>0</v>
      </c>
      <c r="T575" t="s">
        <v>3742</v>
      </c>
      <c r="U575">
        <v>69</v>
      </c>
      <c r="V575" t="s">
        <v>4088</v>
      </c>
      <c r="W575">
        <v>4</v>
      </c>
      <c r="X575" t="s">
        <v>3993</v>
      </c>
      <c r="Y575" t="s">
        <v>3986</v>
      </c>
      <c r="Z575">
        <v>0</v>
      </c>
      <c r="AA575" t="s">
        <v>2493</v>
      </c>
      <c r="AB575" t="s">
        <v>3987</v>
      </c>
      <c r="AC575" t="s">
        <v>3986</v>
      </c>
      <c r="AD575" t="s">
        <v>2781</v>
      </c>
    </row>
    <row r="576" spans="1:30" x14ac:dyDescent="0.25">
      <c r="A576" t="s">
        <v>3560</v>
      </c>
      <c r="B576">
        <v>20</v>
      </c>
      <c r="C576" t="s">
        <v>3310</v>
      </c>
      <c r="D576" t="b">
        <v>0</v>
      </c>
      <c r="E576" t="b">
        <v>0</v>
      </c>
      <c r="F576" t="s">
        <v>3986</v>
      </c>
      <c r="G576" t="s">
        <v>3986</v>
      </c>
      <c r="H576" t="s">
        <v>3986</v>
      </c>
      <c r="I576" t="s">
        <v>3986</v>
      </c>
      <c r="J576" t="s">
        <v>3359</v>
      </c>
      <c r="K576" t="s">
        <v>3630</v>
      </c>
      <c r="L576" t="s">
        <v>3631</v>
      </c>
      <c r="M576" t="s">
        <v>3754</v>
      </c>
      <c r="N576">
        <v>7</v>
      </c>
      <c r="O576" t="b">
        <v>0</v>
      </c>
      <c r="P576" t="b">
        <v>1</v>
      </c>
      <c r="Q576" t="b">
        <v>0</v>
      </c>
      <c r="R576" t="b">
        <v>0</v>
      </c>
      <c r="T576" t="s">
        <v>3742</v>
      </c>
      <c r="U576">
        <v>69</v>
      </c>
      <c r="V576" t="s">
        <v>4089</v>
      </c>
      <c r="W576">
        <v>4</v>
      </c>
      <c r="X576" t="s">
        <v>3993</v>
      </c>
      <c r="Y576" t="s">
        <v>3986</v>
      </c>
      <c r="Z576">
        <v>0</v>
      </c>
      <c r="AA576" t="s">
        <v>2493</v>
      </c>
      <c r="AB576" t="s">
        <v>3987</v>
      </c>
      <c r="AC576" t="s">
        <v>3986</v>
      </c>
      <c r="AD576" t="s">
        <v>2781</v>
      </c>
    </row>
    <row r="577" spans="1:30" x14ac:dyDescent="0.25">
      <c r="A577" t="s">
        <v>3561</v>
      </c>
      <c r="B577">
        <v>21</v>
      </c>
      <c r="C577" t="s">
        <v>3310</v>
      </c>
      <c r="D577" t="b">
        <v>0</v>
      </c>
      <c r="E577" t="b">
        <v>0</v>
      </c>
      <c r="F577" t="s">
        <v>3986</v>
      </c>
      <c r="G577" t="s">
        <v>3986</v>
      </c>
      <c r="H577" t="s">
        <v>3986</v>
      </c>
      <c r="I577" t="s">
        <v>3986</v>
      </c>
      <c r="J577" t="s">
        <v>3359</v>
      </c>
      <c r="K577" t="s">
        <v>3630</v>
      </c>
      <c r="L577" t="s">
        <v>3631</v>
      </c>
      <c r="M577" t="s">
        <v>3754</v>
      </c>
      <c r="N577">
        <v>7</v>
      </c>
      <c r="O577" t="b">
        <v>0</v>
      </c>
      <c r="P577" t="b">
        <v>1</v>
      </c>
      <c r="Q577" t="b">
        <v>0</v>
      </c>
      <c r="R577" t="b">
        <v>0</v>
      </c>
      <c r="T577" t="s">
        <v>3742</v>
      </c>
      <c r="U577">
        <v>70</v>
      </c>
      <c r="V577" t="s">
        <v>4088</v>
      </c>
      <c r="W577">
        <v>4</v>
      </c>
      <c r="X577" t="s">
        <v>3993</v>
      </c>
      <c r="Y577" t="s">
        <v>3986</v>
      </c>
      <c r="Z577">
        <v>0</v>
      </c>
      <c r="AA577" t="s">
        <v>2493</v>
      </c>
      <c r="AB577" t="s">
        <v>3987</v>
      </c>
      <c r="AC577" t="s">
        <v>3986</v>
      </c>
      <c r="AD577" t="s">
        <v>2781</v>
      </c>
    </row>
    <row r="578" spans="1:30" x14ac:dyDescent="0.25">
      <c r="A578" t="s">
        <v>3562</v>
      </c>
      <c r="B578">
        <v>22</v>
      </c>
      <c r="C578" t="s">
        <v>3310</v>
      </c>
      <c r="D578" t="b">
        <v>0</v>
      </c>
      <c r="E578" t="b">
        <v>0</v>
      </c>
      <c r="F578" t="s">
        <v>3986</v>
      </c>
      <c r="G578" t="s">
        <v>3986</v>
      </c>
      <c r="H578" t="s">
        <v>3986</v>
      </c>
      <c r="I578" t="s">
        <v>3986</v>
      </c>
      <c r="J578" t="s">
        <v>3359</v>
      </c>
      <c r="K578" t="s">
        <v>3630</v>
      </c>
      <c r="L578" t="s">
        <v>3631</v>
      </c>
      <c r="M578" t="s">
        <v>3754</v>
      </c>
      <c r="N578">
        <v>7</v>
      </c>
      <c r="O578" t="b">
        <v>0</v>
      </c>
      <c r="P578" t="b">
        <v>1</v>
      </c>
      <c r="Q578" t="b">
        <v>0</v>
      </c>
      <c r="R578" t="b">
        <v>0</v>
      </c>
      <c r="T578" t="s">
        <v>3742</v>
      </c>
      <c r="U578">
        <v>71</v>
      </c>
      <c r="V578" t="s">
        <v>4089</v>
      </c>
      <c r="W578">
        <v>4</v>
      </c>
      <c r="X578" t="s">
        <v>3993</v>
      </c>
      <c r="Y578" t="s">
        <v>3986</v>
      </c>
      <c r="Z578">
        <v>0</v>
      </c>
      <c r="AA578" t="s">
        <v>2493</v>
      </c>
      <c r="AB578" t="s">
        <v>3987</v>
      </c>
      <c r="AC578" t="s">
        <v>3986</v>
      </c>
      <c r="AD578" t="s">
        <v>2781</v>
      </c>
    </row>
    <row r="579" spans="1:30" x14ac:dyDescent="0.25">
      <c r="A579" t="s">
        <v>3563</v>
      </c>
      <c r="B579">
        <v>23</v>
      </c>
      <c r="C579" t="s">
        <v>3310</v>
      </c>
      <c r="D579" t="b">
        <v>0</v>
      </c>
      <c r="E579" t="b">
        <v>0</v>
      </c>
      <c r="F579" t="s">
        <v>3986</v>
      </c>
      <c r="G579" t="s">
        <v>3986</v>
      </c>
      <c r="H579" t="s">
        <v>3986</v>
      </c>
      <c r="I579" t="s">
        <v>3986</v>
      </c>
      <c r="J579" t="s">
        <v>3359</v>
      </c>
      <c r="K579" t="s">
        <v>3630</v>
      </c>
      <c r="L579" t="s">
        <v>3631</v>
      </c>
      <c r="M579" t="s">
        <v>3754</v>
      </c>
      <c r="N579">
        <v>7</v>
      </c>
      <c r="O579" t="b">
        <v>0</v>
      </c>
      <c r="P579" t="b">
        <v>1</v>
      </c>
      <c r="Q579" t="b">
        <v>0</v>
      </c>
      <c r="R579" t="b">
        <v>0</v>
      </c>
      <c r="T579" t="s">
        <v>3742</v>
      </c>
      <c r="U579">
        <v>72</v>
      </c>
      <c r="V579" t="s">
        <v>4085</v>
      </c>
      <c r="W579">
        <v>4</v>
      </c>
      <c r="X579" t="s">
        <v>3993</v>
      </c>
      <c r="Y579" t="s">
        <v>3986</v>
      </c>
      <c r="Z579">
        <v>0</v>
      </c>
      <c r="AA579" t="s">
        <v>2493</v>
      </c>
      <c r="AB579" t="s">
        <v>3987</v>
      </c>
      <c r="AC579" t="s">
        <v>3986</v>
      </c>
      <c r="AD579" t="s">
        <v>2781</v>
      </c>
    </row>
    <row r="580" spans="1:30" x14ac:dyDescent="0.25">
      <c r="A580" t="s">
        <v>3564</v>
      </c>
      <c r="B580">
        <v>24</v>
      </c>
      <c r="C580" t="s">
        <v>3310</v>
      </c>
      <c r="D580" t="b">
        <v>0</v>
      </c>
      <c r="E580" t="b">
        <v>0</v>
      </c>
      <c r="F580" t="s">
        <v>3986</v>
      </c>
      <c r="G580" t="s">
        <v>3986</v>
      </c>
      <c r="H580" t="s">
        <v>3986</v>
      </c>
      <c r="I580" t="s">
        <v>3986</v>
      </c>
      <c r="J580" t="s">
        <v>3359</v>
      </c>
      <c r="K580" t="s">
        <v>3630</v>
      </c>
      <c r="L580" t="s">
        <v>3631</v>
      </c>
      <c r="M580" t="s">
        <v>3754</v>
      </c>
      <c r="N580">
        <v>7</v>
      </c>
      <c r="O580" t="b">
        <v>0</v>
      </c>
      <c r="P580" t="b">
        <v>1</v>
      </c>
      <c r="Q580" t="b">
        <v>0</v>
      </c>
      <c r="R580" t="b">
        <v>0</v>
      </c>
      <c r="T580" t="s">
        <v>3742</v>
      </c>
      <c r="U580">
        <v>72</v>
      </c>
      <c r="V580" t="s">
        <v>4086</v>
      </c>
      <c r="W580">
        <v>4</v>
      </c>
      <c r="X580" t="s">
        <v>3993</v>
      </c>
      <c r="Y580" t="s">
        <v>3986</v>
      </c>
      <c r="Z580">
        <v>0</v>
      </c>
      <c r="AA580" t="s">
        <v>2493</v>
      </c>
      <c r="AB580" t="s">
        <v>3987</v>
      </c>
      <c r="AC580" t="s">
        <v>3986</v>
      </c>
      <c r="AD580" t="s">
        <v>2781</v>
      </c>
    </row>
    <row r="581" spans="1:30" x14ac:dyDescent="0.25">
      <c r="A581" t="s">
        <v>3565</v>
      </c>
      <c r="B581">
        <v>25</v>
      </c>
      <c r="C581" t="s">
        <v>3310</v>
      </c>
      <c r="D581" t="b">
        <v>0</v>
      </c>
      <c r="E581" t="b">
        <v>0</v>
      </c>
      <c r="F581" t="s">
        <v>3986</v>
      </c>
      <c r="G581" t="s">
        <v>3986</v>
      </c>
      <c r="H581" t="s">
        <v>3986</v>
      </c>
      <c r="I581" t="s">
        <v>3986</v>
      </c>
      <c r="J581" t="s">
        <v>3359</v>
      </c>
      <c r="K581" t="s">
        <v>3630</v>
      </c>
      <c r="L581" t="s">
        <v>3631</v>
      </c>
      <c r="M581" t="s">
        <v>3754</v>
      </c>
      <c r="N581">
        <v>7</v>
      </c>
      <c r="O581" t="b">
        <v>0</v>
      </c>
      <c r="P581" t="b">
        <v>1</v>
      </c>
      <c r="Q581" t="b">
        <v>0</v>
      </c>
      <c r="R581" t="b">
        <v>0</v>
      </c>
      <c r="T581" t="s">
        <v>3742</v>
      </c>
      <c r="U581">
        <v>72</v>
      </c>
      <c r="V581" t="s">
        <v>4087</v>
      </c>
      <c r="W581">
        <v>4</v>
      </c>
      <c r="X581" t="s">
        <v>3993</v>
      </c>
      <c r="Y581" t="s">
        <v>3986</v>
      </c>
      <c r="Z581">
        <v>0</v>
      </c>
      <c r="AA581" t="s">
        <v>2493</v>
      </c>
      <c r="AB581" t="s">
        <v>3987</v>
      </c>
      <c r="AC581" t="s">
        <v>3986</v>
      </c>
      <c r="AD581" t="s">
        <v>2781</v>
      </c>
    </row>
    <row r="582" spans="1:30" x14ac:dyDescent="0.25">
      <c r="A582" t="s">
        <v>3566</v>
      </c>
      <c r="B582">
        <v>26</v>
      </c>
      <c r="C582" t="s">
        <v>3310</v>
      </c>
      <c r="D582" t="b">
        <v>0</v>
      </c>
      <c r="E582" t="b">
        <v>0</v>
      </c>
      <c r="F582" t="s">
        <v>3986</v>
      </c>
      <c r="G582" t="s">
        <v>3986</v>
      </c>
      <c r="H582" t="s">
        <v>3986</v>
      </c>
      <c r="I582" t="s">
        <v>3986</v>
      </c>
      <c r="J582" t="s">
        <v>3359</v>
      </c>
      <c r="K582" t="s">
        <v>3630</v>
      </c>
      <c r="L582" t="s">
        <v>3631</v>
      </c>
      <c r="M582" t="s">
        <v>3754</v>
      </c>
      <c r="N582">
        <v>7</v>
      </c>
      <c r="O582" t="b">
        <v>0</v>
      </c>
      <c r="P582" t="b">
        <v>1</v>
      </c>
      <c r="Q582" t="b">
        <v>0</v>
      </c>
      <c r="R582" t="b">
        <v>0</v>
      </c>
      <c r="T582" t="s">
        <v>3742</v>
      </c>
      <c r="U582">
        <v>73</v>
      </c>
      <c r="V582" t="s">
        <v>4090</v>
      </c>
      <c r="W582">
        <v>4</v>
      </c>
      <c r="X582" t="s">
        <v>3993</v>
      </c>
      <c r="Y582" t="s">
        <v>3986</v>
      </c>
      <c r="Z582">
        <v>0</v>
      </c>
      <c r="AA582" t="s">
        <v>2493</v>
      </c>
      <c r="AB582" t="s">
        <v>3987</v>
      </c>
      <c r="AC582" t="s">
        <v>3986</v>
      </c>
      <c r="AD582" t="s">
        <v>2781</v>
      </c>
    </row>
    <row r="583" spans="1:30" x14ac:dyDescent="0.25">
      <c r="A583" t="s">
        <v>3567</v>
      </c>
      <c r="B583">
        <v>27</v>
      </c>
      <c r="C583" t="s">
        <v>3310</v>
      </c>
      <c r="D583" t="b">
        <v>0</v>
      </c>
      <c r="E583" t="b">
        <v>0</v>
      </c>
      <c r="F583" t="s">
        <v>3986</v>
      </c>
      <c r="G583" t="s">
        <v>3986</v>
      </c>
      <c r="H583" t="s">
        <v>3986</v>
      </c>
      <c r="I583" t="s">
        <v>3986</v>
      </c>
      <c r="J583" t="s">
        <v>3359</v>
      </c>
      <c r="K583" t="s">
        <v>3630</v>
      </c>
      <c r="L583" t="s">
        <v>3631</v>
      </c>
      <c r="M583" t="s">
        <v>3754</v>
      </c>
      <c r="N583">
        <v>7</v>
      </c>
      <c r="O583" t="b">
        <v>0</v>
      </c>
      <c r="P583" t="b">
        <v>1</v>
      </c>
      <c r="Q583" t="b">
        <v>0</v>
      </c>
      <c r="R583" t="b">
        <v>0</v>
      </c>
      <c r="T583" t="s">
        <v>3742</v>
      </c>
      <c r="U583">
        <v>74</v>
      </c>
      <c r="V583" t="s">
        <v>4091</v>
      </c>
      <c r="W583">
        <v>4</v>
      </c>
      <c r="X583" t="s">
        <v>3993</v>
      </c>
      <c r="Y583" t="s">
        <v>3986</v>
      </c>
      <c r="Z583">
        <v>0</v>
      </c>
      <c r="AA583" t="s">
        <v>2493</v>
      </c>
      <c r="AB583" t="s">
        <v>3987</v>
      </c>
      <c r="AC583" t="s">
        <v>3986</v>
      </c>
      <c r="AD583" t="s">
        <v>2781</v>
      </c>
    </row>
    <row r="584" spans="1:30" x14ac:dyDescent="0.25">
      <c r="A584" t="s">
        <v>3568</v>
      </c>
      <c r="B584">
        <v>28</v>
      </c>
      <c r="C584" t="s">
        <v>3310</v>
      </c>
      <c r="D584" t="b">
        <v>0</v>
      </c>
      <c r="E584" t="b">
        <v>0</v>
      </c>
      <c r="F584" t="s">
        <v>3986</v>
      </c>
      <c r="G584" t="s">
        <v>3986</v>
      </c>
      <c r="H584" t="s">
        <v>3986</v>
      </c>
      <c r="I584" t="s">
        <v>3986</v>
      </c>
      <c r="J584" t="s">
        <v>3359</v>
      </c>
      <c r="K584" t="s">
        <v>3630</v>
      </c>
      <c r="L584" t="s">
        <v>3631</v>
      </c>
      <c r="M584" t="s">
        <v>3754</v>
      </c>
      <c r="N584">
        <v>7</v>
      </c>
      <c r="O584" t="b">
        <v>0</v>
      </c>
      <c r="P584" t="b">
        <v>1</v>
      </c>
      <c r="Q584" t="b">
        <v>0</v>
      </c>
      <c r="R584" t="b">
        <v>0</v>
      </c>
      <c r="T584" t="s">
        <v>3742</v>
      </c>
      <c r="U584">
        <v>75</v>
      </c>
      <c r="V584" t="s">
        <v>4092</v>
      </c>
      <c r="W584">
        <v>4</v>
      </c>
      <c r="X584" t="s">
        <v>3993</v>
      </c>
      <c r="Y584" t="s">
        <v>3986</v>
      </c>
      <c r="Z584">
        <v>0</v>
      </c>
      <c r="AA584" t="s">
        <v>2493</v>
      </c>
      <c r="AB584" t="s">
        <v>3987</v>
      </c>
      <c r="AC584" t="s">
        <v>3986</v>
      </c>
      <c r="AD584" t="s">
        <v>2781</v>
      </c>
    </row>
    <row r="585" spans="1:30" x14ac:dyDescent="0.25">
      <c r="A585" t="s">
        <v>3569</v>
      </c>
      <c r="B585">
        <v>29</v>
      </c>
      <c r="C585" t="s">
        <v>3310</v>
      </c>
      <c r="D585" t="b">
        <v>0</v>
      </c>
      <c r="E585" t="b">
        <v>0</v>
      </c>
      <c r="F585" t="s">
        <v>3986</v>
      </c>
      <c r="G585" t="s">
        <v>3986</v>
      </c>
      <c r="H585" t="s">
        <v>3986</v>
      </c>
      <c r="I585" t="s">
        <v>3986</v>
      </c>
      <c r="J585" t="s">
        <v>3359</v>
      </c>
      <c r="K585" t="s">
        <v>3630</v>
      </c>
      <c r="L585" t="s">
        <v>3631</v>
      </c>
      <c r="M585" t="s">
        <v>3754</v>
      </c>
      <c r="N585">
        <v>7</v>
      </c>
      <c r="O585" t="b">
        <v>0</v>
      </c>
      <c r="P585" t="b">
        <v>1</v>
      </c>
      <c r="Q585" t="b">
        <v>0</v>
      </c>
      <c r="R585" t="b">
        <v>0</v>
      </c>
      <c r="T585" t="s">
        <v>3742</v>
      </c>
      <c r="U585">
        <v>76</v>
      </c>
      <c r="V585" t="s">
        <v>4093</v>
      </c>
      <c r="W585">
        <v>4</v>
      </c>
      <c r="X585" t="s">
        <v>3993</v>
      </c>
      <c r="Y585" t="s">
        <v>3986</v>
      </c>
      <c r="Z585">
        <v>0</v>
      </c>
      <c r="AA585" t="s">
        <v>2493</v>
      </c>
      <c r="AB585" t="s">
        <v>3987</v>
      </c>
      <c r="AC585" t="s">
        <v>3986</v>
      </c>
      <c r="AD585" t="s">
        <v>2781</v>
      </c>
    </row>
    <row r="586" spans="1:30" x14ac:dyDescent="0.25">
      <c r="A586" t="s">
        <v>3570</v>
      </c>
      <c r="B586">
        <v>30</v>
      </c>
      <c r="C586" t="s">
        <v>3310</v>
      </c>
      <c r="D586" t="b">
        <v>0</v>
      </c>
      <c r="E586" t="b">
        <v>0</v>
      </c>
      <c r="F586" t="s">
        <v>3986</v>
      </c>
      <c r="G586" t="s">
        <v>3986</v>
      </c>
      <c r="H586" t="s">
        <v>3986</v>
      </c>
      <c r="I586" t="s">
        <v>3986</v>
      </c>
      <c r="J586" t="s">
        <v>3359</v>
      </c>
      <c r="K586" t="s">
        <v>3630</v>
      </c>
      <c r="L586" t="s">
        <v>3631</v>
      </c>
      <c r="M586" t="s">
        <v>3754</v>
      </c>
      <c r="N586">
        <v>7</v>
      </c>
      <c r="O586" t="b">
        <v>0</v>
      </c>
      <c r="P586" t="b">
        <v>1</v>
      </c>
      <c r="Q586" t="b">
        <v>0</v>
      </c>
      <c r="R586" t="b">
        <v>0</v>
      </c>
      <c r="T586" t="s">
        <v>3742</v>
      </c>
      <c r="U586">
        <v>77</v>
      </c>
      <c r="V586" t="s">
        <v>4094</v>
      </c>
      <c r="W586">
        <v>4</v>
      </c>
      <c r="X586" t="s">
        <v>3993</v>
      </c>
      <c r="Y586" t="s">
        <v>3986</v>
      </c>
      <c r="Z586">
        <v>0</v>
      </c>
      <c r="AA586" t="s">
        <v>2493</v>
      </c>
      <c r="AB586" t="s">
        <v>3987</v>
      </c>
      <c r="AC586" t="s">
        <v>3986</v>
      </c>
      <c r="AD586" t="s">
        <v>2781</v>
      </c>
    </row>
    <row r="587" spans="1:30" x14ac:dyDescent="0.25">
      <c r="A587" t="s">
        <v>3571</v>
      </c>
      <c r="B587">
        <v>31</v>
      </c>
      <c r="C587" t="s">
        <v>3310</v>
      </c>
      <c r="D587" t="b">
        <v>0</v>
      </c>
      <c r="E587" t="b">
        <v>0</v>
      </c>
      <c r="F587" t="s">
        <v>3986</v>
      </c>
      <c r="G587" t="s">
        <v>3986</v>
      </c>
      <c r="H587" t="s">
        <v>3986</v>
      </c>
      <c r="I587" t="s">
        <v>3986</v>
      </c>
      <c r="J587" t="s">
        <v>3359</v>
      </c>
      <c r="K587" t="s">
        <v>3630</v>
      </c>
      <c r="L587" t="s">
        <v>3631</v>
      </c>
      <c r="M587" t="s">
        <v>3754</v>
      </c>
      <c r="N587">
        <v>7</v>
      </c>
      <c r="O587" t="b">
        <v>0</v>
      </c>
      <c r="P587" t="b">
        <v>1</v>
      </c>
      <c r="Q587" t="b">
        <v>0</v>
      </c>
      <c r="R587" t="b">
        <v>0</v>
      </c>
      <c r="T587" t="s">
        <v>3742</v>
      </c>
      <c r="U587">
        <v>78</v>
      </c>
      <c r="V587" t="s">
        <v>4095</v>
      </c>
      <c r="W587">
        <v>4</v>
      </c>
      <c r="X587" t="s">
        <v>3993</v>
      </c>
      <c r="Y587" t="s">
        <v>3986</v>
      </c>
      <c r="Z587">
        <v>0</v>
      </c>
      <c r="AA587" t="s">
        <v>2493</v>
      </c>
      <c r="AB587" t="s">
        <v>3987</v>
      </c>
      <c r="AC587" t="s">
        <v>3986</v>
      </c>
      <c r="AD587" t="s">
        <v>2781</v>
      </c>
    </row>
    <row r="588" spans="1:30" x14ac:dyDescent="0.25">
      <c r="A588" t="s">
        <v>3572</v>
      </c>
      <c r="B588">
        <v>32</v>
      </c>
      <c r="C588" t="s">
        <v>3310</v>
      </c>
      <c r="D588" t="b">
        <v>0</v>
      </c>
      <c r="E588" t="b">
        <v>0</v>
      </c>
      <c r="F588" t="s">
        <v>3986</v>
      </c>
      <c r="G588" t="s">
        <v>3986</v>
      </c>
      <c r="H588" t="s">
        <v>3986</v>
      </c>
      <c r="I588" t="s">
        <v>3986</v>
      </c>
      <c r="J588" t="s">
        <v>3359</v>
      </c>
      <c r="K588" t="s">
        <v>3630</v>
      </c>
      <c r="L588" t="s">
        <v>3631</v>
      </c>
      <c r="M588" t="s">
        <v>3754</v>
      </c>
      <c r="N588">
        <v>7</v>
      </c>
      <c r="O588" t="b">
        <v>0</v>
      </c>
      <c r="P588" t="b">
        <v>1</v>
      </c>
      <c r="Q588" t="b">
        <v>0</v>
      </c>
      <c r="R588" t="b">
        <v>0</v>
      </c>
      <c r="T588" t="s">
        <v>3742</v>
      </c>
      <c r="U588">
        <v>79</v>
      </c>
      <c r="V588" t="s">
        <v>4096</v>
      </c>
      <c r="W588">
        <v>4</v>
      </c>
      <c r="X588" t="s">
        <v>3993</v>
      </c>
      <c r="Y588" t="s">
        <v>3986</v>
      </c>
      <c r="Z588">
        <v>0</v>
      </c>
      <c r="AA588" t="s">
        <v>2493</v>
      </c>
      <c r="AB588" t="s">
        <v>3987</v>
      </c>
      <c r="AC588" t="s">
        <v>3986</v>
      </c>
      <c r="AD588" t="s">
        <v>2781</v>
      </c>
    </row>
    <row r="589" spans="1:30" x14ac:dyDescent="0.25">
      <c r="A589" t="s">
        <v>3573</v>
      </c>
      <c r="B589">
        <v>33</v>
      </c>
      <c r="C589" t="s">
        <v>3310</v>
      </c>
      <c r="D589" t="b">
        <v>0</v>
      </c>
      <c r="E589" t="b">
        <v>0</v>
      </c>
      <c r="F589" t="s">
        <v>3986</v>
      </c>
      <c r="G589" t="s">
        <v>3986</v>
      </c>
      <c r="H589" t="s">
        <v>3986</v>
      </c>
      <c r="I589" t="s">
        <v>3986</v>
      </c>
      <c r="J589" t="s">
        <v>3359</v>
      </c>
      <c r="K589" t="s">
        <v>3630</v>
      </c>
      <c r="L589" t="s">
        <v>3631</v>
      </c>
      <c r="M589" t="s">
        <v>3754</v>
      </c>
      <c r="N589">
        <v>7</v>
      </c>
      <c r="O589" t="b">
        <v>0</v>
      </c>
      <c r="P589" t="b">
        <v>1</v>
      </c>
      <c r="Q589" t="b">
        <v>0</v>
      </c>
      <c r="R589" t="b">
        <v>0</v>
      </c>
      <c r="T589" t="s">
        <v>3742</v>
      </c>
      <c r="U589">
        <v>79</v>
      </c>
      <c r="V589" t="s">
        <v>4097</v>
      </c>
      <c r="W589">
        <v>4</v>
      </c>
      <c r="X589" t="s">
        <v>3993</v>
      </c>
      <c r="Y589" t="s">
        <v>3986</v>
      </c>
      <c r="Z589">
        <v>0</v>
      </c>
      <c r="AA589" t="s">
        <v>2493</v>
      </c>
      <c r="AB589" t="s">
        <v>3987</v>
      </c>
      <c r="AC589" t="s">
        <v>3986</v>
      </c>
      <c r="AD589" t="s">
        <v>2781</v>
      </c>
    </row>
    <row r="590" spans="1:30" x14ac:dyDescent="0.25">
      <c r="A590" t="s">
        <v>3574</v>
      </c>
      <c r="B590">
        <v>34</v>
      </c>
      <c r="C590" t="s">
        <v>3310</v>
      </c>
      <c r="D590" t="b">
        <v>0</v>
      </c>
      <c r="E590" t="b">
        <v>0</v>
      </c>
      <c r="F590" t="s">
        <v>3986</v>
      </c>
      <c r="G590" t="s">
        <v>3986</v>
      </c>
      <c r="H590" t="s">
        <v>3986</v>
      </c>
      <c r="I590" t="s">
        <v>3986</v>
      </c>
      <c r="J590" t="s">
        <v>3359</v>
      </c>
      <c r="K590" t="s">
        <v>3630</v>
      </c>
      <c r="L590" t="s">
        <v>3631</v>
      </c>
      <c r="M590" t="s">
        <v>3754</v>
      </c>
      <c r="N590">
        <v>7</v>
      </c>
      <c r="O590" t="b">
        <v>0</v>
      </c>
      <c r="P590" t="b">
        <v>1</v>
      </c>
      <c r="Q590" t="b">
        <v>0</v>
      </c>
      <c r="R590" t="b">
        <v>0</v>
      </c>
      <c r="T590" t="s">
        <v>3742</v>
      </c>
      <c r="U590">
        <v>79</v>
      </c>
      <c r="V590" t="s">
        <v>4098</v>
      </c>
      <c r="W590">
        <v>4</v>
      </c>
      <c r="X590" t="s">
        <v>3993</v>
      </c>
      <c r="Y590" t="s">
        <v>3986</v>
      </c>
      <c r="Z590">
        <v>0</v>
      </c>
      <c r="AA590" t="s">
        <v>2493</v>
      </c>
      <c r="AB590" t="s">
        <v>3987</v>
      </c>
      <c r="AC590" t="s">
        <v>3986</v>
      </c>
      <c r="AD590" t="s">
        <v>2781</v>
      </c>
    </row>
    <row r="591" spans="1:30" x14ac:dyDescent="0.25">
      <c r="A591" t="s">
        <v>3575</v>
      </c>
      <c r="B591">
        <v>35</v>
      </c>
      <c r="C591" t="s">
        <v>3310</v>
      </c>
      <c r="D591" t="b">
        <v>0</v>
      </c>
      <c r="E591" t="b">
        <v>0</v>
      </c>
      <c r="F591" t="s">
        <v>3986</v>
      </c>
      <c r="G591" t="s">
        <v>3986</v>
      </c>
      <c r="H591" t="s">
        <v>3986</v>
      </c>
      <c r="I591" t="s">
        <v>3986</v>
      </c>
      <c r="J591" t="s">
        <v>3359</v>
      </c>
      <c r="K591" t="s">
        <v>3630</v>
      </c>
      <c r="L591" t="s">
        <v>3631</v>
      </c>
      <c r="M591" t="s">
        <v>3754</v>
      </c>
      <c r="N591">
        <v>7</v>
      </c>
      <c r="O591" t="b">
        <v>0</v>
      </c>
      <c r="P591" t="b">
        <v>1</v>
      </c>
      <c r="Q591" t="b">
        <v>0</v>
      </c>
      <c r="R591" t="b">
        <v>0</v>
      </c>
      <c r="T591" t="s">
        <v>3742</v>
      </c>
      <c r="U591">
        <v>80</v>
      </c>
      <c r="V591" t="s">
        <v>4099</v>
      </c>
      <c r="W591">
        <v>4</v>
      </c>
      <c r="X591" t="s">
        <v>3993</v>
      </c>
      <c r="Y591" t="s">
        <v>3986</v>
      </c>
      <c r="Z591">
        <v>0</v>
      </c>
      <c r="AA591" t="s">
        <v>2493</v>
      </c>
      <c r="AB591" t="s">
        <v>3987</v>
      </c>
      <c r="AC591" t="s">
        <v>3986</v>
      </c>
      <c r="AD591" t="s">
        <v>2781</v>
      </c>
    </row>
    <row r="592" spans="1:30" x14ac:dyDescent="0.25">
      <c r="A592" t="s">
        <v>3576</v>
      </c>
      <c r="B592">
        <v>36</v>
      </c>
      <c r="C592" t="s">
        <v>3310</v>
      </c>
      <c r="D592" t="b">
        <v>0</v>
      </c>
      <c r="E592" t="b">
        <v>0</v>
      </c>
      <c r="F592" t="s">
        <v>3986</v>
      </c>
      <c r="G592" t="s">
        <v>3986</v>
      </c>
      <c r="H592" t="s">
        <v>3986</v>
      </c>
      <c r="I592" t="s">
        <v>3986</v>
      </c>
      <c r="J592" t="s">
        <v>3359</v>
      </c>
      <c r="K592" t="s">
        <v>3630</v>
      </c>
      <c r="L592" t="s">
        <v>3631</v>
      </c>
      <c r="M592" t="s">
        <v>3754</v>
      </c>
      <c r="N592">
        <v>7</v>
      </c>
      <c r="O592" t="b">
        <v>0</v>
      </c>
      <c r="P592" t="b">
        <v>1</v>
      </c>
      <c r="Q592" t="b">
        <v>0</v>
      </c>
      <c r="R592" t="b">
        <v>0</v>
      </c>
      <c r="T592" t="s">
        <v>3742</v>
      </c>
      <c r="U592">
        <v>80</v>
      </c>
      <c r="V592" t="s">
        <v>4100</v>
      </c>
      <c r="W592">
        <v>4</v>
      </c>
      <c r="X592" t="s">
        <v>3993</v>
      </c>
      <c r="Y592" t="s">
        <v>3986</v>
      </c>
      <c r="Z592">
        <v>0</v>
      </c>
      <c r="AA592" t="s">
        <v>2493</v>
      </c>
      <c r="AB592" t="s">
        <v>3987</v>
      </c>
      <c r="AC592" t="s">
        <v>3986</v>
      </c>
      <c r="AD592" t="s">
        <v>2781</v>
      </c>
    </row>
    <row r="593" spans="1:30" x14ac:dyDescent="0.25">
      <c r="A593" t="s">
        <v>3577</v>
      </c>
      <c r="B593">
        <v>37</v>
      </c>
      <c r="C593" t="s">
        <v>3310</v>
      </c>
      <c r="D593" t="b">
        <v>0</v>
      </c>
      <c r="E593" t="b">
        <v>0</v>
      </c>
      <c r="F593" t="s">
        <v>3986</v>
      </c>
      <c r="G593" t="s">
        <v>3986</v>
      </c>
      <c r="H593" t="s">
        <v>3986</v>
      </c>
      <c r="I593" t="s">
        <v>3986</v>
      </c>
      <c r="J593" t="s">
        <v>3359</v>
      </c>
      <c r="K593" t="s">
        <v>3630</v>
      </c>
      <c r="L593" t="s">
        <v>3631</v>
      </c>
      <c r="M593" t="s">
        <v>3754</v>
      </c>
      <c r="N593">
        <v>7</v>
      </c>
      <c r="O593" t="b">
        <v>0</v>
      </c>
      <c r="P593" t="b">
        <v>1</v>
      </c>
      <c r="Q593" t="b">
        <v>0</v>
      </c>
      <c r="R593" t="b">
        <v>0</v>
      </c>
      <c r="T593" t="s">
        <v>3742</v>
      </c>
      <c r="U593">
        <v>80</v>
      </c>
      <c r="V593" t="s">
        <v>4101</v>
      </c>
      <c r="W593">
        <v>4</v>
      </c>
      <c r="X593" t="s">
        <v>3993</v>
      </c>
      <c r="Y593" t="s">
        <v>3986</v>
      </c>
      <c r="Z593">
        <v>0</v>
      </c>
      <c r="AA593" t="s">
        <v>2493</v>
      </c>
      <c r="AB593" t="s">
        <v>3987</v>
      </c>
      <c r="AC593" t="s">
        <v>3986</v>
      </c>
      <c r="AD593" t="s">
        <v>2781</v>
      </c>
    </row>
    <row r="594" spans="1:30" x14ac:dyDescent="0.25">
      <c r="A594" t="s">
        <v>3578</v>
      </c>
      <c r="B594">
        <v>38</v>
      </c>
      <c r="C594" t="s">
        <v>3310</v>
      </c>
      <c r="D594" t="b">
        <v>0</v>
      </c>
      <c r="E594" t="b">
        <v>0</v>
      </c>
      <c r="F594" t="s">
        <v>3986</v>
      </c>
      <c r="G594" t="s">
        <v>3986</v>
      </c>
      <c r="H594" t="s">
        <v>3986</v>
      </c>
      <c r="I594" t="s">
        <v>3986</v>
      </c>
      <c r="J594" t="s">
        <v>3359</v>
      </c>
      <c r="K594" t="s">
        <v>3630</v>
      </c>
      <c r="L594" t="s">
        <v>3631</v>
      </c>
      <c r="M594" t="s">
        <v>3754</v>
      </c>
      <c r="N594">
        <v>7</v>
      </c>
      <c r="O594" t="b">
        <v>0</v>
      </c>
      <c r="P594" t="b">
        <v>1</v>
      </c>
      <c r="Q594" t="b">
        <v>0</v>
      </c>
      <c r="R594" t="b">
        <v>0</v>
      </c>
      <c r="T594" t="s">
        <v>3742</v>
      </c>
      <c r="U594">
        <v>81</v>
      </c>
      <c r="V594" t="s">
        <v>4102</v>
      </c>
      <c r="W594">
        <v>4</v>
      </c>
      <c r="X594" t="s">
        <v>3993</v>
      </c>
      <c r="Y594" t="s">
        <v>3986</v>
      </c>
      <c r="Z594">
        <v>0</v>
      </c>
      <c r="AA594" t="s">
        <v>2493</v>
      </c>
      <c r="AB594" t="s">
        <v>3987</v>
      </c>
      <c r="AC594" t="s">
        <v>3986</v>
      </c>
      <c r="AD594" t="s">
        <v>2781</v>
      </c>
    </row>
    <row r="595" spans="1:30" x14ac:dyDescent="0.25">
      <c r="A595" t="s">
        <v>3579</v>
      </c>
      <c r="B595">
        <v>39</v>
      </c>
      <c r="C595" t="s">
        <v>3310</v>
      </c>
      <c r="D595" t="b">
        <v>0</v>
      </c>
      <c r="E595" t="b">
        <v>0</v>
      </c>
      <c r="F595" t="s">
        <v>3986</v>
      </c>
      <c r="G595" t="s">
        <v>3986</v>
      </c>
      <c r="H595" t="s">
        <v>3986</v>
      </c>
      <c r="I595" t="s">
        <v>3986</v>
      </c>
      <c r="J595" t="s">
        <v>3359</v>
      </c>
      <c r="K595" t="s">
        <v>3630</v>
      </c>
      <c r="L595" t="s">
        <v>3631</v>
      </c>
      <c r="M595" t="s">
        <v>3754</v>
      </c>
      <c r="N595">
        <v>7</v>
      </c>
      <c r="O595" t="b">
        <v>0</v>
      </c>
      <c r="P595" t="b">
        <v>1</v>
      </c>
      <c r="Q595" t="b">
        <v>0</v>
      </c>
      <c r="R595" t="b">
        <v>0</v>
      </c>
      <c r="T595" t="s">
        <v>3742</v>
      </c>
      <c r="U595">
        <v>82</v>
      </c>
      <c r="V595" t="s">
        <v>4103</v>
      </c>
      <c r="W595">
        <v>4</v>
      </c>
      <c r="X595" t="s">
        <v>3993</v>
      </c>
      <c r="Y595" t="s">
        <v>3986</v>
      </c>
      <c r="Z595">
        <v>0</v>
      </c>
      <c r="AA595" t="s">
        <v>2493</v>
      </c>
      <c r="AB595" t="s">
        <v>3987</v>
      </c>
      <c r="AC595" t="s">
        <v>3986</v>
      </c>
      <c r="AD595" t="s">
        <v>2781</v>
      </c>
    </row>
    <row r="596" spans="1:30" x14ac:dyDescent="0.25">
      <c r="A596" t="s">
        <v>3580</v>
      </c>
      <c r="B596">
        <v>40</v>
      </c>
      <c r="C596" t="s">
        <v>3310</v>
      </c>
      <c r="D596" t="b">
        <v>0</v>
      </c>
      <c r="E596" t="b">
        <v>0</v>
      </c>
      <c r="F596" t="s">
        <v>3986</v>
      </c>
      <c r="G596" t="s">
        <v>3986</v>
      </c>
      <c r="H596" t="s">
        <v>3986</v>
      </c>
      <c r="I596" t="s">
        <v>3986</v>
      </c>
      <c r="J596" t="s">
        <v>3359</v>
      </c>
      <c r="K596" t="s">
        <v>3630</v>
      </c>
      <c r="L596" t="s">
        <v>3631</v>
      </c>
      <c r="M596" t="s">
        <v>3754</v>
      </c>
      <c r="N596">
        <v>7</v>
      </c>
      <c r="O596" t="b">
        <v>0</v>
      </c>
      <c r="P596" t="b">
        <v>1</v>
      </c>
      <c r="Q596" t="b">
        <v>0</v>
      </c>
      <c r="R596" t="b">
        <v>0</v>
      </c>
      <c r="T596" t="s">
        <v>3742</v>
      </c>
      <c r="U596">
        <v>82</v>
      </c>
      <c r="V596" t="s">
        <v>4104</v>
      </c>
      <c r="W596">
        <v>4</v>
      </c>
      <c r="X596" t="s">
        <v>3993</v>
      </c>
      <c r="Y596" t="s">
        <v>3986</v>
      </c>
      <c r="Z596">
        <v>0</v>
      </c>
      <c r="AA596" t="s">
        <v>2493</v>
      </c>
      <c r="AB596" t="s">
        <v>3987</v>
      </c>
      <c r="AC596" t="s">
        <v>3986</v>
      </c>
      <c r="AD596" t="s">
        <v>2781</v>
      </c>
    </row>
    <row r="597" spans="1:30" x14ac:dyDescent="0.25">
      <c r="A597" t="s">
        <v>3581</v>
      </c>
      <c r="B597">
        <v>41</v>
      </c>
      <c r="C597" t="s">
        <v>3310</v>
      </c>
      <c r="D597" t="b">
        <v>0</v>
      </c>
      <c r="E597" t="b">
        <v>0</v>
      </c>
      <c r="F597" t="s">
        <v>3986</v>
      </c>
      <c r="G597" t="s">
        <v>3986</v>
      </c>
      <c r="H597" t="s">
        <v>3986</v>
      </c>
      <c r="I597" t="s">
        <v>3986</v>
      </c>
      <c r="J597" t="s">
        <v>3359</v>
      </c>
      <c r="K597" t="s">
        <v>3630</v>
      </c>
      <c r="L597" t="s">
        <v>3631</v>
      </c>
      <c r="M597" t="s">
        <v>3754</v>
      </c>
      <c r="N597">
        <v>7</v>
      </c>
      <c r="O597" t="b">
        <v>0</v>
      </c>
      <c r="P597" t="b">
        <v>1</v>
      </c>
      <c r="Q597" t="b">
        <v>0</v>
      </c>
      <c r="R597" t="b">
        <v>0</v>
      </c>
      <c r="T597" t="s">
        <v>3742</v>
      </c>
      <c r="U597">
        <v>82</v>
      </c>
      <c r="V597" t="s">
        <v>4105</v>
      </c>
      <c r="W597">
        <v>4</v>
      </c>
      <c r="X597" t="s">
        <v>3993</v>
      </c>
      <c r="Y597" t="s">
        <v>3986</v>
      </c>
      <c r="Z597">
        <v>0</v>
      </c>
      <c r="AA597" t="s">
        <v>2493</v>
      </c>
      <c r="AB597" t="s">
        <v>3987</v>
      </c>
      <c r="AC597" t="s">
        <v>3986</v>
      </c>
      <c r="AD597" t="s">
        <v>2781</v>
      </c>
    </row>
    <row r="598" spans="1:30" x14ac:dyDescent="0.25">
      <c r="A598" t="s">
        <v>3582</v>
      </c>
      <c r="B598">
        <v>42</v>
      </c>
      <c r="C598" t="s">
        <v>3310</v>
      </c>
      <c r="D598" t="b">
        <v>0</v>
      </c>
      <c r="E598" t="b">
        <v>0</v>
      </c>
      <c r="F598" t="s">
        <v>3986</v>
      </c>
      <c r="G598" t="s">
        <v>3986</v>
      </c>
      <c r="H598" t="s">
        <v>3986</v>
      </c>
      <c r="I598" t="s">
        <v>3986</v>
      </c>
      <c r="J598" t="s">
        <v>3359</v>
      </c>
      <c r="K598" t="s">
        <v>3630</v>
      </c>
      <c r="L598" t="s">
        <v>3631</v>
      </c>
      <c r="M598" t="s">
        <v>3754</v>
      </c>
      <c r="N598">
        <v>7</v>
      </c>
      <c r="O598" t="b">
        <v>0</v>
      </c>
      <c r="P598" t="b">
        <v>1</v>
      </c>
      <c r="Q598" t="b">
        <v>0</v>
      </c>
      <c r="R598" t="b">
        <v>0</v>
      </c>
      <c r="T598" t="s">
        <v>3742</v>
      </c>
      <c r="U598">
        <v>82</v>
      </c>
      <c r="V598" t="s">
        <v>4106</v>
      </c>
      <c r="W598">
        <v>4</v>
      </c>
      <c r="X598" t="s">
        <v>3993</v>
      </c>
      <c r="Y598" t="s">
        <v>3986</v>
      </c>
      <c r="Z598">
        <v>0</v>
      </c>
      <c r="AA598" t="s">
        <v>2493</v>
      </c>
      <c r="AB598" t="s">
        <v>3987</v>
      </c>
      <c r="AC598" t="s">
        <v>3986</v>
      </c>
      <c r="AD598" t="s">
        <v>2781</v>
      </c>
    </row>
    <row r="599" spans="1:30" x14ac:dyDescent="0.25">
      <c r="A599" t="s">
        <v>3583</v>
      </c>
      <c r="B599">
        <v>43</v>
      </c>
      <c r="C599" t="s">
        <v>3310</v>
      </c>
      <c r="D599" t="b">
        <v>0</v>
      </c>
      <c r="E599" t="b">
        <v>0</v>
      </c>
      <c r="F599" t="s">
        <v>3986</v>
      </c>
      <c r="G599" t="s">
        <v>3986</v>
      </c>
      <c r="H599" t="s">
        <v>3986</v>
      </c>
      <c r="I599" t="s">
        <v>3986</v>
      </c>
      <c r="J599" t="s">
        <v>3359</v>
      </c>
      <c r="K599" t="s">
        <v>3630</v>
      </c>
      <c r="L599" t="s">
        <v>3631</v>
      </c>
      <c r="M599" t="s">
        <v>3754</v>
      </c>
      <c r="N599">
        <v>7</v>
      </c>
      <c r="O599" t="b">
        <v>0</v>
      </c>
      <c r="P599" t="b">
        <v>1</v>
      </c>
      <c r="Q599" t="b">
        <v>0</v>
      </c>
      <c r="R599" t="b">
        <v>0</v>
      </c>
      <c r="T599" t="s">
        <v>3742</v>
      </c>
      <c r="U599">
        <v>82</v>
      </c>
      <c r="V599" t="s">
        <v>4107</v>
      </c>
      <c r="W599">
        <v>4</v>
      </c>
      <c r="X599" t="s">
        <v>3993</v>
      </c>
      <c r="Y599" t="s">
        <v>3986</v>
      </c>
      <c r="Z599">
        <v>0</v>
      </c>
      <c r="AA599" t="s">
        <v>2493</v>
      </c>
      <c r="AB599" t="s">
        <v>3987</v>
      </c>
      <c r="AC599" t="s">
        <v>3986</v>
      </c>
      <c r="AD599" t="s">
        <v>2781</v>
      </c>
    </row>
    <row r="600" spans="1:30" x14ac:dyDescent="0.25">
      <c r="A600" t="s">
        <v>3584</v>
      </c>
      <c r="B600">
        <v>44</v>
      </c>
      <c r="C600" t="s">
        <v>3310</v>
      </c>
      <c r="D600" t="b">
        <v>0</v>
      </c>
      <c r="E600" t="b">
        <v>0</v>
      </c>
      <c r="F600" t="s">
        <v>3986</v>
      </c>
      <c r="G600" t="s">
        <v>3986</v>
      </c>
      <c r="H600" t="s">
        <v>3986</v>
      </c>
      <c r="I600" t="s">
        <v>3986</v>
      </c>
      <c r="J600" t="s">
        <v>3359</v>
      </c>
      <c r="K600" t="s">
        <v>3630</v>
      </c>
      <c r="L600" t="s">
        <v>3631</v>
      </c>
      <c r="M600" t="s">
        <v>3754</v>
      </c>
      <c r="N600">
        <v>7</v>
      </c>
      <c r="O600" t="b">
        <v>0</v>
      </c>
      <c r="P600" t="b">
        <v>1</v>
      </c>
      <c r="Q600" t="b">
        <v>0</v>
      </c>
      <c r="R600" t="b">
        <v>0</v>
      </c>
      <c r="T600" t="s">
        <v>3742</v>
      </c>
      <c r="U600">
        <v>84</v>
      </c>
      <c r="V600" t="s">
        <v>4889</v>
      </c>
      <c r="W600">
        <v>4</v>
      </c>
      <c r="X600" t="s">
        <v>3993</v>
      </c>
      <c r="Y600" t="s">
        <v>3986</v>
      </c>
      <c r="Z600">
        <v>0</v>
      </c>
      <c r="AA600" t="s">
        <v>2493</v>
      </c>
      <c r="AB600" t="s">
        <v>3987</v>
      </c>
      <c r="AC600" t="s">
        <v>3986</v>
      </c>
      <c r="AD600" t="s">
        <v>2781</v>
      </c>
    </row>
    <row r="601" spans="1:30" x14ac:dyDescent="0.25">
      <c r="A601" t="s">
        <v>3585</v>
      </c>
      <c r="B601">
        <v>45</v>
      </c>
      <c r="C601" t="s">
        <v>3310</v>
      </c>
      <c r="D601" t="b">
        <v>0</v>
      </c>
      <c r="E601" t="b">
        <v>0</v>
      </c>
      <c r="F601" t="s">
        <v>3986</v>
      </c>
      <c r="G601" t="s">
        <v>3986</v>
      </c>
      <c r="H601" t="s">
        <v>3986</v>
      </c>
      <c r="I601" t="s">
        <v>3986</v>
      </c>
      <c r="J601" t="s">
        <v>3359</v>
      </c>
      <c r="K601" t="s">
        <v>3630</v>
      </c>
      <c r="L601" t="s">
        <v>3631</v>
      </c>
      <c r="M601" t="s">
        <v>3754</v>
      </c>
      <c r="N601">
        <v>7</v>
      </c>
      <c r="O601" t="b">
        <v>0</v>
      </c>
      <c r="P601" t="b">
        <v>1</v>
      </c>
      <c r="Q601" t="b">
        <v>0</v>
      </c>
      <c r="R601" t="b">
        <v>0</v>
      </c>
      <c r="T601" t="s">
        <v>3742</v>
      </c>
      <c r="U601">
        <v>85</v>
      </c>
      <c r="V601" t="s">
        <v>4108</v>
      </c>
      <c r="W601">
        <v>4</v>
      </c>
      <c r="X601" t="s">
        <v>3993</v>
      </c>
      <c r="Y601" t="s">
        <v>3986</v>
      </c>
      <c r="Z601">
        <v>0</v>
      </c>
      <c r="AA601" t="s">
        <v>2493</v>
      </c>
      <c r="AB601" t="s">
        <v>3987</v>
      </c>
      <c r="AC601" t="s">
        <v>3986</v>
      </c>
      <c r="AD601" t="s">
        <v>2781</v>
      </c>
    </row>
    <row r="602" spans="1:30" x14ac:dyDescent="0.25">
      <c r="A602" t="s">
        <v>3586</v>
      </c>
      <c r="B602">
        <v>46</v>
      </c>
      <c r="C602" t="s">
        <v>3310</v>
      </c>
      <c r="D602" t="b">
        <v>0</v>
      </c>
      <c r="E602" t="b">
        <v>0</v>
      </c>
      <c r="F602" t="s">
        <v>3986</v>
      </c>
      <c r="G602" t="s">
        <v>3986</v>
      </c>
      <c r="H602" t="s">
        <v>3986</v>
      </c>
      <c r="I602" t="s">
        <v>3986</v>
      </c>
      <c r="J602" t="s">
        <v>3359</v>
      </c>
      <c r="K602" t="s">
        <v>3630</v>
      </c>
      <c r="L602" t="s">
        <v>3631</v>
      </c>
      <c r="M602" t="s">
        <v>3754</v>
      </c>
      <c r="N602">
        <v>7</v>
      </c>
      <c r="O602" t="b">
        <v>0</v>
      </c>
      <c r="P602" t="b">
        <v>1</v>
      </c>
      <c r="Q602" t="b">
        <v>0</v>
      </c>
      <c r="R602" t="b">
        <v>0</v>
      </c>
      <c r="T602" t="s">
        <v>3742</v>
      </c>
      <c r="U602">
        <v>86</v>
      </c>
      <c r="V602" t="s">
        <v>4122</v>
      </c>
      <c r="W602">
        <v>4</v>
      </c>
      <c r="X602" t="s">
        <v>3993</v>
      </c>
      <c r="Y602" t="s">
        <v>3986</v>
      </c>
      <c r="Z602">
        <v>0</v>
      </c>
      <c r="AA602" t="s">
        <v>2493</v>
      </c>
      <c r="AB602" t="s">
        <v>3987</v>
      </c>
      <c r="AC602" t="s">
        <v>3986</v>
      </c>
      <c r="AD602" t="s">
        <v>2781</v>
      </c>
    </row>
    <row r="603" spans="1:30" x14ac:dyDescent="0.25">
      <c r="A603" t="s">
        <v>3587</v>
      </c>
      <c r="B603">
        <v>47</v>
      </c>
      <c r="C603" t="s">
        <v>3310</v>
      </c>
      <c r="D603" t="b">
        <v>0</v>
      </c>
      <c r="E603" t="b">
        <v>0</v>
      </c>
      <c r="F603" t="s">
        <v>3986</v>
      </c>
      <c r="G603" t="s">
        <v>3986</v>
      </c>
      <c r="H603" t="s">
        <v>3986</v>
      </c>
      <c r="I603" t="s">
        <v>3986</v>
      </c>
      <c r="J603" t="s">
        <v>3359</v>
      </c>
      <c r="K603" t="s">
        <v>3630</v>
      </c>
      <c r="L603" t="s">
        <v>3631</v>
      </c>
      <c r="M603" t="s">
        <v>3754</v>
      </c>
      <c r="N603">
        <v>7</v>
      </c>
      <c r="O603" t="b">
        <v>0</v>
      </c>
      <c r="P603" t="b">
        <v>1</v>
      </c>
      <c r="Q603" t="b">
        <v>0</v>
      </c>
      <c r="R603" t="b">
        <v>0</v>
      </c>
      <c r="T603" t="s">
        <v>3742</v>
      </c>
      <c r="U603">
        <v>87</v>
      </c>
      <c r="V603" t="s">
        <v>4109</v>
      </c>
      <c r="W603">
        <v>4</v>
      </c>
      <c r="X603" t="s">
        <v>3993</v>
      </c>
      <c r="Y603" t="s">
        <v>3986</v>
      </c>
      <c r="Z603">
        <v>0</v>
      </c>
      <c r="AA603" t="s">
        <v>2493</v>
      </c>
      <c r="AB603" t="s">
        <v>3987</v>
      </c>
      <c r="AC603" t="s">
        <v>3986</v>
      </c>
      <c r="AD603" t="s">
        <v>2781</v>
      </c>
    </row>
    <row r="604" spans="1:30" x14ac:dyDescent="0.25">
      <c r="A604" t="s">
        <v>3588</v>
      </c>
      <c r="B604">
        <v>48</v>
      </c>
      <c r="C604" t="s">
        <v>3310</v>
      </c>
      <c r="D604" t="b">
        <v>0</v>
      </c>
      <c r="E604" t="b">
        <v>0</v>
      </c>
      <c r="F604" t="s">
        <v>3986</v>
      </c>
      <c r="G604" t="s">
        <v>3986</v>
      </c>
      <c r="H604" t="s">
        <v>3986</v>
      </c>
      <c r="I604" t="s">
        <v>3986</v>
      </c>
      <c r="J604" t="s">
        <v>3359</v>
      </c>
      <c r="K604" t="s">
        <v>3630</v>
      </c>
      <c r="L604" t="s">
        <v>3631</v>
      </c>
      <c r="M604" t="s">
        <v>3754</v>
      </c>
      <c r="N604">
        <v>7</v>
      </c>
      <c r="O604" t="b">
        <v>0</v>
      </c>
      <c r="P604" t="b">
        <v>1</v>
      </c>
      <c r="Q604" t="b">
        <v>0</v>
      </c>
      <c r="R604" t="b">
        <v>0</v>
      </c>
      <c r="T604" t="s">
        <v>3742</v>
      </c>
      <c r="U604">
        <v>88</v>
      </c>
      <c r="V604" t="s">
        <v>4890</v>
      </c>
      <c r="W604">
        <v>4</v>
      </c>
      <c r="X604" t="s">
        <v>3993</v>
      </c>
      <c r="Y604" t="s">
        <v>3986</v>
      </c>
      <c r="Z604">
        <v>0</v>
      </c>
      <c r="AA604" t="s">
        <v>2493</v>
      </c>
      <c r="AB604" t="s">
        <v>3987</v>
      </c>
      <c r="AC604" t="s">
        <v>3986</v>
      </c>
      <c r="AD604" t="s">
        <v>2781</v>
      </c>
    </row>
    <row r="605" spans="1:30" x14ac:dyDescent="0.25">
      <c r="A605" t="s">
        <v>3589</v>
      </c>
      <c r="B605">
        <v>49</v>
      </c>
      <c r="C605" t="s">
        <v>3310</v>
      </c>
      <c r="D605" t="b">
        <v>0</v>
      </c>
      <c r="E605" t="b">
        <v>0</v>
      </c>
      <c r="F605" t="s">
        <v>3986</v>
      </c>
      <c r="G605" t="s">
        <v>3986</v>
      </c>
      <c r="H605" t="s">
        <v>3986</v>
      </c>
      <c r="I605" t="s">
        <v>3986</v>
      </c>
      <c r="J605" t="s">
        <v>3359</v>
      </c>
      <c r="K605" t="s">
        <v>3630</v>
      </c>
      <c r="L605" t="s">
        <v>3631</v>
      </c>
      <c r="M605" t="s">
        <v>3754</v>
      </c>
      <c r="N605">
        <v>7</v>
      </c>
      <c r="O605" t="b">
        <v>0</v>
      </c>
      <c r="P605" t="b">
        <v>1</v>
      </c>
      <c r="Q605" t="b">
        <v>0</v>
      </c>
      <c r="R605" t="b">
        <v>0</v>
      </c>
      <c r="T605" t="s">
        <v>3742</v>
      </c>
      <c r="U605">
        <v>89</v>
      </c>
      <c r="V605" t="s">
        <v>4891</v>
      </c>
      <c r="W605">
        <v>4</v>
      </c>
      <c r="X605" t="s">
        <v>3993</v>
      </c>
      <c r="Y605" t="s">
        <v>3986</v>
      </c>
      <c r="Z605">
        <v>0</v>
      </c>
      <c r="AA605" t="s">
        <v>2493</v>
      </c>
      <c r="AB605" t="s">
        <v>3987</v>
      </c>
      <c r="AC605" t="s">
        <v>3986</v>
      </c>
      <c r="AD605" t="s">
        <v>2781</v>
      </c>
    </row>
    <row r="606" spans="1:30" x14ac:dyDescent="0.25">
      <c r="A606" t="s">
        <v>3590</v>
      </c>
      <c r="B606">
        <v>50</v>
      </c>
      <c r="C606" t="s">
        <v>3310</v>
      </c>
      <c r="D606" t="b">
        <v>0</v>
      </c>
      <c r="E606" t="b">
        <v>0</v>
      </c>
      <c r="F606" t="s">
        <v>3986</v>
      </c>
      <c r="G606" t="s">
        <v>3986</v>
      </c>
      <c r="H606" t="s">
        <v>3986</v>
      </c>
      <c r="I606" t="s">
        <v>3986</v>
      </c>
      <c r="J606" t="s">
        <v>3359</v>
      </c>
      <c r="K606" t="s">
        <v>3630</v>
      </c>
      <c r="L606" t="s">
        <v>3631</v>
      </c>
      <c r="M606" t="s">
        <v>3754</v>
      </c>
      <c r="N606">
        <v>7</v>
      </c>
      <c r="O606" t="b">
        <v>0</v>
      </c>
      <c r="P606" t="b">
        <v>1</v>
      </c>
      <c r="Q606" t="b">
        <v>0</v>
      </c>
      <c r="R606" t="b">
        <v>0</v>
      </c>
      <c r="T606" t="s">
        <v>3742</v>
      </c>
      <c r="U606">
        <v>90</v>
      </c>
      <c r="V606" t="s">
        <v>4893</v>
      </c>
      <c r="W606">
        <v>4</v>
      </c>
      <c r="X606" t="s">
        <v>3993</v>
      </c>
      <c r="Y606" t="s">
        <v>3986</v>
      </c>
      <c r="Z606">
        <v>0</v>
      </c>
      <c r="AA606" t="s">
        <v>2493</v>
      </c>
      <c r="AB606" t="s">
        <v>3987</v>
      </c>
      <c r="AC606" t="s">
        <v>3986</v>
      </c>
      <c r="AD606" t="s">
        <v>2781</v>
      </c>
    </row>
    <row r="607" spans="1:30" x14ac:dyDescent="0.25">
      <c r="A607" t="s">
        <v>3591</v>
      </c>
      <c r="B607">
        <v>51</v>
      </c>
      <c r="C607" t="s">
        <v>3310</v>
      </c>
      <c r="D607" t="b">
        <v>0</v>
      </c>
      <c r="E607" t="b">
        <v>0</v>
      </c>
      <c r="F607" t="s">
        <v>3986</v>
      </c>
      <c r="G607" t="s">
        <v>3986</v>
      </c>
      <c r="H607" t="s">
        <v>3986</v>
      </c>
      <c r="I607" t="s">
        <v>3986</v>
      </c>
      <c r="J607" t="s">
        <v>3359</v>
      </c>
      <c r="K607" t="s">
        <v>3630</v>
      </c>
      <c r="L607" t="s">
        <v>3631</v>
      </c>
      <c r="M607" t="s">
        <v>3754</v>
      </c>
      <c r="N607">
        <v>7</v>
      </c>
      <c r="O607" t="b">
        <v>0</v>
      </c>
      <c r="P607" t="b">
        <v>1</v>
      </c>
      <c r="Q607" t="b">
        <v>0</v>
      </c>
      <c r="R607" t="b">
        <v>0</v>
      </c>
      <c r="T607" t="s">
        <v>3742</v>
      </c>
      <c r="U607">
        <v>90</v>
      </c>
      <c r="V607" t="s">
        <v>4892</v>
      </c>
      <c r="W607">
        <v>4</v>
      </c>
      <c r="X607" t="s">
        <v>3993</v>
      </c>
      <c r="Y607" t="s">
        <v>3986</v>
      </c>
      <c r="Z607">
        <v>0</v>
      </c>
      <c r="AA607" t="s">
        <v>2493</v>
      </c>
      <c r="AB607" t="s">
        <v>3987</v>
      </c>
      <c r="AC607" t="s">
        <v>3986</v>
      </c>
      <c r="AD607" t="s">
        <v>2781</v>
      </c>
    </row>
    <row r="608" spans="1:30" x14ac:dyDescent="0.25">
      <c r="A608" t="s">
        <v>3592</v>
      </c>
      <c r="B608">
        <v>52</v>
      </c>
      <c r="C608" t="s">
        <v>3310</v>
      </c>
      <c r="D608" t="b">
        <v>0</v>
      </c>
      <c r="E608" t="b">
        <v>0</v>
      </c>
      <c r="F608" t="s">
        <v>3986</v>
      </c>
      <c r="G608" t="s">
        <v>3986</v>
      </c>
      <c r="H608" t="s">
        <v>3986</v>
      </c>
      <c r="I608" t="s">
        <v>3986</v>
      </c>
      <c r="J608" t="s">
        <v>3359</v>
      </c>
      <c r="K608" t="s">
        <v>3630</v>
      </c>
      <c r="L608" t="s">
        <v>3631</v>
      </c>
      <c r="M608" t="s">
        <v>3754</v>
      </c>
      <c r="N608">
        <v>7</v>
      </c>
      <c r="O608" t="b">
        <v>0</v>
      </c>
      <c r="P608" t="b">
        <v>1</v>
      </c>
      <c r="Q608" t="b">
        <v>0</v>
      </c>
      <c r="R608" t="b">
        <v>0</v>
      </c>
      <c r="T608" t="s">
        <v>3742</v>
      </c>
      <c r="U608">
        <v>119</v>
      </c>
      <c r="V608" t="s">
        <v>3993</v>
      </c>
      <c r="W608">
        <v>4</v>
      </c>
      <c r="X608" t="s">
        <v>3991</v>
      </c>
      <c r="Y608" t="s">
        <v>3986</v>
      </c>
      <c r="Z608">
        <v>0</v>
      </c>
      <c r="AA608" t="s">
        <v>2493</v>
      </c>
      <c r="AB608" t="s">
        <v>3987</v>
      </c>
      <c r="AC608" t="s">
        <v>3986</v>
      </c>
      <c r="AD608" t="s">
        <v>3769</v>
      </c>
    </row>
    <row r="609" spans="1:30" x14ac:dyDescent="0.25">
      <c r="A609" t="s">
        <v>3593</v>
      </c>
      <c r="B609">
        <v>53</v>
      </c>
      <c r="C609" t="s">
        <v>3310</v>
      </c>
      <c r="D609" t="b">
        <v>0</v>
      </c>
      <c r="E609" t="b">
        <v>0</v>
      </c>
      <c r="F609" t="s">
        <v>3986</v>
      </c>
      <c r="G609" t="s">
        <v>3986</v>
      </c>
      <c r="H609" t="s">
        <v>3986</v>
      </c>
      <c r="I609" t="s">
        <v>3986</v>
      </c>
      <c r="J609" t="s">
        <v>3359</v>
      </c>
      <c r="K609" t="s">
        <v>3630</v>
      </c>
      <c r="L609" t="s">
        <v>3631</v>
      </c>
      <c r="M609" t="s">
        <v>3754</v>
      </c>
      <c r="N609">
        <v>7</v>
      </c>
      <c r="O609" t="b">
        <v>0</v>
      </c>
      <c r="P609" t="b">
        <v>1</v>
      </c>
      <c r="Q609" t="b">
        <v>0</v>
      </c>
      <c r="R609" t="b">
        <v>0</v>
      </c>
      <c r="T609" t="s">
        <v>3742</v>
      </c>
      <c r="U609">
        <v>120</v>
      </c>
      <c r="V609" t="s">
        <v>3994</v>
      </c>
      <c r="W609">
        <v>4</v>
      </c>
      <c r="X609" t="s">
        <v>3991</v>
      </c>
      <c r="Y609" t="s">
        <v>3986</v>
      </c>
      <c r="Z609">
        <v>0</v>
      </c>
      <c r="AA609" t="s">
        <v>2493</v>
      </c>
      <c r="AB609" t="s">
        <v>3987</v>
      </c>
      <c r="AC609" t="s">
        <v>3986</v>
      </c>
      <c r="AD609" t="s">
        <v>3769</v>
      </c>
    </row>
    <row r="610" spans="1:30" x14ac:dyDescent="0.25">
      <c r="A610" t="s">
        <v>3594</v>
      </c>
      <c r="B610">
        <v>54</v>
      </c>
      <c r="C610" t="s">
        <v>3310</v>
      </c>
      <c r="D610" t="b">
        <v>0</v>
      </c>
      <c r="E610" t="b">
        <v>0</v>
      </c>
      <c r="F610" t="s">
        <v>3986</v>
      </c>
      <c r="G610" t="s">
        <v>3986</v>
      </c>
      <c r="H610" t="s">
        <v>3986</v>
      </c>
      <c r="I610" t="s">
        <v>3986</v>
      </c>
      <c r="J610" t="s">
        <v>3359</v>
      </c>
      <c r="K610" t="s">
        <v>3630</v>
      </c>
      <c r="L610" t="s">
        <v>3631</v>
      </c>
      <c r="M610" t="s">
        <v>3754</v>
      </c>
      <c r="N610">
        <v>7</v>
      </c>
      <c r="O610" t="b">
        <v>0</v>
      </c>
      <c r="P610" t="b">
        <v>1</v>
      </c>
      <c r="Q610" t="b">
        <v>0</v>
      </c>
      <c r="R610" t="b">
        <v>0</v>
      </c>
      <c r="T610" t="s">
        <v>3742</v>
      </c>
      <c r="U610">
        <v>121</v>
      </c>
      <c r="V610" t="s">
        <v>3995</v>
      </c>
      <c r="W610">
        <v>4</v>
      </c>
      <c r="X610" t="s">
        <v>3991</v>
      </c>
      <c r="Y610" t="s">
        <v>3986</v>
      </c>
      <c r="Z610">
        <v>0</v>
      </c>
      <c r="AA610" t="s">
        <v>2493</v>
      </c>
      <c r="AB610" t="s">
        <v>3987</v>
      </c>
      <c r="AC610" t="s">
        <v>3986</v>
      </c>
      <c r="AD610" t="s">
        <v>3769</v>
      </c>
    </row>
    <row r="611" spans="1:30" x14ac:dyDescent="0.25">
      <c r="A611" t="s">
        <v>3595</v>
      </c>
      <c r="B611">
        <v>55</v>
      </c>
      <c r="C611" t="s">
        <v>3310</v>
      </c>
      <c r="D611" t="b">
        <v>0</v>
      </c>
      <c r="E611" t="b">
        <v>0</v>
      </c>
      <c r="F611" t="s">
        <v>3986</v>
      </c>
      <c r="G611" t="s">
        <v>3986</v>
      </c>
      <c r="H611" t="s">
        <v>3986</v>
      </c>
      <c r="I611" t="s">
        <v>3986</v>
      </c>
      <c r="J611" t="s">
        <v>3359</v>
      </c>
      <c r="K611" t="s">
        <v>3630</v>
      </c>
      <c r="L611" t="s">
        <v>3631</v>
      </c>
      <c r="M611" t="s">
        <v>3754</v>
      </c>
      <c r="N611">
        <v>7</v>
      </c>
      <c r="O611" t="b">
        <v>0</v>
      </c>
      <c r="P611" t="b">
        <v>1</v>
      </c>
      <c r="Q611" t="b">
        <v>0</v>
      </c>
      <c r="R611" t="b">
        <v>0</v>
      </c>
      <c r="T611" t="s">
        <v>3742</v>
      </c>
      <c r="U611">
        <v>122</v>
      </c>
      <c r="V611" t="s">
        <v>3996</v>
      </c>
      <c r="W611">
        <v>4</v>
      </c>
      <c r="X611" t="s">
        <v>3991</v>
      </c>
      <c r="Y611" t="s">
        <v>3986</v>
      </c>
      <c r="Z611">
        <v>0</v>
      </c>
      <c r="AA611" t="s">
        <v>2493</v>
      </c>
      <c r="AB611" t="s">
        <v>3987</v>
      </c>
      <c r="AC611" t="s">
        <v>3986</v>
      </c>
      <c r="AD611" t="s">
        <v>3769</v>
      </c>
    </row>
    <row r="612" spans="1:30" x14ac:dyDescent="0.25">
      <c r="A612" t="s">
        <v>3596</v>
      </c>
      <c r="B612">
        <v>56</v>
      </c>
      <c r="C612" t="s">
        <v>3310</v>
      </c>
      <c r="D612" t="b">
        <v>0</v>
      </c>
      <c r="E612" t="b">
        <v>0</v>
      </c>
      <c r="F612" t="s">
        <v>3986</v>
      </c>
      <c r="G612" t="s">
        <v>3986</v>
      </c>
      <c r="H612" t="s">
        <v>3986</v>
      </c>
      <c r="I612" t="s">
        <v>3986</v>
      </c>
      <c r="J612" t="s">
        <v>3359</v>
      </c>
      <c r="K612" t="s">
        <v>3630</v>
      </c>
      <c r="L612" t="s">
        <v>3631</v>
      </c>
      <c r="M612" t="s">
        <v>3754</v>
      </c>
      <c r="N612">
        <v>7</v>
      </c>
      <c r="O612" t="b">
        <v>0</v>
      </c>
      <c r="P612" t="b">
        <v>1</v>
      </c>
      <c r="Q612" t="b">
        <v>0</v>
      </c>
      <c r="R612" t="b">
        <v>0</v>
      </c>
      <c r="T612" t="s">
        <v>3742</v>
      </c>
      <c r="U612">
        <v>123</v>
      </c>
      <c r="V612" t="s">
        <v>3997</v>
      </c>
      <c r="W612">
        <v>4</v>
      </c>
      <c r="X612" t="s">
        <v>3991</v>
      </c>
      <c r="Y612" t="s">
        <v>3986</v>
      </c>
      <c r="Z612">
        <v>0</v>
      </c>
      <c r="AA612" t="s">
        <v>2493</v>
      </c>
      <c r="AB612" t="s">
        <v>3987</v>
      </c>
      <c r="AC612" t="s">
        <v>3986</v>
      </c>
      <c r="AD612" t="s">
        <v>3769</v>
      </c>
    </row>
    <row r="613" spans="1:30" x14ac:dyDescent="0.25">
      <c r="A613" t="s">
        <v>3597</v>
      </c>
      <c r="B613">
        <v>57</v>
      </c>
      <c r="C613" t="s">
        <v>3310</v>
      </c>
      <c r="D613" t="b">
        <v>0</v>
      </c>
      <c r="E613" t="b">
        <v>0</v>
      </c>
      <c r="F613" t="s">
        <v>3986</v>
      </c>
      <c r="G613" t="s">
        <v>3986</v>
      </c>
      <c r="H613" t="s">
        <v>3986</v>
      </c>
      <c r="I613" t="s">
        <v>3986</v>
      </c>
      <c r="J613" t="s">
        <v>3359</v>
      </c>
      <c r="K613" t="s">
        <v>3630</v>
      </c>
      <c r="L613" t="s">
        <v>3631</v>
      </c>
      <c r="M613" t="s">
        <v>3754</v>
      </c>
      <c r="N613">
        <v>7</v>
      </c>
      <c r="O613" t="b">
        <v>0</v>
      </c>
      <c r="P613" t="b">
        <v>1</v>
      </c>
      <c r="Q613" t="b">
        <v>0</v>
      </c>
      <c r="R613" t="b">
        <v>0</v>
      </c>
      <c r="T613" t="s">
        <v>3742</v>
      </c>
      <c r="U613">
        <v>179</v>
      </c>
      <c r="V613" t="s">
        <v>4002</v>
      </c>
      <c r="W613">
        <v>4</v>
      </c>
      <c r="X613" t="s">
        <v>3991</v>
      </c>
      <c r="Y613" t="s">
        <v>3986</v>
      </c>
      <c r="Z613">
        <v>0</v>
      </c>
      <c r="AA613" t="s">
        <v>2493</v>
      </c>
      <c r="AB613" t="s">
        <v>3987</v>
      </c>
      <c r="AC613" t="s">
        <v>3986</v>
      </c>
      <c r="AD613" t="s">
        <v>3769</v>
      </c>
    </row>
    <row r="614" spans="1:30" x14ac:dyDescent="0.25">
      <c r="A614" t="s">
        <v>3598</v>
      </c>
      <c r="B614">
        <v>58</v>
      </c>
      <c r="C614" t="s">
        <v>3310</v>
      </c>
      <c r="D614" t="b">
        <v>0</v>
      </c>
      <c r="E614" t="b">
        <v>0</v>
      </c>
      <c r="F614" t="s">
        <v>3986</v>
      </c>
      <c r="G614" t="s">
        <v>3986</v>
      </c>
      <c r="H614" t="s">
        <v>3986</v>
      </c>
      <c r="I614" t="s">
        <v>3986</v>
      </c>
      <c r="J614" t="s">
        <v>3359</v>
      </c>
      <c r="K614" t="s">
        <v>3630</v>
      </c>
      <c r="L614" t="s">
        <v>3631</v>
      </c>
      <c r="M614" t="s">
        <v>3754</v>
      </c>
      <c r="N614">
        <v>7</v>
      </c>
      <c r="O614" t="b">
        <v>0</v>
      </c>
      <c r="P614" t="b">
        <v>1</v>
      </c>
      <c r="Q614" t="b">
        <v>0</v>
      </c>
      <c r="R614" t="b">
        <v>0</v>
      </c>
      <c r="T614" t="s">
        <v>3742</v>
      </c>
      <c r="U614">
        <v>180</v>
      </c>
      <c r="V614" t="s">
        <v>4003</v>
      </c>
      <c r="W614">
        <v>4</v>
      </c>
      <c r="X614" t="s">
        <v>3991</v>
      </c>
      <c r="Y614" t="s">
        <v>3986</v>
      </c>
      <c r="Z614">
        <v>0</v>
      </c>
      <c r="AA614" t="s">
        <v>2493</v>
      </c>
      <c r="AB614" t="s">
        <v>3987</v>
      </c>
      <c r="AC614" t="s">
        <v>3986</v>
      </c>
      <c r="AD614" t="s">
        <v>3769</v>
      </c>
    </row>
    <row r="615" spans="1:30" x14ac:dyDescent="0.25">
      <c r="A615" t="s">
        <v>3599</v>
      </c>
      <c r="B615">
        <v>59</v>
      </c>
      <c r="C615" t="s">
        <v>3310</v>
      </c>
      <c r="D615" t="b">
        <v>0</v>
      </c>
      <c r="E615" t="b">
        <v>0</v>
      </c>
      <c r="F615" t="s">
        <v>3986</v>
      </c>
      <c r="G615" t="s">
        <v>3986</v>
      </c>
      <c r="H615" t="s">
        <v>3986</v>
      </c>
      <c r="I615" t="s">
        <v>3986</v>
      </c>
      <c r="J615" t="s">
        <v>3359</v>
      </c>
      <c r="K615" t="s">
        <v>3630</v>
      </c>
      <c r="L615" t="s">
        <v>3631</v>
      </c>
      <c r="M615" t="s">
        <v>3754</v>
      </c>
      <c r="N615">
        <v>7</v>
      </c>
      <c r="O615" t="b">
        <v>0</v>
      </c>
      <c r="P615" t="b">
        <v>1</v>
      </c>
      <c r="Q615" t="b">
        <v>0</v>
      </c>
      <c r="R615" t="b">
        <v>0</v>
      </c>
      <c r="T615" t="s">
        <v>3742</v>
      </c>
      <c r="U615">
        <v>181</v>
      </c>
      <c r="V615" t="s">
        <v>4004</v>
      </c>
      <c r="W615">
        <v>4</v>
      </c>
      <c r="X615" t="s">
        <v>3991</v>
      </c>
      <c r="Y615" t="s">
        <v>3986</v>
      </c>
      <c r="Z615">
        <v>0</v>
      </c>
      <c r="AA615" t="s">
        <v>2493</v>
      </c>
      <c r="AB615" t="s">
        <v>3987</v>
      </c>
      <c r="AC615" t="s">
        <v>3986</v>
      </c>
      <c r="AD615" t="s">
        <v>3769</v>
      </c>
    </row>
    <row r="616" spans="1:30" x14ac:dyDescent="0.25">
      <c r="A616" t="s">
        <v>3600</v>
      </c>
      <c r="B616">
        <v>60</v>
      </c>
      <c r="C616" t="s">
        <v>3310</v>
      </c>
      <c r="D616" t="b">
        <v>0</v>
      </c>
      <c r="E616" t="b">
        <v>0</v>
      </c>
      <c r="F616" t="s">
        <v>3986</v>
      </c>
      <c r="G616" t="s">
        <v>3986</v>
      </c>
      <c r="H616" t="s">
        <v>3986</v>
      </c>
      <c r="I616" t="s">
        <v>3986</v>
      </c>
      <c r="J616" t="s">
        <v>3359</v>
      </c>
      <c r="K616" t="s">
        <v>3630</v>
      </c>
      <c r="L616" t="s">
        <v>3631</v>
      </c>
      <c r="M616" t="s">
        <v>3754</v>
      </c>
      <c r="N616">
        <v>7</v>
      </c>
      <c r="O616" t="b">
        <v>0</v>
      </c>
      <c r="P616" t="b">
        <v>1</v>
      </c>
      <c r="Q616" t="b">
        <v>0</v>
      </c>
      <c r="R616" t="b">
        <v>0</v>
      </c>
      <c r="T616" t="s">
        <v>3742</v>
      </c>
      <c r="U616">
        <v>183</v>
      </c>
      <c r="V616" t="s">
        <v>4006</v>
      </c>
      <c r="W616">
        <v>4</v>
      </c>
      <c r="X616" t="s">
        <v>3991</v>
      </c>
      <c r="Y616" t="s">
        <v>3986</v>
      </c>
      <c r="Z616">
        <v>0</v>
      </c>
      <c r="AA616" t="s">
        <v>2493</v>
      </c>
      <c r="AB616" t="s">
        <v>3987</v>
      </c>
      <c r="AC616" t="s">
        <v>3986</v>
      </c>
      <c r="AD616" t="s">
        <v>3769</v>
      </c>
    </row>
    <row r="617" spans="1:30" x14ac:dyDescent="0.25">
      <c r="A617" t="s">
        <v>3601</v>
      </c>
      <c r="B617">
        <v>61</v>
      </c>
      <c r="C617" t="s">
        <v>3310</v>
      </c>
      <c r="D617" t="b">
        <v>0</v>
      </c>
      <c r="E617" t="b">
        <v>0</v>
      </c>
      <c r="F617" t="s">
        <v>3986</v>
      </c>
      <c r="G617" t="s">
        <v>3986</v>
      </c>
      <c r="H617" t="s">
        <v>3986</v>
      </c>
      <c r="I617" t="s">
        <v>3986</v>
      </c>
      <c r="J617" t="s">
        <v>3359</v>
      </c>
      <c r="K617" t="s">
        <v>3630</v>
      </c>
      <c r="L617" t="s">
        <v>3631</v>
      </c>
      <c r="M617" t="s">
        <v>3754</v>
      </c>
      <c r="N617">
        <v>7</v>
      </c>
      <c r="O617" t="b">
        <v>0</v>
      </c>
      <c r="P617" t="b">
        <v>1</v>
      </c>
      <c r="Q617" t="b">
        <v>0</v>
      </c>
      <c r="R617" t="b">
        <v>0</v>
      </c>
      <c r="T617" t="s">
        <v>3742</v>
      </c>
      <c r="U617">
        <v>184</v>
      </c>
      <c r="V617" t="s">
        <v>4007</v>
      </c>
      <c r="W617">
        <v>4</v>
      </c>
      <c r="X617" t="s">
        <v>3991</v>
      </c>
      <c r="Y617" t="s">
        <v>3986</v>
      </c>
      <c r="Z617">
        <v>0</v>
      </c>
      <c r="AA617" t="s">
        <v>2493</v>
      </c>
      <c r="AB617" t="s">
        <v>3987</v>
      </c>
      <c r="AC617" t="s">
        <v>3986</v>
      </c>
      <c r="AD617" t="s">
        <v>3769</v>
      </c>
    </row>
    <row r="618" spans="1:30" x14ac:dyDescent="0.25">
      <c r="A618" t="s">
        <v>3602</v>
      </c>
      <c r="B618">
        <v>62</v>
      </c>
      <c r="C618" t="s">
        <v>3310</v>
      </c>
      <c r="D618" t="b">
        <v>0</v>
      </c>
      <c r="E618" t="b">
        <v>0</v>
      </c>
      <c r="F618" t="s">
        <v>3986</v>
      </c>
      <c r="G618" t="s">
        <v>3986</v>
      </c>
      <c r="H618" t="s">
        <v>3986</v>
      </c>
      <c r="I618" t="s">
        <v>3986</v>
      </c>
      <c r="J618" t="s">
        <v>3359</v>
      </c>
      <c r="K618" t="s">
        <v>3630</v>
      </c>
      <c r="L618" t="s">
        <v>3631</v>
      </c>
      <c r="M618" t="s">
        <v>3754</v>
      </c>
      <c r="N618">
        <v>7</v>
      </c>
      <c r="O618" t="b">
        <v>0</v>
      </c>
      <c r="P618" t="b">
        <v>1</v>
      </c>
      <c r="Q618" t="b">
        <v>0</v>
      </c>
      <c r="R618" t="b">
        <v>0</v>
      </c>
      <c r="T618" t="s">
        <v>3742</v>
      </c>
      <c r="U618">
        <v>185</v>
      </c>
      <c r="V618" t="s">
        <v>4008</v>
      </c>
      <c r="W618">
        <v>4</v>
      </c>
      <c r="X618" t="s">
        <v>3991</v>
      </c>
      <c r="Y618" t="s">
        <v>3986</v>
      </c>
      <c r="Z618">
        <v>0</v>
      </c>
      <c r="AA618" t="s">
        <v>2493</v>
      </c>
      <c r="AB618" t="s">
        <v>3987</v>
      </c>
      <c r="AC618" t="s">
        <v>3986</v>
      </c>
      <c r="AD618" t="s">
        <v>3769</v>
      </c>
    </row>
    <row r="619" spans="1:30" x14ac:dyDescent="0.25">
      <c r="A619" t="s">
        <v>3603</v>
      </c>
      <c r="B619">
        <v>63</v>
      </c>
      <c r="C619" t="s">
        <v>3310</v>
      </c>
      <c r="D619" t="b">
        <v>0</v>
      </c>
      <c r="E619" t="b">
        <v>0</v>
      </c>
      <c r="F619" t="s">
        <v>3986</v>
      </c>
      <c r="G619" t="s">
        <v>3986</v>
      </c>
      <c r="H619" t="s">
        <v>3986</v>
      </c>
      <c r="I619" t="s">
        <v>3986</v>
      </c>
      <c r="J619" t="s">
        <v>3359</v>
      </c>
      <c r="K619" t="s">
        <v>3630</v>
      </c>
      <c r="L619" t="s">
        <v>3631</v>
      </c>
      <c r="M619" t="s">
        <v>3754</v>
      </c>
      <c r="N619">
        <v>7</v>
      </c>
      <c r="O619" t="b">
        <v>0</v>
      </c>
      <c r="P619" t="b">
        <v>1</v>
      </c>
      <c r="Q619" t="b">
        <v>0</v>
      </c>
      <c r="R619" t="b">
        <v>0</v>
      </c>
      <c r="T619" t="s">
        <v>3742</v>
      </c>
      <c r="U619">
        <v>186</v>
      </c>
      <c r="V619" t="s">
        <v>4009</v>
      </c>
      <c r="W619">
        <v>4</v>
      </c>
      <c r="X619" t="s">
        <v>3991</v>
      </c>
      <c r="Y619" t="s">
        <v>3986</v>
      </c>
      <c r="Z619">
        <v>0</v>
      </c>
      <c r="AA619" t="s">
        <v>2493</v>
      </c>
      <c r="AB619" t="s">
        <v>3987</v>
      </c>
      <c r="AC619" t="s">
        <v>3986</v>
      </c>
      <c r="AD619" t="s">
        <v>3769</v>
      </c>
    </row>
    <row r="620" spans="1:30" x14ac:dyDescent="0.25">
      <c r="A620" t="s">
        <v>3604</v>
      </c>
      <c r="B620">
        <v>64</v>
      </c>
      <c r="C620" t="s">
        <v>3310</v>
      </c>
      <c r="D620" t="b">
        <v>0</v>
      </c>
      <c r="E620" t="b">
        <v>0</v>
      </c>
      <c r="F620" t="s">
        <v>3986</v>
      </c>
      <c r="G620" t="s">
        <v>3986</v>
      </c>
      <c r="H620" t="s">
        <v>3986</v>
      </c>
      <c r="I620" t="s">
        <v>3986</v>
      </c>
      <c r="J620" t="s">
        <v>3359</v>
      </c>
      <c r="K620" t="s">
        <v>3630</v>
      </c>
      <c r="L620" t="s">
        <v>3631</v>
      </c>
      <c r="M620" t="s">
        <v>3754</v>
      </c>
      <c r="N620">
        <v>7</v>
      </c>
      <c r="O620" t="b">
        <v>0</v>
      </c>
      <c r="P620" t="b">
        <v>1</v>
      </c>
      <c r="Q620" t="b">
        <v>0</v>
      </c>
      <c r="R620" t="b">
        <v>0</v>
      </c>
      <c r="T620" t="s">
        <v>3742</v>
      </c>
      <c r="U620">
        <v>187</v>
      </c>
      <c r="V620" t="s">
        <v>4010</v>
      </c>
      <c r="W620">
        <v>4</v>
      </c>
      <c r="X620" t="s">
        <v>3991</v>
      </c>
      <c r="Y620" t="s">
        <v>3986</v>
      </c>
      <c r="Z620">
        <v>0</v>
      </c>
      <c r="AA620" t="s">
        <v>2493</v>
      </c>
      <c r="AB620" t="s">
        <v>4037</v>
      </c>
      <c r="AC620" t="s">
        <v>3986</v>
      </c>
      <c r="AD620" t="s">
        <v>3769</v>
      </c>
    </row>
    <row r="621" spans="1:30" x14ac:dyDescent="0.25">
      <c r="A621" t="s">
        <v>3629</v>
      </c>
      <c r="B621">
        <v>2</v>
      </c>
      <c r="C621" t="s">
        <v>3306</v>
      </c>
      <c r="D621" t="b">
        <v>1</v>
      </c>
      <c r="E621" t="b">
        <v>0</v>
      </c>
      <c r="F621" t="s">
        <v>3986</v>
      </c>
      <c r="G621" t="s">
        <v>3986</v>
      </c>
      <c r="H621" t="s">
        <v>3986</v>
      </c>
      <c r="I621" t="s">
        <v>3986</v>
      </c>
      <c r="J621" t="s">
        <v>3986</v>
      </c>
      <c r="K621" t="s">
        <v>3640</v>
      </c>
      <c r="L621" t="s">
        <v>3631</v>
      </c>
      <c r="M621" t="s">
        <v>3754</v>
      </c>
      <c r="N621">
        <v>7</v>
      </c>
      <c r="O621" t="b">
        <v>0</v>
      </c>
      <c r="P621" t="b">
        <v>1</v>
      </c>
      <c r="Q621" t="b">
        <v>0</v>
      </c>
      <c r="R621" t="b">
        <v>0</v>
      </c>
      <c r="T621" t="s">
        <v>3742</v>
      </c>
      <c r="U621">
        <v>188</v>
      </c>
      <c r="V621" t="s">
        <v>4011</v>
      </c>
      <c r="W621">
        <v>4</v>
      </c>
      <c r="X621" t="s">
        <v>3991</v>
      </c>
      <c r="Y621" t="s">
        <v>3986</v>
      </c>
      <c r="Z621">
        <v>0</v>
      </c>
      <c r="AA621" t="s">
        <v>2493</v>
      </c>
      <c r="AB621" t="s">
        <v>4037</v>
      </c>
      <c r="AC621" t="s">
        <v>3986</v>
      </c>
      <c r="AD621" t="s">
        <v>3769</v>
      </c>
    </row>
    <row r="622" spans="1:30" x14ac:dyDescent="0.25">
      <c r="A622" t="s">
        <v>3632</v>
      </c>
      <c r="B622">
        <v>3</v>
      </c>
      <c r="C622" t="s">
        <v>3306</v>
      </c>
      <c r="D622" t="b">
        <v>1</v>
      </c>
      <c r="E622" t="b">
        <v>0</v>
      </c>
      <c r="F622" t="s">
        <v>3986</v>
      </c>
      <c r="G622" t="s">
        <v>3986</v>
      </c>
      <c r="H622" t="s">
        <v>3986</v>
      </c>
      <c r="I622" t="s">
        <v>3986</v>
      </c>
      <c r="J622" t="s">
        <v>3986</v>
      </c>
      <c r="K622" t="s">
        <v>3640</v>
      </c>
      <c r="L622" t="s">
        <v>3631</v>
      </c>
      <c r="M622" t="s">
        <v>3754</v>
      </c>
      <c r="N622">
        <v>7</v>
      </c>
      <c r="O622" t="b">
        <v>0</v>
      </c>
      <c r="P622" t="b">
        <v>1</v>
      </c>
      <c r="Q622" t="b">
        <v>0</v>
      </c>
      <c r="R622" t="b">
        <v>0</v>
      </c>
      <c r="T622" t="s">
        <v>3742</v>
      </c>
      <c r="U622">
        <v>194</v>
      </c>
      <c r="V622" t="s">
        <v>4015</v>
      </c>
      <c r="W622">
        <v>4</v>
      </c>
      <c r="X622" t="s">
        <v>3991</v>
      </c>
      <c r="Y622" t="s">
        <v>3986</v>
      </c>
      <c r="Z622">
        <v>0</v>
      </c>
      <c r="AA622" t="s">
        <v>2493</v>
      </c>
      <c r="AB622" t="s">
        <v>3987</v>
      </c>
      <c r="AC622" t="s">
        <v>3986</v>
      </c>
      <c r="AD622" t="s">
        <v>3769</v>
      </c>
    </row>
    <row r="623" spans="1:30" x14ac:dyDescent="0.25">
      <c r="A623" t="s">
        <v>3633</v>
      </c>
      <c r="B623">
        <v>4</v>
      </c>
      <c r="C623" t="s">
        <v>3618</v>
      </c>
      <c r="D623" t="b">
        <v>1</v>
      </c>
      <c r="E623" t="b">
        <v>0</v>
      </c>
      <c r="F623" t="s">
        <v>3986</v>
      </c>
      <c r="G623" t="s">
        <v>3986</v>
      </c>
      <c r="H623" t="s">
        <v>3986</v>
      </c>
      <c r="I623" t="s">
        <v>3986</v>
      </c>
      <c r="J623" t="s">
        <v>3986</v>
      </c>
      <c r="K623" t="s">
        <v>3640</v>
      </c>
      <c r="L623" t="s">
        <v>3631</v>
      </c>
      <c r="M623" t="s">
        <v>3754</v>
      </c>
      <c r="N623">
        <v>7</v>
      </c>
      <c r="O623" t="b">
        <v>0</v>
      </c>
      <c r="P623" t="b">
        <v>1</v>
      </c>
      <c r="Q623" t="b">
        <v>0</v>
      </c>
      <c r="R623" t="b">
        <v>0</v>
      </c>
      <c r="T623" t="s">
        <v>3742</v>
      </c>
      <c r="U623">
        <v>195</v>
      </c>
      <c r="V623" t="s">
        <v>4016</v>
      </c>
      <c r="W623">
        <v>4</v>
      </c>
      <c r="X623" t="s">
        <v>3991</v>
      </c>
      <c r="Y623" t="s">
        <v>3986</v>
      </c>
      <c r="Z623">
        <v>0</v>
      </c>
      <c r="AA623" t="s">
        <v>2493</v>
      </c>
      <c r="AB623" t="s">
        <v>3987</v>
      </c>
      <c r="AC623" t="s">
        <v>3986</v>
      </c>
      <c r="AD623" t="s">
        <v>3769</v>
      </c>
    </row>
    <row r="624" spans="1:30" x14ac:dyDescent="0.25">
      <c r="A624" t="s">
        <v>3634</v>
      </c>
      <c r="B624">
        <v>5</v>
      </c>
      <c r="C624" t="s">
        <v>3306</v>
      </c>
      <c r="D624" t="b">
        <v>1</v>
      </c>
      <c r="E624" t="b">
        <v>0</v>
      </c>
      <c r="F624" t="s">
        <v>3986</v>
      </c>
      <c r="G624" t="s">
        <v>3986</v>
      </c>
      <c r="H624" t="s">
        <v>3986</v>
      </c>
      <c r="I624" t="s">
        <v>3986</v>
      </c>
      <c r="J624" t="s">
        <v>3986</v>
      </c>
      <c r="K624" t="s">
        <v>3640</v>
      </c>
      <c r="L624" t="s">
        <v>3631</v>
      </c>
      <c r="M624" t="s">
        <v>3754</v>
      </c>
      <c r="N624">
        <v>7</v>
      </c>
      <c r="O624" t="b">
        <v>0</v>
      </c>
      <c r="P624" t="b">
        <v>1</v>
      </c>
      <c r="Q624" t="b">
        <v>0</v>
      </c>
      <c r="R624" t="b">
        <v>0</v>
      </c>
      <c r="T624" t="s">
        <v>3742</v>
      </c>
      <c r="U624">
        <v>196</v>
      </c>
      <c r="V624" t="s">
        <v>4017</v>
      </c>
      <c r="W624">
        <v>4</v>
      </c>
      <c r="X624" t="s">
        <v>3991</v>
      </c>
      <c r="Y624" t="s">
        <v>3986</v>
      </c>
      <c r="Z624">
        <v>0</v>
      </c>
      <c r="AA624" t="s">
        <v>2493</v>
      </c>
      <c r="AB624" t="s">
        <v>3987</v>
      </c>
      <c r="AC624" t="s">
        <v>3986</v>
      </c>
      <c r="AD624" t="s">
        <v>3769</v>
      </c>
    </row>
    <row r="625" spans="1:30" x14ac:dyDescent="0.25">
      <c r="A625" t="s">
        <v>3635</v>
      </c>
      <c r="B625">
        <v>6</v>
      </c>
      <c r="C625" t="s">
        <v>3306</v>
      </c>
      <c r="D625" t="b">
        <v>1</v>
      </c>
      <c r="E625" t="b">
        <v>0</v>
      </c>
      <c r="F625" t="s">
        <v>3986</v>
      </c>
      <c r="G625" t="s">
        <v>3986</v>
      </c>
      <c r="H625" t="s">
        <v>3986</v>
      </c>
      <c r="I625" t="s">
        <v>3986</v>
      </c>
      <c r="J625" t="s">
        <v>3986</v>
      </c>
      <c r="K625" t="s">
        <v>3640</v>
      </c>
      <c r="L625" t="s">
        <v>3631</v>
      </c>
      <c r="M625" t="s">
        <v>3754</v>
      </c>
      <c r="N625">
        <v>7</v>
      </c>
      <c r="O625" t="b">
        <v>0</v>
      </c>
      <c r="P625" t="b">
        <v>1</v>
      </c>
      <c r="Q625" t="b">
        <v>0</v>
      </c>
      <c r="R625" t="b">
        <v>0</v>
      </c>
      <c r="T625" t="s">
        <v>3742</v>
      </c>
      <c r="U625">
        <v>197</v>
      </c>
      <c r="V625" t="s">
        <v>4018</v>
      </c>
      <c r="W625">
        <v>4</v>
      </c>
      <c r="X625" t="s">
        <v>3991</v>
      </c>
      <c r="Y625" t="s">
        <v>3986</v>
      </c>
      <c r="Z625">
        <v>0</v>
      </c>
      <c r="AA625" t="s">
        <v>2493</v>
      </c>
      <c r="AB625" t="s">
        <v>3987</v>
      </c>
      <c r="AC625" t="s">
        <v>3986</v>
      </c>
      <c r="AD625" t="s">
        <v>3769</v>
      </c>
    </row>
    <row r="626" spans="1:30" x14ac:dyDescent="0.25">
      <c r="A626" t="s">
        <v>3393</v>
      </c>
      <c r="B626">
        <v>7</v>
      </c>
      <c r="C626" t="s">
        <v>3343</v>
      </c>
      <c r="D626" t="b">
        <v>1</v>
      </c>
      <c r="E626" t="b">
        <v>0</v>
      </c>
      <c r="F626" t="s">
        <v>3986</v>
      </c>
      <c r="G626" t="s">
        <v>3986</v>
      </c>
      <c r="H626" t="s">
        <v>3986</v>
      </c>
      <c r="I626" t="s">
        <v>3986</v>
      </c>
      <c r="J626" t="s">
        <v>3636</v>
      </c>
      <c r="K626" t="s">
        <v>3640</v>
      </c>
      <c r="L626" t="s">
        <v>3631</v>
      </c>
      <c r="M626" t="s">
        <v>3754</v>
      </c>
      <c r="N626">
        <v>7</v>
      </c>
      <c r="O626" t="b">
        <v>0</v>
      </c>
      <c r="P626" t="b">
        <v>1</v>
      </c>
      <c r="Q626" t="b">
        <v>0</v>
      </c>
      <c r="R626" t="b">
        <v>0</v>
      </c>
      <c r="T626" t="s">
        <v>3742</v>
      </c>
      <c r="U626">
        <v>198</v>
      </c>
      <c r="V626" t="s">
        <v>4019</v>
      </c>
      <c r="W626">
        <v>4</v>
      </c>
      <c r="X626" t="s">
        <v>3991</v>
      </c>
      <c r="Y626" t="s">
        <v>3986</v>
      </c>
      <c r="Z626">
        <v>0</v>
      </c>
      <c r="AA626" t="s">
        <v>2493</v>
      </c>
      <c r="AB626" t="s">
        <v>3987</v>
      </c>
      <c r="AC626" t="s">
        <v>3986</v>
      </c>
      <c r="AD626" t="s">
        <v>3769</v>
      </c>
    </row>
    <row r="627" spans="1:30" x14ac:dyDescent="0.25">
      <c r="A627" t="s">
        <v>3637</v>
      </c>
      <c r="B627">
        <v>9</v>
      </c>
      <c r="C627" t="s">
        <v>3306</v>
      </c>
      <c r="D627" t="b">
        <v>1</v>
      </c>
      <c r="E627" t="b">
        <v>0</v>
      </c>
      <c r="F627" t="s">
        <v>3986</v>
      </c>
      <c r="G627" t="s">
        <v>3986</v>
      </c>
      <c r="H627" t="s">
        <v>3986</v>
      </c>
      <c r="I627" t="s">
        <v>3986</v>
      </c>
      <c r="J627" t="s">
        <v>3986</v>
      </c>
      <c r="K627" t="s">
        <v>3640</v>
      </c>
      <c r="L627" t="s">
        <v>3631</v>
      </c>
      <c r="M627" t="s">
        <v>3754</v>
      </c>
      <c r="N627">
        <v>7</v>
      </c>
      <c r="O627" t="b">
        <v>0</v>
      </c>
      <c r="P627" t="b">
        <v>1</v>
      </c>
      <c r="Q627" t="b">
        <v>0</v>
      </c>
      <c r="R627" t="b">
        <v>0</v>
      </c>
      <c r="T627" t="s">
        <v>3742</v>
      </c>
      <c r="U627">
        <v>199</v>
      </c>
      <c r="V627" t="s">
        <v>4020</v>
      </c>
      <c r="W627">
        <v>4</v>
      </c>
      <c r="X627" t="s">
        <v>3991</v>
      </c>
      <c r="Y627" t="s">
        <v>3986</v>
      </c>
      <c r="Z627">
        <v>0</v>
      </c>
      <c r="AA627" t="s">
        <v>2493</v>
      </c>
      <c r="AB627" t="s">
        <v>3987</v>
      </c>
      <c r="AC627" t="s">
        <v>3986</v>
      </c>
      <c r="AD627" t="s">
        <v>3769</v>
      </c>
    </row>
    <row r="628" spans="1:30" x14ac:dyDescent="0.25">
      <c r="A628" t="s">
        <v>3639</v>
      </c>
      <c r="B628">
        <v>10</v>
      </c>
      <c r="C628" t="s">
        <v>3618</v>
      </c>
      <c r="D628" t="b">
        <v>1</v>
      </c>
      <c r="E628" t="b">
        <v>0</v>
      </c>
      <c r="F628" t="s">
        <v>3986</v>
      </c>
      <c r="G628" t="s">
        <v>3986</v>
      </c>
      <c r="H628" t="s">
        <v>3986</v>
      </c>
      <c r="I628" t="s">
        <v>3986</v>
      </c>
      <c r="J628" t="s">
        <v>3986</v>
      </c>
      <c r="K628" t="s">
        <v>3640</v>
      </c>
      <c r="L628" t="s">
        <v>3631</v>
      </c>
      <c r="M628" t="s">
        <v>3754</v>
      </c>
      <c r="N628">
        <v>7</v>
      </c>
      <c r="O628" t="b">
        <v>0</v>
      </c>
      <c r="P628" t="b">
        <v>1</v>
      </c>
      <c r="Q628" t="b">
        <v>0</v>
      </c>
      <c r="R628" t="b">
        <v>0</v>
      </c>
      <c r="T628" t="s">
        <v>3742</v>
      </c>
      <c r="U628">
        <v>201</v>
      </c>
      <c r="V628" t="s">
        <v>4022</v>
      </c>
      <c r="W628">
        <v>4</v>
      </c>
      <c r="X628" t="s">
        <v>3991</v>
      </c>
      <c r="Y628" t="s">
        <v>3986</v>
      </c>
      <c r="Z628">
        <v>0</v>
      </c>
      <c r="AA628" t="s">
        <v>2493</v>
      </c>
      <c r="AB628" t="s">
        <v>3987</v>
      </c>
      <c r="AC628" t="s">
        <v>3986</v>
      </c>
      <c r="AD628" t="s">
        <v>3769</v>
      </c>
    </row>
    <row r="629" spans="1:30" x14ac:dyDescent="0.25">
      <c r="A629" t="s">
        <v>34</v>
      </c>
      <c r="B629">
        <v>11</v>
      </c>
      <c r="C629" t="s">
        <v>3306</v>
      </c>
      <c r="D629" t="b">
        <v>1</v>
      </c>
      <c r="E629" t="b">
        <v>0</v>
      </c>
      <c r="F629" t="s">
        <v>3986</v>
      </c>
      <c r="G629" t="s">
        <v>3986</v>
      </c>
      <c r="H629" t="s">
        <v>3986</v>
      </c>
      <c r="I629" t="s">
        <v>3986</v>
      </c>
      <c r="J629" t="s">
        <v>3370</v>
      </c>
      <c r="K629" t="s">
        <v>3640</v>
      </c>
      <c r="L629" t="s">
        <v>3631</v>
      </c>
      <c r="M629" t="s">
        <v>3754</v>
      </c>
      <c r="N629">
        <v>7</v>
      </c>
      <c r="O629" t="b">
        <v>0</v>
      </c>
      <c r="P629" t="b">
        <v>1</v>
      </c>
      <c r="Q629" t="b">
        <v>0</v>
      </c>
      <c r="R629" t="b">
        <v>0</v>
      </c>
      <c r="T629" t="s">
        <v>3742</v>
      </c>
      <c r="U629">
        <v>202</v>
      </c>
      <c r="V629" t="s">
        <v>4023</v>
      </c>
      <c r="W629">
        <v>4</v>
      </c>
      <c r="X629" t="s">
        <v>3991</v>
      </c>
      <c r="Y629" t="s">
        <v>3986</v>
      </c>
      <c r="Z629">
        <v>0</v>
      </c>
      <c r="AA629" t="s">
        <v>2493</v>
      </c>
      <c r="AB629" t="s">
        <v>3987</v>
      </c>
      <c r="AC629" t="s">
        <v>3986</v>
      </c>
      <c r="AD629" t="s">
        <v>3769</v>
      </c>
    </row>
    <row r="630" spans="1:30" x14ac:dyDescent="0.25">
      <c r="A630" t="s">
        <v>3394</v>
      </c>
      <c r="B630">
        <v>14</v>
      </c>
      <c r="C630" t="s">
        <v>3310</v>
      </c>
      <c r="D630" t="b">
        <v>1</v>
      </c>
      <c r="E630" t="b">
        <v>0</v>
      </c>
      <c r="F630" t="s">
        <v>3986</v>
      </c>
      <c r="G630" t="s">
        <v>3986</v>
      </c>
      <c r="H630" t="s">
        <v>3986</v>
      </c>
      <c r="I630" t="s">
        <v>3986</v>
      </c>
      <c r="J630" t="s">
        <v>3359</v>
      </c>
      <c r="K630" t="s">
        <v>3640</v>
      </c>
      <c r="L630" t="s">
        <v>3631</v>
      </c>
      <c r="M630" t="s">
        <v>3754</v>
      </c>
      <c r="N630">
        <v>7</v>
      </c>
      <c r="O630" t="b">
        <v>0</v>
      </c>
      <c r="P630" t="b">
        <v>1</v>
      </c>
      <c r="Q630" t="b">
        <v>0</v>
      </c>
      <c r="R630" t="b">
        <v>0</v>
      </c>
      <c r="T630" t="s">
        <v>3742</v>
      </c>
      <c r="U630">
        <v>203</v>
      </c>
      <c r="V630" t="s">
        <v>4021</v>
      </c>
      <c r="W630">
        <v>4</v>
      </c>
      <c r="X630" t="s">
        <v>3991</v>
      </c>
      <c r="Y630" t="s">
        <v>3986</v>
      </c>
      <c r="Z630">
        <v>0</v>
      </c>
      <c r="AA630" t="s">
        <v>2493</v>
      </c>
      <c r="AB630" t="s">
        <v>4037</v>
      </c>
      <c r="AC630" t="s">
        <v>3986</v>
      </c>
      <c r="AD630" t="s">
        <v>3769</v>
      </c>
    </row>
    <row r="631" spans="1:30" x14ac:dyDescent="0.25">
      <c r="A631" t="s">
        <v>3555</v>
      </c>
      <c r="B631">
        <v>15</v>
      </c>
      <c r="C631" t="s">
        <v>3310</v>
      </c>
      <c r="D631" t="b">
        <v>0</v>
      </c>
      <c r="E631" t="b">
        <v>0</v>
      </c>
      <c r="F631" t="s">
        <v>3986</v>
      </c>
      <c r="G631" t="s">
        <v>3986</v>
      </c>
      <c r="H631" t="s">
        <v>3986</v>
      </c>
      <c r="I631" t="s">
        <v>3986</v>
      </c>
      <c r="J631" t="s">
        <v>3359</v>
      </c>
      <c r="K631" t="s">
        <v>3640</v>
      </c>
      <c r="L631" t="s">
        <v>3631</v>
      </c>
      <c r="M631" t="s">
        <v>3754</v>
      </c>
      <c r="N631">
        <v>7</v>
      </c>
      <c r="O631" t="b">
        <v>0</v>
      </c>
      <c r="P631" t="b">
        <v>1</v>
      </c>
      <c r="Q631" t="b">
        <v>0</v>
      </c>
      <c r="R631" t="b">
        <v>0</v>
      </c>
      <c r="T631" t="s">
        <v>3742</v>
      </c>
      <c r="U631">
        <v>214</v>
      </c>
      <c r="V631" t="s">
        <v>4015</v>
      </c>
      <c r="W631">
        <v>4</v>
      </c>
      <c r="X631" t="s">
        <v>3998</v>
      </c>
      <c r="Y631" t="s">
        <v>3986</v>
      </c>
      <c r="Z631">
        <v>0</v>
      </c>
      <c r="AA631" t="s">
        <v>2493</v>
      </c>
      <c r="AB631" t="s">
        <v>3987</v>
      </c>
      <c r="AC631" t="s">
        <v>3986</v>
      </c>
      <c r="AD631" t="s">
        <v>2781</v>
      </c>
    </row>
    <row r="632" spans="1:30" x14ac:dyDescent="0.25">
      <c r="A632" t="s">
        <v>3556</v>
      </c>
      <c r="B632">
        <v>16</v>
      </c>
      <c r="C632" t="s">
        <v>3310</v>
      </c>
      <c r="D632" t="b">
        <v>0</v>
      </c>
      <c r="E632" t="b">
        <v>0</v>
      </c>
      <c r="F632" t="s">
        <v>3986</v>
      </c>
      <c r="G632" t="s">
        <v>3986</v>
      </c>
      <c r="H632" t="s">
        <v>3986</v>
      </c>
      <c r="I632" t="s">
        <v>3986</v>
      </c>
      <c r="J632" t="s">
        <v>3359</v>
      </c>
      <c r="K632" t="s">
        <v>3640</v>
      </c>
      <c r="L632" t="s">
        <v>3631</v>
      </c>
      <c r="M632" t="s">
        <v>3754</v>
      </c>
      <c r="N632">
        <v>7</v>
      </c>
      <c r="O632" t="b">
        <v>0</v>
      </c>
      <c r="P632" t="b">
        <v>1</v>
      </c>
      <c r="Q632" t="b">
        <v>0</v>
      </c>
      <c r="R632" t="b">
        <v>0</v>
      </c>
      <c r="T632" t="s">
        <v>3742</v>
      </c>
      <c r="U632">
        <v>215</v>
      </c>
      <c r="V632" t="s">
        <v>4015</v>
      </c>
      <c r="W632">
        <v>4</v>
      </c>
      <c r="X632" t="s">
        <v>3999</v>
      </c>
      <c r="Y632" t="s">
        <v>3986</v>
      </c>
      <c r="Z632">
        <v>0</v>
      </c>
      <c r="AA632" t="s">
        <v>2493</v>
      </c>
      <c r="AB632" t="s">
        <v>3987</v>
      </c>
      <c r="AC632" t="s">
        <v>3986</v>
      </c>
      <c r="AD632" t="s">
        <v>2781</v>
      </c>
    </row>
    <row r="633" spans="1:30" x14ac:dyDescent="0.25">
      <c r="A633" t="s">
        <v>3557</v>
      </c>
      <c r="B633">
        <v>17</v>
      </c>
      <c r="C633" t="s">
        <v>3310</v>
      </c>
      <c r="D633" t="b">
        <v>0</v>
      </c>
      <c r="E633" t="b">
        <v>0</v>
      </c>
      <c r="F633" t="s">
        <v>3986</v>
      </c>
      <c r="G633" t="s">
        <v>3986</v>
      </c>
      <c r="H633" t="s">
        <v>3986</v>
      </c>
      <c r="I633" t="s">
        <v>3986</v>
      </c>
      <c r="J633" t="s">
        <v>3359</v>
      </c>
      <c r="K633" t="s">
        <v>3640</v>
      </c>
      <c r="L633" t="s">
        <v>3631</v>
      </c>
      <c r="M633" t="s">
        <v>3754</v>
      </c>
      <c r="N633">
        <v>7</v>
      </c>
      <c r="O633" t="b">
        <v>0</v>
      </c>
      <c r="P633" t="b">
        <v>1</v>
      </c>
      <c r="Q633" t="b">
        <v>0</v>
      </c>
      <c r="R633" t="b">
        <v>0</v>
      </c>
      <c r="T633" t="s">
        <v>3742</v>
      </c>
      <c r="U633">
        <v>216</v>
      </c>
      <c r="V633" t="s">
        <v>4015</v>
      </c>
      <c r="W633">
        <v>4</v>
      </c>
      <c r="X633" t="s">
        <v>4000</v>
      </c>
      <c r="Y633" t="s">
        <v>3986</v>
      </c>
      <c r="Z633">
        <v>0</v>
      </c>
      <c r="AA633" t="s">
        <v>2493</v>
      </c>
      <c r="AB633" t="s">
        <v>3987</v>
      </c>
      <c r="AC633" t="s">
        <v>3986</v>
      </c>
      <c r="AD633" t="s">
        <v>2781</v>
      </c>
    </row>
    <row r="634" spans="1:30" x14ac:dyDescent="0.25">
      <c r="A634" t="s">
        <v>3558</v>
      </c>
      <c r="B634">
        <v>18</v>
      </c>
      <c r="C634" t="s">
        <v>3310</v>
      </c>
      <c r="D634" t="b">
        <v>0</v>
      </c>
      <c r="E634" t="b">
        <v>0</v>
      </c>
      <c r="F634" t="s">
        <v>3986</v>
      </c>
      <c r="G634" t="s">
        <v>3986</v>
      </c>
      <c r="H634" t="s">
        <v>3986</v>
      </c>
      <c r="I634" t="s">
        <v>3986</v>
      </c>
      <c r="J634" t="s">
        <v>3359</v>
      </c>
      <c r="K634" t="s">
        <v>3640</v>
      </c>
      <c r="L634" t="s">
        <v>3631</v>
      </c>
      <c r="M634" t="s">
        <v>3754</v>
      </c>
      <c r="N634">
        <v>7</v>
      </c>
      <c r="O634" t="b">
        <v>0</v>
      </c>
      <c r="P634" t="b">
        <v>1</v>
      </c>
      <c r="Q634" t="b">
        <v>0</v>
      </c>
      <c r="R634" t="b">
        <v>0</v>
      </c>
      <c r="T634" t="s">
        <v>3742</v>
      </c>
      <c r="U634">
        <v>217</v>
      </c>
      <c r="V634" t="s">
        <v>4015</v>
      </c>
      <c r="W634">
        <v>4</v>
      </c>
      <c r="X634" t="s">
        <v>4001</v>
      </c>
      <c r="Y634" t="s">
        <v>3986</v>
      </c>
      <c r="Z634">
        <v>0</v>
      </c>
      <c r="AA634" t="s">
        <v>2493</v>
      </c>
      <c r="AB634" t="s">
        <v>3987</v>
      </c>
      <c r="AC634" t="s">
        <v>3986</v>
      </c>
      <c r="AD634" t="s">
        <v>2781</v>
      </c>
    </row>
    <row r="635" spans="1:30" x14ac:dyDescent="0.25">
      <c r="A635" t="s">
        <v>3559</v>
      </c>
      <c r="B635">
        <v>19</v>
      </c>
      <c r="C635" t="s">
        <v>3310</v>
      </c>
      <c r="D635" t="b">
        <v>0</v>
      </c>
      <c r="E635" t="b">
        <v>0</v>
      </c>
      <c r="F635" t="s">
        <v>3986</v>
      </c>
      <c r="G635" t="s">
        <v>3986</v>
      </c>
      <c r="H635" t="s">
        <v>3986</v>
      </c>
      <c r="I635" t="s">
        <v>3986</v>
      </c>
      <c r="J635" t="s">
        <v>3359</v>
      </c>
      <c r="K635" t="s">
        <v>3640</v>
      </c>
      <c r="L635" t="s">
        <v>3631</v>
      </c>
      <c r="M635" t="s">
        <v>3754</v>
      </c>
      <c r="N635">
        <v>7</v>
      </c>
      <c r="O635" t="b">
        <v>0</v>
      </c>
      <c r="P635" t="b">
        <v>1</v>
      </c>
      <c r="Q635" t="b">
        <v>0</v>
      </c>
      <c r="R635" t="b">
        <v>0</v>
      </c>
      <c r="T635" t="s">
        <v>3742</v>
      </c>
      <c r="U635">
        <v>218</v>
      </c>
      <c r="V635" t="s">
        <v>4018</v>
      </c>
      <c r="W635">
        <v>4</v>
      </c>
      <c r="X635" t="s">
        <v>3998</v>
      </c>
      <c r="Y635" t="s">
        <v>3986</v>
      </c>
      <c r="Z635">
        <v>0</v>
      </c>
      <c r="AA635" t="s">
        <v>2493</v>
      </c>
      <c r="AB635" t="s">
        <v>3987</v>
      </c>
      <c r="AC635" t="s">
        <v>3986</v>
      </c>
      <c r="AD635" t="s">
        <v>2781</v>
      </c>
    </row>
    <row r="636" spans="1:30" x14ac:dyDescent="0.25">
      <c r="A636" t="s">
        <v>3560</v>
      </c>
      <c r="B636">
        <v>20</v>
      </c>
      <c r="C636" t="s">
        <v>3310</v>
      </c>
      <c r="D636" t="b">
        <v>0</v>
      </c>
      <c r="E636" t="b">
        <v>0</v>
      </c>
      <c r="F636" t="s">
        <v>3986</v>
      </c>
      <c r="G636" t="s">
        <v>3986</v>
      </c>
      <c r="H636" t="s">
        <v>3986</v>
      </c>
      <c r="I636" t="s">
        <v>3986</v>
      </c>
      <c r="J636" t="s">
        <v>3359</v>
      </c>
      <c r="K636" t="s">
        <v>3640</v>
      </c>
      <c r="L636" t="s">
        <v>3631</v>
      </c>
      <c r="M636" t="s">
        <v>3754</v>
      </c>
      <c r="N636">
        <v>7</v>
      </c>
      <c r="O636" t="b">
        <v>0</v>
      </c>
      <c r="P636" t="b">
        <v>1</v>
      </c>
      <c r="Q636" t="b">
        <v>0</v>
      </c>
      <c r="R636" t="b">
        <v>0</v>
      </c>
      <c r="T636" t="s">
        <v>3742</v>
      </c>
      <c r="U636">
        <v>219</v>
      </c>
      <c r="V636" t="s">
        <v>4018</v>
      </c>
      <c r="W636">
        <v>4</v>
      </c>
      <c r="X636" t="s">
        <v>3999</v>
      </c>
      <c r="Y636" t="s">
        <v>3986</v>
      </c>
      <c r="Z636">
        <v>0</v>
      </c>
      <c r="AA636" t="s">
        <v>2493</v>
      </c>
      <c r="AB636" t="s">
        <v>3987</v>
      </c>
      <c r="AC636" t="s">
        <v>3986</v>
      </c>
      <c r="AD636" t="s">
        <v>2781</v>
      </c>
    </row>
    <row r="637" spans="1:30" x14ac:dyDescent="0.25">
      <c r="A637" t="s">
        <v>3561</v>
      </c>
      <c r="B637">
        <v>21</v>
      </c>
      <c r="C637" t="s">
        <v>3310</v>
      </c>
      <c r="D637" t="b">
        <v>0</v>
      </c>
      <c r="E637" t="b">
        <v>0</v>
      </c>
      <c r="F637" t="s">
        <v>3986</v>
      </c>
      <c r="G637" t="s">
        <v>3986</v>
      </c>
      <c r="H637" t="s">
        <v>3986</v>
      </c>
      <c r="I637" t="s">
        <v>3986</v>
      </c>
      <c r="J637" t="s">
        <v>3359</v>
      </c>
      <c r="K637" t="s">
        <v>3640</v>
      </c>
      <c r="L637" t="s">
        <v>3631</v>
      </c>
      <c r="M637" t="s">
        <v>3754</v>
      </c>
      <c r="N637">
        <v>7</v>
      </c>
      <c r="O637" t="b">
        <v>0</v>
      </c>
      <c r="P637" t="b">
        <v>1</v>
      </c>
      <c r="Q637" t="b">
        <v>0</v>
      </c>
      <c r="R637" t="b">
        <v>0</v>
      </c>
      <c r="T637" t="s">
        <v>3742</v>
      </c>
      <c r="U637">
        <v>220</v>
      </c>
      <c r="V637" t="s">
        <v>4018</v>
      </c>
      <c r="W637">
        <v>4</v>
      </c>
      <c r="X637" t="s">
        <v>4000</v>
      </c>
      <c r="Y637" t="s">
        <v>3986</v>
      </c>
      <c r="Z637">
        <v>0</v>
      </c>
      <c r="AA637" t="s">
        <v>2493</v>
      </c>
      <c r="AB637" t="s">
        <v>3987</v>
      </c>
      <c r="AC637" t="s">
        <v>3986</v>
      </c>
      <c r="AD637" t="s">
        <v>2781</v>
      </c>
    </row>
    <row r="638" spans="1:30" x14ac:dyDescent="0.25">
      <c r="A638" t="s">
        <v>3562</v>
      </c>
      <c r="B638">
        <v>22</v>
      </c>
      <c r="C638" t="s">
        <v>3310</v>
      </c>
      <c r="D638" t="b">
        <v>0</v>
      </c>
      <c r="E638" t="b">
        <v>0</v>
      </c>
      <c r="F638" t="s">
        <v>3986</v>
      </c>
      <c r="G638" t="s">
        <v>3986</v>
      </c>
      <c r="H638" t="s">
        <v>3986</v>
      </c>
      <c r="I638" t="s">
        <v>3986</v>
      </c>
      <c r="J638" t="s">
        <v>3359</v>
      </c>
      <c r="K638" t="s">
        <v>3640</v>
      </c>
      <c r="L638" t="s">
        <v>3631</v>
      </c>
      <c r="M638" t="s">
        <v>3754</v>
      </c>
      <c r="N638">
        <v>7</v>
      </c>
      <c r="O638" t="b">
        <v>0</v>
      </c>
      <c r="P638" t="b">
        <v>1</v>
      </c>
      <c r="Q638" t="b">
        <v>0</v>
      </c>
      <c r="R638" t="b">
        <v>0</v>
      </c>
      <c r="T638" t="s">
        <v>3742</v>
      </c>
      <c r="U638">
        <v>221</v>
      </c>
      <c r="V638" t="s">
        <v>4018</v>
      </c>
      <c r="W638">
        <v>4</v>
      </c>
      <c r="X638" t="s">
        <v>4001</v>
      </c>
      <c r="Y638" t="s">
        <v>3986</v>
      </c>
      <c r="Z638">
        <v>0</v>
      </c>
      <c r="AA638" t="s">
        <v>2493</v>
      </c>
      <c r="AB638" t="s">
        <v>3987</v>
      </c>
      <c r="AC638" t="s">
        <v>3986</v>
      </c>
      <c r="AD638" t="s">
        <v>2781</v>
      </c>
    </row>
    <row r="639" spans="1:30" x14ac:dyDescent="0.25">
      <c r="A639" t="s">
        <v>3563</v>
      </c>
      <c r="B639">
        <v>23</v>
      </c>
      <c r="C639" t="s">
        <v>3310</v>
      </c>
      <c r="D639" t="b">
        <v>0</v>
      </c>
      <c r="E639" t="b">
        <v>0</v>
      </c>
      <c r="F639" t="s">
        <v>3986</v>
      </c>
      <c r="G639" t="s">
        <v>3986</v>
      </c>
      <c r="H639" t="s">
        <v>3986</v>
      </c>
      <c r="I639" t="s">
        <v>3986</v>
      </c>
      <c r="J639" t="s">
        <v>3359</v>
      </c>
      <c r="K639" t="s">
        <v>3640</v>
      </c>
      <c r="L639" t="s">
        <v>3631</v>
      </c>
      <c r="M639" t="s">
        <v>3754</v>
      </c>
      <c r="N639">
        <v>7</v>
      </c>
      <c r="O639" t="b">
        <v>0</v>
      </c>
      <c r="P639" t="b">
        <v>1</v>
      </c>
      <c r="Q639" t="b">
        <v>0</v>
      </c>
      <c r="R639" t="b">
        <v>0</v>
      </c>
      <c r="T639" t="s">
        <v>3742</v>
      </c>
      <c r="U639">
        <v>222</v>
      </c>
      <c r="V639" t="s">
        <v>4020</v>
      </c>
      <c r="W639">
        <v>4</v>
      </c>
      <c r="X639" t="s">
        <v>3998</v>
      </c>
      <c r="Y639" t="s">
        <v>3986</v>
      </c>
      <c r="Z639">
        <v>0</v>
      </c>
      <c r="AA639" t="s">
        <v>2493</v>
      </c>
      <c r="AB639" t="s">
        <v>3987</v>
      </c>
      <c r="AC639" t="s">
        <v>3986</v>
      </c>
      <c r="AD639" t="s">
        <v>2781</v>
      </c>
    </row>
    <row r="640" spans="1:30" x14ac:dyDescent="0.25">
      <c r="A640" t="s">
        <v>3564</v>
      </c>
      <c r="B640">
        <v>24</v>
      </c>
      <c r="C640" t="s">
        <v>3310</v>
      </c>
      <c r="D640" t="b">
        <v>0</v>
      </c>
      <c r="E640" t="b">
        <v>0</v>
      </c>
      <c r="F640" t="s">
        <v>3986</v>
      </c>
      <c r="G640" t="s">
        <v>3986</v>
      </c>
      <c r="H640" t="s">
        <v>3986</v>
      </c>
      <c r="I640" t="s">
        <v>3986</v>
      </c>
      <c r="J640" t="s">
        <v>3359</v>
      </c>
      <c r="K640" t="s">
        <v>3640</v>
      </c>
      <c r="L640" t="s">
        <v>3631</v>
      </c>
      <c r="M640" t="s">
        <v>3754</v>
      </c>
      <c r="N640">
        <v>7</v>
      </c>
      <c r="O640" t="b">
        <v>0</v>
      </c>
      <c r="P640" t="b">
        <v>1</v>
      </c>
      <c r="Q640" t="b">
        <v>0</v>
      </c>
      <c r="R640" t="b">
        <v>0</v>
      </c>
      <c r="T640" t="s">
        <v>3742</v>
      </c>
      <c r="U640">
        <v>223</v>
      </c>
      <c r="V640" t="s">
        <v>4020</v>
      </c>
      <c r="W640">
        <v>4</v>
      </c>
      <c r="X640" t="s">
        <v>3999</v>
      </c>
      <c r="Y640" t="s">
        <v>3986</v>
      </c>
      <c r="Z640">
        <v>0</v>
      </c>
      <c r="AA640" t="s">
        <v>2493</v>
      </c>
      <c r="AB640" t="s">
        <v>3987</v>
      </c>
      <c r="AC640" t="s">
        <v>3986</v>
      </c>
      <c r="AD640" t="s">
        <v>2781</v>
      </c>
    </row>
    <row r="641" spans="1:30" x14ac:dyDescent="0.25">
      <c r="A641" t="s">
        <v>3565</v>
      </c>
      <c r="B641">
        <v>25</v>
      </c>
      <c r="C641" t="s">
        <v>3310</v>
      </c>
      <c r="D641" t="b">
        <v>0</v>
      </c>
      <c r="E641" t="b">
        <v>0</v>
      </c>
      <c r="F641" t="s">
        <v>3986</v>
      </c>
      <c r="G641" t="s">
        <v>3986</v>
      </c>
      <c r="H641" t="s">
        <v>3986</v>
      </c>
      <c r="I641" t="s">
        <v>3986</v>
      </c>
      <c r="J641" t="s">
        <v>3359</v>
      </c>
      <c r="K641" t="s">
        <v>3640</v>
      </c>
      <c r="L641" t="s">
        <v>3631</v>
      </c>
      <c r="M641" t="s">
        <v>3754</v>
      </c>
      <c r="N641">
        <v>7</v>
      </c>
      <c r="O641" t="b">
        <v>0</v>
      </c>
      <c r="P641" t="b">
        <v>1</v>
      </c>
      <c r="Q641" t="b">
        <v>0</v>
      </c>
      <c r="R641" t="b">
        <v>0</v>
      </c>
      <c r="T641" t="s">
        <v>3742</v>
      </c>
      <c r="U641">
        <v>224</v>
      </c>
      <c r="V641" t="s">
        <v>4020</v>
      </c>
      <c r="W641">
        <v>4</v>
      </c>
      <c r="X641" t="s">
        <v>4000</v>
      </c>
      <c r="Y641" t="s">
        <v>3986</v>
      </c>
      <c r="Z641">
        <v>0</v>
      </c>
      <c r="AA641" t="s">
        <v>2493</v>
      </c>
      <c r="AB641" t="s">
        <v>3987</v>
      </c>
      <c r="AC641" t="s">
        <v>3986</v>
      </c>
      <c r="AD641" t="s">
        <v>2781</v>
      </c>
    </row>
    <row r="642" spans="1:30" x14ac:dyDescent="0.25">
      <c r="A642" t="s">
        <v>3566</v>
      </c>
      <c r="B642">
        <v>26</v>
      </c>
      <c r="C642" t="s">
        <v>3310</v>
      </c>
      <c r="D642" t="b">
        <v>0</v>
      </c>
      <c r="E642" t="b">
        <v>0</v>
      </c>
      <c r="F642" t="s">
        <v>3986</v>
      </c>
      <c r="G642" t="s">
        <v>3986</v>
      </c>
      <c r="H642" t="s">
        <v>3986</v>
      </c>
      <c r="I642" t="s">
        <v>3986</v>
      </c>
      <c r="J642" t="s">
        <v>3359</v>
      </c>
      <c r="K642" t="s">
        <v>3640</v>
      </c>
      <c r="L642" t="s">
        <v>3631</v>
      </c>
      <c r="M642" t="s">
        <v>3754</v>
      </c>
      <c r="N642">
        <v>7</v>
      </c>
      <c r="O642" t="b">
        <v>0</v>
      </c>
      <c r="P642" t="b">
        <v>1</v>
      </c>
      <c r="Q642" t="b">
        <v>0</v>
      </c>
      <c r="R642" t="b">
        <v>0</v>
      </c>
      <c r="T642" t="s">
        <v>3742</v>
      </c>
      <c r="U642">
        <v>225</v>
      </c>
      <c r="V642" t="s">
        <v>4020</v>
      </c>
      <c r="W642">
        <v>4</v>
      </c>
      <c r="X642" t="s">
        <v>4001</v>
      </c>
      <c r="Y642" t="s">
        <v>3986</v>
      </c>
      <c r="Z642">
        <v>0</v>
      </c>
      <c r="AA642" t="s">
        <v>2493</v>
      </c>
      <c r="AB642" t="s">
        <v>3987</v>
      </c>
      <c r="AC642" t="s">
        <v>3986</v>
      </c>
      <c r="AD642" t="s">
        <v>2781</v>
      </c>
    </row>
    <row r="643" spans="1:30" x14ac:dyDescent="0.25">
      <c r="A643" t="s">
        <v>3567</v>
      </c>
      <c r="B643">
        <v>27</v>
      </c>
      <c r="C643" t="s">
        <v>3310</v>
      </c>
      <c r="D643" t="b">
        <v>0</v>
      </c>
      <c r="E643" t="b">
        <v>0</v>
      </c>
      <c r="F643" t="s">
        <v>3986</v>
      </c>
      <c r="G643" t="s">
        <v>3986</v>
      </c>
      <c r="H643" t="s">
        <v>3986</v>
      </c>
      <c r="I643" t="s">
        <v>3986</v>
      </c>
      <c r="J643" t="s">
        <v>3359</v>
      </c>
      <c r="K643" t="s">
        <v>3640</v>
      </c>
      <c r="L643" t="s">
        <v>3631</v>
      </c>
      <c r="M643" t="s">
        <v>3754</v>
      </c>
      <c r="N643">
        <v>7</v>
      </c>
      <c r="O643" t="b">
        <v>0</v>
      </c>
      <c r="P643" t="b">
        <v>1</v>
      </c>
      <c r="Q643" t="b">
        <v>0</v>
      </c>
      <c r="R643" t="b">
        <v>0</v>
      </c>
      <c r="T643" t="s">
        <v>3742</v>
      </c>
      <c r="U643">
        <v>228</v>
      </c>
      <c r="V643" t="s">
        <v>4004</v>
      </c>
      <c r="W643">
        <v>4</v>
      </c>
      <c r="X643" t="s">
        <v>3990</v>
      </c>
      <c r="Y643" t="s">
        <v>3986</v>
      </c>
      <c r="Z643">
        <v>0</v>
      </c>
      <c r="AA643" t="s">
        <v>2493</v>
      </c>
      <c r="AB643" t="s">
        <v>3987</v>
      </c>
      <c r="AC643" t="s">
        <v>3986</v>
      </c>
      <c r="AD643" t="s">
        <v>5</v>
      </c>
    </row>
    <row r="644" spans="1:30" x14ac:dyDescent="0.25">
      <c r="A644" t="s">
        <v>3568</v>
      </c>
      <c r="B644">
        <v>28</v>
      </c>
      <c r="C644" t="s">
        <v>3310</v>
      </c>
      <c r="D644" t="b">
        <v>0</v>
      </c>
      <c r="E644" t="b">
        <v>0</v>
      </c>
      <c r="F644" t="s">
        <v>3986</v>
      </c>
      <c r="G644" t="s">
        <v>3986</v>
      </c>
      <c r="H644" t="s">
        <v>3986</v>
      </c>
      <c r="I644" t="s">
        <v>3986</v>
      </c>
      <c r="J644" t="s">
        <v>3359</v>
      </c>
      <c r="K644" t="s">
        <v>3640</v>
      </c>
      <c r="L644" t="s">
        <v>3631</v>
      </c>
      <c r="M644" t="s">
        <v>3754</v>
      </c>
      <c r="N644">
        <v>7</v>
      </c>
      <c r="O644" t="b">
        <v>0</v>
      </c>
      <c r="P644" t="b">
        <v>1</v>
      </c>
      <c r="Q644" t="b">
        <v>0</v>
      </c>
      <c r="R644" t="b">
        <v>0</v>
      </c>
      <c r="T644" t="s">
        <v>3742</v>
      </c>
      <c r="U644">
        <v>229</v>
      </c>
      <c r="V644" t="s">
        <v>4005</v>
      </c>
      <c r="W644">
        <v>4</v>
      </c>
      <c r="X644" t="s">
        <v>3990</v>
      </c>
      <c r="Y644" t="s">
        <v>3986</v>
      </c>
      <c r="Z644">
        <v>0</v>
      </c>
      <c r="AA644" t="s">
        <v>2493</v>
      </c>
      <c r="AB644" t="s">
        <v>4037</v>
      </c>
      <c r="AC644" t="s">
        <v>3986</v>
      </c>
      <c r="AD644" t="s">
        <v>5</v>
      </c>
    </row>
    <row r="645" spans="1:30" x14ac:dyDescent="0.25">
      <c r="A645" t="s">
        <v>3569</v>
      </c>
      <c r="B645">
        <v>29</v>
      </c>
      <c r="C645" t="s">
        <v>3310</v>
      </c>
      <c r="D645" t="b">
        <v>0</v>
      </c>
      <c r="E645" t="b">
        <v>0</v>
      </c>
      <c r="F645" t="s">
        <v>3986</v>
      </c>
      <c r="G645" t="s">
        <v>3986</v>
      </c>
      <c r="H645" t="s">
        <v>3986</v>
      </c>
      <c r="I645" t="s">
        <v>3986</v>
      </c>
      <c r="J645" t="s">
        <v>3359</v>
      </c>
      <c r="K645" t="s">
        <v>3640</v>
      </c>
      <c r="L645" t="s">
        <v>3631</v>
      </c>
      <c r="M645" t="s">
        <v>3754</v>
      </c>
      <c r="N645">
        <v>7</v>
      </c>
      <c r="O645" t="b">
        <v>0</v>
      </c>
      <c r="P645" t="b">
        <v>1</v>
      </c>
      <c r="Q645" t="b">
        <v>0</v>
      </c>
      <c r="R645" t="b">
        <v>0</v>
      </c>
      <c r="T645" t="s">
        <v>3742</v>
      </c>
      <c r="U645">
        <v>230</v>
      </c>
      <c r="V645" t="s">
        <v>4006</v>
      </c>
      <c r="W645">
        <v>4</v>
      </c>
      <c r="X645" t="s">
        <v>3990</v>
      </c>
      <c r="Y645" t="s">
        <v>3986</v>
      </c>
      <c r="Z645">
        <v>0</v>
      </c>
      <c r="AA645" t="s">
        <v>2493</v>
      </c>
      <c r="AB645" t="s">
        <v>3987</v>
      </c>
      <c r="AC645" t="s">
        <v>3986</v>
      </c>
      <c r="AD645" t="s">
        <v>5</v>
      </c>
    </row>
    <row r="646" spans="1:30" x14ac:dyDescent="0.25">
      <c r="A646" t="s">
        <v>3570</v>
      </c>
      <c r="B646">
        <v>30</v>
      </c>
      <c r="C646" t="s">
        <v>3310</v>
      </c>
      <c r="D646" t="b">
        <v>0</v>
      </c>
      <c r="E646" t="b">
        <v>0</v>
      </c>
      <c r="F646" t="s">
        <v>3986</v>
      </c>
      <c r="G646" t="s">
        <v>3986</v>
      </c>
      <c r="H646" t="s">
        <v>3986</v>
      </c>
      <c r="I646" t="s">
        <v>3986</v>
      </c>
      <c r="J646" t="s">
        <v>3359</v>
      </c>
      <c r="K646" t="s">
        <v>3640</v>
      </c>
      <c r="L646" t="s">
        <v>3631</v>
      </c>
      <c r="M646" t="s">
        <v>3754</v>
      </c>
      <c r="N646">
        <v>7</v>
      </c>
      <c r="O646" t="b">
        <v>0</v>
      </c>
      <c r="P646" t="b">
        <v>1</v>
      </c>
      <c r="Q646" t="b">
        <v>0</v>
      </c>
      <c r="R646" t="b">
        <v>0</v>
      </c>
      <c r="T646" t="s">
        <v>3742</v>
      </c>
      <c r="U646">
        <v>231</v>
      </c>
      <c r="V646" t="s">
        <v>4007</v>
      </c>
      <c r="W646">
        <v>4</v>
      </c>
      <c r="X646" t="s">
        <v>3990</v>
      </c>
      <c r="Y646" t="s">
        <v>3986</v>
      </c>
      <c r="Z646">
        <v>0</v>
      </c>
      <c r="AA646" t="s">
        <v>2493</v>
      </c>
      <c r="AB646" t="s">
        <v>4037</v>
      </c>
      <c r="AC646" t="s">
        <v>3986</v>
      </c>
      <c r="AD646" t="s">
        <v>5</v>
      </c>
    </row>
    <row r="647" spans="1:30" x14ac:dyDescent="0.25">
      <c r="A647" t="s">
        <v>3571</v>
      </c>
      <c r="B647">
        <v>31</v>
      </c>
      <c r="C647" t="s">
        <v>3310</v>
      </c>
      <c r="D647" t="b">
        <v>0</v>
      </c>
      <c r="E647" t="b">
        <v>0</v>
      </c>
      <c r="F647" t="s">
        <v>3986</v>
      </c>
      <c r="G647" t="s">
        <v>3986</v>
      </c>
      <c r="H647" t="s">
        <v>3986</v>
      </c>
      <c r="I647" t="s">
        <v>3986</v>
      </c>
      <c r="J647" t="s">
        <v>3359</v>
      </c>
      <c r="K647" t="s">
        <v>3640</v>
      </c>
      <c r="L647" t="s">
        <v>3631</v>
      </c>
      <c r="M647" t="s">
        <v>3754</v>
      </c>
      <c r="N647">
        <v>7</v>
      </c>
      <c r="O647" t="b">
        <v>0</v>
      </c>
      <c r="P647" t="b">
        <v>1</v>
      </c>
      <c r="Q647" t="b">
        <v>0</v>
      </c>
      <c r="R647" t="b">
        <v>0</v>
      </c>
      <c r="T647" t="s">
        <v>3743</v>
      </c>
      <c r="U647">
        <v>9</v>
      </c>
      <c r="V647" t="s">
        <v>3995</v>
      </c>
      <c r="W647">
        <v>3</v>
      </c>
      <c r="X647" t="s">
        <v>3991</v>
      </c>
      <c r="Y647" t="s">
        <v>3986</v>
      </c>
      <c r="Z647">
        <v>0</v>
      </c>
      <c r="AA647" t="s">
        <v>2493</v>
      </c>
      <c r="AB647" t="s">
        <v>3986</v>
      </c>
      <c r="AC647" t="s">
        <v>3986</v>
      </c>
      <c r="AD647" t="s">
        <v>0</v>
      </c>
    </row>
    <row r="648" spans="1:30" x14ac:dyDescent="0.25">
      <c r="A648" t="s">
        <v>3572</v>
      </c>
      <c r="B648">
        <v>32</v>
      </c>
      <c r="C648" t="s">
        <v>3310</v>
      </c>
      <c r="D648" t="b">
        <v>0</v>
      </c>
      <c r="E648" t="b">
        <v>0</v>
      </c>
      <c r="F648" t="s">
        <v>3986</v>
      </c>
      <c r="G648" t="s">
        <v>3986</v>
      </c>
      <c r="H648" t="s">
        <v>3986</v>
      </c>
      <c r="I648" t="s">
        <v>3986</v>
      </c>
      <c r="J648" t="s">
        <v>3359</v>
      </c>
      <c r="K648" t="s">
        <v>3640</v>
      </c>
      <c r="L648" t="s">
        <v>3631</v>
      </c>
      <c r="M648" t="s">
        <v>3754</v>
      </c>
      <c r="N648">
        <v>7</v>
      </c>
      <c r="O648" t="b">
        <v>0</v>
      </c>
      <c r="P648" t="b">
        <v>1</v>
      </c>
      <c r="Q648" t="b">
        <v>0</v>
      </c>
      <c r="R648" t="b">
        <v>0</v>
      </c>
      <c r="T648" t="s">
        <v>3743</v>
      </c>
      <c r="U648">
        <v>10</v>
      </c>
      <c r="V648" t="s">
        <v>3997</v>
      </c>
      <c r="W648">
        <v>3</v>
      </c>
      <c r="X648" t="s">
        <v>3991</v>
      </c>
      <c r="Y648" t="s">
        <v>3986</v>
      </c>
      <c r="Z648">
        <v>0</v>
      </c>
      <c r="AA648" t="s">
        <v>2493</v>
      </c>
      <c r="AB648" t="s">
        <v>3986</v>
      </c>
      <c r="AC648" t="s">
        <v>3986</v>
      </c>
      <c r="AD648" t="s">
        <v>0</v>
      </c>
    </row>
    <row r="649" spans="1:30" x14ac:dyDescent="0.25">
      <c r="A649" t="s">
        <v>3573</v>
      </c>
      <c r="B649">
        <v>33</v>
      </c>
      <c r="C649" t="s">
        <v>3310</v>
      </c>
      <c r="D649" t="b">
        <v>0</v>
      </c>
      <c r="E649" t="b">
        <v>0</v>
      </c>
      <c r="F649" t="s">
        <v>3986</v>
      </c>
      <c r="G649" t="s">
        <v>3986</v>
      </c>
      <c r="H649" t="s">
        <v>3986</v>
      </c>
      <c r="I649" t="s">
        <v>3986</v>
      </c>
      <c r="J649" t="s">
        <v>3359</v>
      </c>
      <c r="K649" t="s">
        <v>3640</v>
      </c>
      <c r="L649" t="s">
        <v>3631</v>
      </c>
      <c r="M649" t="s">
        <v>3754</v>
      </c>
      <c r="N649">
        <v>7</v>
      </c>
      <c r="O649" t="b">
        <v>0</v>
      </c>
      <c r="P649" t="b">
        <v>1</v>
      </c>
      <c r="Q649" t="b">
        <v>0</v>
      </c>
      <c r="R649" t="b">
        <v>0</v>
      </c>
      <c r="T649" t="s">
        <v>3743</v>
      </c>
      <c r="U649">
        <v>5</v>
      </c>
      <c r="V649" t="s">
        <v>3991</v>
      </c>
      <c r="W649">
        <v>3</v>
      </c>
      <c r="X649" t="s">
        <v>3991</v>
      </c>
      <c r="Y649" t="s">
        <v>3986</v>
      </c>
      <c r="Z649">
        <v>0</v>
      </c>
      <c r="AA649" t="s">
        <v>2493</v>
      </c>
      <c r="AB649" t="s">
        <v>3986</v>
      </c>
      <c r="AC649" t="s">
        <v>3986</v>
      </c>
      <c r="AD649" t="s">
        <v>1432</v>
      </c>
    </row>
    <row r="650" spans="1:30" x14ac:dyDescent="0.25">
      <c r="A650" t="s">
        <v>3574</v>
      </c>
      <c r="B650">
        <v>34</v>
      </c>
      <c r="C650" t="s">
        <v>3310</v>
      </c>
      <c r="D650" t="b">
        <v>0</v>
      </c>
      <c r="E650" t="b">
        <v>0</v>
      </c>
      <c r="F650" t="s">
        <v>3986</v>
      </c>
      <c r="G650" t="s">
        <v>3986</v>
      </c>
      <c r="H650" t="s">
        <v>3986</v>
      </c>
      <c r="I650" t="s">
        <v>3986</v>
      </c>
      <c r="J650" t="s">
        <v>3359</v>
      </c>
      <c r="K650" t="s">
        <v>3640</v>
      </c>
      <c r="L650" t="s">
        <v>3631</v>
      </c>
      <c r="M650" t="s">
        <v>3754</v>
      </c>
      <c r="N650">
        <v>7</v>
      </c>
      <c r="O650" t="b">
        <v>0</v>
      </c>
      <c r="P650" t="b">
        <v>1</v>
      </c>
      <c r="Q650" t="b">
        <v>0</v>
      </c>
      <c r="R650" t="b">
        <v>0</v>
      </c>
      <c r="T650" t="s">
        <v>3743</v>
      </c>
      <c r="U650">
        <v>13</v>
      </c>
      <c r="V650" t="s">
        <v>3993</v>
      </c>
      <c r="W650">
        <v>3</v>
      </c>
      <c r="X650" t="s">
        <v>3990</v>
      </c>
      <c r="Y650" t="s">
        <v>3986</v>
      </c>
      <c r="Z650">
        <v>0</v>
      </c>
      <c r="AA650" t="s">
        <v>2493</v>
      </c>
      <c r="AB650" t="s">
        <v>3986</v>
      </c>
      <c r="AC650" t="s">
        <v>3986</v>
      </c>
      <c r="AD650" t="s">
        <v>5</v>
      </c>
    </row>
    <row r="651" spans="1:30" x14ac:dyDescent="0.25">
      <c r="A651" t="s">
        <v>3575</v>
      </c>
      <c r="B651">
        <v>35</v>
      </c>
      <c r="C651" t="s">
        <v>3310</v>
      </c>
      <c r="D651" t="b">
        <v>0</v>
      </c>
      <c r="E651" t="b">
        <v>0</v>
      </c>
      <c r="F651" t="s">
        <v>3986</v>
      </c>
      <c r="G651" t="s">
        <v>3986</v>
      </c>
      <c r="H651" t="s">
        <v>3986</v>
      </c>
      <c r="I651" t="s">
        <v>3986</v>
      </c>
      <c r="J651" t="s">
        <v>3359</v>
      </c>
      <c r="K651" t="s">
        <v>3640</v>
      </c>
      <c r="L651" t="s">
        <v>3631</v>
      </c>
      <c r="M651" t="s">
        <v>3754</v>
      </c>
      <c r="N651">
        <v>7</v>
      </c>
      <c r="O651" t="b">
        <v>0</v>
      </c>
      <c r="P651" t="b">
        <v>1</v>
      </c>
      <c r="Q651" t="b">
        <v>0</v>
      </c>
      <c r="R651" t="b">
        <v>0</v>
      </c>
      <c r="T651" t="s">
        <v>3744</v>
      </c>
      <c r="U651">
        <v>1</v>
      </c>
      <c r="V651" t="s">
        <v>4941</v>
      </c>
      <c r="W651">
        <v>1</v>
      </c>
      <c r="X651" t="s">
        <v>3992</v>
      </c>
      <c r="Y651" t="s">
        <v>3986</v>
      </c>
      <c r="Z651">
        <v>0</v>
      </c>
      <c r="AA651" t="s">
        <v>2493</v>
      </c>
      <c r="AB651" t="s">
        <v>3986</v>
      </c>
      <c r="AC651" t="s">
        <v>3745</v>
      </c>
      <c r="AD651" t="s">
        <v>3986</v>
      </c>
    </row>
    <row r="652" spans="1:30" x14ac:dyDescent="0.25">
      <c r="A652" t="s">
        <v>3576</v>
      </c>
      <c r="B652">
        <v>36</v>
      </c>
      <c r="C652" t="s">
        <v>3310</v>
      </c>
      <c r="D652" t="b">
        <v>0</v>
      </c>
      <c r="E652" t="b">
        <v>0</v>
      </c>
      <c r="F652" t="s">
        <v>3986</v>
      </c>
      <c r="G652" t="s">
        <v>3986</v>
      </c>
      <c r="H652" t="s">
        <v>3986</v>
      </c>
      <c r="I652" t="s">
        <v>3986</v>
      </c>
      <c r="J652" t="s">
        <v>3359</v>
      </c>
      <c r="K652" t="s">
        <v>3640</v>
      </c>
      <c r="L652" t="s">
        <v>3631</v>
      </c>
      <c r="M652" t="s">
        <v>3754</v>
      </c>
      <c r="N652">
        <v>7</v>
      </c>
      <c r="O652" t="b">
        <v>0</v>
      </c>
      <c r="P652" t="b">
        <v>1</v>
      </c>
      <c r="Q652" t="b">
        <v>0</v>
      </c>
      <c r="R652" t="b">
        <v>0</v>
      </c>
      <c r="T652" t="s">
        <v>3744</v>
      </c>
      <c r="U652">
        <v>14</v>
      </c>
      <c r="V652" t="s">
        <v>4941</v>
      </c>
      <c r="W652">
        <v>3</v>
      </c>
      <c r="X652" t="s">
        <v>3990</v>
      </c>
      <c r="Y652" t="s">
        <v>3986</v>
      </c>
      <c r="Z652">
        <v>0</v>
      </c>
      <c r="AA652" t="s">
        <v>2493</v>
      </c>
      <c r="AB652" t="s">
        <v>3986</v>
      </c>
      <c r="AC652" t="s">
        <v>3746</v>
      </c>
      <c r="AD652" t="s">
        <v>3986</v>
      </c>
    </row>
    <row r="653" spans="1:30" x14ac:dyDescent="0.25">
      <c r="A653" t="s">
        <v>3577</v>
      </c>
      <c r="B653">
        <v>37</v>
      </c>
      <c r="C653" t="s">
        <v>3310</v>
      </c>
      <c r="D653" t="b">
        <v>0</v>
      </c>
      <c r="E653" t="b">
        <v>0</v>
      </c>
      <c r="F653" t="s">
        <v>3986</v>
      </c>
      <c r="G653" t="s">
        <v>3986</v>
      </c>
      <c r="H653" t="s">
        <v>3986</v>
      </c>
      <c r="I653" t="s">
        <v>3986</v>
      </c>
      <c r="J653" t="s">
        <v>3359</v>
      </c>
      <c r="K653" t="s">
        <v>3640</v>
      </c>
      <c r="L653" t="s">
        <v>3631</v>
      </c>
      <c r="M653" t="s">
        <v>3754</v>
      </c>
      <c r="N653">
        <v>7</v>
      </c>
      <c r="O653" t="b">
        <v>0</v>
      </c>
      <c r="P653" t="b">
        <v>1</v>
      </c>
      <c r="Q653" t="b">
        <v>0</v>
      </c>
      <c r="R653" t="b">
        <v>0</v>
      </c>
      <c r="T653" t="s">
        <v>3747</v>
      </c>
      <c r="U653">
        <v>0</v>
      </c>
      <c r="V653" t="s">
        <v>3986</v>
      </c>
      <c r="W653">
        <v>0</v>
      </c>
      <c r="X653" t="s">
        <v>3986</v>
      </c>
      <c r="Y653" t="s">
        <v>3502</v>
      </c>
      <c r="Z653">
        <v>10</v>
      </c>
      <c r="AA653" t="s">
        <v>2493</v>
      </c>
      <c r="AB653" t="s">
        <v>3986</v>
      </c>
      <c r="AC653" t="s">
        <v>3986</v>
      </c>
      <c r="AD653" t="s">
        <v>3986</v>
      </c>
    </row>
    <row r="654" spans="1:30" x14ac:dyDescent="0.25">
      <c r="A654" t="s">
        <v>3578</v>
      </c>
      <c r="B654">
        <v>38</v>
      </c>
      <c r="C654" t="s">
        <v>3310</v>
      </c>
      <c r="D654" t="b">
        <v>0</v>
      </c>
      <c r="E654" t="b">
        <v>0</v>
      </c>
      <c r="F654" t="s">
        <v>3986</v>
      </c>
      <c r="G654" t="s">
        <v>3986</v>
      </c>
      <c r="H654" t="s">
        <v>3986</v>
      </c>
      <c r="I654" t="s">
        <v>3986</v>
      </c>
      <c r="J654" t="s">
        <v>3359</v>
      </c>
      <c r="K654" t="s">
        <v>3640</v>
      </c>
      <c r="L654" t="s">
        <v>3631</v>
      </c>
      <c r="M654" t="s">
        <v>3754</v>
      </c>
      <c r="N654">
        <v>7</v>
      </c>
      <c r="O654" t="b">
        <v>0</v>
      </c>
      <c r="P654" t="b">
        <v>1</v>
      </c>
      <c r="Q654" t="b">
        <v>0</v>
      </c>
      <c r="R654" t="b">
        <v>0</v>
      </c>
      <c r="T654" t="s">
        <v>3748</v>
      </c>
      <c r="U654">
        <v>9</v>
      </c>
      <c r="V654" t="s">
        <v>3996</v>
      </c>
      <c r="W654">
        <v>6</v>
      </c>
      <c r="X654" t="s">
        <v>3992</v>
      </c>
      <c r="Y654" t="s">
        <v>3986</v>
      </c>
      <c r="Z654">
        <v>0</v>
      </c>
      <c r="AA654" t="s">
        <v>2493</v>
      </c>
      <c r="AB654" t="s">
        <v>4037</v>
      </c>
      <c r="AC654" t="s">
        <v>3503</v>
      </c>
      <c r="AD654" t="s">
        <v>3986</v>
      </c>
    </row>
    <row r="655" spans="1:30" x14ac:dyDescent="0.25">
      <c r="A655" t="s">
        <v>3579</v>
      </c>
      <c r="B655">
        <v>39</v>
      </c>
      <c r="C655" t="s">
        <v>3310</v>
      </c>
      <c r="D655" t="b">
        <v>0</v>
      </c>
      <c r="E655" t="b">
        <v>0</v>
      </c>
      <c r="F655" t="s">
        <v>3986</v>
      </c>
      <c r="G655" t="s">
        <v>3986</v>
      </c>
      <c r="H655" t="s">
        <v>3986</v>
      </c>
      <c r="I655" t="s">
        <v>3986</v>
      </c>
      <c r="J655" t="s">
        <v>3359</v>
      </c>
      <c r="K655" t="s">
        <v>3640</v>
      </c>
      <c r="L655" t="s">
        <v>3631</v>
      </c>
      <c r="M655" t="s">
        <v>3754</v>
      </c>
      <c r="N655">
        <v>7</v>
      </c>
      <c r="O655" t="b">
        <v>0</v>
      </c>
      <c r="P655" t="b">
        <v>1</v>
      </c>
      <c r="Q655" t="b">
        <v>0</v>
      </c>
      <c r="R655" t="b">
        <v>0</v>
      </c>
      <c r="T655" t="s">
        <v>3748</v>
      </c>
      <c r="U655">
        <v>13</v>
      </c>
      <c r="V655" t="s">
        <v>3999</v>
      </c>
      <c r="W655">
        <v>6</v>
      </c>
      <c r="X655" t="s">
        <v>3992</v>
      </c>
      <c r="Y655" t="s">
        <v>3986</v>
      </c>
      <c r="Z655">
        <v>0</v>
      </c>
      <c r="AA655" t="s">
        <v>2493</v>
      </c>
      <c r="AB655" t="s">
        <v>4037</v>
      </c>
      <c r="AC655" t="s">
        <v>3503</v>
      </c>
      <c r="AD655" t="s">
        <v>3986</v>
      </c>
    </row>
    <row r="656" spans="1:30" x14ac:dyDescent="0.25">
      <c r="A656" t="s">
        <v>3580</v>
      </c>
      <c r="B656">
        <v>40</v>
      </c>
      <c r="C656" t="s">
        <v>3310</v>
      </c>
      <c r="D656" t="b">
        <v>0</v>
      </c>
      <c r="E656" t="b">
        <v>0</v>
      </c>
      <c r="F656" t="s">
        <v>3986</v>
      </c>
      <c r="G656" t="s">
        <v>3986</v>
      </c>
      <c r="H656" t="s">
        <v>3986</v>
      </c>
      <c r="I656" t="s">
        <v>3986</v>
      </c>
      <c r="J656" t="s">
        <v>3359</v>
      </c>
      <c r="K656" t="s">
        <v>3640</v>
      </c>
      <c r="L656" t="s">
        <v>3631</v>
      </c>
      <c r="M656" t="s">
        <v>3754</v>
      </c>
      <c r="N656">
        <v>7</v>
      </c>
      <c r="O656" t="b">
        <v>0</v>
      </c>
      <c r="P656" t="b">
        <v>1</v>
      </c>
      <c r="Q656" t="b">
        <v>0</v>
      </c>
      <c r="R656" t="b">
        <v>0</v>
      </c>
      <c r="T656" t="s">
        <v>3748</v>
      </c>
      <c r="U656">
        <v>18</v>
      </c>
      <c r="V656" t="s">
        <v>4031</v>
      </c>
      <c r="W656">
        <v>6</v>
      </c>
      <c r="X656" t="s">
        <v>3992</v>
      </c>
      <c r="Y656" t="s">
        <v>3986</v>
      </c>
      <c r="Z656">
        <v>0</v>
      </c>
      <c r="AA656" t="s">
        <v>2493</v>
      </c>
      <c r="AB656" t="s">
        <v>4037</v>
      </c>
      <c r="AC656" t="s">
        <v>3503</v>
      </c>
      <c r="AD656" t="s">
        <v>3986</v>
      </c>
    </row>
    <row r="657" spans="1:30" x14ac:dyDescent="0.25">
      <c r="A657" t="s">
        <v>3581</v>
      </c>
      <c r="B657">
        <v>41</v>
      </c>
      <c r="C657" t="s">
        <v>3310</v>
      </c>
      <c r="D657" t="b">
        <v>0</v>
      </c>
      <c r="E657" t="b">
        <v>0</v>
      </c>
      <c r="F657" t="s">
        <v>3986</v>
      </c>
      <c r="G657" t="s">
        <v>3986</v>
      </c>
      <c r="H657" t="s">
        <v>3986</v>
      </c>
      <c r="I657" t="s">
        <v>3986</v>
      </c>
      <c r="J657" t="s">
        <v>3359</v>
      </c>
      <c r="K657" t="s">
        <v>3640</v>
      </c>
      <c r="L657" t="s">
        <v>3631</v>
      </c>
      <c r="M657" t="s">
        <v>3754</v>
      </c>
      <c r="N657">
        <v>7</v>
      </c>
      <c r="O657" t="b">
        <v>0</v>
      </c>
      <c r="P657" t="b">
        <v>1</v>
      </c>
      <c r="Q657" t="b">
        <v>0</v>
      </c>
      <c r="R657" t="b">
        <v>0</v>
      </c>
      <c r="T657" t="s">
        <v>3748</v>
      </c>
      <c r="U657">
        <v>48</v>
      </c>
      <c r="V657" t="s">
        <v>4111</v>
      </c>
      <c r="W657">
        <v>6</v>
      </c>
      <c r="X657" t="s">
        <v>3992</v>
      </c>
      <c r="Y657" t="s">
        <v>3986</v>
      </c>
      <c r="Z657">
        <v>0</v>
      </c>
      <c r="AA657" t="s">
        <v>2493</v>
      </c>
      <c r="AB657" t="s">
        <v>4037</v>
      </c>
      <c r="AC657" t="s">
        <v>3503</v>
      </c>
      <c r="AD657" t="s">
        <v>3986</v>
      </c>
    </row>
    <row r="658" spans="1:30" x14ac:dyDescent="0.25">
      <c r="A658" t="s">
        <v>3582</v>
      </c>
      <c r="B658">
        <v>42</v>
      </c>
      <c r="C658" t="s">
        <v>3310</v>
      </c>
      <c r="D658" t="b">
        <v>0</v>
      </c>
      <c r="E658" t="b">
        <v>0</v>
      </c>
      <c r="F658" t="s">
        <v>3986</v>
      </c>
      <c r="G658" t="s">
        <v>3986</v>
      </c>
      <c r="H658" t="s">
        <v>3986</v>
      </c>
      <c r="I658" t="s">
        <v>3986</v>
      </c>
      <c r="J658" t="s">
        <v>3359</v>
      </c>
      <c r="K658" t="s">
        <v>3640</v>
      </c>
      <c r="L658" t="s">
        <v>3631</v>
      </c>
      <c r="M658" t="s">
        <v>3754</v>
      </c>
      <c r="N658">
        <v>7</v>
      </c>
      <c r="O658" t="b">
        <v>0</v>
      </c>
      <c r="P658" t="b">
        <v>1</v>
      </c>
      <c r="Q658" t="b">
        <v>0</v>
      </c>
      <c r="R658" t="b">
        <v>0</v>
      </c>
      <c r="T658" t="s">
        <v>3748</v>
      </c>
      <c r="U658">
        <v>66</v>
      </c>
      <c r="V658" t="s">
        <v>4048</v>
      </c>
      <c r="W658">
        <v>6</v>
      </c>
      <c r="X658" t="s">
        <v>3992</v>
      </c>
      <c r="Y658" t="s">
        <v>3986</v>
      </c>
      <c r="Z658">
        <v>0</v>
      </c>
      <c r="AA658" t="s">
        <v>2493</v>
      </c>
      <c r="AB658" t="s">
        <v>4037</v>
      </c>
      <c r="AC658" t="s">
        <v>3503</v>
      </c>
      <c r="AD658" t="s">
        <v>3986</v>
      </c>
    </row>
    <row r="659" spans="1:30" x14ac:dyDescent="0.25">
      <c r="A659" t="s">
        <v>3583</v>
      </c>
      <c r="B659">
        <v>43</v>
      </c>
      <c r="C659" t="s">
        <v>3310</v>
      </c>
      <c r="D659" t="b">
        <v>0</v>
      </c>
      <c r="E659" t="b">
        <v>0</v>
      </c>
      <c r="F659" t="s">
        <v>3986</v>
      </c>
      <c r="G659" t="s">
        <v>3986</v>
      </c>
      <c r="H659" t="s">
        <v>3986</v>
      </c>
      <c r="I659" t="s">
        <v>3986</v>
      </c>
      <c r="J659" t="s">
        <v>3359</v>
      </c>
      <c r="K659" t="s">
        <v>3640</v>
      </c>
      <c r="L659" t="s">
        <v>3631</v>
      </c>
      <c r="M659" t="s">
        <v>3754</v>
      </c>
      <c r="N659">
        <v>7</v>
      </c>
      <c r="O659" t="b">
        <v>0</v>
      </c>
      <c r="P659" t="b">
        <v>1</v>
      </c>
      <c r="Q659" t="b">
        <v>0</v>
      </c>
      <c r="R659" t="b">
        <v>0</v>
      </c>
      <c r="T659" t="s">
        <v>3748</v>
      </c>
      <c r="U659">
        <v>69</v>
      </c>
      <c r="V659" t="s">
        <v>4897</v>
      </c>
      <c r="W659">
        <v>6</v>
      </c>
      <c r="X659" t="s">
        <v>3992</v>
      </c>
      <c r="Y659" t="s">
        <v>3986</v>
      </c>
      <c r="Z659">
        <v>0</v>
      </c>
      <c r="AA659" t="s">
        <v>2493</v>
      </c>
      <c r="AB659" t="s">
        <v>4037</v>
      </c>
      <c r="AC659" t="s">
        <v>3503</v>
      </c>
      <c r="AD659" t="s">
        <v>3986</v>
      </c>
    </row>
    <row r="660" spans="1:30" x14ac:dyDescent="0.25">
      <c r="A660" t="s">
        <v>3584</v>
      </c>
      <c r="B660">
        <v>44</v>
      </c>
      <c r="C660" t="s">
        <v>3310</v>
      </c>
      <c r="D660" t="b">
        <v>0</v>
      </c>
      <c r="E660" t="b">
        <v>0</v>
      </c>
      <c r="F660" t="s">
        <v>3986</v>
      </c>
      <c r="G660" t="s">
        <v>3986</v>
      </c>
      <c r="H660" t="s">
        <v>3986</v>
      </c>
      <c r="I660" t="s">
        <v>3986</v>
      </c>
      <c r="J660" t="s">
        <v>3359</v>
      </c>
      <c r="K660" t="s">
        <v>3640</v>
      </c>
      <c r="L660" t="s">
        <v>3631</v>
      </c>
      <c r="M660" t="s">
        <v>3754</v>
      </c>
      <c r="N660">
        <v>7</v>
      </c>
      <c r="O660" t="b">
        <v>0</v>
      </c>
      <c r="P660" t="b">
        <v>1</v>
      </c>
      <c r="Q660" t="b">
        <v>0</v>
      </c>
      <c r="R660" t="b">
        <v>0</v>
      </c>
      <c r="T660" t="s">
        <v>3748</v>
      </c>
      <c r="U660">
        <v>92</v>
      </c>
      <c r="V660" t="s">
        <v>4898</v>
      </c>
      <c r="W660">
        <v>6</v>
      </c>
      <c r="X660" t="s">
        <v>3992</v>
      </c>
      <c r="Y660" t="s">
        <v>3986</v>
      </c>
      <c r="Z660">
        <v>0</v>
      </c>
      <c r="AA660" t="s">
        <v>2493</v>
      </c>
      <c r="AB660" t="s">
        <v>4037</v>
      </c>
      <c r="AC660" t="s">
        <v>3503</v>
      </c>
      <c r="AD660" t="s">
        <v>3986</v>
      </c>
    </row>
    <row r="661" spans="1:30" x14ac:dyDescent="0.25">
      <c r="A661" t="s">
        <v>3585</v>
      </c>
      <c r="B661">
        <v>45</v>
      </c>
      <c r="C661" t="s">
        <v>3310</v>
      </c>
      <c r="D661" t="b">
        <v>0</v>
      </c>
      <c r="E661" t="b">
        <v>0</v>
      </c>
      <c r="F661" t="s">
        <v>3986</v>
      </c>
      <c r="G661" t="s">
        <v>3986</v>
      </c>
      <c r="H661" t="s">
        <v>3986</v>
      </c>
      <c r="I661" t="s">
        <v>3986</v>
      </c>
      <c r="J661" t="s">
        <v>3359</v>
      </c>
      <c r="K661" t="s">
        <v>3640</v>
      </c>
      <c r="L661" t="s">
        <v>3631</v>
      </c>
      <c r="M661" t="s">
        <v>3754</v>
      </c>
      <c r="N661">
        <v>7</v>
      </c>
      <c r="O661" t="b">
        <v>0</v>
      </c>
      <c r="P661" t="b">
        <v>1</v>
      </c>
      <c r="Q661" t="b">
        <v>0</v>
      </c>
      <c r="R661" t="b">
        <v>0</v>
      </c>
      <c r="T661" t="s">
        <v>3748</v>
      </c>
      <c r="U661">
        <v>95</v>
      </c>
      <c r="V661" t="s">
        <v>4114</v>
      </c>
      <c r="W661">
        <v>6</v>
      </c>
      <c r="X661" t="s">
        <v>3992</v>
      </c>
      <c r="Y661" t="s">
        <v>3986</v>
      </c>
      <c r="Z661">
        <v>0</v>
      </c>
      <c r="AA661" t="s">
        <v>2493</v>
      </c>
      <c r="AB661" t="s">
        <v>4037</v>
      </c>
      <c r="AC661" t="s">
        <v>3503</v>
      </c>
      <c r="AD661" t="s">
        <v>3986</v>
      </c>
    </row>
    <row r="662" spans="1:30" x14ac:dyDescent="0.25">
      <c r="A662" t="s">
        <v>3586</v>
      </c>
      <c r="B662">
        <v>46</v>
      </c>
      <c r="C662" t="s">
        <v>3310</v>
      </c>
      <c r="D662" t="b">
        <v>0</v>
      </c>
      <c r="E662" t="b">
        <v>0</v>
      </c>
      <c r="F662" t="s">
        <v>3986</v>
      </c>
      <c r="G662" t="s">
        <v>3986</v>
      </c>
      <c r="H662" t="s">
        <v>3986</v>
      </c>
      <c r="I662" t="s">
        <v>3986</v>
      </c>
      <c r="J662" t="s">
        <v>3359</v>
      </c>
      <c r="K662" t="s">
        <v>3640</v>
      </c>
      <c r="L662" t="s">
        <v>3631</v>
      </c>
      <c r="M662" t="s">
        <v>3754</v>
      </c>
      <c r="N662">
        <v>7</v>
      </c>
      <c r="O662" t="b">
        <v>0</v>
      </c>
      <c r="P662" t="b">
        <v>1</v>
      </c>
      <c r="Q662" t="b">
        <v>0</v>
      </c>
      <c r="R662" t="b">
        <v>0</v>
      </c>
      <c r="T662" t="s">
        <v>3748</v>
      </c>
      <c r="U662">
        <v>104</v>
      </c>
      <c r="V662" t="s">
        <v>4059</v>
      </c>
      <c r="W662">
        <v>6</v>
      </c>
      <c r="X662" t="s">
        <v>3992</v>
      </c>
      <c r="Y662" t="s">
        <v>3986</v>
      </c>
      <c r="Z662">
        <v>0</v>
      </c>
      <c r="AA662" t="s">
        <v>2493</v>
      </c>
      <c r="AB662" t="s">
        <v>4037</v>
      </c>
      <c r="AC662" t="s">
        <v>3503</v>
      </c>
      <c r="AD662" t="s">
        <v>3986</v>
      </c>
    </row>
    <row r="663" spans="1:30" x14ac:dyDescent="0.25">
      <c r="A663" t="s">
        <v>3587</v>
      </c>
      <c r="B663">
        <v>47</v>
      </c>
      <c r="C663" t="s">
        <v>3310</v>
      </c>
      <c r="D663" t="b">
        <v>0</v>
      </c>
      <c r="E663" t="b">
        <v>0</v>
      </c>
      <c r="F663" t="s">
        <v>3986</v>
      </c>
      <c r="G663" t="s">
        <v>3986</v>
      </c>
      <c r="H663" t="s">
        <v>3986</v>
      </c>
      <c r="I663" t="s">
        <v>3986</v>
      </c>
      <c r="J663" t="s">
        <v>3359</v>
      </c>
      <c r="K663" t="s">
        <v>3640</v>
      </c>
      <c r="L663" t="s">
        <v>3631</v>
      </c>
      <c r="M663" t="s">
        <v>3754</v>
      </c>
      <c r="N663">
        <v>7</v>
      </c>
      <c r="O663" t="b">
        <v>0</v>
      </c>
      <c r="P663" t="b">
        <v>1</v>
      </c>
      <c r="Q663" t="b">
        <v>0</v>
      </c>
      <c r="R663" t="b">
        <v>0</v>
      </c>
      <c r="T663" t="s">
        <v>3748</v>
      </c>
      <c r="U663">
        <v>119</v>
      </c>
      <c r="V663" t="s">
        <v>4066</v>
      </c>
      <c r="W663">
        <v>6</v>
      </c>
      <c r="X663" t="s">
        <v>3992</v>
      </c>
      <c r="Y663" t="s">
        <v>3986</v>
      </c>
      <c r="Z663">
        <v>0</v>
      </c>
      <c r="AA663" t="s">
        <v>2493</v>
      </c>
      <c r="AB663" t="s">
        <v>4037</v>
      </c>
      <c r="AC663" t="s">
        <v>3503</v>
      </c>
      <c r="AD663" t="s">
        <v>3986</v>
      </c>
    </row>
    <row r="664" spans="1:30" x14ac:dyDescent="0.25">
      <c r="A664" t="s">
        <v>3588</v>
      </c>
      <c r="B664">
        <v>48</v>
      </c>
      <c r="C664" t="s">
        <v>3310</v>
      </c>
      <c r="D664" t="b">
        <v>0</v>
      </c>
      <c r="E664" t="b">
        <v>0</v>
      </c>
      <c r="F664" t="s">
        <v>3986</v>
      </c>
      <c r="G664" t="s">
        <v>3986</v>
      </c>
      <c r="H664" t="s">
        <v>3986</v>
      </c>
      <c r="I664" t="s">
        <v>3986</v>
      </c>
      <c r="J664" t="s">
        <v>3359</v>
      </c>
      <c r="K664" t="s">
        <v>3640</v>
      </c>
      <c r="L664" t="s">
        <v>3631</v>
      </c>
      <c r="M664" t="s">
        <v>3754</v>
      </c>
      <c r="N664">
        <v>7</v>
      </c>
      <c r="O664" t="b">
        <v>0</v>
      </c>
      <c r="P664" t="b">
        <v>1</v>
      </c>
      <c r="Q664" t="b">
        <v>0</v>
      </c>
      <c r="R664" t="b">
        <v>0</v>
      </c>
      <c r="T664" t="s">
        <v>3748</v>
      </c>
      <c r="U664">
        <v>126</v>
      </c>
      <c r="V664" t="s">
        <v>4079</v>
      </c>
      <c r="W664">
        <v>6</v>
      </c>
      <c r="X664" t="s">
        <v>3992</v>
      </c>
      <c r="Y664" t="s">
        <v>3986</v>
      </c>
      <c r="Z664">
        <v>0</v>
      </c>
      <c r="AA664" t="s">
        <v>2493</v>
      </c>
      <c r="AB664" t="s">
        <v>4037</v>
      </c>
      <c r="AC664" t="s">
        <v>3503</v>
      </c>
      <c r="AD664" t="s">
        <v>3986</v>
      </c>
    </row>
    <row r="665" spans="1:30" x14ac:dyDescent="0.25">
      <c r="A665" t="s">
        <v>3589</v>
      </c>
      <c r="B665">
        <v>49</v>
      </c>
      <c r="C665" t="s">
        <v>3310</v>
      </c>
      <c r="D665" t="b">
        <v>0</v>
      </c>
      <c r="E665" t="b">
        <v>0</v>
      </c>
      <c r="F665" t="s">
        <v>3986</v>
      </c>
      <c r="G665" t="s">
        <v>3986</v>
      </c>
      <c r="H665" t="s">
        <v>3986</v>
      </c>
      <c r="I665" t="s">
        <v>3986</v>
      </c>
      <c r="J665" t="s">
        <v>3359</v>
      </c>
      <c r="K665" t="s">
        <v>3640</v>
      </c>
      <c r="L665" t="s">
        <v>3631</v>
      </c>
      <c r="M665" t="s">
        <v>3754</v>
      </c>
      <c r="N665">
        <v>7</v>
      </c>
      <c r="O665" t="b">
        <v>0</v>
      </c>
      <c r="P665" t="b">
        <v>1</v>
      </c>
      <c r="Q665" t="b">
        <v>0</v>
      </c>
      <c r="R665" t="b">
        <v>0</v>
      </c>
      <c r="T665" t="s">
        <v>3748</v>
      </c>
      <c r="U665">
        <v>145</v>
      </c>
      <c r="V665" t="s">
        <v>4082</v>
      </c>
      <c r="W665">
        <v>6</v>
      </c>
      <c r="X665" t="s">
        <v>3992</v>
      </c>
      <c r="Y665" t="s">
        <v>3986</v>
      </c>
      <c r="Z665">
        <v>0</v>
      </c>
      <c r="AA665" t="s">
        <v>2493</v>
      </c>
      <c r="AB665" t="s">
        <v>4037</v>
      </c>
      <c r="AC665" t="s">
        <v>3503</v>
      </c>
      <c r="AD665" t="s">
        <v>3986</v>
      </c>
    </row>
    <row r="666" spans="1:30" x14ac:dyDescent="0.25">
      <c r="A666" t="s">
        <v>3590</v>
      </c>
      <c r="B666">
        <v>50</v>
      </c>
      <c r="C666" t="s">
        <v>3310</v>
      </c>
      <c r="D666" t="b">
        <v>0</v>
      </c>
      <c r="E666" t="b">
        <v>0</v>
      </c>
      <c r="F666" t="s">
        <v>3986</v>
      </c>
      <c r="G666" t="s">
        <v>3986</v>
      </c>
      <c r="H666" t="s">
        <v>3986</v>
      </c>
      <c r="I666" t="s">
        <v>3986</v>
      </c>
      <c r="J666" t="s">
        <v>3359</v>
      </c>
      <c r="K666" t="s">
        <v>3640</v>
      </c>
      <c r="L666" t="s">
        <v>3631</v>
      </c>
      <c r="M666" t="s">
        <v>3754</v>
      </c>
      <c r="N666">
        <v>7</v>
      </c>
      <c r="O666" t="b">
        <v>0</v>
      </c>
      <c r="P666" t="b">
        <v>1</v>
      </c>
      <c r="Q666" t="b">
        <v>0</v>
      </c>
      <c r="R666" t="b">
        <v>0</v>
      </c>
      <c r="T666" t="s">
        <v>3748</v>
      </c>
      <c r="U666">
        <v>164</v>
      </c>
      <c r="V666" t="s">
        <v>4942</v>
      </c>
      <c r="W666">
        <v>6</v>
      </c>
      <c r="X666" t="s">
        <v>3992</v>
      </c>
      <c r="Y666" t="s">
        <v>3986</v>
      </c>
      <c r="Z666">
        <v>0</v>
      </c>
      <c r="AA666" t="s">
        <v>2493</v>
      </c>
      <c r="AB666" t="s">
        <v>4037</v>
      </c>
      <c r="AC666" t="s">
        <v>3503</v>
      </c>
      <c r="AD666" t="s">
        <v>3986</v>
      </c>
    </row>
    <row r="667" spans="1:30" x14ac:dyDescent="0.25">
      <c r="A667" t="s">
        <v>3591</v>
      </c>
      <c r="B667">
        <v>51</v>
      </c>
      <c r="C667" t="s">
        <v>3310</v>
      </c>
      <c r="D667" t="b">
        <v>0</v>
      </c>
      <c r="E667" t="b">
        <v>0</v>
      </c>
      <c r="F667" t="s">
        <v>3986</v>
      </c>
      <c r="G667" t="s">
        <v>3986</v>
      </c>
      <c r="H667" t="s">
        <v>3986</v>
      </c>
      <c r="I667" t="s">
        <v>3986</v>
      </c>
      <c r="J667" t="s">
        <v>3359</v>
      </c>
      <c r="K667" t="s">
        <v>3640</v>
      </c>
      <c r="L667" t="s">
        <v>3631</v>
      </c>
      <c r="M667" t="s">
        <v>3754</v>
      </c>
      <c r="N667">
        <v>7</v>
      </c>
      <c r="O667" t="b">
        <v>0</v>
      </c>
      <c r="P667" t="b">
        <v>1</v>
      </c>
      <c r="Q667" t="b">
        <v>0</v>
      </c>
      <c r="R667" t="b">
        <v>0</v>
      </c>
      <c r="T667" t="s">
        <v>3748</v>
      </c>
      <c r="U667">
        <v>176</v>
      </c>
      <c r="V667" t="s">
        <v>4943</v>
      </c>
      <c r="W667">
        <v>6</v>
      </c>
      <c r="X667" t="s">
        <v>3992</v>
      </c>
      <c r="Y667" t="s">
        <v>3986</v>
      </c>
      <c r="Z667">
        <v>0</v>
      </c>
      <c r="AA667" t="s">
        <v>2493</v>
      </c>
      <c r="AB667" t="s">
        <v>4037</v>
      </c>
      <c r="AC667" t="s">
        <v>3503</v>
      </c>
      <c r="AD667" t="s">
        <v>3986</v>
      </c>
    </row>
    <row r="668" spans="1:30" x14ac:dyDescent="0.25">
      <c r="A668" t="s">
        <v>3592</v>
      </c>
      <c r="B668">
        <v>52</v>
      </c>
      <c r="C668" t="s">
        <v>3310</v>
      </c>
      <c r="D668" t="b">
        <v>0</v>
      </c>
      <c r="E668" t="b">
        <v>0</v>
      </c>
      <c r="F668" t="s">
        <v>3986</v>
      </c>
      <c r="G668" t="s">
        <v>3986</v>
      </c>
      <c r="H668" t="s">
        <v>3986</v>
      </c>
      <c r="I668" t="s">
        <v>3986</v>
      </c>
      <c r="J668" t="s">
        <v>3359</v>
      </c>
      <c r="K668" t="s">
        <v>3640</v>
      </c>
      <c r="L668" t="s">
        <v>3631</v>
      </c>
      <c r="M668" t="s">
        <v>3754</v>
      </c>
      <c r="N668">
        <v>7</v>
      </c>
      <c r="O668" t="b">
        <v>0</v>
      </c>
      <c r="P668" t="b">
        <v>1</v>
      </c>
      <c r="Q668" t="b">
        <v>0</v>
      </c>
      <c r="R668" t="b">
        <v>0</v>
      </c>
      <c r="T668" t="s">
        <v>3748</v>
      </c>
      <c r="U668">
        <v>191</v>
      </c>
      <c r="V668" t="s">
        <v>4105</v>
      </c>
      <c r="W668">
        <v>6</v>
      </c>
      <c r="X668" t="s">
        <v>3992</v>
      </c>
      <c r="Y668" t="s">
        <v>3986</v>
      </c>
      <c r="Z668">
        <v>0</v>
      </c>
      <c r="AA668" t="s">
        <v>2493</v>
      </c>
      <c r="AB668" t="s">
        <v>4037</v>
      </c>
      <c r="AC668" t="s">
        <v>3503</v>
      </c>
      <c r="AD668" t="s">
        <v>3986</v>
      </c>
    </row>
    <row r="669" spans="1:30" x14ac:dyDescent="0.25">
      <c r="A669" t="s">
        <v>3593</v>
      </c>
      <c r="B669">
        <v>53</v>
      </c>
      <c r="C669" t="s">
        <v>3310</v>
      </c>
      <c r="D669" t="b">
        <v>0</v>
      </c>
      <c r="E669" t="b">
        <v>0</v>
      </c>
      <c r="F669" t="s">
        <v>3986</v>
      </c>
      <c r="G669" t="s">
        <v>3986</v>
      </c>
      <c r="H669" t="s">
        <v>3986</v>
      </c>
      <c r="I669" t="s">
        <v>3986</v>
      </c>
      <c r="J669" t="s">
        <v>3359</v>
      </c>
      <c r="K669" t="s">
        <v>3640</v>
      </c>
      <c r="L669" t="s">
        <v>3631</v>
      </c>
      <c r="M669" t="s">
        <v>3754</v>
      </c>
      <c r="N669">
        <v>7</v>
      </c>
      <c r="O669" t="b">
        <v>0</v>
      </c>
      <c r="P669" t="b">
        <v>1</v>
      </c>
      <c r="Q669" t="b">
        <v>0</v>
      </c>
      <c r="R669" t="b">
        <v>0</v>
      </c>
      <c r="T669" t="s">
        <v>3748</v>
      </c>
      <c r="U669">
        <v>206</v>
      </c>
      <c r="V669" t="s">
        <v>4086</v>
      </c>
      <c r="W669">
        <v>6</v>
      </c>
      <c r="X669" t="s">
        <v>3992</v>
      </c>
      <c r="Y669" t="s">
        <v>3986</v>
      </c>
      <c r="Z669">
        <v>0</v>
      </c>
      <c r="AA669" t="s">
        <v>2493</v>
      </c>
      <c r="AB669" t="s">
        <v>4037</v>
      </c>
      <c r="AC669" t="s">
        <v>3503</v>
      </c>
      <c r="AD669" t="s">
        <v>3986</v>
      </c>
    </row>
    <row r="670" spans="1:30" x14ac:dyDescent="0.25">
      <c r="A670" t="s">
        <v>3594</v>
      </c>
      <c r="B670">
        <v>54</v>
      </c>
      <c r="C670" t="s">
        <v>3310</v>
      </c>
      <c r="D670" t="b">
        <v>0</v>
      </c>
      <c r="E670" t="b">
        <v>0</v>
      </c>
      <c r="F670" t="s">
        <v>3986</v>
      </c>
      <c r="G670" t="s">
        <v>3986</v>
      </c>
      <c r="H670" t="s">
        <v>3986</v>
      </c>
      <c r="I670" t="s">
        <v>3986</v>
      </c>
      <c r="J670" t="s">
        <v>3359</v>
      </c>
      <c r="K670" t="s">
        <v>3640</v>
      </c>
      <c r="L670" t="s">
        <v>3631</v>
      </c>
      <c r="M670" t="s">
        <v>3754</v>
      </c>
      <c r="N670">
        <v>7</v>
      </c>
      <c r="O670" t="b">
        <v>0</v>
      </c>
      <c r="P670" t="b">
        <v>1</v>
      </c>
      <c r="Q670" t="b">
        <v>0</v>
      </c>
      <c r="R670" t="b">
        <v>0</v>
      </c>
      <c r="T670" t="s">
        <v>3748</v>
      </c>
      <c r="U670">
        <v>214</v>
      </c>
      <c r="V670" t="s">
        <v>4122</v>
      </c>
      <c r="W670">
        <v>6</v>
      </c>
      <c r="X670" t="s">
        <v>3992</v>
      </c>
      <c r="Y670" t="s">
        <v>3986</v>
      </c>
      <c r="Z670">
        <v>0</v>
      </c>
      <c r="AA670" t="s">
        <v>2493</v>
      </c>
      <c r="AB670" t="s">
        <v>4037</v>
      </c>
      <c r="AC670" t="s">
        <v>3503</v>
      </c>
      <c r="AD670" t="s">
        <v>3986</v>
      </c>
    </row>
    <row r="671" spans="1:30" x14ac:dyDescent="0.25">
      <c r="A671" t="s">
        <v>3595</v>
      </c>
      <c r="B671">
        <v>55</v>
      </c>
      <c r="C671" t="s">
        <v>3310</v>
      </c>
      <c r="D671" t="b">
        <v>0</v>
      </c>
      <c r="E671" t="b">
        <v>0</v>
      </c>
      <c r="F671" t="s">
        <v>3986</v>
      </c>
      <c r="G671" t="s">
        <v>3986</v>
      </c>
      <c r="H671" t="s">
        <v>3986</v>
      </c>
      <c r="I671" t="s">
        <v>3986</v>
      </c>
      <c r="J671" t="s">
        <v>3359</v>
      </c>
      <c r="K671" t="s">
        <v>3640</v>
      </c>
      <c r="L671" t="s">
        <v>3631</v>
      </c>
      <c r="M671" t="s">
        <v>3754</v>
      </c>
      <c r="N671">
        <v>7</v>
      </c>
      <c r="O671" t="b">
        <v>0</v>
      </c>
      <c r="P671" t="b">
        <v>1</v>
      </c>
      <c r="Q671" t="b">
        <v>0</v>
      </c>
      <c r="R671" t="b">
        <v>0</v>
      </c>
      <c r="T671" t="s">
        <v>3748</v>
      </c>
      <c r="U671">
        <v>228</v>
      </c>
      <c r="V671" t="s">
        <v>4941</v>
      </c>
      <c r="W671">
        <v>6</v>
      </c>
      <c r="X671" t="s">
        <v>3992</v>
      </c>
      <c r="Y671" t="s">
        <v>3986</v>
      </c>
      <c r="Z671">
        <v>0</v>
      </c>
      <c r="AA671" t="s">
        <v>2493</v>
      </c>
      <c r="AB671" t="s">
        <v>4037</v>
      </c>
      <c r="AC671" t="s">
        <v>3503</v>
      </c>
      <c r="AD671" t="s">
        <v>3986</v>
      </c>
    </row>
    <row r="672" spans="1:30" x14ac:dyDescent="0.25">
      <c r="A672" t="s">
        <v>3596</v>
      </c>
      <c r="B672">
        <v>56</v>
      </c>
      <c r="C672" t="s">
        <v>3310</v>
      </c>
      <c r="D672" t="b">
        <v>0</v>
      </c>
      <c r="E672" t="b">
        <v>0</v>
      </c>
      <c r="F672" t="s">
        <v>3986</v>
      </c>
      <c r="G672" t="s">
        <v>3986</v>
      </c>
      <c r="H672" t="s">
        <v>3986</v>
      </c>
      <c r="I672" t="s">
        <v>3986</v>
      </c>
      <c r="J672" t="s">
        <v>3359</v>
      </c>
      <c r="K672" t="s">
        <v>3640</v>
      </c>
      <c r="L672" t="s">
        <v>3631</v>
      </c>
      <c r="M672" t="s">
        <v>3754</v>
      </c>
      <c r="N672">
        <v>7</v>
      </c>
      <c r="O672" t="b">
        <v>0</v>
      </c>
      <c r="P672" t="b">
        <v>1</v>
      </c>
      <c r="Q672" t="b">
        <v>0</v>
      </c>
      <c r="R672" t="b">
        <v>0</v>
      </c>
      <c r="T672" t="s">
        <v>3748</v>
      </c>
      <c r="U672">
        <v>8</v>
      </c>
      <c r="V672" t="s">
        <v>3994</v>
      </c>
      <c r="W672">
        <v>2</v>
      </c>
      <c r="X672" t="s">
        <v>3989</v>
      </c>
      <c r="Y672" t="s">
        <v>3986</v>
      </c>
      <c r="Z672">
        <v>0</v>
      </c>
      <c r="AA672" t="s">
        <v>2493</v>
      </c>
      <c r="AB672" t="s">
        <v>4037</v>
      </c>
      <c r="AC672" t="s">
        <v>3504</v>
      </c>
      <c r="AD672" t="s">
        <v>3986</v>
      </c>
    </row>
    <row r="673" spans="1:30" x14ac:dyDescent="0.25">
      <c r="A673" t="s">
        <v>3597</v>
      </c>
      <c r="B673">
        <v>57</v>
      </c>
      <c r="C673" t="s">
        <v>3310</v>
      </c>
      <c r="D673" t="b">
        <v>0</v>
      </c>
      <c r="E673" t="b">
        <v>0</v>
      </c>
      <c r="F673" t="s">
        <v>3986</v>
      </c>
      <c r="G673" t="s">
        <v>3986</v>
      </c>
      <c r="H673" t="s">
        <v>3986</v>
      </c>
      <c r="I673" t="s">
        <v>3986</v>
      </c>
      <c r="J673" t="s">
        <v>3359</v>
      </c>
      <c r="K673" t="s">
        <v>3640</v>
      </c>
      <c r="L673" t="s">
        <v>3631</v>
      </c>
      <c r="M673" t="s">
        <v>3754</v>
      </c>
      <c r="N673">
        <v>7</v>
      </c>
      <c r="O673" t="b">
        <v>0</v>
      </c>
      <c r="P673" t="b">
        <v>1</v>
      </c>
      <c r="Q673" t="b">
        <v>0</v>
      </c>
      <c r="R673" t="b">
        <v>0</v>
      </c>
      <c r="T673" t="s">
        <v>3748</v>
      </c>
      <c r="U673">
        <v>12</v>
      </c>
      <c r="V673" t="s">
        <v>3998</v>
      </c>
      <c r="W673">
        <v>2</v>
      </c>
      <c r="X673" t="s">
        <v>3989</v>
      </c>
      <c r="Y673" t="s">
        <v>3986</v>
      </c>
      <c r="Z673">
        <v>0</v>
      </c>
      <c r="AA673" t="s">
        <v>2493</v>
      </c>
      <c r="AB673" t="s">
        <v>4037</v>
      </c>
      <c r="AC673" t="s">
        <v>3504</v>
      </c>
      <c r="AD673" t="s">
        <v>3986</v>
      </c>
    </row>
    <row r="674" spans="1:30" x14ac:dyDescent="0.25">
      <c r="A674" t="s">
        <v>3598</v>
      </c>
      <c r="B674">
        <v>58</v>
      </c>
      <c r="C674" t="s">
        <v>3310</v>
      </c>
      <c r="D674" t="b">
        <v>0</v>
      </c>
      <c r="E674" t="b">
        <v>0</v>
      </c>
      <c r="F674" t="s">
        <v>3986</v>
      </c>
      <c r="G674" t="s">
        <v>3986</v>
      </c>
      <c r="H674" t="s">
        <v>3986</v>
      </c>
      <c r="I674" t="s">
        <v>3986</v>
      </c>
      <c r="J674" t="s">
        <v>3359</v>
      </c>
      <c r="K674" t="s">
        <v>3640</v>
      </c>
      <c r="L674" t="s">
        <v>3631</v>
      </c>
      <c r="M674" t="s">
        <v>3754</v>
      </c>
      <c r="N674">
        <v>7</v>
      </c>
      <c r="O674" t="b">
        <v>0</v>
      </c>
      <c r="P674" t="b">
        <v>1</v>
      </c>
      <c r="Q674" t="b">
        <v>0</v>
      </c>
      <c r="R674" t="b">
        <v>0</v>
      </c>
      <c r="T674" t="s">
        <v>3748</v>
      </c>
      <c r="U674">
        <v>16</v>
      </c>
      <c r="V674" t="s">
        <v>4002</v>
      </c>
      <c r="W674">
        <v>2</v>
      </c>
      <c r="X674" t="s">
        <v>3990</v>
      </c>
      <c r="Y674" t="s">
        <v>3986</v>
      </c>
      <c r="Z674">
        <v>0</v>
      </c>
      <c r="AA674" t="s">
        <v>2493</v>
      </c>
      <c r="AB674" t="s">
        <v>4037</v>
      </c>
      <c r="AC674" t="s">
        <v>3504</v>
      </c>
      <c r="AD674" t="s">
        <v>3986</v>
      </c>
    </row>
    <row r="675" spans="1:30" x14ac:dyDescent="0.25">
      <c r="A675" t="s">
        <v>3599</v>
      </c>
      <c r="B675">
        <v>59</v>
      </c>
      <c r="C675" t="s">
        <v>3310</v>
      </c>
      <c r="D675" t="b">
        <v>0</v>
      </c>
      <c r="E675" t="b">
        <v>0</v>
      </c>
      <c r="F675" t="s">
        <v>3986</v>
      </c>
      <c r="G675" t="s">
        <v>3986</v>
      </c>
      <c r="H675" t="s">
        <v>3986</v>
      </c>
      <c r="I675" t="s">
        <v>3986</v>
      </c>
      <c r="J675" t="s">
        <v>3359</v>
      </c>
      <c r="K675" t="s">
        <v>3640</v>
      </c>
      <c r="L675" t="s">
        <v>3631</v>
      </c>
      <c r="M675" t="s">
        <v>3754</v>
      </c>
      <c r="N675">
        <v>7</v>
      </c>
      <c r="O675" t="b">
        <v>0</v>
      </c>
      <c r="P675" t="b">
        <v>1</v>
      </c>
      <c r="Q675" t="b">
        <v>0</v>
      </c>
      <c r="R675" t="b">
        <v>0</v>
      </c>
      <c r="T675" t="s">
        <v>3748</v>
      </c>
      <c r="U675">
        <v>17</v>
      </c>
      <c r="V675" t="s">
        <v>4003</v>
      </c>
      <c r="W675">
        <v>2</v>
      </c>
      <c r="X675" t="s">
        <v>3990</v>
      </c>
      <c r="Y675" t="s">
        <v>3986</v>
      </c>
      <c r="Z675">
        <v>0</v>
      </c>
      <c r="AA675" t="s">
        <v>2493</v>
      </c>
      <c r="AB675" t="s">
        <v>4037</v>
      </c>
      <c r="AC675" t="s">
        <v>3504</v>
      </c>
      <c r="AD675" t="s">
        <v>3986</v>
      </c>
    </row>
    <row r="676" spans="1:30" x14ac:dyDescent="0.25">
      <c r="A676" t="s">
        <v>3600</v>
      </c>
      <c r="B676">
        <v>60</v>
      </c>
      <c r="C676" t="s">
        <v>3310</v>
      </c>
      <c r="D676" t="b">
        <v>0</v>
      </c>
      <c r="E676" t="b">
        <v>0</v>
      </c>
      <c r="F676" t="s">
        <v>3986</v>
      </c>
      <c r="G676" t="s">
        <v>3986</v>
      </c>
      <c r="H676" t="s">
        <v>3986</v>
      </c>
      <c r="I676" t="s">
        <v>3986</v>
      </c>
      <c r="J676" t="s">
        <v>3359</v>
      </c>
      <c r="K676" t="s">
        <v>3640</v>
      </c>
      <c r="L676" t="s">
        <v>3631</v>
      </c>
      <c r="M676" t="s">
        <v>3754</v>
      </c>
      <c r="N676">
        <v>7</v>
      </c>
      <c r="O676" t="b">
        <v>0</v>
      </c>
      <c r="P676" t="b">
        <v>1</v>
      </c>
      <c r="Q676" t="b">
        <v>0</v>
      </c>
      <c r="R676" t="b">
        <v>0</v>
      </c>
      <c r="T676" t="s">
        <v>3748</v>
      </c>
      <c r="U676">
        <v>47</v>
      </c>
      <c r="V676" t="s">
        <v>4033</v>
      </c>
      <c r="W676">
        <v>2</v>
      </c>
      <c r="X676" t="s">
        <v>3990</v>
      </c>
      <c r="Y676" t="s">
        <v>3986</v>
      </c>
      <c r="Z676">
        <v>0</v>
      </c>
      <c r="AA676" t="s">
        <v>2493</v>
      </c>
      <c r="AB676" t="s">
        <v>4037</v>
      </c>
      <c r="AC676" t="s">
        <v>3504</v>
      </c>
      <c r="AD676" t="s">
        <v>3986</v>
      </c>
    </row>
    <row r="677" spans="1:30" x14ac:dyDescent="0.25">
      <c r="A677" t="s">
        <v>3601</v>
      </c>
      <c r="B677">
        <v>61</v>
      </c>
      <c r="C677" t="s">
        <v>3310</v>
      </c>
      <c r="D677" t="b">
        <v>0</v>
      </c>
      <c r="E677" t="b">
        <v>0</v>
      </c>
      <c r="F677" t="s">
        <v>3986</v>
      </c>
      <c r="G677" t="s">
        <v>3986</v>
      </c>
      <c r="H677" t="s">
        <v>3986</v>
      </c>
      <c r="I677" t="s">
        <v>3986</v>
      </c>
      <c r="J677" t="s">
        <v>3359</v>
      </c>
      <c r="K677" t="s">
        <v>3640</v>
      </c>
      <c r="L677" t="s">
        <v>3631</v>
      </c>
      <c r="M677" t="s">
        <v>3754</v>
      </c>
      <c r="N677">
        <v>7</v>
      </c>
      <c r="O677" t="b">
        <v>0</v>
      </c>
      <c r="P677" t="b">
        <v>1</v>
      </c>
      <c r="Q677" t="b">
        <v>0</v>
      </c>
      <c r="R677" t="b">
        <v>0</v>
      </c>
      <c r="T677" t="s">
        <v>3748</v>
      </c>
      <c r="U677">
        <v>68</v>
      </c>
      <c r="V677" t="s">
        <v>4113</v>
      </c>
      <c r="W677">
        <v>2</v>
      </c>
      <c r="X677" t="s">
        <v>3990</v>
      </c>
      <c r="Y677" t="s">
        <v>3986</v>
      </c>
      <c r="Z677">
        <v>0</v>
      </c>
      <c r="AA677" t="s">
        <v>2493</v>
      </c>
      <c r="AB677" t="s">
        <v>4037</v>
      </c>
      <c r="AC677" t="s">
        <v>3504</v>
      </c>
      <c r="AD677" t="s">
        <v>3986</v>
      </c>
    </row>
    <row r="678" spans="1:30" x14ac:dyDescent="0.25">
      <c r="A678" t="s">
        <v>3602</v>
      </c>
      <c r="B678">
        <v>62</v>
      </c>
      <c r="C678" t="s">
        <v>3310</v>
      </c>
      <c r="D678" t="b">
        <v>0</v>
      </c>
      <c r="E678" t="b">
        <v>0</v>
      </c>
      <c r="F678" t="s">
        <v>3986</v>
      </c>
      <c r="G678" t="s">
        <v>3986</v>
      </c>
      <c r="H678" t="s">
        <v>3986</v>
      </c>
      <c r="I678" t="s">
        <v>3986</v>
      </c>
      <c r="J678" t="s">
        <v>3359</v>
      </c>
      <c r="K678" t="s">
        <v>3640</v>
      </c>
      <c r="L678" t="s">
        <v>3631</v>
      </c>
      <c r="M678" t="s">
        <v>3754</v>
      </c>
      <c r="N678">
        <v>7</v>
      </c>
      <c r="O678" t="b">
        <v>0</v>
      </c>
      <c r="P678" t="b">
        <v>1</v>
      </c>
      <c r="Q678" t="b">
        <v>0</v>
      </c>
      <c r="R678" t="b">
        <v>0</v>
      </c>
      <c r="T678" t="s">
        <v>3748</v>
      </c>
      <c r="U678">
        <v>94</v>
      </c>
      <c r="V678" t="s">
        <v>4056</v>
      </c>
      <c r="W678">
        <v>2</v>
      </c>
      <c r="X678" t="s">
        <v>3990</v>
      </c>
      <c r="Y678" t="s">
        <v>3986</v>
      </c>
      <c r="Z678">
        <v>0</v>
      </c>
      <c r="AA678" t="s">
        <v>2493</v>
      </c>
      <c r="AB678" t="s">
        <v>4037</v>
      </c>
      <c r="AC678" t="s">
        <v>3504</v>
      </c>
      <c r="AD678" t="s">
        <v>3986</v>
      </c>
    </row>
    <row r="679" spans="1:30" x14ac:dyDescent="0.25">
      <c r="A679" t="s">
        <v>3603</v>
      </c>
      <c r="B679">
        <v>63</v>
      </c>
      <c r="C679" t="s">
        <v>3310</v>
      </c>
      <c r="D679" t="b">
        <v>0</v>
      </c>
      <c r="E679" t="b">
        <v>0</v>
      </c>
      <c r="F679" t="s">
        <v>3986</v>
      </c>
      <c r="G679" t="s">
        <v>3986</v>
      </c>
      <c r="H679" t="s">
        <v>3986</v>
      </c>
      <c r="I679" t="s">
        <v>3986</v>
      </c>
      <c r="J679" t="s">
        <v>3359</v>
      </c>
      <c r="K679" t="s">
        <v>3640</v>
      </c>
      <c r="L679" t="s">
        <v>3631</v>
      </c>
      <c r="M679" t="s">
        <v>3754</v>
      </c>
      <c r="N679">
        <v>7</v>
      </c>
      <c r="O679" t="b">
        <v>0</v>
      </c>
      <c r="P679" t="b">
        <v>1</v>
      </c>
      <c r="Q679" t="b">
        <v>0</v>
      </c>
      <c r="R679" t="b">
        <v>0</v>
      </c>
      <c r="T679" t="s">
        <v>3748</v>
      </c>
      <c r="U679">
        <v>103</v>
      </c>
      <c r="V679" t="s">
        <v>4901</v>
      </c>
      <c r="W679">
        <v>2</v>
      </c>
      <c r="X679" t="s">
        <v>3990</v>
      </c>
      <c r="Y679" t="s">
        <v>3986</v>
      </c>
      <c r="Z679">
        <v>0</v>
      </c>
      <c r="AA679" t="s">
        <v>2493</v>
      </c>
      <c r="AB679" t="s">
        <v>4037</v>
      </c>
      <c r="AC679" t="s">
        <v>3504</v>
      </c>
      <c r="AD679" t="s">
        <v>3986</v>
      </c>
    </row>
    <row r="680" spans="1:30" x14ac:dyDescent="0.25">
      <c r="A680" t="s">
        <v>3604</v>
      </c>
      <c r="B680">
        <v>64</v>
      </c>
      <c r="C680" t="s">
        <v>3310</v>
      </c>
      <c r="D680" t="b">
        <v>0</v>
      </c>
      <c r="E680" t="b">
        <v>0</v>
      </c>
      <c r="F680" t="s">
        <v>3986</v>
      </c>
      <c r="G680" t="s">
        <v>3986</v>
      </c>
      <c r="H680" t="s">
        <v>3986</v>
      </c>
      <c r="I680" t="s">
        <v>3986</v>
      </c>
      <c r="J680" t="s">
        <v>3359</v>
      </c>
      <c r="K680" t="s">
        <v>3640</v>
      </c>
      <c r="L680" t="s">
        <v>3631</v>
      </c>
      <c r="M680" t="s">
        <v>3754</v>
      </c>
      <c r="N680">
        <v>7</v>
      </c>
      <c r="O680" t="b">
        <v>0</v>
      </c>
      <c r="P680" t="b">
        <v>1</v>
      </c>
      <c r="Q680" t="b">
        <v>0</v>
      </c>
      <c r="R680" t="b">
        <v>0</v>
      </c>
      <c r="T680" t="s">
        <v>3748</v>
      </c>
      <c r="U680">
        <v>118</v>
      </c>
      <c r="V680" t="s">
        <v>4944</v>
      </c>
      <c r="W680">
        <v>2</v>
      </c>
      <c r="X680" t="s">
        <v>3990</v>
      </c>
      <c r="Y680" t="s">
        <v>3986</v>
      </c>
      <c r="Z680">
        <v>0</v>
      </c>
      <c r="AA680" t="s">
        <v>2493</v>
      </c>
      <c r="AB680" t="s">
        <v>4037</v>
      </c>
      <c r="AC680" t="s">
        <v>3504</v>
      </c>
      <c r="AD680" t="s">
        <v>3986</v>
      </c>
    </row>
    <row r="681" spans="1:30" x14ac:dyDescent="0.25">
      <c r="A681" t="s">
        <v>3467</v>
      </c>
      <c r="B681">
        <v>10</v>
      </c>
      <c r="C681" t="s">
        <v>3306</v>
      </c>
      <c r="D681" t="b">
        <v>1</v>
      </c>
      <c r="E681" t="b">
        <v>0</v>
      </c>
      <c r="F681" t="s">
        <v>3307</v>
      </c>
      <c r="G681" t="s">
        <v>3986</v>
      </c>
      <c r="H681" t="s">
        <v>3986</v>
      </c>
      <c r="I681" t="s">
        <v>3986</v>
      </c>
      <c r="J681" t="s">
        <v>3986</v>
      </c>
      <c r="K681" t="s">
        <v>3641</v>
      </c>
      <c r="L681" t="s">
        <v>3642</v>
      </c>
      <c r="M681" t="s">
        <v>560</v>
      </c>
      <c r="N681">
        <v>18</v>
      </c>
      <c r="O681" t="b">
        <v>0</v>
      </c>
      <c r="P681" t="b">
        <v>1</v>
      </c>
      <c r="Q681" t="b">
        <v>0</v>
      </c>
      <c r="R681" t="b">
        <v>0</v>
      </c>
      <c r="T681" t="s">
        <v>3748</v>
      </c>
      <c r="U681">
        <v>125</v>
      </c>
      <c r="V681" t="s">
        <v>4062</v>
      </c>
      <c r="W681">
        <v>2</v>
      </c>
      <c r="X681" t="s">
        <v>3990</v>
      </c>
      <c r="Y681" t="s">
        <v>3986</v>
      </c>
      <c r="Z681">
        <v>0</v>
      </c>
      <c r="AA681" t="s">
        <v>2493</v>
      </c>
      <c r="AB681" t="s">
        <v>4037</v>
      </c>
      <c r="AC681" t="s">
        <v>3504</v>
      </c>
      <c r="AD681" t="s">
        <v>3986</v>
      </c>
    </row>
    <row r="682" spans="1:30" x14ac:dyDescent="0.25">
      <c r="A682" t="s">
        <v>3643</v>
      </c>
      <c r="B682">
        <v>11</v>
      </c>
      <c r="C682" t="s">
        <v>3306</v>
      </c>
      <c r="D682" t="b">
        <v>1</v>
      </c>
      <c r="E682" t="b">
        <v>0</v>
      </c>
      <c r="F682" t="s">
        <v>3986</v>
      </c>
      <c r="G682" t="s">
        <v>3986</v>
      </c>
      <c r="H682" t="s">
        <v>3644</v>
      </c>
      <c r="I682" t="s">
        <v>3986</v>
      </c>
      <c r="J682" t="s">
        <v>3986</v>
      </c>
      <c r="K682" t="s">
        <v>3641</v>
      </c>
      <c r="L682" t="s">
        <v>3642</v>
      </c>
      <c r="M682" t="s">
        <v>560</v>
      </c>
      <c r="N682">
        <v>18</v>
      </c>
      <c r="O682" t="b">
        <v>0</v>
      </c>
      <c r="P682" t="b">
        <v>1</v>
      </c>
      <c r="Q682" t="b">
        <v>0</v>
      </c>
      <c r="R682" t="b">
        <v>0</v>
      </c>
      <c r="T682" t="s">
        <v>3748</v>
      </c>
      <c r="U682">
        <v>144</v>
      </c>
      <c r="V682" t="s">
        <v>4075</v>
      </c>
      <c r="W682">
        <v>2</v>
      </c>
      <c r="X682" t="s">
        <v>3990</v>
      </c>
      <c r="Y682" t="s">
        <v>3986</v>
      </c>
      <c r="Z682">
        <v>0</v>
      </c>
      <c r="AA682" t="s">
        <v>2493</v>
      </c>
      <c r="AB682" t="s">
        <v>4037</v>
      </c>
      <c r="AC682" t="s">
        <v>3504</v>
      </c>
      <c r="AD682" t="s">
        <v>3986</v>
      </c>
    </row>
    <row r="683" spans="1:30" x14ac:dyDescent="0.25">
      <c r="A683" t="s">
        <v>3645</v>
      </c>
      <c r="B683">
        <v>12</v>
      </c>
      <c r="C683" t="s">
        <v>3310</v>
      </c>
      <c r="D683" t="b">
        <v>1</v>
      </c>
      <c r="E683" t="b">
        <v>0</v>
      </c>
      <c r="F683" t="s">
        <v>3986</v>
      </c>
      <c r="G683" t="s">
        <v>3986</v>
      </c>
      <c r="H683" t="s">
        <v>3986</v>
      </c>
      <c r="I683" t="s">
        <v>3369</v>
      </c>
      <c r="J683" t="s">
        <v>3986</v>
      </c>
      <c r="K683" t="s">
        <v>3641</v>
      </c>
      <c r="L683" t="s">
        <v>3642</v>
      </c>
      <c r="M683" t="s">
        <v>560</v>
      </c>
      <c r="N683">
        <v>18</v>
      </c>
      <c r="O683" t="b">
        <v>0</v>
      </c>
      <c r="P683" t="b">
        <v>1</v>
      </c>
      <c r="Q683" t="b">
        <v>0</v>
      </c>
      <c r="R683" t="b">
        <v>0</v>
      </c>
      <c r="T683" t="s">
        <v>3748</v>
      </c>
      <c r="U683">
        <v>163</v>
      </c>
      <c r="V683" t="s">
        <v>4945</v>
      </c>
      <c r="W683">
        <v>2</v>
      </c>
      <c r="X683" t="s">
        <v>3990</v>
      </c>
      <c r="Y683" t="s">
        <v>3986</v>
      </c>
      <c r="Z683">
        <v>0</v>
      </c>
      <c r="AA683" t="s">
        <v>2493</v>
      </c>
      <c r="AB683" t="s">
        <v>4037</v>
      </c>
      <c r="AC683" t="s">
        <v>3504</v>
      </c>
      <c r="AD683" t="s">
        <v>3986</v>
      </c>
    </row>
    <row r="684" spans="1:30" x14ac:dyDescent="0.25">
      <c r="A684" t="s">
        <v>3646</v>
      </c>
      <c r="B684">
        <v>13</v>
      </c>
      <c r="C684" t="s">
        <v>3310</v>
      </c>
      <c r="D684" t="b">
        <v>1</v>
      </c>
      <c r="E684" t="b">
        <v>0</v>
      </c>
      <c r="F684" t="s">
        <v>3986</v>
      </c>
      <c r="G684" t="s">
        <v>3986</v>
      </c>
      <c r="H684" t="s">
        <v>3986</v>
      </c>
      <c r="I684" t="s">
        <v>3369</v>
      </c>
      <c r="J684" t="s">
        <v>3986</v>
      </c>
      <c r="K684" t="s">
        <v>3641</v>
      </c>
      <c r="L684" t="s">
        <v>3642</v>
      </c>
      <c r="M684" t="s">
        <v>560</v>
      </c>
      <c r="N684">
        <v>18</v>
      </c>
      <c r="O684" t="b">
        <v>0</v>
      </c>
      <c r="P684" t="b">
        <v>1</v>
      </c>
      <c r="Q684" t="b">
        <v>0</v>
      </c>
      <c r="R684" t="b">
        <v>0</v>
      </c>
      <c r="T684" t="s">
        <v>3748</v>
      </c>
      <c r="U684">
        <v>175</v>
      </c>
      <c r="V684" t="s">
        <v>4946</v>
      </c>
      <c r="W684">
        <v>2</v>
      </c>
      <c r="X684" t="s">
        <v>3990</v>
      </c>
      <c r="Y684" t="s">
        <v>3986</v>
      </c>
      <c r="Z684">
        <v>0</v>
      </c>
      <c r="AA684" t="s">
        <v>2493</v>
      </c>
      <c r="AB684" t="s">
        <v>4037</v>
      </c>
      <c r="AC684" t="s">
        <v>3504</v>
      </c>
      <c r="AD684" t="s">
        <v>3986</v>
      </c>
    </row>
    <row r="685" spans="1:30" x14ac:dyDescent="0.25">
      <c r="A685" t="s">
        <v>3647</v>
      </c>
      <c r="B685">
        <v>14</v>
      </c>
      <c r="C685" t="s">
        <v>3310</v>
      </c>
      <c r="D685" t="b">
        <v>0</v>
      </c>
      <c r="E685" t="b">
        <v>0</v>
      </c>
      <c r="F685" t="s">
        <v>3986</v>
      </c>
      <c r="G685" t="s">
        <v>3986</v>
      </c>
      <c r="H685" t="s">
        <v>3986</v>
      </c>
      <c r="I685" t="s">
        <v>3986</v>
      </c>
      <c r="J685" t="s">
        <v>3412</v>
      </c>
      <c r="K685" t="s">
        <v>3641</v>
      </c>
      <c r="L685" t="s">
        <v>3642</v>
      </c>
      <c r="M685" t="s">
        <v>560</v>
      </c>
      <c r="N685">
        <v>18</v>
      </c>
      <c r="O685" t="b">
        <v>0</v>
      </c>
      <c r="P685" t="b">
        <v>1</v>
      </c>
      <c r="Q685" t="b">
        <v>0</v>
      </c>
      <c r="R685" t="b">
        <v>0</v>
      </c>
      <c r="T685" t="s">
        <v>3748</v>
      </c>
      <c r="U685">
        <v>190</v>
      </c>
      <c r="V685" t="s">
        <v>4092</v>
      </c>
      <c r="W685">
        <v>2</v>
      </c>
      <c r="X685" t="s">
        <v>3990</v>
      </c>
      <c r="Y685" t="s">
        <v>3986</v>
      </c>
      <c r="Z685">
        <v>0</v>
      </c>
      <c r="AA685" t="s">
        <v>2493</v>
      </c>
      <c r="AB685" t="s">
        <v>4037</v>
      </c>
      <c r="AC685" t="s">
        <v>3504</v>
      </c>
      <c r="AD685" t="s">
        <v>3986</v>
      </c>
    </row>
    <row r="686" spans="1:30" x14ac:dyDescent="0.25">
      <c r="A686" t="s">
        <v>3648</v>
      </c>
      <c r="B686">
        <v>15</v>
      </c>
      <c r="C686" t="s">
        <v>3310</v>
      </c>
      <c r="D686" t="b">
        <v>0</v>
      </c>
      <c r="E686" t="b">
        <v>0</v>
      </c>
      <c r="F686" t="s">
        <v>3986</v>
      </c>
      <c r="G686" t="s">
        <v>3986</v>
      </c>
      <c r="H686" t="s">
        <v>3986</v>
      </c>
      <c r="I686" t="s">
        <v>3986</v>
      </c>
      <c r="J686" t="s">
        <v>3412</v>
      </c>
      <c r="K686" t="s">
        <v>3641</v>
      </c>
      <c r="L686" t="s">
        <v>3642</v>
      </c>
      <c r="M686" t="s">
        <v>560</v>
      </c>
      <c r="N686">
        <v>18</v>
      </c>
      <c r="O686" t="b">
        <v>0</v>
      </c>
      <c r="P686" t="b">
        <v>1</v>
      </c>
      <c r="Q686" t="b">
        <v>0</v>
      </c>
      <c r="R686" t="b">
        <v>0</v>
      </c>
      <c r="T686" t="s">
        <v>3748</v>
      </c>
      <c r="U686">
        <v>205</v>
      </c>
      <c r="V686" t="s">
        <v>4102</v>
      </c>
      <c r="W686">
        <v>2</v>
      </c>
      <c r="X686" t="s">
        <v>3990</v>
      </c>
      <c r="Y686" t="s">
        <v>3986</v>
      </c>
      <c r="Z686">
        <v>0</v>
      </c>
      <c r="AA686" t="s">
        <v>2493</v>
      </c>
      <c r="AB686" t="s">
        <v>4037</v>
      </c>
      <c r="AC686" t="s">
        <v>3504</v>
      </c>
      <c r="AD686" t="s">
        <v>3986</v>
      </c>
    </row>
    <row r="687" spans="1:30" x14ac:dyDescent="0.25">
      <c r="A687" t="s">
        <v>3649</v>
      </c>
      <c r="B687">
        <v>16</v>
      </c>
      <c r="C687" t="s">
        <v>3310</v>
      </c>
      <c r="D687" t="b">
        <v>0</v>
      </c>
      <c r="E687" t="b">
        <v>0</v>
      </c>
      <c r="F687" t="s">
        <v>3986</v>
      </c>
      <c r="G687" t="s">
        <v>3986</v>
      </c>
      <c r="H687" t="s">
        <v>3986</v>
      </c>
      <c r="I687" t="s">
        <v>3986</v>
      </c>
      <c r="J687" t="s">
        <v>3412</v>
      </c>
      <c r="K687" t="s">
        <v>3641</v>
      </c>
      <c r="L687" t="s">
        <v>3642</v>
      </c>
      <c r="M687" t="s">
        <v>560</v>
      </c>
      <c r="N687">
        <v>18</v>
      </c>
      <c r="O687" t="b">
        <v>0</v>
      </c>
      <c r="P687" t="b">
        <v>1</v>
      </c>
      <c r="Q687" t="b">
        <v>0</v>
      </c>
      <c r="R687" t="b">
        <v>0</v>
      </c>
      <c r="T687" t="s">
        <v>3748</v>
      </c>
      <c r="U687">
        <v>213</v>
      </c>
      <c r="V687" t="s">
        <v>4087</v>
      </c>
      <c r="W687">
        <v>2</v>
      </c>
      <c r="X687" t="s">
        <v>3990</v>
      </c>
      <c r="Y687" t="s">
        <v>3986</v>
      </c>
      <c r="Z687">
        <v>0</v>
      </c>
      <c r="AA687" t="s">
        <v>2493</v>
      </c>
      <c r="AB687" t="s">
        <v>4037</v>
      </c>
      <c r="AC687" t="s">
        <v>3504</v>
      </c>
      <c r="AD687" t="s">
        <v>3986</v>
      </c>
    </row>
    <row r="688" spans="1:30" x14ac:dyDescent="0.25">
      <c r="A688" t="s">
        <v>3650</v>
      </c>
      <c r="B688">
        <v>17</v>
      </c>
      <c r="C688" t="s">
        <v>3310</v>
      </c>
      <c r="D688" t="b">
        <v>0</v>
      </c>
      <c r="E688" t="b">
        <v>0</v>
      </c>
      <c r="F688" t="s">
        <v>3986</v>
      </c>
      <c r="G688" t="s">
        <v>3986</v>
      </c>
      <c r="H688" t="s">
        <v>3986</v>
      </c>
      <c r="I688" t="s">
        <v>3986</v>
      </c>
      <c r="J688" t="s">
        <v>3412</v>
      </c>
      <c r="K688" t="s">
        <v>3641</v>
      </c>
      <c r="L688" t="s">
        <v>3642</v>
      </c>
      <c r="M688" t="s">
        <v>560</v>
      </c>
      <c r="N688">
        <v>18</v>
      </c>
      <c r="O688" t="b">
        <v>0</v>
      </c>
      <c r="P688" t="b">
        <v>1</v>
      </c>
      <c r="Q688" t="b">
        <v>0</v>
      </c>
      <c r="R688" t="b">
        <v>0</v>
      </c>
      <c r="T688" t="s">
        <v>3748</v>
      </c>
      <c r="U688">
        <v>227</v>
      </c>
      <c r="V688" t="s">
        <v>4947</v>
      </c>
      <c r="W688">
        <v>2</v>
      </c>
      <c r="X688" t="s">
        <v>3990</v>
      </c>
      <c r="Y688" t="s">
        <v>3986</v>
      </c>
      <c r="Z688">
        <v>0</v>
      </c>
      <c r="AA688" t="s">
        <v>2493</v>
      </c>
      <c r="AB688" t="s">
        <v>4037</v>
      </c>
      <c r="AC688" t="s">
        <v>3504</v>
      </c>
      <c r="AD688" t="s">
        <v>3986</v>
      </c>
    </row>
    <row r="689" spans="1:30" x14ac:dyDescent="0.25">
      <c r="A689" t="s">
        <v>3651</v>
      </c>
      <c r="B689">
        <v>18</v>
      </c>
      <c r="C689" t="s">
        <v>3310</v>
      </c>
      <c r="D689" t="b">
        <v>0</v>
      </c>
      <c r="E689" t="b">
        <v>0</v>
      </c>
      <c r="F689" t="s">
        <v>3986</v>
      </c>
      <c r="G689" t="s">
        <v>3986</v>
      </c>
      <c r="H689" t="s">
        <v>3986</v>
      </c>
      <c r="I689" t="s">
        <v>3986</v>
      </c>
      <c r="J689" t="s">
        <v>3412</v>
      </c>
      <c r="K689" t="s">
        <v>3641</v>
      </c>
      <c r="L689" t="s">
        <v>3642</v>
      </c>
      <c r="M689" t="s">
        <v>560</v>
      </c>
      <c r="N689">
        <v>18</v>
      </c>
      <c r="O689" t="b">
        <v>0</v>
      </c>
      <c r="P689" t="b">
        <v>1</v>
      </c>
      <c r="Q689" t="b">
        <v>0</v>
      </c>
      <c r="R689" t="b">
        <v>0</v>
      </c>
      <c r="T689" t="s">
        <v>3748</v>
      </c>
      <c r="U689">
        <v>5</v>
      </c>
      <c r="V689" t="s">
        <v>3991</v>
      </c>
      <c r="W689">
        <v>2</v>
      </c>
      <c r="X689" t="s">
        <v>3990</v>
      </c>
      <c r="Y689" t="s">
        <v>3986</v>
      </c>
      <c r="Z689">
        <v>0</v>
      </c>
      <c r="AA689" t="s">
        <v>2493</v>
      </c>
      <c r="AB689" t="s">
        <v>4037</v>
      </c>
      <c r="AC689" t="s">
        <v>3505</v>
      </c>
      <c r="AD689" t="s">
        <v>3986</v>
      </c>
    </row>
    <row r="690" spans="1:30" x14ac:dyDescent="0.25">
      <c r="A690" t="s">
        <v>3652</v>
      </c>
      <c r="B690">
        <v>19</v>
      </c>
      <c r="C690" t="s">
        <v>3310</v>
      </c>
      <c r="D690" t="b">
        <v>0</v>
      </c>
      <c r="E690" t="b">
        <v>0</v>
      </c>
      <c r="F690" t="s">
        <v>3986</v>
      </c>
      <c r="G690" t="s">
        <v>3986</v>
      </c>
      <c r="H690" t="s">
        <v>3986</v>
      </c>
      <c r="I690" t="s">
        <v>3986</v>
      </c>
      <c r="J690" t="s">
        <v>3412</v>
      </c>
      <c r="K690" t="s">
        <v>3641</v>
      </c>
      <c r="L690" t="s">
        <v>3642</v>
      </c>
      <c r="M690" t="s">
        <v>560</v>
      </c>
      <c r="N690">
        <v>18</v>
      </c>
      <c r="O690" t="b">
        <v>0</v>
      </c>
      <c r="P690" t="b">
        <v>1</v>
      </c>
      <c r="Q690" t="b">
        <v>0</v>
      </c>
      <c r="R690" t="b">
        <v>0</v>
      </c>
      <c r="T690" t="s">
        <v>3748</v>
      </c>
      <c r="U690">
        <v>5</v>
      </c>
      <c r="V690" t="s">
        <v>3991</v>
      </c>
      <c r="W690">
        <v>6</v>
      </c>
      <c r="X690" t="s">
        <v>3992</v>
      </c>
      <c r="Y690" t="s">
        <v>3986</v>
      </c>
      <c r="Z690">
        <v>0</v>
      </c>
      <c r="AA690" t="s">
        <v>2493</v>
      </c>
      <c r="AB690" t="s">
        <v>4037</v>
      </c>
      <c r="AC690" t="s">
        <v>3505</v>
      </c>
      <c r="AD690" t="s">
        <v>3986</v>
      </c>
    </row>
    <row r="691" spans="1:30" x14ac:dyDescent="0.25">
      <c r="A691" t="s">
        <v>3653</v>
      </c>
      <c r="B691">
        <v>20</v>
      </c>
      <c r="C691" t="s">
        <v>3310</v>
      </c>
      <c r="D691" t="b">
        <v>0</v>
      </c>
      <c r="E691" t="b">
        <v>0</v>
      </c>
      <c r="F691" t="s">
        <v>3986</v>
      </c>
      <c r="G691" t="s">
        <v>3986</v>
      </c>
      <c r="H691" t="s">
        <v>3986</v>
      </c>
      <c r="I691" t="s">
        <v>3986</v>
      </c>
      <c r="J691" t="s">
        <v>3412</v>
      </c>
      <c r="K691" t="s">
        <v>3641</v>
      </c>
      <c r="L691" t="s">
        <v>3642</v>
      </c>
      <c r="M691" t="s">
        <v>560</v>
      </c>
      <c r="N691">
        <v>18</v>
      </c>
      <c r="O691" t="b">
        <v>0</v>
      </c>
      <c r="P691" t="b">
        <v>1</v>
      </c>
      <c r="Q691" t="b">
        <v>0</v>
      </c>
      <c r="R691" t="b">
        <v>0</v>
      </c>
      <c r="T691" t="s">
        <v>3748</v>
      </c>
      <c r="U691">
        <v>1</v>
      </c>
      <c r="V691" t="s">
        <v>3987</v>
      </c>
      <c r="W691">
        <v>2</v>
      </c>
      <c r="X691" t="s">
        <v>3988</v>
      </c>
      <c r="Y691" t="s">
        <v>3986</v>
      </c>
      <c r="Z691">
        <v>0</v>
      </c>
      <c r="AA691" t="s">
        <v>2493</v>
      </c>
      <c r="AB691" t="s">
        <v>4037</v>
      </c>
      <c r="AC691" t="s">
        <v>3506</v>
      </c>
      <c r="AD691" t="s">
        <v>3986</v>
      </c>
    </row>
    <row r="692" spans="1:30" x14ac:dyDescent="0.25">
      <c r="A692" t="s">
        <v>3654</v>
      </c>
      <c r="B692">
        <v>21</v>
      </c>
      <c r="C692" t="s">
        <v>3310</v>
      </c>
      <c r="D692" t="b">
        <v>0</v>
      </c>
      <c r="E692" t="b">
        <v>0</v>
      </c>
      <c r="F692" t="s">
        <v>3986</v>
      </c>
      <c r="G692" t="s">
        <v>3986</v>
      </c>
      <c r="H692" t="s">
        <v>3986</v>
      </c>
      <c r="I692" t="s">
        <v>3986</v>
      </c>
      <c r="J692" t="s">
        <v>3412</v>
      </c>
      <c r="K692" t="s">
        <v>3641</v>
      </c>
      <c r="L692" t="s">
        <v>3642</v>
      </c>
      <c r="M692" t="s">
        <v>560</v>
      </c>
      <c r="N692">
        <v>18</v>
      </c>
      <c r="O692" t="b">
        <v>0</v>
      </c>
      <c r="P692" t="b">
        <v>1</v>
      </c>
      <c r="Q692" t="b">
        <v>0</v>
      </c>
      <c r="R692" t="b">
        <v>0</v>
      </c>
      <c r="T692" t="s">
        <v>3748</v>
      </c>
      <c r="U692">
        <v>18</v>
      </c>
      <c r="V692" t="s">
        <v>4004</v>
      </c>
      <c r="W692">
        <v>2</v>
      </c>
      <c r="X692" t="s">
        <v>3988</v>
      </c>
      <c r="Y692" t="s">
        <v>3986</v>
      </c>
      <c r="Z692">
        <v>0</v>
      </c>
      <c r="AA692" t="s">
        <v>2493</v>
      </c>
      <c r="AB692" t="s">
        <v>4037</v>
      </c>
      <c r="AC692" t="s">
        <v>3507</v>
      </c>
      <c r="AD692" t="s">
        <v>3986</v>
      </c>
    </row>
    <row r="693" spans="1:30" x14ac:dyDescent="0.25">
      <c r="A693" t="s">
        <v>3655</v>
      </c>
      <c r="B693">
        <v>22</v>
      </c>
      <c r="C693" t="s">
        <v>3310</v>
      </c>
      <c r="D693" t="b">
        <v>0</v>
      </c>
      <c r="E693" t="b">
        <v>0</v>
      </c>
      <c r="F693" t="s">
        <v>3986</v>
      </c>
      <c r="G693" t="s">
        <v>3986</v>
      </c>
      <c r="H693" t="s">
        <v>3986</v>
      </c>
      <c r="I693" t="s">
        <v>3986</v>
      </c>
      <c r="J693" t="s">
        <v>3412</v>
      </c>
      <c r="K693" t="s">
        <v>3641</v>
      </c>
      <c r="L693" t="s">
        <v>3642</v>
      </c>
      <c r="M693" t="s">
        <v>560</v>
      </c>
      <c r="N693">
        <v>18</v>
      </c>
      <c r="O693" t="b">
        <v>0</v>
      </c>
      <c r="P693" t="b">
        <v>1</v>
      </c>
      <c r="Q693" t="b">
        <v>0</v>
      </c>
      <c r="R693" t="b">
        <v>0</v>
      </c>
      <c r="T693" t="s">
        <v>3748</v>
      </c>
      <c r="U693">
        <v>19</v>
      </c>
      <c r="V693" t="s">
        <v>4005</v>
      </c>
      <c r="W693">
        <v>2</v>
      </c>
      <c r="X693" t="s">
        <v>3988</v>
      </c>
      <c r="Y693" t="s">
        <v>3986</v>
      </c>
      <c r="Z693">
        <v>0</v>
      </c>
      <c r="AA693" t="s">
        <v>2493</v>
      </c>
      <c r="AB693" t="s">
        <v>4037</v>
      </c>
      <c r="AC693" t="s">
        <v>3507</v>
      </c>
      <c r="AD693" t="s">
        <v>3986</v>
      </c>
    </row>
    <row r="694" spans="1:30" x14ac:dyDescent="0.25">
      <c r="A694" t="s">
        <v>3656</v>
      </c>
      <c r="B694">
        <v>23</v>
      </c>
      <c r="C694" t="s">
        <v>3310</v>
      </c>
      <c r="D694" t="b">
        <v>0</v>
      </c>
      <c r="E694" t="b">
        <v>0</v>
      </c>
      <c r="F694" t="s">
        <v>3986</v>
      </c>
      <c r="G694" t="s">
        <v>3986</v>
      </c>
      <c r="H694" t="s">
        <v>3986</v>
      </c>
      <c r="I694" t="s">
        <v>3986</v>
      </c>
      <c r="J694" t="s">
        <v>3412</v>
      </c>
      <c r="K694" t="s">
        <v>3641</v>
      </c>
      <c r="L694" t="s">
        <v>3642</v>
      </c>
      <c r="M694" t="s">
        <v>560</v>
      </c>
      <c r="N694">
        <v>18</v>
      </c>
      <c r="O694" t="b">
        <v>0</v>
      </c>
      <c r="P694" t="b">
        <v>1</v>
      </c>
      <c r="Q694" t="b">
        <v>0</v>
      </c>
      <c r="R694" t="b">
        <v>0</v>
      </c>
      <c r="T694" t="s">
        <v>3748</v>
      </c>
      <c r="U694">
        <v>22</v>
      </c>
      <c r="V694" t="s">
        <v>4008</v>
      </c>
      <c r="W694">
        <v>2</v>
      </c>
      <c r="X694" t="s">
        <v>3988</v>
      </c>
      <c r="Y694" t="s">
        <v>3986</v>
      </c>
      <c r="Z694">
        <v>0</v>
      </c>
      <c r="AA694" t="s">
        <v>2493</v>
      </c>
      <c r="AB694" t="s">
        <v>4037</v>
      </c>
      <c r="AC694" t="s">
        <v>3507</v>
      </c>
      <c r="AD694" t="s">
        <v>3986</v>
      </c>
    </row>
    <row r="695" spans="1:30" x14ac:dyDescent="0.25">
      <c r="A695" t="s">
        <v>3657</v>
      </c>
      <c r="B695">
        <v>24</v>
      </c>
      <c r="C695" t="s">
        <v>3310</v>
      </c>
      <c r="D695" t="b">
        <v>0</v>
      </c>
      <c r="E695" t="b">
        <v>0</v>
      </c>
      <c r="F695" t="s">
        <v>3986</v>
      </c>
      <c r="G695" t="s">
        <v>3986</v>
      </c>
      <c r="H695" t="s">
        <v>3986</v>
      </c>
      <c r="I695" t="s">
        <v>3986</v>
      </c>
      <c r="J695" t="s">
        <v>3412</v>
      </c>
      <c r="K695" t="s">
        <v>3641</v>
      </c>
      <c r="L695" t="s">
        <v>3642</v>
      </c>
      <c r="M695" t="s">
        <v>560</v>
      </c>
      <c r="N695">
        <v>18</v>
      </c>
      <c r="O695" t="b">
        <v>0</v>
      </c>
      <c r="P695" t="b">
        <v>1</v>
      </c>
      <c r="Q695" t="b">
        <v>0</v>
      </c>
      <c r="R695" t="b">
        <v>0</v>
      </c>
      <c r="T695" t="s">
        <v>3748</v>
      </c>
      <c r="U695">
        <v>25</v>
      </c>
      <c r="V695" t="s">
        <v>4011</v>
      </c>
      <c r="W695">
        <v>2</v>
      </c>
      <c r="X695" t="s">
        <v>3988</v>
      </c>
      <c r="Y695" t="s">
        <v>3986</v>
      </c>
      <c r="Z695">
        <v>0</v>
      </c>
      <c r="AA695" t="s">
        <v>2493</v>
      </c>
      <c r="AB695" t="s">
        <v>4037</v>
      </c>
      <c r="AC695" t="s">
        <v>3507</v>
      </c>
      <c r="AD695" t="s">
        <v>3986</v>
      </c>
    </row>
    <row r="696" spans="1:30" x14ac:dyDescent="0.25">
      <c r="A696" t="s">
        <v>3467</v>
      </c>
      <c r="B696">
        <v>10</v>
      </c>
      <c r="C696" t="s">
        <v>3306</v>
      </c>
      <c r="D696" t="b">
        <v>1</v>
      </c>
      <c r="E696" t="b">
        <v>0</v>
      </c>
      <c r="F696" t="s">
        <v>3307</v>
      </c>
      <c r="G696" t="s">
        <v>3986</v>
      </c>
      <c r="H696" t="s">
        <v>3986</v>
      </c>
      <c r="I696" t="s">
        <v>3986</v>
      </c>
      <c r="J696" t="s">
        <v>3986</v>
      </c>
      <c r="K696" t="s">
        <v>3658</v>
      </c>
      <c r="L696" t="s">
        <v>3642</v>
      </c>
      <c r="M696" t="s">
        <v>560</v>
      </c>
      <c r="N696">
        <v>18</v>
      </c>
      <c r="O696" t="b">
        <v>0</v>
      </c>
      <c r="P696" t="b">
        <v>1</v>
      </c>
      <c r="Q696" t="b">
        <v>0</v>
      </c>
      <c r="R696" t="b">
        <v>0</v>
      </c>
      <c r="T696" t="s">
        <v>3748</v>
      </c>
      <c r="U696">
        <v>28</v>
      </c>
      <c r="V696" t="s">
        <v>4014</v>
      </c>
      <c r="W696">
        <v>2</v>
      </c>
      <c r="X696" t="s">
        <v>3988</v>
      </c>
      <c r="Y696" t="s">
        <v>3986</v>
      </c>
      <c r="Z696">
        <v>0</v>
      </c>
      <c r="AA696" t="s">
        <v>2493</v>
      </c>
      <c r="AB696" t="s">
        <v>4037</v>
      </c>
      <c r="AC696" t="s">
        <v>3507</v>
      </c>
      <c r="AD696" t="s">
        <v>3986</v>
      </c>
    </row>
    <row r="697" spans="1:30" x14ac:dyDescent="0.25">
      <c r="A697" t="s">
        <v>3643</v>
      </c>
      <c r="B697">
        <v>11</v>
      </c>
      <c r="C697" t="s">
        <v>3306</v>
      </c>
      <c r="D697" t="b">
        <v>1</v>
      </c>
      <c r="E697" t="b">
        <v>0</v>
      </c>
      <c r="F697" t="s">
        <v>3986</v>
      </c>
      <c r="G697" t="s">
        <v>3986</v>
      </c>
      <c r="H697" t="s">
        <v>3659</v>
      </c>
      <c r="I697" t="s">
        <v>3986</v>
      </c>
      <c r="J697" t="s">
        <v>3986</v>
      </c>
      <c r="K697" t="s">
        <v>3658</v>
      </c>
      <c r="L697" t="s">
        <v>3642</v>
      </c>
      <c r="M697" t="s">
        <v>560</v>
      </c>
      <c r="N697">
        <v>18</v>
      </c>
      <c r="O697" t="b">
        <v>0</v>
      </c>
      <c r="P697" t="b">
        <v>1</v>
      </c>
      <c r="Q697" t="b">
        <v>0</v>
      </c>
      <c r="R697" t="b">
        <v>0</v>
      </c>
      <c r="T697" t="s">
        <v>3748</v>
      </c>
      <c r="U697">
        <v>29</v>
      </c>
      <c r="V697" t="s">
        <v>4015</v>
      </c>
      <c r="W697">
        <v>2</v>
      </c>
      <c r="X697" t="s">
        <v>3988</v>
      </c>
      <c r="Y697" t="s">
        <v>3986</v>
      </c>
      <c r="Z697">
        <v>0</v>
      </c>
      <c r="AA697" t="s">
        <v>2493</v>
      </c>
      <c r="AB697" t="s">
        <v>4037</v>
      </c>
      <c r="AC697" t="s">
        <v>3507</v>
      </c>
      <c r="AD697" t="s">
        <v>3986</v>
      </c>
    </row>
    <row r="698" spans="1:30" x14ac:dyDescent="0.25">
      <c r="A698" t="s">
        <v>3645</v>
      </c>
      <c r="B698">
        <v>12</v>
      </c>
      <c r="C698" t="s">
        <v>3310</v>
      </c>
      <c r="D698" t="b">
        <v>0</v>
      </c>
      <c r="E698" t="b">
        <v>0</v>
      </c>
      <c r="F698" t="s">
        <v>3986</v>
      </c>
      <c r="G698" t="s">
        <v>3986</v>
      </c>
      <c r="H698" t="s">
        <v>3986</v>
      </c>
      <c r="I698" t="s">
        <v>3986</v>
      </c>
      <c r="J698" t="s">
        <v>3412</v>
      </c>
      <c r="K698" t="s">
        <v>3658</v>
      </c>
      <c r="L698" t="s">
        <v>3642</v>
      </c>
      <c r="M698" t="s">
        <v>560</v>
      </c>
      <c r="N698">
        <v>18</v>
      </c>
      <c r="O698" t="b">
        <v>0</v>
      </c>
      <c r="P698" t="b">
        <v>1</v>
      </c>
      <c r="Q698" t="b">
        <v>0</v>
      </c>
      <c r="R698" t="b">
        <v>0</v>
      </c>
      <c r="T698" t="s">
        <v>3748</v>
      </c>
      <c r="U698">
        <v>30</v>
      </c>
      <c r="V698" t="s">
        <v>4016</v>
      </c>
      <c r="W698">
        <v>2</v>
      </c>
      <c r="X698" t="s">
        <v>3988</v>
      </c>
      <c r="Y698" t="s">
        <v>3986</v>
      </c>
      <c r="Z698">
        <v>0</v>
      </c>
      <c r="AA698" t="s">
        <v>2493</v>
      </c>
      <c r="AB698" t="s">
        <v>4037</v>
      </c>
      <c r="AC698" t="s">
        <v>3507</v>
      </c>
      <c r="AD698" t="s">
        <v>3986</v>
      </c>
    </row>
    <row r="699" spans="1:30" x14ac:dyDescent="0.25">
      <c r="A699" t="s">
        <v>3646</v>
      </c>
      <c r="B699">
        <v>13</v>
      </c>
      <c r="C699" t="s">
        <v>3310</v>
      </c>
      <c r="D699" t="b">
        <v>0</v>
      </c>
      <c r="E699" t="b">
        <v>0</v>
      </c>
      <c r="F699" t="s">
        <v>3986</v>
      </c>
      <c r="G699" t="s">
        <v>3986</v>
      </c>
      <c r="H699" t="s">
        <v>3986</v>
      </c>
      <c r="I699" t="s">
        <v>3986</v>
      </c>
      <c r="J699" t="s">
        <v>3412</v>
      </c>
      <c r="K699" t="s">
        <v>3658</v>
      </c>
      <c r="L699" t="s">
        <v>3642</v>
      </c>
      <c r="M699" t="s">
        <v>560</v>
      </c>
      <c r="N699">
        <v>18</v>
      </c>
      <c r="O699" t="b">
        <v>0</v>
      </c>
      <c r="P699" t="b">
        <v>1</v>
      </c>
      <c r="Q699" t="b">
        <v>0</v>
      </c>
      <c r="R699" t="b">
        <v>0</v>
      </c>
      <c r="T699" t="s">
        <v>3748</v>
      </c>
      <c r="U699">
        <v>31</v>
      </c>
      <c r="V699" t="s">
        <v>4017</v>
      </c>
      <c r="W699">
        <v>2</v>
      </c>
      <c r="X699" t="s">
        <v>3988</v>
      </c>
      <c r="Y699" t="s">
        <v>3986</v>
      </c>
      <c r="Z699">
        <v>0</v>
      </c>
      <c r="AA699" t="s">
        <v>2493</v>
      </c>
      <c r="AB699" t="s">
        <v>4037</v>
      </c>
      <c r="AC699" t="s">
        <v>3507</v>
      </c>
      <c r="AD699" t="s">
        <v>3986</v>
      </c>
    </row>
    <row r="700" spans="1:30" x14ac:dyDescent="0.25">
      <c r="A700" t="s">
        <v>3647</v>
      </c>
      <c r="B700">
        <v>14</v>
      </c>
      <c r="C700" t="s">
        <v>3310</v>
      </c>
      <c r="D700" t="b">
        <v>0</v>
      </c>
      <c r="E700" t="b">
        <v>0</v>
      </c>
      <c r="F700" t="s">
        <v>3986</v>
      </c>
      <c r="G700" t="s">
        <v>3986</v>
      </c>
      <c r="H700" t="s">
        <v>3986</v>
      </c>
      <c r="I700" t="s">
        <v>4984</v>
      </c>
      <c r="J700" t="s">
        <v>3369</v>
      </c>
      <c r="K700" t="s">
        <v>3658</v>
      </c>
      <c r="L700" t="s">
        <v>3642</v>
      </c>
      <c r="M700" t="s">
        <v>560</v>
      </c>
      <c r="N700">
        <v>18</v>
      </c>
      <c r="O700" t="b">
        <v>0</v>
      </c>
      <c r="P700" t="b">
        <v>1</v>
      </c>
      <c r="Q700" t="b">
        <v>0</v>
      </c>
      <c r="R700" t="b">
        <v>0</v>
      </c>
      <c r="T700" t="s">
        <v>3748</v>
      </c>
      <c r="U700">
        <v>38</v>
      </c>
      <c r="V700" t="s">
        <v>4024</v>
      </c>
      <c r="W700">
        <v>2</v>
      </c>
      <c r="X700" t="s">
        <v>3988</v>
      </c>
      <c r="Y700" t="s">
        <v>3986</v>
      </c>
      <c r="Z700">
        <v>0</v>
      </c>
      <c r="AA700" t="s">
        <v>2493</v>
      </c>
      <c r="AB700" t="s">
        <v>4037</v>
      </c>
      <c r="AC700" t="s">
        <v>3507</v>
      </c>
      <c r="AD700" t="s">
        <v>3986</v>
      </c>
    </row>
    <row r="701" spans="1:30" x14ac:dyDescent="0.25">
      <c r="A701" t="s">
        <v>3648</v>
      </c>
      <c r="B701">
        <v>15</v>
      </c>
      <c r="C701" t="s">
        <v>3310</v>
      </c>
      <c r="D701" t="b">
        <v>0</v>
      </c>
      <c r="E701" t="b">
        <v>0</v>
      </c>
      <c r="F701" t="s">
        <v>3986</v>
      </c>
      <c r="G701" t="s">
        <v>3986</v>
      </c>
      <c r="H701" t="s">
        <v>3986</v>
      </c>
      <c r="I701" t="s">
        <v>3986</v>
      </c>
      <c r="J701" t="s">
        <v>3369</v>
      </c>
      <c r="K701" t="s">
        <v>3658</v>
      </c>
      <c r="L701" t="s">
        <v>3642</v>
      </c>
      <c r="M701" t="s">
        <v>560</v>
      </c>
      <c r="N701">
        <v>18</v>
      </c>
      <c r="O701" t="b">
        <v>0</v>
      </c>
      <c r="P701" t="b">
        <v>1</v>
      </c>
      <c r="Q701" t="b">
        <v>0</v>
      </c>
      <c r="R701" t="b">
        <v>0</v>
      </c>
      <c r="T701" t="s">
        <v>3748</v>
      </c>
      <c r="U701">
        <v>42</v>
      </c>
      <c r="V701" t="s">
        <v>4028</v>
      </c>
      <c r="W701">
        <v>2</v>
      </c>
      <c r="X701" t="s">
        <v>3988</v>
      </c>
      <c r="Y701" t="s">
        <v>3986</v>
      </c>
      <c r="Z701">
        <v>0</v>
      </c>
      <c r="AA701" t="s">
        <v>2493</v>
      </c>
      <c r="AB701" t="s">
        <v>4037</v>
      </c>
      <c r="AC701" t="s">
        <v>3507</v>
      </c>
      <c r="AD701" t="s">
        <v>3986</v>
      </c>
    </row>
    <row r="702" spans="1:30" x14ac:dyDescent="0.25">
      <c r="A702" t="s">
        <v>3649</v>
      </c>
      <c r="B702">
        <v>16</v>
      </c>
      <c r="C702" t="s">
        <v>3310</v>
      </c>
      <c r="D702" t="b">
        <v>0</v>
      </c>
      <c r="E702" t="b">
        <v>0</v>
      </c>
      <c r="F702" t="s">
        <v>3986</v>
      </c>
      <c r="G702" t="s">
        <v>3986</v>
      </c>
      <c r="H702" t="s">
        <v>3986</v>
      </c>
      <c r="I702" t="s">
        <v>3986</v>
      </c>
      <c r="J702" t="s">
        <v>3369</v>
      </c>
      <c r="K702" t="s">
        <v>3658</v>
      </c>
      <c r="L702" t="s">
        <v>3642</v>
      </c>
      <c r="M702" t="s">
        <v>560</v>
      </c>
      <c r="N702">
        <v>18</v>
      </c>
      <c r="O702" t="b">
        <v>0</v>
      </c>
      <c r="P702" t="b">
        <v>1</v>
      </c>
      <c r="Q702" t="b">
        <v>0</v>
      </c>
      <c r="R702" t="b">
        <v>0</v>
      </c>
      <c r="T702" t="s">
        <v>3748</v>
      </c>
      <c r="U702">
        <v>43</v>
      </c>
      <c r="V702" t="s">
        <v>4029</v>
      </c>
      <c r="W702">
        <v>2</v>
      </c>
      <c r="X702" t="s">
        <v>3988</v>
      </c>
      <c r="Y702" t="s">
        <v>3986</v>
      </c>
      <c r="Z702">
        <v>0</v>
      </c>
      <c r="AA702" t="s">
        <v>2493</v>
      </c>
      <c r="AB702" t="s">
        <v>4037</v>
      </c>
      <c r="AC702" t="s">
        <v>3507</v>
      </c>
      <c r="AD702" t="s">
        <v>3986</v>
      </c>
    </row>
    <row r="703" spans="1:30" x14ac:dyDescent="0.25">
      <c r="A703" t="s">
        <v>3650</v>
      </c>
      <c r="B703">
        <v>17</v>
      </c>
      <c r="C703" t="s">
        <v>3310</v>
      </c>
      <c r="D703" t="b">
        <v>0</v>
      </c>
      <c r="E703" t="b">
        <v>0</v>
      </c>
      <c r="F703" t="s">
        <v>3986</v>
      </c>
      <c r="G703" t="s">
        <v>3986</v>
      </c>
      <c r="H703" t="s">
        <v>3986</v>
      </c>
      <c r="I703" t="s">
        <v>4984</v>
      </c>
      <c r="J703" t="s">
        <v>3369</v>
      </c>
      <c r="K703" t="s">
        <v>3658</v>
      </c>
      <c r="L703" t="s">
        <v>3642</v>
      </c>
      <c r="M703" t="s">
        <v>560</v>
      </c>
      <c r="N703">
        <v>18</v>
      </c>
      <c r="O703" t="b">
        <v>0</v>
      </c>
      <c r="P703" t="b">
        <v>1</v>
      </c>
      <c r="Q703" t="b">
        <v>0</v>
      </c>
      <c r="R703" t="b">
        <v>0</v>
      </c>
      <c r="T703" t="s">
        <v>3748</v>
      </c>
      <c r="U703">
        <v>45</v>
      </c>
      <c r="V703" t="s">
        <v>4031</v>
      </c>
      <c r="W703">
        <v>2</v>
      </c>
      <c r="X703" t="s">
        <v>3988</v>
      </c>
      <c r="Y703" t="s">
        <v>3986</v>
      </c>
      <c r="Z703">
        <v>0</v>
      </c>
      <c r="AA703" t="s">
        <v>2493</v>
      </c>
      <c r="AB703" t="s">
        <v>4037</v>
      </c>
      <c r="AC703" t="s">
        <v>3507</v>
      </c>
      <c r="AD703" t="s">
        <v>3986</v>
      </c>
    </row>
    <row r="704" spans="1:30" x14ac:dyDescent="0.25">
      <c r="A704" t="s">
        <v>3651</v>
      </c>
      <c r="B704">
        <v>18</v>
      </c>
      <c r="C704" t="s">
        <v>3310</v>
      </c>
      <c r="D704" t="b">
        <v>0</v>
      </c>
      <c r="E704" t="b">
        <v>0</v>
      </c>
      <c r="F704" t="s">
        <v>3986</v>
      </c>
      <c r="G704" t="s">
        <v>3986</v>
      </c>
      <c r="H704" t="s">
        <v>3986</v>
      </c>
      <c r="I704" t="s">
        <v>3986</v>
      </c>
      <c r="J704" t="s">
        <v>3369</v>
      </c>
      <c r="K704" t="s">
        <v>3658</v>
      </c>
      <c r="L704" t="s">
        <v>3642</v>
      </c>
      <c r="M704" t="s">
        <v>560</v>
      </c>
      <c r="N704">
        <v>18</v>
      </c>
      <c r="O704" t="b">
        <v>0</v>
      </c>
      <c r="P704" t="b">
        <v>1</v>
      </c>
      <c r="Q704" t="b">
        <v>0</v>
      </c>
      <c r="R704" t="b">
        <v>0</v>
      </c>
      <c r="T704" t="s">
        <v>3748</v>
      </c>
      <c r="U704">
        <v>48</v>
      </c>
      <c r="V704" t="s">
        <v>4034</v>
      </c>
      <c r="W704">
        <v>2</v>
      </c>
      <c r="X704" t="s">
        <v>3988</v>
      </c>
      <c r="Y704" t="s">
        <v>3986</v>
      </c>
      <c r="Z704">
        <v>0</v>
      </c>
      <c r="AA704" t="s">
        <v>2493</v>
      </c>
      <c r="AB704" t="s">
        <v>4037</v>
      </c>
      <c r="AC704" t="s">
        <v>3507</v>
      </c>
      <c r="AD704" t="s">
        <v>3986</v>
      </c>
    </row>
    <row r="705" spans="1:30" x14ac:dyDescent="0.25">
      <c r="A705" t="s">
        <v>3652</v>
      </c>
      <c r="B705">
        <v>19</v>
      </c>
      <c r="C705" t="s">
        <v>3310</v>
      </c>
      <c r="D705" t="b">
        <v>0</v>
      </c>
      <c r="E705" t="b">
        <v>0</v>
      </c>
      <c r="F705" t="s">
        <v>3986</v>
      </c>
      <c r="G705" t="s">
        <v>3986</v>
      </c>
      <c r="H705" t="s">
        <v>3986</v>
      </c>
      <c r="I705" t="s">
        <v>3986</v>
      </c>
      <c r="J705" t="s">
        <v>3369</v>
      </c>
      <c r="K705" t="s">
        <v>3658</v>
      </c>
      <c r="L705" t="s">
        <v>3642</v>
      </c>
      <c r="M705" t="s">
        <v>560</v>
      </c>
      <c r="N705">
        <v>18</v>
      </c>
      <c r="O705" t="b">
        <v>0</v>
      </c>
      <c r="P705" t="b">
        <v>1</v>
      </c>
      <c r="Q705" t="b">
        <v>0</v>
      </c>
      <c r="R705" t="b">
        <v>0</v>
      </c>
      <c r="T705" t="s">
        <v>3748</v>
      </c>
      <c r="U705">
        <v>51</v>
      </c>
      <c r="V705" t="s">
        <v>4038</v>
      </c>
      <c r="W705">
        <v>2</v>
      </c>
      <c r="X705" t="s">
        <v>3988</v>
      </c>
      <c r="Y705" t="s">
        <v>3986</v>
      </c>
      <c r="Z705">
        <v>0</v>
      </c>
      <c r="AA705" t="s">
        <v>2493</v>
      </c>
      <c r="AB705" t="s">
        <v>4037</v>
      </c>
      <c r="AC705" t="s">
        <v>3507</v>
      </c>
      <c r="AD705" t="s">
        <v>3986</v>
      </c>
    </row>
    <row r="706" spans="1:30" x14ac:dyDescent="0.25">
      <c r="A706" t="s">
        <v>3653</v>
      </c>
      <c r="B706">
        <v>20</v>
      </c>
      <c r="C706" t="s">
        <v>3310</v>
      </c>
      <c r="D706" t="b">
        <v>0</v>
      </c>
      <c r="E706" t="b">
        <v>0</v>
      </c>
      <c r="F706" t="s">
        <v>3986</v>
      </c>
      <c r="G706" t="s">
        <v>3986</v>
      </c>
      <c r="H706" t="s">
        <v>3986</v>
      </c>
      <c r="I706" t="s">
        <v>3986</v>
      </c>
      <c r="J706" t="s">
        <v>3369</v>
      </c>
      <c r="K706" t="s">
        <v>3658</v>
      </c>
      <c r="L706" t="s">
        <v>3642</v>
      </c>
      <c r="M706" t="s">
        <v>560</v>
      </c>
      <c r="N706">
        <v>18</v>
      </c>
      <c r="O706" t="b">
        <v>0</v>
      </c>
      <c r="P706" t="b">
        <v>1</v>
      </c>
      <c r="Q706" t="b">
        <v>0</v>
      </c>
      <c r="R706" t="b">
        <v>0</v>
      </c>
      <c r="T706" t="s">
        <v>3748</v>
      </c>
      <c r="U706">
        <v>52</v>
      </c>
      <c r="V706" t="s">
        <v>4115</v>
      </c>
      <c r="W706">
        <v>2</v>
      </c>
      <c r="X706" t="s">
        <v>3988</v>
      </c>
      <c r="Y706" t="s">
        <v>3986</v>
      </c>
      <c r="Z706">
        <v>0</v>
      </c>
      <c r="AA706" t="s">
        <v>2493</v>
      </c>
      <c r="AB706" t="s">
        <v>4037</v>
      </c>
      <c r="AC706" t="s">
        <v>3507</v>
      </c>
      <c r="AD706" t="s">
        <v>3986</v>
      </c>
    </row>
    <row r="707" spans="1:30" x14ac:dyDescent="0.25">
      <c r="A707" t="s">
        <v>3654</v>
      </c>
      <c r="B707">
        <v>21</v>
      </c>
      <c r="C707" t="s">
        <v>3310</v>
      </c>
      <c r="D707" t="b">
        <v>0</v>
      </c>
      <c r="E707" t="b">
        <v>0</v>
      </c>
      <c r="F707" t="s">
        <v>3986</v>
      </c>
      <c r="G707" t="s">
        <v>3986</v>
      </c>
      <c r="H707" t="s">
        <v>3986</v>
      </c>
      <c r="I707" t="s">
        <v>3986</v>
      </c>
      <c r="J707" t="s">
        <v>3369</v>
      </c>
      <c r="K707" t="s">
        <v>3658</v>
      </c>
      <c r="L707" t="s">
        <v>3642</v>
      </c>
      <c r="M707" t="s">
        <v>560</v>
      </c>
      <c r="N707">
        <v>18</v>
      </c>
      <c r="O707" t="b">
        <v>0</v>
      </c>
      <c r="P707" t="b">
        <v>1</v>
      </c>
      <c r="Q707" t="b">
        <v>0</v>
      </c>
      <c r="R707" t="b">
        <v>0</v>
      </c>
      <c r="T707" t="s">
        <v>3748</v>
      </c>
      <c r="U707">
        <v>53</v>
      </c>
      <c r="V707" t="s">
        <v>4116</v>
      </c>
      <c r="W707">
        <v>2</v>
      </c>
      <c r="X707" t="s">
        <v>3988</v>
      </c>
      <c r="Y707" t="s">
        <v>3986</v>
      </c>
      <c r="Z707">
        <v>0</v>
      </c>
      <c r="AA707" t="s">
        <v>2493</v>
      </c>
      <c r="AB707" t="s">
        <v>4037</v>
      </c>
      <c r="AC707" t="s">
        <v>3507</v>
      </c>
      <c r="AD707" t="s">
        <v>3986</v>
      </c>
    </row>
    <row r="708" spans="1:30" x14ac:dyDescent="0.25">
      <c r="A708" t="s">
        <v>3655</v>
      </c>
      <c r="B708">
        <v>22</v>
      </c>
      <c r="C708" t="s">
        <v>3310</v>
      </c>
      <c r="D708" t="b">
        <v>0</v>
      </c>
      <c r="E708" t="b">
        <v>1</v>
      </c>
      <c r="F708" t="s">
        <v>3986</v>
      </c>
      <c r="G708" t="s">
        <v>3986</v>
      </c>
      <c r="H708" t="s">
        <v>3986</v>
      </c>
      <c r="I708" t="s">
        <v>3986</v>
      </c>
      <c r="J708" t="s">
        <v>3359</v>
      </c>
      <c r="K708" t="s">
        <v>3658</v>
      </c>
      <c r="L708" t="s">
        <v>3642</v>
      </c>
      <c r="M708" t="s">
        <v>560</v>
      </c>
      <c r="N708">
        <v>18</v>
      </c>
      <c r="O708" t="b">
        <v>0</v>
      </c>
      <c r="P708" t="b">
        <v>1</v>
      </c>
      <c r="Q708" t="b">
        <v>0</v>
      </c>
      <c r="R708" t="b">
        <v>0</v>
      </c>
      <c r="T708" t="s">
        <v>3748</v>
      </c>
      <c r="U708">
        <v>61</v>
      </c>
      <c r="V708" t="s">
        <v>4044</v>
      </c>
      <c r="W708">
        <v>2</v>
      </c>
      <c r="X708" t="s">
        <v>3988</v>
      </c>
      <c r="Y708" t="s">
        <v>3986</v>
      </c>
      <c r="Z708">
        <v>0</v>
      </c>
      <c r="AA708" t="s">
        <v>2493</v>
      </c>
      <c r="AB708" t="s">
        <v>4037</v>
      </c>
      <c r="AC708" t="s">
        <v>3507</v>
      </c>
      <c r="AD708" t="s">
        <v>3986</v>
      </c>
    </row>
    <row r="709" spans="1:30" x14ac:dyDescent="0.25">
      <c r="A709" t="s">
        <v>3656</v>
      </c>
      <c r="B709">
        <v>23</v>
      </c>
      <c r="C709" t="s">
        <v>3310</v>
      </c>
      <c r="D709" t="b">
        <v>0</v>
      </c>
      <c r="E709" t="b">
        <v>1</v>
      </c>
      <c r="F709" t="s">
        <v>3986</v>
      </c>
      <c r="G709" t="s">
        <v>3986</v>
      </c>
      <c r="H709" t="s">
        <v>3986</v>
      </c>
      <c r="I709" t="s">
        <v>3986</v>
      </c>
      <c r="J709" t="s">
        <v>3359</v>
      </c>
      <c r="K709" t="s">
        <v>3658</v>
      </c>
      <c r="L709" t="s">
        <v>3642</v>
      </c>
      <c r="M709" t="s">
        <v>560</v>
      </c>
      <c r="N709">
        <v>18</v>
      </c>
      <c r="O709" t="b">
        <v>0</v>
      </c>
      <c r="P709" t="b">
        <v>1</v>
      </c>
      <c r="Q709" t="b">
        <v>0</v>
      </c>
      <c r="R709" t="b">
        <v>0</v>
      </c>
      <c r="T709" t="s">
        <v>3748</v>
      </c>
      <c r="U709">
        <v>62</v>
      </c>
      <c r="V709" t="s">
        <v>4045</v>
      </c>
      <c r="W709">
        <v>2</v>
      </c>
      <c r="X709" t="s">
        <v>3988</v>
      </c>
      <c r="Y709" t="s">
        <v>3986</v>
      </c>
      <c r="Z709">
        <v>0</v>
      </c>
      <c r="AA709" t="s">
        <v>2493</v>
      </c>
      <c r="AB709" t="s">
        <v>4037</v>
      </c>
      <c r="AC709" t="s">
        <v>3507</v>
      </c>
      <c r="AD709" t="s">
        <v>3986</v>
      </c>
    </row>
    <row r="710" spans="1:30" x14ac:dyDescent="0.25">
      <c r="A710" t="s">
        <v>3657</v>
      </c>
      <c r="B710">
        <v>24</v>
      </c>
      <c r="C710" t="s">
        <v>3310</v>
      </c>
      <c r="D710" t="b">
        <v>0</v>
      </c>
      <c r="E710" t="b">
        <v>0</v>
      </c>
      <c r="F710" t="s">
        <v>3986</v>
      </c>
      <c r="G710" t="s">
        <v>3986</v>
      </c>
      <c r="H710" t="s">
        <v>3986</v>
      </c>
      <c r="I710" t="s">
        <v>3986</v>
      </c>
      <c r="J710" t="s">
        <v>3771</v>
      </c>
      <c r="K710" t="s">
        <v>3658</v>
      </c>
      <c r="L710" t="s">
        <v>3642</v>
      </c>
      <c r="M710" t="s">
        <v>560</v>
      </c>
      <c r="N710">
        <v>18</v>
      </c>
      <c r="O710" t="b">
        <v>0</v>
      </c>
      <c r="P710" t="b">
        <v>1</v>
      </c>
      <c r="Q710" t="b">
        <v>0</v>
      </c>
      <c r="R710" t="b">
        <v>0</v>
      </c>
      <c r="T710" t="s">
        <v>3748</v>
      </c>
      <c r="U710">
        <v>63</v>
      </c>
      <c r="V710" t="s">
        <v>4046</v>
      </c>
      <c r="W710">
        <v>2</v>
      </c>
      <c r="X710" t="s">
        <v>3988</v>
      </c>
      <c r="Y710" t="s">
        <v>3986</v>
      </c>
      <c r="Z710">
        <v>0</v>
      </c>
      <c r="AA710" t="s">
        <v>2493</v>
      </c>
      <c r="AB710" t="s">
        <v>4037</v>
      </c>
      <c r="AC710" t="s">
        <v>3507</v>
      </c>
      <c r="AD710" t="s">
        <v>3986</v>
      </c>
    </row>
    <row r="711" spans="1:30" x14ac:dyDescent="0.25">
      <c r="A711" t="s">
        <v>3467</v>
      </c>
      <c r="B711">
        <v>10</v>
      </c>
      <c r="C711" t="s">
        <v>3306</v>
      </c>
      <c r="D711" t="b">
        <v>1</v>
      </c>
      <c r="E711" t="b">
        <v>0</v>
      </c>
      <c r="F711" t="s">
        <v>3307</v>
      </c>
      <c r="G711" t="s">
        <v>3986</v>
      </c>
      <c r="H711" t="s">
        <v>3986</v>
      </c>
      <c r="I711" t="s">
        <v>3986</v>
      </c>
      <c r="J711" t="s">
        <v>3986</v>
      </c>
      <c r="K711" t="s">
        <v>3660</v>
      </c>
      <c r="L711" t="s">
        <v>3642</v>
      </c>
      <c r="M711" t="s">
        <v>560</v>
      </c>
      <c r="N711">
        <v>18</v>
      </c>
      <c r="O711" t="b">
        <v>0</v>
      </c>
      <c r="P711" t="b">
        <v>1</v>
      </c>
      <c r="Q711" t="b">
        <v>0</v>
      </c>
      <c r="R711" t="b">
        <v>0</v>
      </c>
      <c r="T711" t="s">
        <v>3748</v>
      </c>
      <c r="U711">
        <v>64</v>
      </c>
      <c r="V711" t="s">
        <v>4111</v>
      </c>
      <c r="W711">
        <v>2</v>
      </c>
      <c r="X711" t="s">
        <v>3988</v>
      </c>
      <c r="Y711" t="s">
        <v>3986</v>
      </c>
      <c r="Z711">
        <v>0</v>
      </c>
      <c r="AA711" t="s">
        <v>2493</v>
      </c>
      <c r="AB711" t="s">
        <v>4037</v>
      </c>
      <c r="AC711" t="s">
        <v>3507</v>
      </c>
      <c r="AD711" t="s">
        <v>3986</v>
      </c>
    </row>
    <row r="712" spans="1:30" x14ac:dyDescent="0.25">
      <c r="A712" t="s">
        <v>3643</v>
      </c>
      <c r="B712">
        <v>11</v>
      </c>
      <c r="C712" t="s">
        <v>3306</v>
      </c>
      <c r="D712" t="b">
        <v>1</v>
      </c>
      <c r="E712" t="b">
        <v>0</v>
      </c>
      <c r="F712" t="s">
        <v>3986</v>
      </c>
      <c r="G712" t="s">
        <v>3986</v>
      </c>
      <c r="H712" t="s">
        <v>3986</v>
      </c>
      <c r="I712" t="s">
        <v>3986</v>
      </c>
      <c r="J712" t="s">
        <v>3661</v>
      </c>
      <c r="K712" t="s">
        <v>3660</v>
      </c>
      <c r="L712" t="s">
        <v>3642</v>
      </c>
      <c r="M712" t="s">
        <v>560</v>
      </c>
      <c r="N712">
        <v>18</v>
      </c>
      <c r="O712" t="b">
        <v>0</v>
      </c>
      <c r="P712" t="b">
        <v>1</v>
      </c>
      <c r="Q712" t="b">
        <v>0</v>
      </c>
      <c r="R712" t="b">
        <v>0</v>
      </c>
      <c r="T712" t="s">
        <v>3748</v>
      </c>
      <c r="U712">
        <v>66</v>
      </c>
      <c r="V712" t="s">
        <v>4048</v>
      </c>
      <c r="W712">
        <v>2</v>
      </c>
      <c r="X712" t="s">
        <v>3988</v>
      </c>
      <c r="Y712" t="s">
        <v>3986</v>
      </c>
      <c r="Z712">
        <v>0</v>
      </c>
      <c r="AA712" t="s">
        <v>2493</v>
      </c>
      <c r="AB712" t="s">
        <v>4037</v>
      </c>
      <c r="AC712" t="s">
        <v>3507</v>
      </c>
      <c r="AD712" t="s">
        <v>3986</v>
      </c>
    </row>
    <row r="713" spans="1:30" x14ac:dyDescent="0.25">
      <c r="A713" t="s">
        <v>3645</v>
      </c>
      <c r="B713">
        <v>12</v>
      </c>
      <c r="C713" t="s">
        <v>3310</v>
      </c>
      <c r="D713" t="b">
        <v>0</v>
      </c>
      <c r="E713" t="b">
        <v>0</v>
      </c>
      <c r="F713" t="s">
        <v>3986</v>
      </c>
      <c r="G713" t="s">
        <v>3986</v>
      </c>
      <c r="H713" t="s">
        <v>3986</v>
      </c>
      <c r="I713" t="s">
        <v>3986</v>
      </c>
      <c r="J713" t="s">
        <v>3986</v>
      </c>
      <c r="K713" t="s">
        <v>3660</v>
      </c>
      <c r="L713" t="s">
        <v>3642</v>
      </c>
      <c r="M713" t="s">
        <v>560</v>
      </c>
      <c r="N713">
        <v>18</v>
      </c>
      <c r="O713" t="b">
        <v>0</v>
      </c>
      <c r="P713" t="b">
        <v>1</v>
      </c>
      <c r="Q713" t="b">
        <v>0</v>
      </c>
      <c r="R713" t="b">
        <v>0</v>
      </c>
      <c r="T713" t="s">
        <v>3748</v>
      </c>
      <c r="U713">
        <v>84</v>
      </c>
      <c r="V713" t="s">
        <v>4117</v>
      </c>
      <c r="W713">
        <v>2</v>
      </c>
      <c r="X713" t="s">
        <v>3988</v>
      </c>
      <c r="Y713" t="s">
        <v>3986</v>
      </c>
      <c r="Z713">
        <v>0</v>
      </c>
      <c r="AA713" t="s">
        <v>2493</v>
      </c>
      <c r="AB713" t="s">
        <v>4037</v>
      </c>
      <c r="AC713" t="s">
        <v>3507</v>
      </c>
      <c r="AD713" t="s">
        <v>3986</v>
      </c>
    </row>
    <row r="714" spans="1:30" x14ac:dyDescent="0.25">
      <c r="A714" t="s">
        <v>3646</v>
      </c>
      <c r="B714">
        <v>13</v>
      </c>
      <c r="C714" t="s">
        <v>3310</v>
      </c>
      <c r="D714" t="b">
        <v>0</v>
      </c>
      <c r="E714" t="b">
        <v>0</v>
      </c>
      <c r="F714" t="s">
        <v>3986</v>
      </c>
      <c r="G714" t="s">
        <v>3986</v>
      </c>
      <c r="H714" t="s">
        <v>3986</v>
      </c>
      <c r="I714" t="s">
        <v>3986</v>
      </c>
      <c r="J714" t="s">
        <v>3986</v>
      </c>
      <c r="K714" t="s">
        <v>3660</v>
      </c>
      <c r="L714" t="s">
        <v>3642</v>
      </c>
      <c r="M714" t="s">
        <v>560</v>
      </c>
      <c r="N714">
        <v>18</v>
      </c>
      <c r="O714" t="b">
        <v>0</v>
      </c>
      <c r="P714" t="b">
        <v>1</v>
      </c>
      <c r="Q714" t="b">
        <v>0</v>
      </c>
      <c r="R714" t="b">
        <v>0</v>
      </c>
      <c r="T714" t="s">
        <v>3748</v>
      </c>
      <c r="U714">
        <v>85</v>
      </c>
      <c r="V714" t="s">
        <v>4118</v>
      </c>
      <c r="W714">
        <v>2</v>
      </c>
      <c r="X714" t="s">
        <v>3988</v>
      </c>
      <c r="Y714" t="s">
        <v>3986</v>
      </c>
      <c r="Z714">
        <v>0</v>
      </c>
      <c r="AA714" t="s">
        <v>2493</v>
      </c>
      <c r="AB714" t="s">
        <v>4037</v>
      </c>
      <c r="AC714" t="s">
        <v>3507</v>
      </c>
      <c r="AD714" t="s">
        <v>3986</v>
      </c>
    </row>
    <row r="715" spans="1:30" x14ac:dyDescent="0.25">
      <c r="A715" t="s">
        <v>3647</v>
      </c>
      <c r="B715">
        <v>14</v>
      </c>
      <c r="C715" t="s">
        <v>3310</v>
      </c>
      <c r="D715" t="b">
        <v>0</v>
      </c>
      <c r="E715" t="b">
        <v>0</v>
      </c>
      <c r="F715" t="s">
        <v>3986</v>
      </c>
      <c r="G715" t="s">
        <v>3986</v>
      </c>
      <c r="H715" t="s">
        <v>3986</v>
      </c>
      <c r="I715" t="s">
        <v>3986</v>
      </c>
      <c r="J715" t="s">
        <v>3986</v>
      </c>
      <c r="K715" t="s">
        <v>3660</v>
      </c>
      <c r="L715" t="s">
        <v>3642</v>
      </c>
      <c r="M715" t="s">
        <v>560</v>
      </c>
      <c r="N715">
        <v>18</v>
      </c>
      <c r="O715" t="b">
        <v>0</v>
      </c>
      <c r="P715" t="b">
        <v>1</v>
      </c>
      <c r="Q715" t="b">
        <v>0</v>
      </c>
      <c r="R715" t="b">
        <v>0</v>
      </c>
      <c r="T715" t="s">
        <v>3748</v>
      </c>
      <c r="U715">
        <v>86</v>
      </c>
      <c r="V715" t="s">
        <v>4119</v>
      </c>
      <c r="W715">
        <v>2</v>
      </c>
      <c r="X715" t="s">
        <v>3988</v>
      </c>
      <c r="Y715" t="s">
        <v>3986</v>
      </c>
      <c r="Z715">
        <v>0</v>
      </c>
      <c r="AA715" t="s">
        <v>2493</v>
      </c>
      <c r="AB715" t="s">
        <v>4037</v>
      </c>
      <c r="AC715" t="s">
        <v>3507</v>
      </c>
      <c r="AD715" t="s">
        <v>3986</v>
      </c>
    </row>
    <row r="716" spans="1:30" x14ac:dyDescent="0.25">
      <c r="A716" t="s">
        <v>3648</v>
      </c>
      <c r="B716">
        <v>15</v>
      </c>
      <c r="C716" t="s">
        <v>3310</v>
      </c>
      <c r="D716" t="b">
        <v>0</v>
      </c>
      <c r="E716" t="b">
        <v>0</v>
      </c>
      <c r="F716" t="s">
        <v>3986</v>
      </c>
      <c r="G716" t="s">
        <v>3986</v>
      </c>
      <c r="H716" t="s">
        <v>3986</v>
      </c>
      <c r="I716" t="s">
        <v>3986</v>
      </c>
      <c r="J716" t="s">
        <v>3986</v>
      </c>
      <c r="K716" t="s">
        <v>3660</v>
      </c>
      <c r="L716" t="s">
        <v>3642</v>
      </c>
      <c r="M716" t="s">
        <v>560</v>
      </c>
      <c r="N716">
        <v>18</v>
      </c>
      <c r="O716" t="b">
        <v>0</v>
      </c>
      <c r="P716" t="b">
        <v>1</v>
      </c>
      <c r="Q716" t="b">
        <v>0</v>
      </c>
      <c r="R716" t="b">
        <v>0</v>
      </c>
      <c r="T716" t="s">
        <v>3748</v>
      </c>
      <c r="U716">
        <v>87</v>
      </c>
      <c r="V716" t="s">
        <v>4120</v>
      </c>
      <c r="W716">
        <v>2</v>
      </c>
      <c r="X716" t="s">
        <v>3988</v>
      </c>
      <c r="Y716" t="s">
        <v>3986</v>
      </c>
      <c r="Z716">
        <v>0</v>
      </c>
      <c r="AA716" t="s">
        <v>2493</v>
      </c>
      <c r="AB716" t="s">
        <v>4037</v>
      </c>
      <c r="AC716" t="s">
        <v>3507</v>
      </c>
      <c r="AD716" t="s">
        <v>3986</v>
      </c>
    </row>
    <row r="717" spans="1:30" x14ac:dyDescent="0.25">
      <c r="A717" t="s">
        <v>3649</v>
      </c>
      <c r="B717">
        <v>16</v>
      </c>
      <c r="C717" t="s">
        <v>3310</v>
      </c>
      <c r="D717" t="b">
        <v>0</v>
      </c>
      <c r="E717" t="b">
        <v>0</v>
      </c>
      <c r="F717" t="s">
        <v>3986</v>
      </c>
      <c r="G717" t="s">
        <v>3986</v>
      </c>
      <c r="H717" t="s">
        <v>3986</v>
      </c>
      <c r="I717" t="s">
        <v>3986</v>
      </c>
      <c r="J717" t="s">
        <v>3986</v>
      </c>
      <c r="K717" t="s">
        <v>3660</v>
      </c>
      <c r="L717" t="s">
        <v>3642</v>
      </c>
      <c r="M717" t="s">
        <v>560</v>
      </c>
      <c r="N717">
        <v>18</v>
      </c>
      <c r="O717" t="b">
        <v>0</v>
      </c>
      <c r="P717" t="b">
        <v>1</v>
      </c>
      <c r="Q717" t="b">
        <v>0</v>
      </c>
      <c r="R717" t="b">
        <v>0</v>
      </c>
      <c r="T717" t="s">
        <v>3748</v>
      </c>
      <c r="U717">
        <v>88</v>
      </c>
      <c r="V717" t="s">
        <v>4121</v>
      </c>
      <c r="W717">
        <v>2</v>
      </c>
      <c r="X717" t="s">
        <v>3988</v>
      </c>
      <c r="Y717" t="s">
        <v>3986</v>
      </c>
      <c r="Z717">
        <v>0</v>
      </c>
      <c r="AA717" t="s">
        <v>2493</v>
      </c>
      <c r="AB717" t="s">
        <v>4037</v>
      </c>
      <c r="AC717" t="s">
        <v>3507</v>
      </c>
      <c r="AD717" t="s">
        <v>3986</v>
      </c>
    </row>
    <row r="718" spans="1:30" x14ac:dyDescent="0.25">
      <c r="A718" t="s">
        <v>3650</v>
      </c>
      <c r="B718">
        <v>17</v>
      </c>
      <c r="C718" t="s">
        <v>3310</v>
      </c>
      <c r="D718" t="b">
        <v>0</v>
      </c>
      <c r="E718" t="b">
        <v>0</v>
      </c>
      <c r="F718" t="s">
        <v>3986</v>
      </c>
      <c r="G718" t="s">
        <v>3986</v>
      </c>
      <c r="H718" t="s">
        <v>3986</v>
      </c>
      <c r="I718" t="s">
        <v>3986</v>
      </c>
      <c r="J718" t="s">
        <v>3986</v>
      </c>
      <c r="K718" t="s">
        <v>3660</v>
      </c>
      <c r="L718" t="s">
        <v>3642</v>
      </c>
      <c r="M718" t="s">
        <v>560</v>
      </c>
      <c r="N718">
        <v>18</v>
      </c>
      <c r="O718" t="b">
        <v>0</v>
      </c>
      <c r="P718" t="b">
        <v>1</v>
      </c>
      <c r="Q718" t="b">
        <v>0</v>
      </c>
      <c r="R718" t="b">
        <v>0</v>
      </c>
      <c r="T718" t="s">
        <v>3748</v>
      </c>
      <c r="U718">
        <v>89</v>
      </c>
      <c r="V718" t="s">
        <v>4054</v>
      </c>
      <c r="W718">
        <v>2</v>
      </c>
      <c r="X718" t="s">
        <v>3988</v>
      </c>
      <c r="Y718" t="s">
        <v>3986</v>
      </c>
      <c r="Z718">
        <v>0</v>
      </c>
      <c r="AA718" t="s">
        <v>2493</v>
      </c>
      <c r="AB718" t="s">
        <v>4037</v>
      </c>
      <c r="AC718" t="s">
        <v>3507</v>
      </c>
      <c r="AD718" t="s">
        <v>3986</v>
      </c>
    </row>
    <row r="719" spans="1:30" x14ac:dyDescent="0.25">
      <c r="A719" t="s">
        <v>3651</v>
      </c>
      <c r="B719">
        <v>18</v>
      </c>
      <c r="C719" t="s">
        <v>3310</v>
      </c>
      <c r="D719" t="b">
        <v>0</v>
      </c>
      <c r="E719" t="b">
        <v>0</v>
      </c>
      <c r="F719" t="s">
        <v>3986</v>
      </c>
      <c r="G719" t="s">
        <v>3986</v>
      </c>
      <c r="H719" t="s">
        <v>3986</v>
      </c>
      <c r="I719" t="s">
        <v>3986</v>
      </c>
      <c r="J719" t="s">
        <v>3986</v>
      </c>
      <c r="K719" t="s">
        <v>3660</v>
      </c>
      <c r="L719" t="s">
        <v>3642</v>
      </c>
      <c r="M719" t="s">
        <v>560</v>
      </c>
      <c r="N719">
        <v>18</v>
      </c>
      <c r="O719" t="b">
        <v>0</v>
      </c>
      <c r="P719" t="b">
        <v>1</v>
      </c>
      <c r="Q719" t="b">
        <v>0</v>
      </c>
      <c r="R719" t="b">
        <v>0</v>
      </c>
      <c r="T719" t="s">
        <v>3748</v>
      </c>
      <c r="U719">
        <v>90</v>
      </c>
      <c r="V719" t="s">
        <v>4897</v>
      </c>
      <c r="W719">
        <v>2</v>
      </c>
      <c r="X719" t="s">
        <v>3988</v>
      </c>
      <c r="Y719" t="s">
        <v>3986</v>
      </c>
      <c r="Z719">
        <v>0</v>
      </c>
      <c r="AA719" t="s">
        <v>2493</v>
      </c>
      <c r="AB719" t="s">
        <v>4037</v>
      </c>
      <c r="AC719" t="s">
        <v>3507</v>
      </c>
      <c r="AD719" t="s">
        <v>3986</v>
      </c>
    </row>
    <row r="720" spans="1:30" x14ac:dyDescent="0.25">
      <c r="A720" t="s">
        <v>3652</v>
      </c>
      <c r="B720">
        <v>19</v>
      </c>
      <c r="C720" t="s">
        <v>3310</v>
      </c>
      <c r="D720" t="b">
        <v>0</v>
      </c>
      <c r="E720" t="b">
        <v>0</v>
      </c>
      <c r="F720" t="s">
        <v>3986</v>
      </c>
      <c r="G720" t="s">
        <v>3986</v>
      </c>
      <c r="H720" t="s">
        <v>3986</v>
      </c>
      <c r="I720" t="s">
        <v>3986</v>
      </c>
      <c r="J720" t="s">
        <v>3986</v>
      </c>
      <c r="K720" t="s">
        <v>3660</v>
      </c>
      <c r="L720" t="s">
        <v>3642</v>
      </c>
      <c r="M720" t="s">
        <v>560</v>
      </c>
      <c r="N720">
        <v>18</v>
      </c>
      <c r="O720" t="b">
        <v>0</v>
      </c>
      <c r="P720" t="b">
        <v>1</v>
      </c>
      <c r="Q720" t="b">
        <v>0</v>
      </c>
      <c r="R720" t="b">
        <v>0</v>
      </c>
      <c r="T720" t="s">
        <v>3748</v>
      </c>
      <c r="U720">
        <v>92</v>
      </c>
      <c r="V720" t="s">
        <v>4898</v>
      </c>
      <c r="W720">
        <v>2</v>
      </c>
      <c r="X720" t="s">
        <v>3988</v>
      </c>
      <c r="Y720" t="s">
        <v>3986</v>
      </c>
      <c r="Z720">
        <v>0</v>
      </c>
      <c r="AA720" t="s">
        <v>2493</v>
      </c>
      <c r="AB720" t="s">
        <v>4037</v>
      </c>
      <c r="AC720" t="s">
        <v>3507</v>
      </c>
      <c r="AD720" t="s">
        <v>3986</v>
      </c>
    </row>
    <row r="721" spans="1:30" x14ac:dyDescent="0.25">
      <c r="A721" t="s">
        <v>3653</v>
      </c>
      <c r="B721">
        <v>20</v>
      </c>
      <c r="C721" t="s">
        <v>3310</v>
      </c>
      <c r="D721" t="b">
        <v>0</v>
      </c>
      <c r="E721" t="b">
        <v>0</v>
      </c>
      <c r="F721" t="s">
        <v>3986</v>
      </c>
      <c r="G721" t="s">
        <v>3986</v>
      </c>
      <c r="H721" t="s">
        <v>3986</v>
      </c>
      <c r="I721" t="s">
        <v>3986</v>
      </c>
      <c r="J721" t="s">
        <v>3369</v>
      </c>
      <c r="K721" t="s">
        <v>3660</v>
      </c>
      <c r="L721" t="s">
        <v>3642</v>
      </c>
      <c r="M721" t="s">
        <v>560</v>
      </c>
      <c r="N721">
        <v>18</v>
      </c>
      <c r="O721" t="b">
        <v>0</v>
      </c>
      <c r="P721" t="b">
        <v>1</v>
      </c>
      <c r="Q721" t="b">
        <v>0</v>
      </c>
      <c r="R721" t="b">
        <v>0</v>
      </c>
      <c r="T721" t="s">
        <v>3748</v>
      </c>
      <c r="U721">
        <v>101</v>
      </c>
      <c r="V721" t="s">
        <v>4114</v>
      </c>
      <c r="W721">
        <v>2</v>
      </c>
      <c r="X721" t="s">
        <v>3988</v>
      </c>
      <c r="Y721" t="s">
        <v>3986</v>
      </c>
      <c r="Z721">
        <v>0</v>
      </c>
      <c r="AA721" t="s">
        <v>2493</v>
      </c>
      <c r="AB721" t="s">
        <v>4037</v>
      </c>
      <c r="AC721" t="s">
        <v>3507</v>
      </c>
      <c r="AD721" t="s">
        <v>3986</v>
      </c>
    </row>
    <row r="722" spans="1:30" x14ac:dyDescent="0.25">
      <c r="A722" t="s">
        <v>3654</v>
      </c>
      <c r="B722">
        <v>21</v>
      </c>
      <c r="C722" t="s">
        <v>3310</v>
      </c>
      <c r="D722" t="b">
        <v>0</v>
      </c>
      <c r="E722" t="b">
        <v>0</v>
      </c>
      <c r="F722" t="s">
        <v>3986</v>
      </c>
      <c r="G722" t="s">
        <v>3986</v>
      </c>
      <c r="H722" t="s">
        <v>3986</v>
      </c>
      <c r="I722" t="s">
        <v>3986</v>
      </c>
      <c r="J722" t="s">
        <v>3369</v>
      </c>
      <c r="K722" t="s">
        <v>3660</v>
      </c>
      <c r="L722" t="s">
        <v>3642</v>
      </c>
      <c r="M722" t="s">
        <v>560</v>
      </c>
      <c r="N722">
        <v>18</v>
      </c>
      <c r="O722" t="b">
        <v>0</v>
      </c>
      <c r="P722" t="b">
        <v>1</v>
      </c>
      <c r="Q722" t="b">
        <v>0</v>
      </c>
      <c r="R722" t="b">
        <v>0</v>
      </c>
      <c r="T722" t="s">
        <v>3748</v>
      </c>
      <c r="U722">
        <v>116</v>
      </c>
      <c r="V722" t="s">
        <v>4059</v>
      </c>
      <c r="W722">
        <v>1</v>
      </c>
      <c r="X722" t="s">
        <v>3987</v>
      </c>
      <c r="Y722" t="s">
        <v>3986</v>
      </c>
      <c r="Z722">
        <v>0</v>
      </c>
      <c r="AA722" t="s">
        <v>2493</v>
      </c>
      <c r="AB722" t="s">
        <v>4037</v>
      </c>
      <c r="AC722" t="s">
        <v>3806</v>
      </c>
      <c r="AD722" t="s">
        <v>3986</v>
      </c>
    </row>
    <row r="723" spans="1:30" x14ac:dyDescent="0.25">
      <c r="A723" t="s">
        <v>3655</v>
      </c>
      <c r="B723">
        <v>22</v>
      </c>
      <c r="C723" t="s">
        <v>3310</v>
      </c>
      <c r="D723" t="b">
        <v>0</v>
      </c>
      <c r="E723" t="b">
        <v>1</v>
      </c>
      <c r="F723" t="s">
        <v>3986</v>
      </c>
      <c r="G723" t="s">
        <v>3986</v>
      </c>
      <c r="H723" t="s">
        <v>3986</v>
      </c>
      <c r="I723" t="s">
        <v>3986</v>
      </c>
      <c r="J723" t="s">
        <v>3359</v>
      </c>
      <c r="K723" t="s">
        <v>3660</v>
      </c>
      <c r="L723" t="s">
        <v>3642</v>
      </c>
      <c r="M723" t="s">
        <v>560</v>
      </c>
      <c r="N723">
        <v>18</v>
      </c>
      <c r="O723" t="b">
        <v>0</v>
      </c>
      <c r="P723" t="b">
        <v>1</v>
      </c>
      <c r="Q723" t="b">
        <v>0</v>
      </c>
      <c r="R723" t="b">
        <v>0</v>
      </c>
      <c r="T723" t="s">
        <v>3748</v>
      </c>
      <c r="U723">
        <v>187</v>
      </c>
      <c r="V723" t="s">
        <v>4899</v>
      </c>
      <c r="W723">
        <v>1</v>
      </c>
      <c r="X723" t="s">
        <v>3987</v>
      </c>
      <c r="Y723" t="s">
        <v>3986</v>
      </c>
      <c r="Z723">
        <v>0</v>
      </c>
      <c r="AA723" t="s">
        <v>2493</v>
      </c>
      <c r="AB723" t="s">
        <v>4037</v>
      </c>
      <c r="AC723" t="s">
        <v>3806</v>
      </c>
      <c r="AD723" t="s">
        <v>3986</v>
      </c>
    </row>
    <row r="724" spans="1:30" x14ac:dyDescent="0.25">
      <c r="A724" t="s">
        <v>3656</v>
      </c>
      <c r="B724">
        <v>23</v>
      </c>
      <c r="C724" t="s">
        <v>3310</v>
      </c>
      <c r="D724" t="b">
        <v>0</v>
      </c>
      <c r="E724" t="b">
        <v>1</v>
      </c>
      <c r="F724" t="s">
        <v>3986</v>
      </c>
      <c r="G724" t="s">
        <v>3986</v>
      </c>
      <c r="H724" t="s">
        <v>3986</v>
      </c>
      <c r="I724" t="s">
        <v>3986</v>
      </c>
      <c r="J724" t="s">
        <v>3359</v>
      </c>
      <c r="K724" t="s">
        <v>3660</v>
      </c>
      <c r="L724" t="s">
        <v>3642</v>
      </c>
      <c r="M724" t="s">
        <v>560</v>
      </c>
      <c r="N724">
        <v>18</v>
      </c>
      <c r="O724" t="b">
        <v>0</v>
      </c>
      <c r="P724" t="b">
        <v>1</v>
      </c>
      <c r="Q724" t="b">
        <v>0</v>
      </c>
      <c r="R724" t="b">
        <v>0</v>
      </c>
      <c r="T724" t="s">
        <v>3748</v>
      </c>
      <c r="U724">
        <v>188</v>
      </c>
      <c r="V724" t="s">
        <v>4943</v>
      </c>
      <c r="W724">
        <v>1</v>
      </c>
      <c r="X724" t="s">
        <v>3987</v>
      </c>
      <c r="Y724" t="s">
        <v>3986</v>
      </c>
      <c r="Z724">
        <v>0</v>
      </c>
      <c r="AA724" t="s">
        <v>2493</v>
      </c>
      <c r="AB724" t="s">
        <v>4037</v>
      </c>
      <c r="AC724" t="s">
        <v>3806</v>
      </c>
      <c r="AD724" t="s">
        <v>3986</v>
      </c>
    </row>
    <row r="725" spans="1:30" x14ac:dyDescent="0.25">
      <c r="A725" t="s">
        <v>3657</v>
      </c>
      <c r="B725">
        <v>24</v>
      </c>
      <c r="C725" t="s">
        <v>3310</v>
      </c>
      <c r="D725" t="b">
        <v>0</v>
      </c>
      <c r="E725" t="b">
        <v>0</v>
      </c>
      <c r="F725" t="s">
        <v>3986</v>
      </c>
      <c r="G725" t="s">
        <v>3986</v>
      </c>
      <c r="H725" t="s">
        <v>3986</v>
      </c>
      <c r="I725" t="s">
        <v>3986</v>
      </c>
      <c r="J725" t="s">
        <v>3369</v>
      </c>
      <c r="K725" t="s">
        <v>3660</v>
      </c>
      <c r="L725" t="s">
        <v>3642</v>
      </c>
      <c r="M725" t="s">
        <v>560</v>
      </c>
      <c r="N725">
        <v>18</v>
      </c>
      <c r="O725" t="b">
        <v>0</v>
      </c>
      <c r="P725" t="b">
        <v>1</v>
      </c>
      <c r="Q725" t="b">
        <v>0</v>
      </c>
      <c r="R725" t="b">
        <v>0</v>
      </c>
      <c r="T725" t="s">
        <v>3748</v>
      </c>
      <c r="U725">
        <v>203</v>
      </c>
      <c r="V725" t="s">
        <v>4105</v>
      </c>
      <c r="W725">
        <v>1</v>
      </c>
      <c r="X725" t="s">
        <v>3987</v>
      </c>
      <c r="Y725" t="s">
        <v>3986</v>
      </c>
      <c r="Z725">
        <v>0</v>
      </c>
      <c r="AA725" t="s">
        <v>2493</v>
      </c>
      <c r="AB725" t="s">
        <v>4037</v>
      </c>
      <c r="AC725" t="s">
        <v>3806</v>
      </c>
      <c r="AD725" t="s">
        <v>3986</v>
      </c>
    </row>
    <row r="726" spans="1:30" x14ac:dyDescent="0.25">
      <c r="A726" t="s">
        <v>3467</v>
      </c>
      <c r="B726">
        <v>26</v>
      </c>
      <c r="C726" t="s">
        <v>3306</v>
      </c>
      <c r="D726" t="b">
        <v>1</v>
      </c>
      <c r="E726" t="b">
        <v>0</v>
      </c>
      <c r="F726" t="s">
        <v>3307</v>
      </c>
      <c r="G726" t="s">
        <v>3986</v>
      </c>
      <c r="H726" t="s">
        <v>3986</v>
      </c>
      <c r="I726" t="s">
        <v>3986</v>
      </c>
      <c r="J726" t="s">
        <v>3986</v>
      </c>
      <c r="K726" t="s">
        <v>3662</v>
      </c>
      <c r="L726" t="s">
        <v>3663</v>
      </c>
      <c r="M726" t="s">
        <v>560</v>
      </c>
      <c r="N726">
        <v>18</v>
      </c>
      <c r="O726" t="b">
        <v>0</v>
      </c>
      <c r="P726" t="b">
        <v>1</v>
      </c>
      <c r="Q726" t="b">
        <v>0</v>
      </c>
      <c r="R726" t="b">
        <v>0</v>
      </c>
      <c r="T726" t="s">
        <v>3748</v>
      </c>
      <c r="U726">
        <v>229</v>
      </c>
      <c r="V726" t="s">
        <v>4948</v>
      </c>
      <c r="W726">
        <v>1</v>
      </c>
      <c r="X726" t="s">
        <v>3987</v>
      </c>
      <c r="Y726" t="s">
        <v>3986</v>
      </c>
      <c r="Z726">
        <v>0</v>
      </c>
      <c r="AA726" t="s">
        <v>2493</v>
      </c>
      <c r="AB726" t="s">
        <v>4037</v>
      </c>
      <c r="AC726" t="s">
        <v>3806</v>
      </c>
      <c r="AD726" t="s">
        <v>3986</v>
      </c>
    </row>
    <row r="727" spans="1:30" x14ac:dyDescent="0.25">
      <c r="A727" t="s">
        <v>3664</v>
      </c>
      <c r="B727">
        <v>27</v>
      </c>
      <c r="C727" t="s">
        <v>3310</v>
      </c>
      <c r="D727" t="b">
        <v>1</v>
      </c>
      <c r="E727" t="b">
        <v>0</v>
      </c>
      <c r="F727" t="s">
        <v>3986</v>
      </c>
      <c r="G727" t="s">
        <v>3986</v>
      </c>
      <c r="H727" t="s">
        <v>3986</v>
      </c>
      <c r="I727" t="s">
        <v>3383</v>
      </c>
      <c r="J727" t="s">
        <v>3359</v>
      </c>
      <c r="K727" t="s">
        <v>3662</v>
      </c>
      <c r="L727" t="s">
        <v>3663</v>
      </c>
      <c r="M727" t="s">
        <v>560</v>
      </c>
      <c r="N727">
        <v>18</v>
      </c>
      <c r="O727" t="b">
        <v>0</v>
      </c>
      <c r="P727" t="b">
        <v>1</v>
      </c>
      <c r="Q727" t="b">
        <v>0</v>
      </c>
      <c r="R727" t="b">
        <v>0</v>
      </c>
      <c r="T727" t="s">
        <v>3748</v>
      </c>
      <c r="U727">
        <v>231</v>
      </c>
      <c r="V727" t="s">
        <v>4941</v>
      </c>
      <c r="W727">
        <v>1</v>
      </c>
      <c r="X727" t="s">
        <v>3987</v>
      </c>
      <c r="Y727" t="s">
        <v>3986</v>
      </c>
      <c r="Z727">
        <v>0</v>
      </c>
      <c r="AA727" t="s">
        <v>2493</v>
      </c>
      <c r="AB727" t="s">
        <v>4037</v>
      </c>
      <c r="AC727" t="s">
        <v>3806</v>
      </c>
      <c r="AD727" t="s">
        <v>3986</v>
      </c>
    </row>
    <row r="728" spans="1:30" x14ac:dyDescent="0.25">
      <c r="A728" t="s">
        <v>3665</v>
      </c>
      <c r="B728">
        <v>28</v>
      </c>
      <c r="C728" t="s">
        <v>3310</v>
      </c>
      <c r="D728" t="b">
        <v>1</v>
      </c>
      <c r="E728" t="b">
        <v>0</v>
      </c>
      <c r="F728" t="s">
        <v>3986</v>
      </c>
      <c r="G728" t="s">
        <v>3986</v>
      </c>
      <c r="H728" t="s">
        <v>3986</v>
      </c>
      <c r="I728" t="s">
        <v>3986</v>
      </c>
      <c r="J728" t="s">
        <v>3369</v>
      </c>
      <c r="K728" t="s">
        <v>3662</v>
      </c>
      <c r="L728" t="s">
        <v>3663</v>
      </c>
      <c r="M728" t="s">
        <v>560</v>
      </c>
      <c r="N728">
        <v>18</v>
      </c>
      <c r="O728" t="b">
        <v>0</v>
      </c>
      <c r="P728" t="b">
        <v>1</v>
      </c>
      <c r="Q728" t="b">
        <v>0</v>
      </c>
      <c r="R728" t="b">
        <v>0</v>
      </c>
      <c r="T728" t="s">
        <v>3748</v>
      </c>
      <c r="U728">
        <v>23</v>
      </c>
      <c r="V728" t="s">
        <v>4009</v>
      </c>
      <c r="W728">
        <v>2</v>
      </c>
      <c r="X728" t="s">
        <v>3988</v>
      </c>
      <c r="Y728" t="s">
        <v>3986</v>
      </c>
      <c r="Z728">
        <v>0</v>
      </c>
      <c r="AA728" t="s">
        <v>2493</v>
      </c>
      <c r="AB728" t="s">
        <v>4037</v>
      </c>
      <c r="AC728" t="s">
        <v>3805</v>
      </c>
      <c r="AD728" t="s">
        <v>3986</v>
      </c>
    </row>
    <row r="729" spans="1:30" x14ac:dyDescent="0.25">
      <c r="A729" t="s">
        <v>3460</v>
      </c>
      <c r="B729">
        <v>21</v>
      </c>
      <c r="C729" t="s">
        <v>3310</v>
      </c>
      <c r="D729" t="b">
        <v>1</v>
      </c>
      <c r="E729" t="b">
        <v>0</v>
      </c>
      <c r="F729" t="s">
        <v>3986</v>
      </c>
      <c r="G729" t="s">
        <v>3986</v>
      </c>
      <c r="H729" t="s">
        <v>3986</v>
      </c>
      <c r="I729" t="s">
        <v>3986</v>
      </c>
      <c r="J729" t="s">
        <v>3770</v>
      </c>
      <c r="K729" t="s">
        <v>3530</v>
      </c>
      <c r="L729" t="s">
        <v>3666</v>
      </c>
      <c r="M729" t="s">
        <v>3550</v>
      </c>
      <c r="N729">
        <v>7</v>
      </c>
      <c r="O729" t="b">
        <v>1</v>
      </c>
      <c r="P729" t="b">
        <v>0</v>
      </c>
      <c r="Q729" t="b">
        <v>0</v>
      </c>
      <c r="R729" t="b">
        <v>0</v>
      </c>
      <c r="T729" t="s">
        <v>3748</v>
      </c>
      <c r="U729">
        <v>24</v>
      </c>
      <c r="V729" t="s">
        <v>4010</v>
      </c>
      <c r="W729">
        <v>2</v>
      </c>
      <c r="X729" t="s">
        <v>3988</v>
      </c>
      <c r="Y729" t="s">
        <v>3986</v>
      </c>
      <c r="Z729">
        <v>0</v>
      </c>
      <c r="AA729" t="s">
        <v>2493</v>
      </c>
      <c r="AB729" t="s">
        <v>4037</v>
      </c>
      <c r="AC729" t="s">
        <v>3805</v>
      </c>
      <c r="AD729" t="s">
        <v>3986</v>
      </c>
    </row>
    <row r="730" spans="1:30" x14ac:dyDescent="0.25">
      <c r="A730" t="s">
        <v>3460</v>
      </c>
      <c r="B730">
        <v>21</v>
      </c>
      <c r="C730" t="s">
        <v>3310</v>
      </c>
      <c r="D730" t="b">
        <v>1</v>
      </c>
      <c r="E730" t="b">
        <v>0</v>
      </c>
      <c r="F730" t="s">
        <v>3986</v>
      </c>
      <c r="G730" t="s">
        <v>3986</v>
      </c>
      <c r="H730" t="s">
        <v>3986</v>
      </c>
      <c r="I730" t="s">
        <v>3986</v>
      </c>
      <c r="J730" t="s">
        <v>3770</v>
      </c>
      <c r="K730" t="s">
        <v>3532</v>
      </c>
      <c r="L730" t="s">
        <v>3667</v>
      </c>
      <c r="M730" t="s">
        <v>3550</v>
      </c>
      <c r="N730">
        <v>8</v>
      </c>
      <c r="O730" t="b">
        <v>1</v>
      </c>
      <c r="P730" t="b">
        <v>0</v>
      </c>
      <c r="Q730" t="b">
        <v>0</v>
      </c>
      <c r="R730" t="b">
        <v>0</v>
      </c>
      <c r="T730" t="s">
        <v>3748</v>
      </c>
      <c r="U730">
        <v>26</v>
      </c>
      <c r="V730" t="s">
        <v>4012</v>
      </c>
      <c r="W730">
        <v>2</v>
      </c>
      <c r="X730" t="s">
        <v>3988</v>
      </c>
      <c r="Y730" t="s">
        <v>3986</v>
      </c>
      <c r="Z730">
        <v>0</v>
      </c>
      <c r="AA730" t="s">
        <v>2493</v>
      </c>
      <c r="AB730" t="s">
        <v>4037</v>
      </c>
      <c r="AC730" t="s">
        <v>3805</v>
      </c>
      <c r="AD730" t="s">
        <v>3986</v>
      </c>
    </row>
    <row r="731" spans="1:30" x14ac:dyDescent="0.25">
      <c r="A731" t="s">
        <v>3460</v>
      </c>
      <c r="B731">
        <v>7</v>
      </c>
      <c r="C731" t="s">
        <v>3310</v>
      </c>
      <c r="D731" t="b">
        <v>0</v>
      </c>
      <c r="E731" t="b">
        <v>1</v>
      </c>
      <c r="F731" t="s">
        <v>3986</v>
      </c>
      <c r="G731" t="s">
        <v>3986</v>
      </c>
      <c r="H731" t="s">
        <v>3986</v>
      </c>
      <c r="I731" t="s">
        <v>3429</v>
      </c>
      <c r="J731" t="s">
        <v>3986</v>
      </c>
      <c r="K731" t="s">
        <v>4949</v>
      </c>
      <c r="L731" t="s">
        <v>4950</v>
      </c>
      <c r="M731" t="s">
        <v>2781</v>
      </c>
      <c r="N731">
        <v>169</v>
      </c>
      <c r="O731" t="b">
        <v>1</v>
      </c>
      <c r="P731" t="b">
        <v>0</v>
      </c>
      <c r="Q731" t="b">
        <v>0</v>
      </c>
      <c r="R731" t="b">
        <v>0</v>
      </c>
      <c r="T731" t="s">
        <v>3748</v>
      </c>
      <c r="U731">
        <v>27</v>
      </c>
      <c r="V731" t="s">
        <v>4013</v>
      </c>
      <c r="W731">
        <v>2</v>
      </c>
      <c r="X731" t="s">
        <v>3988</v>
      </c>
      <c r="Y731" t="s">
        <v>3986</v>
      </c>
      <c r="Z731">
        <v>0</v>
      </c>
      <c r="AA731" t="s">
        <v>2493</v>
      </c>
      <c r="AB731" t="s">
        <v>4037</v>
      </c>
      <c r="AC731" t="s">
        <v>3805</v>
      </c>
      <c r="AD731" t="s">
        <v>3986</v>
      </c>
    </row>
    <row r="732" spans="1:30" x14ac:dyDescent="0.25">
      <c r="A732" t="s">
        <v>3460</v>
      </c>
      <c r="B732">
        <v>7</v>
      </c>
      <c r="C732" t="s">
        <v>3310</v>
      </c>
      <c r="D732" t="b">
        <v>0</v>
      </c>
      <c r="E732" t="b">
        <v>1</v>
      </c>
      <c r="F732" t="s">
        <v>3986</v>
      </c>
      <c r="G732" t="s">
        <v>3986</v>
      </c>
      <c r="H732" t="s">
        <v>3986</v>
      </c>
      <c r="I732" t="s">
        <v>3429</v>
      </c>
      <c r="J732" t="s">
        <v>3986</v>
      </c>
      <c r="K732" t="s">
        <v>4951</v>
      </c>
      <c r="L732" t="s">
        <v>4952</v>
      </c>
      <c r="M732" t="s">
        <v>2781</v>
      </c>
      <c r="N732">
        <v>173</v>
      </c>
      <c r="O732" t="b">
        <v>1</v>
      </c>
      <c r="P732" t="b">
        <v>0</v>
      </c>
      <c r="Q732" t="b">
        <v>0</v>
      </c>
      <c r="R732" t="b">
        <v>0</v>
      </c>
      <c r="T732" t="s">
        <v>3748</v>
      </c>
      <c r="U732">
        <v>39</v>
      </c>
      <c r="V732" t="s">
        <v>4025</v>
      </c>
      <c r="W732">
        <v>2</v>
      </c>
      <c r="X732" t="s">
        <v>3988</v>
      </c>
      <c r="Y732" t="s">
        <v>3986</v>
      </c>
      <c r="Z732">
        <v>0</v>
      </c>
      <c r="AA732" t="s">
        <v>2493</v>
      </c>
      <c r="AB732" t="s">
        <v>4037</v>
      </c>
      <c r="AC732" t="s">
        <v>3805</v>
      </c>
      <c r="AD732" t="s">
        <v>3986</v>
      </c>
    </row>
    <row r="733" spans="1:30" x14ac:dyDescent="0.25">
      <c r="A733" t="s">
        <v>3460</v>
      </c>
      <c r="B733">
        <v>7</v>
      </c>
      <c r="C733" t="s">
        <v>3310</v>
      </c>
      <c r="D733" t="b">
        <v>0</v>
      </c>
      <c r="E733" t="b">
        <v>1</v>
      </c>
      <c r="F733" t="s">
        <v>3986</v>
      </c>
      <c r="G733" t="s">
        <v>3986</v>
      </c>
      <c r="H733" t="s">
        <v>3986</v>
      </c>
      <c r="I733" t="s">
        <v>3359</v>
      </c>
      <c r="J733" t="s">
        <v>3986</v>
      </c>
      <c r="K733" t="s">
        <v>4953</v>
      </c>
      <c r="L733" t="s">
        <v>4954</v>
      </c>
      <c r="M733" t="s">
        <v>2781</v>
      </c>
      <c r="N733">
        <v>208</v>
      </c>
      <c r="O733" t="b">
        <v>1</v>
      </c>
      <c r="P733" t="b">
        <v>0</v>
      </c>
      <c r="Q733" t="b">
        <v>0</v>
      </c>
      <c r="R733" t="b">
        <v>0</v>
      </c>
      <c r="T733" t="s">
        <v>3748</v>
      </c>
      <c r="U733">
        <v>40</v>
      </c>
      <c r="V733" t="s">
        <v>4026</v>
      </c>
      <c r="W733">
        <v>2</v>
      </c>
      <c r="X733" t="s">
        <v>3988</v>
      </c>
      <c r="Y733" t="s">
        <v>3986</v>
      </c>
      <c r="Z733">
        <v>0</v>
      </c>
      <c r="AA733" t="s">
        <v>2493</v>
      </c>
      <c r="AB733" t="s">
        <v>4037</v>
      </c>
      <c r="AC733" t="s">
        <v>3805</v>
      </c>
      <c r="AD733" t="s">
        <v>3986</v>
      </c>
    </row>
    <row r="734" spans="1:30" x14ac:dyDescent="0.25">
      <c r="A734" t="s">
        <v>3460</v>
      </c>
      <c r="B734">
        <v>7</v>
      </c>
      <c r="C734" t="s">
        <v>3310</v>
      </c>
      <c r="D734" t="b">
        <v>0</v>
      </c>
      <c r="E734" t="b">
        <v>1</v>
      </c>
      <c r="F734" t="s">
        <v>3986</v>
      </c>
      <c r="G734" t="s">
        <v>3986</v>
      </c>
      <c r="H734" t="s">
        <v>3986</v>
      </c>
      <c r="I734" t="s">
        <v>3359</v>
      </c>
      <c r="J734" t="s">
        <v>3986</v>
      </c>
      <c r="K734" t="s">
        <v>4955</v>
      </c>
      <c r="L734" t="s">
        <v>2564</v>
      </c>
      <c r="M734" t="s">
        <v>2781</v>
      </c>
      <c r="N734">
        <v>218</v>
      </c>
      <c r="O734" t="b">
        <v>1</v>
      </c>
      <c r="P734" t="b">
        <v>0</v>
      </c>
      <c r="Q734" t="b">
        <v>0</v>
      </c>
      <c r="R734" t="b">
        <v>0</v>
      </c>
      <c r="T734" t="s">
        <v>3748</v>
      </c>
      <c r="U734">
        <v>41</v>
      </c>
      <c r="V734" t="s">
        <v>4027</v>
      </c>
      <c r="W734">
        <v>2</v>
      </c>
      <c r="X734" t="s">
        <v>3988</v>
      </c>
      <c r="Y734" t="s">
        <v>3986</v>
      </c>
      <c r="Z734">
        <v>0</v>
      </c>
      <c r="AA734" t="s">
        <v>2493</v>
      </c>
      <c r="AB734" t="s">
        <v>4037</v>
      </c>
      <c r="AC734" t="s">
        <v>3805</v>
      </c>
      <c r="AD734" t="s">
        <v>3986</v>
      </c>
    </row>
    <row r="735" spans="1:30" x14ac:dyDescent="0.25">
      <c r="A735" t="s">
        <v>3460</v>
      </c>
      <c r="B735">
        <v>7</v>
      </c>
      <c r="C735" t="s">
        <v>3310</v>
      </c>
      <c r="D735" t="b">
        <v>0</v>
      </c>
      <c r="E735" t="b">
        <v>1</v>
      </c>
      <c r="F735" t="s">
        <v>3986</v>
      </c>
      <c r="G735" t="s">
        <v>3986</v>
      </c>
      <c r="H735" t="s">
        <v>3986</v>
      </c>
      <c r="I735" t="s">
        <v>3359</v>
      </c>
      <c r="J735" t="s">
        <v>3986</v>
      </c>
      <c r="K735" t="s">
        <v>4956</v>
      </c>
      <c r="L735" t="s">
        <v>2566</v>
      </c>
      <c r="M735" t="s">
        <v>2781</v>
      </c>
      <c r="N735">
        <v>223</v>
      </c>
      <c r="O735" t="b">
        <v>1</v>
      </c>
      <c r="P735" t="b">
        <v>0</v>
      </c>
      <c r="Q735" t="b">
        <v>0</v>
      </c>
      <c r="R735" t="b">
        <v>0</v>
      </c>
      <c r="T735" t="s">
        <v>3748</v>
      </c>
      <c r="U735">
        <v>44</v>
      </c>
      <c r="V735" t="s">
        <v>4030</v>
      </c>
      <c r="W735">
        <v>2</v>
      </c>
      <c r="X735" t="s">
        <v>3988</v>
      </c>
      <c r="Y735" t="s">
        <v>3986</v>
      </c>
      <c r="Z735">
        <v>0</v>
      </c>
      <c r="AA735" t="s">
        <v>2493</v>
      </c>
      <c r="AB735" t="s">
        <v>4037</v>
      </c>
      <c r="AC735" t="s">
        <v>3805</v>
      </c>
      <c r="AD735" t="s">
        <v>3986</v>
      </c>
    </row>
    <row r="736" spans="1:30" x14ac:dyDescent="0.25">
      <c r="A736" t="s">
        <v>3460</v>
      </c>
      <c r="B736">
        <v>7</v>
      </c>
      <c r="C736" t="s">
        <v>3310</v>
      </c>
      <c r="D736" t="b">
        <v>0</v>
      </c>
      <c r="E736" t="b">
        <v>1</v>
      </c>
      <c r="F736" t="s">
        <v>3986</v>
      </c>
      <c r="G736" t="s">
        <v>3986</v>
      </c>
      <c r="H736" t="s">
        <v>3986</v>
      </c>
      <c r="I736" t="s">
        <v>3359</v>
      </c>
      <c r="J736" t="s">
        <v>3986</v>
      </c>
      <c r="K736" t="s">
        <v>4957</v>
      </c>
      <c r="L736" t="s">
        <v>2567</v>
      </c>
      <c r="M736" t="s">
        <v>2781</v>
      </c>
      <c r="N736">
        <v>225</v>
      </c>
      <c r="O736" t="b">
        <v>1</v>
      </c>
      <c r="P736" t="b">
        <v>0</v>
      </c>
      <c r="Q736" t="b">
        <v>0</v>
      </c>
      <c r="R736" t="b">
        <v>0</v>
      </c>
      <c r="T736" t="s">
        <v>3748</v>
      </c>
      <c r="U736">
        <v>59</v>
      </c>
      <c r="V736" t="s">
        <v>4042</v>
      </c>
      <c r="W736">
        <v>2</v>
      </c>
      <c r="X736" t="s">
        <v>3988</v>
      </c>
      <c r="Y736" t="s">
        <v>3986</v>
      </c>
      <c r="Z736">
        <v>0</v>
      </c>
      <c r="AA736" t="s">
        <v>2493</v>
      </c>
      <c r="AB736" t="s">
        <v>4037</v>
      </c>
      <c r="AC736" t="s">
        <v>3805</v>
      </c>
      <c r="AD736" t="s">
        <v>3986</v>
      </c>
    </row>
    <row r="737" spans="1:30" x14ac:dyDescent="0.25">
      <c r="A737" t="s">
        <v>3460</v>
      </c>
      <c r="B737">
        <v>7</v>
      </c>
      <c r="C737" t="s">
        <v>3310</v>
      </c>
      <c r="D737" t="b">
        <v>0</v>
      </c>
      <c r="E737" t="b">
        <v>1</v>
      </c>
      <c r="F737" t="s">
        <v>3986</v>
      </c>
      <c r="G737" t="s">
        <v>3986</v>
      </c>
      <c r="H737" t="s">
        <v>3986</v>
      </c>
      <c r="I737" t="s">
        <v>3359</v>
      </c>
      <c r="J737" t="s">
        <v>3986</v>
      </c>
      <c r="K737" t="s">
        <v>4958</v>
      </c>
      <c r="L737" t="s">
        <v>3188</v>
      </c>
      <c r="M737" t="s">
        <v>2781</v>
      </c>
      <c r="N737">
        <v>233</v>
      </c>
      <c r="O737" t="b">
        <v>1</v>
      </c>
      <c r="P737" t="b">
        <v>0</v>
      </c>
      <c r="Q737" t="b">
        <v>0</v>
      </c>
      <c r="R737" t="b">
        <v>0</v>
      </c>
      <c r="T737" t="s">
        <v>3748</v>
      </c>
      <c r="U737">
        <v>70</v>
      </c>
      <c r="V737" t="s">
        <v>4123</v>
      </c>
      <c r="W737">
        <v>2</v>
      </c>
      <c r="X737" t="s">
        <v>3988</v>
      </c>
      <c r="Y737" t="s">
        <v>3986</v>
      </c>
      <c r="Z737">
        <v>0</v>
      </c>
      <c r="AA737" t="s">
        <v>2493</v>
      </c>
      <c r="AB737" t="s">
        <v>4037</v>
      </c>
      <c r="AC737" t="s">
        <v>3805</v>
      </c>
      <c r="AD737" t="s">
        <v>3986</v>
      </c>
    </row>
    <row r="738" spans="1:30" x14ac:dyDescent="0.25">
      <c r="A738" t="s">
        <v>3460</v>
      </c>
      <c r="B738">
        <v>7</v>
      </c>
      <c r="C738" t="s">
        <v>3310</v>
      </c>
      <c r="D738" t="b">
        <v>0</v>
      </c>
      <c r="E738" t="b">
        <v>1</v>
      </c>
      <c r="F738" t="s">
        <v>3986</v>
      </c>
      <c r="G738" t="s">
        <v>3986</v>
      </c>
      <c r="H738" t="s">
        <v>3986</v>
      </c>
      <c r="I738" t="s">
        <v>3359</v>
      </c>
      <c r="J738" t="s">
        <v>3986</v>
      </c>
      <c r="K738" t="s">
        <v>4959</v>
      </c>
      <c r="L738" t="s">
        <v>2570</v>
      </c>
      <c r="M738" t="s">
        <v>2781</v>
      </c>
      <c r="N738">
        <v>235</v>
      </c>
      <c r="O738" t="b">
        <v>1</v>
      </c>
      <c r="P738" t="b">
        <v>0</v>
      </c>
      <c r="Q738" t="b">
        <v>0</v>
      </c>
      <c r="R738" t="b">
        <v>0</v>
      </c>
      <c r="T738" t="s">
        <v>3748</v>
      </c>
      <c r="U738">
        <v>71</v>
      </c>
      <c r="V738" t="s">
        <v>4124</v>
      </c>
      <c r="W738">
        <v>2</v>
      </c>
      <c r="X738" t="s">
        <v>3988</v>
      </c>
      <c r="Y738" t="s">
        <v>3986</v>
      </c>
      <c r="Z738">
        <v>0</v>
      </c>
      <c r="AA738" t="s">
        <v>2493</v>
      </c>
      <c r="AB738" t="s">
        <v>4037</v>
      </c>
      <c r="AC738" t="s">
        <v>3805</v>
      </c>
      <c r="AD738" t="s">
        <v>3986</v>
      </c>
    </row>
    <row r="739" spans="1:30" x14ac:dyDescent="0.25">
      <c r="A739" t="s">
        <v>3460</v>
      </c>
      <c r="B739">
        <v>7</v>
      </c>
      <c r="C739" t="s">
        <v>3310</v>
      </c>
      <c r="D739" t="b">
        <v>0</v>
      </c>
      <c r="E739" t="b">
        <v>1</v>
      </c>
      <c r="F739" t="s">
        <v>3986</v>
      </c>
      <c r="G739" t="s">
        <v>3986</v>
      </c>
      <c r="H739" t="s">
        <v>3986</v>
      </c>
      <c r="I739" t="s">
        <v>3359</v>
      </c>
      <c r="J739" t="s">
        <v>3986</v>
      </c>
      <c r="K739" t="s">
        <v>4960</v>
      </c>
      <c r="L739" t="s">
        <v>1361</v>
      </c>
      <c r="M739" t="s">
        <v>2781</v>
      </c>
      <c r="N739">
        <v>239</v>
      </c>
      <c r="O739" t="b">
        <v>1</v>
      </c>
      <c r="P739" t="b">
        <v>0</v>
      </c>
      <c r="Q739" t="b">
        <v>0</v>
      </c>
      <c r="R739" t="b">
        <v>0</v>
      </c>
      <c r="T739" t="s">
        <v>3748</v>
      </c>
      <c r="U739">
        <v>72</v>
      </c>
      <c r="V739" t="s">
        <v>4125</v>
      </c>
      <c r="W739">
        <v>2</v>
      </c>
      <c r="X739" t="s">
        <v>3988</v>
      </c>
      <c r="Y739" t="s">
        <v>3986</v>
      </c>
      <c r="Z739">
        <v>0</v>
      </c>
      <c r="AA739" t="s">
        <v>2493</v>
      </c>
      <c r="AB739" t="s">
        <v>4037</v>
      </c>
      <c r="AC739" t="s">
        <v>3805</v>
      </c>
      <c r="AD739" t="s">
        <v>3986</v>
      </c>
    </row>
    <row r="740" spans="1:30" x14ac:dyDescent="0.25">
      <c r="A740" t="s">
        <v>3460</v>
      </c>
      <c r="B740">
        <v>7</v>
      </c>
      <c r="C740" t="s">
        <v>3310</v>
      </c>
      <c r="D740" t="b">
        <v>0</v>
      </c>
      <c r="E740" t="b">
        <v>1</v>
      </c>
      <c r="F740" t="s">
        <v>3986</v>
      </c>
      <c r="G740" t="s">
        <v>3986</v>
      </c>
      <c r="H740" t="s">
        <v>3986</v>
      </c>
      <c r="I740" t="s">
        <v>3359</v>
      </c>
      <c r="J740" t="s">
        <v>3986</v>
      </c>
      <c r="K740" t="s">
        <v>4961</v>
      </c>
      <c r="L740" t="s">
        <v>4962</v>
      </c>
      <c r="M740" t="s">
        <v>2781</v>
      </c>
      <c r="N740">
        <v>243</v>
      </c>
      <c r="O740" t="b">
        <v>1</v>
      </c>
      <c r="P740" t="b">
        <v>0</v>
      </c>
      <c r="Q740" t="b">
        <v>0</v>
      </c>
      <c r="R740" t="b">
        <v>0</v>
      </c>
      <c r="T740" t="s">
        <v>3748</v>
      </c>
      <c r="U740">
        <v>129</v>
      </c>
      <c r="V740" t="s">
        <v>4070</v>
      </c>
      <c r="W740">
        <v>2</v>
      </c>
      <c r="X740" t="s">
        <v>3988</v>
      </c>
      <c r="Y740" t="s">
        <v>3986</v>
      </c>
      <c r="Z740">
        <v>0</v>
      </c>
      <c r="AA740" t="s">
        <v>2493</v>
      </c>
      <c r="AB740" t="s">
        <v>4037</v>
      </c>
      <c r="AC740" t="s">
        <v>3805</v>
      </c>
      <c r="AD740" t="s">
        <v>3986</v>
      </c>
    </row>
    <row r="741" spans="1:30" x14ac:dyDescent="0.25">
      <c r="A741" t="s">
        <v>3460</v>
      </c>
      <c r="B741">
        <v>7</v>
      </c>
      <c r="C741" t="s">
        <v>3310</v>
      </c>
      <c r="D741" t="b">
        <v>0</v>
      </c>
      <c r="E741" t="b">
        <v>1</v>
      </c>
      <c r="F741" t="s">
        <v>3986</v>
      </c>
      <c r="G741" t="s">
        <v>3986</v>
      </c>
      <c r="H741" t="s">
        <v>3986</v>
      </c>
      <c r="I741" t="s">
        <v>3359</v>
      </c>
      <c r="J741" t="s">
        <v>3986</v>
      </c>
      <c r="K741" t="s">
        <v>4963</v>
      </c>
      <c r="L741" t="s">
        <v>4964</v>
      </c>
      <c r="M741" t="s">
        <v>2781</v>
      </c>
      <c r="N741">
        <v>247</v>
      </c>
      <c r="O741" t="b">
        <v>1</v>
      </c>
      <c r="P741" t="b">
        <v>0</v>
      </c>
      <c r="Q741" t="b">
        <v>0</v>
      </c>
      <c r="R741" t="b">
        <v>0</v>
      </c>
      <c r="T741" t="s">
        <v>3748</v>
      </c>
      <c r="U741">
        <v>130</v>
      </c>
      <c r="V741" t="s">
        <v>4071</v>
      </c>
      <c r="W741">
        <v>2</v>
      </c>
      <c r="X741" t="s">
        <v>3988</v>
      </c>
      <c r="Y741" t="s">
        <v>3986</v>
      </c>
      <c r="Z741">
        <v>0</v>
      </c>
      <c r="AA741" t="s">
        <v>2493</v>
      </c>
      <c r="AB741" t="s">
        <v>4037</v>
      </c>
      <c r="AC741" t="s">
        <v>3805</v>
      </c>
      <c r="AD741" t="s">
        <v>3986</v>
      </c>
    </row>
    <row r="742" spans="1:30" x14ac:dyDescent="0.25">
      <c r="A742" t="s">
        <v>3460</v>
      </c>
      <c r="B742">
        <v>5</v>
      </c>
      <c r="C742" t="s">
        <v>3310</v>
      </c>
      <c r="D742" t="b">
        <v>0</v>
      </c>
      <c r="E742" t="b">
        <v>1</v>
      </c>
      <c r="F742" t="s">
        <v>3986</v>
      </c>
      <c r="G742" t="s">
        <v>3986</v>
      </c>
      <c r="H742" t="s">
        <v>3986</v>
      </c>
      <c r="I742" t="s">
        <v>3986</v>
      </c>
      <c r="J742" t="s">
        <v>3359</v>
      </c>
      <c r="K742" t="s">
        <v>3489</v>
      </c>
      <c r="L742" t="s">
        <v>4965</v>
      </c>
      <c r="M742" t="s">
        <v>1432</v>
      </c>
      <c r="N742">
        <v>37</v>
      </c>
      <c r="O742" t="b">
        <v>1</v>
      </c>
      <c r="P742" t="b">
        <v>0</v>
      </c>
      <c r="Q742" t="b">
        <v>0</v>
      </c>
      <c r="R742" t="b">
        <v>0</v>
      </c>
      <c r="T742" t="s">
        <v>3748</v>
      </c>
      <c r="U742">
        <v>131</v>
      </c>
      <c r="V742" t="s">
        <v>4064</v>
      </c>
      <c r="W742">
        <v>2</v>
      </c>
      <c r="X742" t="s">
        <v>3988</v>
      </c>
      <c r="Y742" t="s">
        <v>3986</v>
      </c>
      <c r="Z742">
        <v>0</v>
      </c>
      <c r="AA742" t="s">
        <v>2493</v>
      </c>
      <c r="AB742" t="s">
        <v>4037</v>
      </c>
      <c r="AC742" t="s">
        <v>3805</v>
      </c>
      <c r="AD742" t="s">
        <v>3986</v>
      </c>
    </row>
    <row r="743" spans="1:30" x14ac:dyDescent="0.25">
      <c r="A743" t="s">
        <v>3460</v>
      </c>
      <c r="B743">
        <v>5</v>
      </c>
      <c r="C743" t="s">
        <v>3310</v>
      </c>
      <c r="D743" t="b">
        <v>0</v>
      </c>
      <c r="E743" t="b">
        <v>1</v>
      </c>
      <c r="F743" t="s">
        <v>3986</v>
      </c>
      <c r="G743" t="s">
        <v>3986</v>
      </c>
      <c r="H743" t="s">
        <v>3986</v>
      </c>
      <c r="I743" t="s">
        <v>3986</v>
      </c>
      <c r="J743" t="s">
        <v>3359</v>
      </c>
      <c r="K743" t="s">
        <v>3490</v>
      </c>
      <c r="L743" t="s">
        <v>4966</v>
      </c>
      <c r="M743" t="s">
        <v>1432</v>
      </c>
      <c r="N743">
        <v>46</v>
      </c>
      <c r="O743" t="b">
        <v>1</v>
      </c>
      <c r="P743" t="b">
        <v>0</v>
      </c>
      <c r="Q743" t="b">
        <v>0</v>
      </c>
      <c r="R743" t="b">
        <v>0</v>
      </c>
      <c r="T743" t="s">
        <v>3748</v>
      </c>
      <c r="U743">
        <v>132</v>
      </c>
      <c r="V743" t="s">
        <v>4072</v>
      </c>
      <c r="W743">
        <v>2</v>
      </c>
      <c r="X743" t="s">
        <v>3988</v>
      </c>
      <c r="Y743" t="s">
        <v>3986</v>
      </c>
      <c r="Z743">
        <v>0</v>
      </c>
      <c r="AA743" t="s">
        <v>2493</v>
      </c>
      <c r="AB743" t="s">
        <v>4037</v>
      </c>
      <c r="AC743" t="s">
        <v>3805</v>
      </c>
      <c r="AD743" t="s">
        <v>3986</v>
      </c>
    </row>
    <row r="744" spans="1:30" x14ac:dyDescent="0.25">
      <c r="T744" t="s">
        <v>3748</v>
      </c>
      <c r="U744">
        <v>183</v>
      </c>
      <c r="V744" t="s">
        <v>4103</v>
      </c>
      <c r="W744">
        <v>2</v>
      </c>
      <c r="X744" t="s">
        <v>3988</v>
      </c>
      <c r="Y744" t="s">
        <v>3986</v>
      </c>
      <c r="Z744">
        <v>0</v>
      </c>
      <c r="AA744" t="s">
        <v>2493</v>
      </c>
      <c r="AB744" t="s">
        <v>4037</v>
      </c>
      <c r="AC744" t="s">
        <v>3805</v>
      </c>
      <c r="AD744" t="s">
        <v>3986</v>
      </c>
    </row>
    <row r="745" spans="1:30" x14ac:dyDescent="0.25">
      <c r="T745" t="s">
        <v>3748</v>
      </c>
      <c r="U745">
        <v>184</v>
      </c>
      <c r="V745" t="s">
        <v>4112</v>
      </c>
      <c r="W745">
        <v>2</v>
      </c>
      <c r="X745" t="s">
        <v>3988</v>
      </c>
      <c r="Y745" t="s">
        <v>3986</v>
      </c>
      <c r="Z745">
        <v>0</v>
      </c>
      <c r="AA745" t="s">
        <v>2493</v>
      </c>
      <c r="AB745" t="s">
        <v>4037</v>
      </c>
      <c r="AC745" t="s">
        <v>3805</v>
      </c>
      <c r="AD745" t="s">
        <v>3986</v>
      </c>
    </row>
    <row r="746" spans="1:30" x14ac:dyDescent="0.25">
      <c r="T746" t="s">
        <v>3748</v>
      </c>
      <c r="U746">
        <v>185</v>
      </c>
      <c r="V746" t="s">
        <v>4967</v>
      </c>
      <c r="W746">
        <v>2</v>
      </c>
      <c r="X746" t="s">
        <v>3988</v>
      </c>
      <c r="Y746" t="s">
        <v>3986</v>
      </c>
      <c r="Z746">
        <v>0</v>
      </c>
      <c r="AA746" t="s">
        <v>2493</v>
      </c>
      <c r="AB746" t="s">
        <v>4037</v>
      </c>
      <c r="AC746" t="s">
        <v>3805</v>
      </c>
      <c r="AD746" t="s">
        <v>3986</v>
      </c>
    </row>
    <row r="747" spans="1:30" x14ac:dyDescent="0.25">
      <c r="T747" t="s">
        <v>3748</v>
      </c>
      <c r="U747">
        <v>195</v>
      </c>
      <c r="V747" t="s">
        <v>4093</v>
      </c>
      <c r="W747">
        <v>2</v>
      </c>
      <c r="X747" t="s">
        <v>3988</v>
      </c>
      <c r="Y747" t="s">
        <v>3986</v>
      </c>
      <c r="Z747">
        <v>0</v>
      </c>
      <c r="AA747" t="s">
        <v>2493</v>
      </c>
      <c r="AB747" t="s">
        <v>4037</v>
      </c>
      <c r="AC747" t="s">
        <v>3805</v>
      </c>
      <c r="AD747" t="s">
        <v>3986</v>
      </c>
    </row>
    <row r="748" spans="1:30" x14ac:dyDescent="0.25">
      <c r="T748" t="s">
        <v>3748</v>
      </c>
      <c r="U748">
        <v>196</v>
      </c>
      <c r="V748" t="s">
        <v>4902</v>
      </c>
      <c r="W748">
        <v>2</v>
      </c>
      <c r="X748" t="s">
        <v>3988</v>
      </c>
      <c r="Y748" t="s">
        <v>3986</v>
      </c>
      <c r="Z748">
        <v>0</v>
      </c>
      <c r="AA748" t="s">
        <v>2493</v>
      </c>
      <c r="AB748" t="s">
        <v>4037</v>
      </c>
      <c r="AC748" t="s">
        <v>3805</v>
      </c>
      <c r="AD748" t="s">
        <v>3986</v>
      </c>
    </row>
    <row r="749" spans="1:30" x14ac:dyDescent="0.25">
      <c r="T749" t="s">
        <v>3748</v>
      </c>
      <c r="U749">
        <v>197</v>
      </c>
      <c r="V749" t="s">
        <v>4903</v>
      </c>
      <c r="W749">
        <v>2</v>
      </c>
      <c r="X749" t="s">
        <v>3988</v>
      </c>
      <c r="Y749" t="s">
        <v>3986</v>
      </c>
      <c r="Z749">
        <v>0</v>
      </c>
      <c r="AA749" t="s">
        <v>2493</v>
      </c>
      <c r="AB749" t="s">
        <v>4037</v>
      </c>
      <c r="AC749" t="s">
        <v>3805</v>
      </c>
      <c r="AD749" t="s">
        <v>3986</v>
      </c>
    </row>
    <row r="750" spans="1:30" x14ac:dyDescent="0.25">
      <c r="T750" t="s">
        <v>3748</v>
      </c>
      <c r="U750">
        <v>198</v>
      </c>
      <c r="V750" t="s">
        <v>4094</v>
      </c>
      <c r="W750">
        <v>2</v>
      </c>
      <c r="X750" t="s">
        <v>3988</v>
      </c>
      <c r="Y750" t="s">
        <v>3986</v>
      </c>
      <c r="Z750">
        <v>0</v>
      </c>
      <c r="AA750" t="s">
        <v>2493</v>
      </c>
      <c r="AB750" t="s">
        <v>4037</v>
      </c>
      <c r="AC750" t="s">
        <v>3805</v>
      </c>
      <c r="AD750" t="s">
        <v>3986</v>
      </c>
    </row>
    <row r="751" spans="1:30" x14ac:dyDescent="0.25">
      <c r="T751" t="s">
        <v>3748</v>
      </c>
      <c r="U751">
        <v>210</v>
      </c>
      <c r="V751" t="s">
        <v>4900</v>
      </c>
      <c r="W751">
        <v>2</v>
      </c>
      <c r="X751" t="s">
        <v>3988</v>
      </c>
      <c r="Y751" t="s">
        <v>3986</v>
      </c>
      <c r="Z751">
        <v>0</v>
      </c>
      <c r="AA751" t="s">
        <v>2493</v>
      </c>
      <c r="AB751" t="s">
        <v>4037</v>
      </c>
      <c r="AC751" t="s">
        <v>3805</v>
      </c>
      <c r="AD751" t="s">
        <v>3986</v>
      </c>
    </row>
    <row r="752" spans="1:30" x14ac:dyDescent="0.25">
      <c r="T752" t="s">
        <v>3748</v>
      </c>
      <c r="U752">
        <v>211</v>
      </c>
      <c r="V752" t="s">
        <v>4086</v>
      </c>
      <c r="W752">
        <v>2</v>
      </c>
      <c r="X752" t="s">
        <v>3988</v>
      </c>
      <c r="Y752" t="s">
        <v>3986</v>
      </c>
      <c r="Z752">
        <v>0</v>
      </c>
      <c r="AA752" t="s">
        <v>2493</v>
      </c>
      <c r="AB752" t="s">
        <v>4037</v>
      </c>
      <c r="AC752" t="s">
        <v>3805</v>
      </c>
      <c r="AD752" t="s">
        <v>3986</v>
      </c>
    </row>
    <row r="753" spans="20:30" x14ac:dyDescent="0.25">
      <c r="T753" t="s">
        <v>3748</v>
      </c>
      <c r="U753">
        <v>9</v>
      </c>
      <c r="V753" t="s">
        <v>3996</v>
      </c>
      <c r="W753">
        <v>2</v>
      </c>
      <c r="X753" t="s">
        <v>3989</v>
      </c>
      <c r="Y753" t="s">
        <v>3986</v>
      </c>
      <c r="Z753">
        <v>0</v>
      </c>
      <c r="AA753" t="s">
        <v>2493</v>
      </c>
      <c r="AB753" t="s">
        <v>3987</v>
      </c>
      <c r="AC753" t="s">
        <v>3508</v>
      </c>
      <c r="AD753" t="s">
        <v>3986</v>
      </c>
    </row>
    <row r="754" spans="20:30" x14ac:dyDescent="0.25">
      <c r="T754" t="s">
        <v>3748</v>
      </c>
      <c r="U754">
        <v>13</v>
      </c>
      <c r="V754" t="s">
        <v>4000</v>
      </c>
      <c r="W754">
        <v>2</v>
      </c>
      <c r="X754" t="s">
        <v>3989</v>
      </c>
      <c r="Y754" t="s">
        <v>3986</v>
      </c>
      <c r="Z754">
        <v>0</v>
      </c>
      <c r="AA754" t="s">
        <v>2493</v>
      </c>
      <c r="AB754" t="s">
        <v>3987</v>
      </c>
      <c r="AC754" t="s">
        <v>3508</v>
      </c>
      <c r="AD754" t="s">
        <v>3986</v>
      </c>
    </row>
    <row r="755" spans="20:30" x14ac:dyDescent="0.25">
      <c r="T755" t="s">
        <v>3748</v>
      </c>
      <c r="U755">
        <v>18</v>
      </c>
      <c r="V755" t="s">
        <v>4031</v>
      </c>
      <c r="W755">
        <v>2</v>
      </c>
      <c r="X755" t="s">
        <v>3990</v>
      </c>
      <c r="Y755" t="s">
        <v>3986</v>
      </c>
      <c r="Z755">
        <v>0</v>
      </c>
      <c r="AA755" t="s">
        <v>2493</v>
      </c>
      <c r="AB755" t="s">
        <v>3987</v>
      </c>
      <c r="AC755" t="s">
        <v>3508</v>
      </c>
      <c r="AD755" t="s">
        <v>3986</v>
      </c>
    </row>
    <row r="756" spans="20:30" x14ac:dyDescent="0.25">
      <c r="T756" t="s">
        <v>3748</v>
      </c>
      <c r="U756">
        <v>48</v>
      </c>
      <c r="V756" t="s">
        <v>4111</v>
      </c>
      <c r="W756">
        <v>2</v>
      </c>
      <c r="X756" t="s">
        <v>3990</v>
      </c>
      <c r="Y756" t="s">
        <v>3986</v>
      </c>
      <c r="Z756">
        <v>0</v>
      </c>
      <c r="AA756" t="s">
        <v>2493</v>
      </c>
      <c r="AB756" t="s">
        <v>3987</v>
      </c>
      <c r="AC756" t="s">
        <v>3508</v>
      </c>
      <c r="AD756" t="s">
        <v>3986</v>
      </c>
    </row>
    <row r="757" spans="20:30" x14ac:dyDescent="0.25">
      <c r="T757" t="s">
        <v>3748</v>
      </c>
      <c r="U757">
        <v>66</v>
      </c>
      <c r="V757" t="s">
        <v>4048</v>
      </c>
      <c r="W757">
        <v>2</v>
      </c>
      <c r="X757" t="s">
        <v>3990</v>
      </c>
      <c r="Y757" t="s">
        <v>3986</v>
      </c>
      <c r="Z757">
        <v>0</v>
      </c>
      <c r="AA757" t="s">
        <v>2493</v>
      </c>
      <c r="AB757" t="s">
        <v>3987</v>
      </c>
      <c r="AC757" t="s">
        <v>3508</v>
      </c>
      <c r="AD757" t="s">
        <v>3986</v>
      </c>
    </row>
    <row r="758" spans="20:30" x14ac:dyDescent="0.25">
      <c r="T758" t="s">
        <v>3748</v>
      </c>
      <c r="U758">
        <v>69</v>
      </c>
      <c r="V758" t="s">
        <v>4897</v>
      </c>
      <c r="W758">
        <v>2</v>
      </c>
      <c r="X758" t="s">
        <v>3990</v>
      </c>
      <c r="Y758" t="s">
        <v>3986</v>
      </c>
      <c r="Z758">
        <v>0</v>
      </c>
      <c r="AA758" t="s">
        <v>2493</v>
      </c>
      <c r="AB758" t="s">
        <v>3987</v>
      </c>
      <c r="AC758" t="s">
        <v>3508</v>
      </c>
      <c r="AD758" t="s">
        <v>3986</v>
      </c>
    </row>
    <row r="759" spans="20:30" x14ac:dyDescent="0.25">
      <c r="T759" t="s">
        <v>3748</v>
      </c>
      <c r="U759">
        <v>92</v>
      </c>
      <c r="V759" t="s">
        <v>4898</v>
      </c>
      <c r="W759">
        <v>2</v>
      </c>
      <c r="X759" t="s">
        <v>3990</v>
      </c>
      <c r="Y759" t="s">
        <v>3986</v>
      </c>
      <c r="Z759">
        <v>0</v>
      </c>
      <c r="AA759" t="s">
        <v>2493</v>
      </c>
      <c r="AB759" t="s">
        <v>3987</v>
      </c>
      <c r="AC759" t="s">
        <v>3508</v>
      </c>
      <c r="AD759" t="s">
        <v>3986</v>
      </c>
    </row>
    <row r="760" spans="20:30" x14ac:dyDescent="0.25">
      <c r="T760" t="s">
        <v>3748</v>
      </c>
      <c r="U760">
        <v>94</v>
      </c>
      <c r="V760" t="s">
        <v>4114</v>
      </c>
      <c r="W760">
        <v>2</v>
      </c>
      <c r="X760" t="s">
        <v>3990</v>
      </c>
      <c r="Y760" t="s">
        <v>3986</v>
      </c>
      <c r="Z760">
        <v>0</v>
      </c>
      <c r="AA760" t="s">
        <v>2493</v>
      </c>
      <c r="AB760" t="s">
        <v>3987</v>
      </c>
      <c r="AC760" t="s">
        <v>3508</v>
      </c>
      <c r="AD760" t="s">
        <v>3986</v>
      </c>
    </row>
    <row r="761" spans="20:30" x14ac:dyDescent="0.25">
      <c r="T761" t="s">
        <v>3748</v>
      </c>
      <c r="U761">
        <v>103</v>
      </c>
      <c r="V761" t="s">
        <v>4059</v>
      </c>
      <c r="W761">
        <v>2</v>
      </c>
      <c r="X761" t="s">
        <v>3990</v>
      </c>
      <c r="Y761" t="s">
        <v>3986</v>
      </c>
      <c r="Z761">
        <v>0</v>
      </c>
      <c r="AA761" t="s">
        <v>2493</v>
      </c>
      <c r="AB761" t="s">
        <v>3987</v>
      </c>
      <c r="AC761" t="s">
        <v>3508</v>
      </c>
      <c r="AD761" t="s">
        <v>3986</v>
      </c>
    </row>
    <row r="762" spans="20:30" x14ac:dyDescent="0.25">
      <c r="T762" t="s">
        <v>3748</v>
      </c>
      <c r="U762">
        <v>118</v>
      </c>
      <c r="V762" t="s">
        <v>4066</v>
      </c>
      <c r="W762">
        <v>2</v>
      </c>
      <c r="X762" t="s">
        <v>3990</v>
      </c>
      <c r="Y762" t="s">
        <v>3986</v>
      </c>
      <c r="Z762">
        <v>0</v>
      </c>
      <c r="AA762" t="s">
        <v>2493</v>
      </c>
      <c r="AB762" t="s">
        <v>3987</v>
      </c>
      <c r="AC762" t="s">
        <v>3508</v>
      </c>
      <c r="AD762" t="s">
        <v>3986</v>
      </c>
    </row>
    <row r="763" spans="20:30" x14ac:dyDescent="0.25">
      <c r="T763" t="s">
        <v>3748</v>
      </c>
      <c r="U763">
        <v>125</v>
      </c>
      <c r="V763" t="s">
        <v>4079</v>
      </c>
      <c r="W763">
        <v>2</v>
      </c>
      <c r="X763" t="s">
        <v>3990</v>
      </c>
      <c r="Y763" t="s">
        <v>3986</v>
      </c>
      <c r="Z763">
        <v>0</v>
      </c>
      <c r="AA763" t="s">
        <v>2493</v>
      </c>
      <c r="AB763" t="s">
        <v>3987</v>
      </c>
      <c r="AC763" t="s">
        <v>3508</v>
      </c>
      <c r="AD763" t="s">
        <v>3986</v>
      </c>
    </row>
    <row r="764" spans="20:30" x14ac:dyDescent="0.25">
      <c r="T764" t="s">
        <v>3748</v>
      </c>
      <c r="U764">
        <v>144</v>
      </c>
      <c r="V764" t="s">
        <v>4082</v>
      </c>
      <c r="W764">
        <v>2</v>
      </c>
      <c r="X764" t="s">
        <v>3990</v>
      </c>
      <c r="Y764" t="s">
        <v>3986</v>
      </c>
      <c r="Z764">
        <v>0</v>
      </c>
      <c r="AA764" t="s">
        <v>2493</v>
      </c>
      <c r="AB764" t="s">
        <v>3987</v>
      </c>
      <c r="AC764" t="s">
        <v>3508</v>
      </c>
      <c r="AD764" t="s">
        <v>3986</v>
      </c>
    </row>
    <row r="765" spans="20:30" x14ac:dyDescent="0.25">
      <c r="T765" t="s">
        <v>3748</v>
      </c>
      <c r="U765">
        <v>163</v>
      </c>
      <c r="V765" t="s">
        <v>4942</v>
      </c>
      <c r="W765">
        <v>2</v>
      </c>
      <c r="X765" t="s">
        <v>3990</v>
      </c>
      <c r="Y765" t="s">
        <v>3986</v>
      </c>
      <c r="Z765">
        <v>0</v>
      </c>
      <c r="AA765" t="s">
        <v>2493</v>
      </c>
      <c r="AB765" t="s">
        <v>3987</v>
      </c>
      <c r="AC765" t="s">
        <v>3508</v>
      </c>
      <c r="AD765" t="s">
        <v>3986</v>
      </c>
    </row>
    <row r="766" spans="20:30" x14ac:dyDescent="0.25">
      <c r="T766" t="s">
        <v>3748</v>
      </c>
      <c r="U766">
        <v>175</v>
      </c>
      <c r="V766" t="s">
        <v>4943</v>
      </c>
      <c r="W766">
        <v>2</v>
      </c>
      <c r="X766" t="s">
        <v>3990</v>
      </c>
      <c r="Y766" t="s">
        <v>3986</v>
      </c>
      <c r="Z766">
        <v>0</v>
      </c>
      <c r="AA766" t="s">
        <v>2493</v>
      </c>
      <c r="AB766" t="s">
        <v>3987</v>
      </c>
      <c r="AC766" t="s">
        <v>3508</v>
      </c>
      <c r="AD766" t="s">
        <v>3986</v>
      </c>
    </row>
    <row r="767" spans="20:30" x14ac:dyDescent="0.25">
      <c r="T767" t="s">
        <v>3748</v>
      </c>
      <c r="U767">
        <v>190</v>
      </c>
      <c r="V767" t="s">
        <v>4105</v>
      </c>
      <c r="W767">
        <v>2</v>
      </c>
      <c r="X767" t="s">
        <v>3990</v>
      </c>
      <c r="Y767" t="s">
        <v>3986</v>
      </c>
      <c r="Z767">
        <v>0</v>
      </c>
      <c r="AA767" t="s">
        <v>2493</v>
      </c>
      <c r="AB767" t="s">
        <v>3987</v>
      </c>
      <c r="AC767" t="s">
        <v>3508</v>
      </c>
      <c r="AD767" t="s">
        <v>3986</v>
      </c>
    </row>
    <row r="768" spans="20:30" x14ac:dyDescent="0.25">
      <c r="T768" t="s">
        <v>3748</v>
      </c>
      <c r="U768">
        <v>205</v>
      </c>
      <c r="V768" t="s">
        <v>4086</v>
      </c>
      <c r="W768">
        <v>2</v>
      </c>
      <c r="X768" t="s">
        <v>3990</v>
      </c>
      <c r="Y768" t="s">
        <v>3986</v>
      </c>
      <c r="Z768">
        <v>0</v>
      </c>
      <c r="AA768" t="s">
        <v>2493</v>
      </c>
      <c r="AB768" t="s">
        <v>3987</v>
      </c>
      <c r="AC768" t="s">
        <v>3508</v>
      </c>
      <c r="AD768" t="s">
        <v>3986</v>
      </c>
    </row>
    <row r="769" spans="20:30" x14ac:dyDescent="0.25">
      <c r="T769" t="s">
        <v>3748</v>
      </c>
      <c r="U769">
        <v>213</v>
      </c>
      <c r="V769" t="s">
        <v>4122</v>
      </c>
      <c r="W769">
        <v>2</v>
      </c>
      <c r="X769" t="s">
        <v>3990</v>
      </c>
      <c r="Y769" t="s">
        <v>3986</v>
      </c>
      <c r="Z769">
        <v>0</v>
      </c>
      <c r="AA769" t="s">
        <v>2493</v>
      </c>
      <c r="AB769" t="s">
        <v>3987</v>
      </c>
      <c r="AC769" t="s">
        <v>3508</v>
      </c>
      <c r="AD769" t="s">
        <v>3986</v>
      </c>
    </row>
    <row r="770" spans="20:30" x14ac:dyDescent="0.25">
      <c r="T770" t="s">
        <v>3748</v>
      </c>
      <c r="U770">
        <v>227</v>
      </c>
      <c r="V770" t="s">
        <v>4941</v>
      </c>
      <c r="W770">
        <v>2</v>
      </c>
      <c r="X770" t="s">
        <v>3990</v>
      </c>
      <c r="Y770" t="s">
        <v>3986</v>
      </c>
      <c r="Z770">
        <v>0</v>
      </c>
      <c r="AA770" t="s">
        <v>2493</v>
      </c>
      <c r="AB770" t="s">
        <v>3987</v>
      </c>
      <c r="AC770" t="s">
        <v>3508</v>
      </c>
      <c r="AD770" t="s">
        <v>3986</v>
      </c>
    </row>
    <row r="771" spans="20:30" x14ac:dyDescent="0.25">
      <c r="T771" t="s">
        <v>3748</v>
      </c>
      <c r="U771">
        <v>16</v>
      </c>
      <c r="V771" t="s">
        <v>4002</v>
      </c>
      <c r="W771">
        <v>2</v>
      </c>
      <c r="X771" t="s">
        <v>3990</v>
      </c>
      <c r="Y771" t="s">
        <v>3986</v>
      </c>
      <c r="Z771">
        <v>0</v>
      </c>
      <c r="AA771" t="s">
        <v>2493</v>
      </c>
      <c r="AB771" t="s">
        <v>3987</v>
      </c>
      <c r="AC771" t="s">
        <v>3509</v>
      </c>
      <c r="AD771" t="s">
        <v>3986</v>
      </c>
    </row>
    <row r="772" spans="20:30" x14ac:dyDescent="0.25">
      <c r="T772" t="s">
        <v>3749</v>
      </c>
      <c r="U772">
        <v>0</v>
      </c>
      <c r="V772" t="s">
        <v>3986</v>
      </c>
      <c r="W772">
        <v>1</v>
      </c>
      <c r="X772" t="s">
        <v>3986</v>
      </c>
      <c r="Y772" t="s">
        <v>3986</v>
      </c>
      <c r="Z772">
        <v>8</v>
      </c>
      <c r="AA772" t="s">
        <v>2493</v>
      </c>
      <c r="AB772" t="s">
        <v>3986</v>
      </c>
      <c r="AC772" t="s">
        <v>3986</v>
      </c>
      <c r="AD772" t="s">
        <v>3986</v>
      </c>
    </row>
    <row r="773" spans="20:30" x14ac:dyDescent="0.25">
      <c r="T773" t="s">
        <v>3749</v>
      </c>
      <c r="U773">
        <v>0</v>
      </c>
      <c r="V773" t="s">
        <v>3986</v>
      </c>
      <c r="W773">
        <v>2</v>
      </c>
      <c r="X773" t="s">
        <v>3986</v>
      </c>
      <c r="Y773" t="s">
        <v>3986</v>
      </c>
      <c r="Z773">
        <v>95</v>
      </c>
      <c r="AA773" t="s">
        <v>2493</v>
      </c>
      <c r="AB773" t="s">
        <v>3986</v>
      </c>
      <c r="AC773" t="s">
        <v>3986</v>
      </c>
      <c r="AD773" t="s">
        <v>3986</v>
      </c>
    </row>
    <row r="774" spans="20:30" x14ac:dyDescent="0.25">
      <c r="T774" t="s">
        <v>3749</v>
      </c>
      <c r="U774">
        <v>0</v>
      </c>
      <c r="V774" t="s">
        <v>3986</v>
      </c>
      <c r="W774">
        <v>3</v>
      </c>
      <c r="X774" t="s">
        <v>3986</v>
      </c>
      <c r="Y774" t="s">
        <v>3986</v>
      </c>
      <c r="Z774">
        <v>25</v>
      </c>
      <c r="AA774" t="s">
        <v>2493</v>
      </c>
      <c r="AB774" t="s">
        <v>3986</v>
      </c>
      <c r="AC774" t="s">
        <v>3986</v>
      </c>
      <c r="AD774" t="s">
        <v>3986</v>
      </c>
    </row>
    <row r="775" spans="20:30" x14ac:dyDescent="0.25">
      <c r="T775" t="s">
        <v>3749</v>
      </c>
      <c r="U775">
        <v>0</v>
      </c>
      <c r="V775" t="s">
        <v>3986</v>
      </c>
      <c r="W775">
        <v>4</v>
      </c>
      <c r="X775" t="s">
        <v>3986</v>
      </c>
      <c r="Y775" t="s">
        <v>3986</v>
      </c>
      <c r="Z775">
        <v>25</v>
      </c>
      <c r="AA775" t="s">
        <v>2493</v>
      </c>
      <c r="AB775" t="s">
        <v>3986</v>
      </c>
      <c r="AC775" t="s">
        <v>3986</v>
      </c>
      <c r="AD775" t="s">
        <v>3986</v>
      </c>
    </row>
    <row r="776" spans="20:30" x14ac:dyDescent="0.25">
      <c r="T776" t="s">
        <v>3749</v>
      </c>
      <c r="U776">
        <v>0</v>
      </c>
      <c r="V776" t="s">
        <v>3986</v>
      </c>
      <c r="W776">
        <v>5</v>
      </c>
      <c r="X776" t="s">
        <v>3986</v>
      </c>
      <c r="Y776" t="s">
        <v>3986</v>
      </c>
      <c r="Z776">
        <v>4</v>
      </c>
      <c r="AA776" t="s">
        <v>2493</v>
      </c>
      <c r="AB776" t="s">
        <v>3986</v>
      </c>
      <c r="AC776" t="s">
        <v>3986</v>
      </c>
      <c r="AD776" t="s">
        <v>3986</v>
      </c>
    </row>
    <row r="777" spans="20:30" x14ac:dyDescent="0.25">
      <c r="T777" t="s">
        <v>3749</v>
      </c>
      <c r="U777">
        <v>0</v>
      </c>
      <c r="V777" t="s">
        <v>3986</v>
      </c>
      <c r="W777">
        <v>6</v>
      </c>
      <c r="X777" t="s">
        <v>3986</v>
      </c>
      <c r="Y777" t="s">
        <v>3986</v>
      </c>
      <c r="Z777">
        <v>55</v>
      </c>
      <c r="AA777" t="s">
        <v>2493</v>
      </c>
      <c r="AB777" t="s">
        <v>3986</v>
      </c>
      <c r="AC777" t="s">
        <v>3986</v>
      </c>
      <c r="AD777" t="s">
        <v>3986</v>
      </c>
    </row>
    <row r="778" spans="20:30" x14ac:dyDescent="0.25">
      <c r="T778" t="s">
        <v>3750</v>
      </c>
      <c r="U778">
        <v>1</v>
      </c>
      <c r="V778" t="s">
        <v>4941</v>
      </c>
      <c r="W778">
        <v>3</v>
      </c>
      <c r="X778" t="s">
        <v>3990</v>
      </c>
      <c r="Y778" t="s">
        <v>4126</v>
      </c>
      <c r="Z778">
        <v>0</v>
      </c>
      <c r="AA778" t="s">
        <v>2493</v>
      </c>
      <c r="AB778" t="s">
        <v>3986</v>
      </c>
      <c r="AC778" t="s">
        <v>3986</v>
      </c>
      <c r="AD778" t="s">
        <v>3986</v>
      </c>
    </row>
    <row r="779" spans="20:30" x14ac:dyDescent="0.25">
      <c r="T779" t="s">
        <v>3750</v>
      </c>
      <c r="U779">
        <v>116</v>
      </c>
      <c r="V779" t="s">
        <v>4059</v>
      </c>
      <c r="W779">
        <v>3</v>
      </c>
      <c r="X779" t="s">
        <v>3990</v>
      </c>
      <c r="Y779" t="s">
        <v>4127</v>
      </c>
      <c r="Z779">
        <v>0</v>
      </c>
      <c r="AA779" t="s">
        <v>2493</v>
      </c>
      <c r="AB779" t="s">
        <v>3986</v>
      </c>
      <c r="AC779" t="s">
        <v>3986</v>
      </c>
      <c r="AD779" t="s">
        <v>3986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0">
    <tabColor rgb="FFD4ECF9"/>
    <pageSetUpPr fitToPage="1"/>
  </sheetPr>
  <dimension ref="A1:F1117"/>
  <sheetViews>
    <sheetView showGridLines="0" zoomScale="90" zoomScaleNormal="90" workbookViewId="0"/>
  </sheetViews>
  <sheetFormatPr baseColWidth="10" defaultColWidth="8.5703125" defaultRowHeight="12.75" customHeight="1" x14ac:dyDescent="0.25"/>
  <cols>
    <col min="1" max="1" width="5.5703125" style="184" customWidth="1"/>
    <col min="2" max="2" width="137.42578125" style="184" customWidth="1"/>
    <col min="3" max="3" width="23.5703125" style="186" customWidth="1"/>
    <col min="4" max="4" width="52.42578125" style="186" bestFit="1" customWidth="1"/>
    <col min="5" max="16384" width="8.5703125" style="186"/>
  </cols>
  <sheetData>
    <row r="1" spans="1:6" s="183" customFormat="1" ht="20.100000000000001" customHeight="1" x14ac:dyDescent="0.25">
      <c r="A1" s="21">
        <v>3</v>
      </c>
      <c r="B1" s="680" t="str">
        <f>VLOOKUP("T.03.01",Translation,LanguageNo+1,FALSE)</f>
        <v>SST-Checkliste</v>
      </c>
      <c r="C1" s="181"/>
      <c r="D1" s="181"/>
      <c r="E1" s="182"/>
      <c r="F1" s="182"/>
    </row>
    <row r="2" spans="1:6" s="183" customFormat="1" ht="14.25" customHeight="1" x14ac:dyDescent="0.25">
      <c r="A2" s="21"/>
      <c r="B2" s="22"/>
      <c r="C2" s="181"/>
      <c r="D2" s="181"/>
      <c r="E2" s="182"/>
      <c r="F2" s="182"/>
    </row>
    <row r="3" spans="1:6" s="183" customFormat="1" ht="14.25" customHeight="1" x14ac:dyDescent="0.25">
      <c r="A3" s="21"/>
      <c r="B3" s="22"/>
      <c r="C3" s="181"/>
      <c r="D3" s="181"/>
      <c r="E3" s="182"/>
      <c r="F3" s="182"/>
    </row>
    <row r="4" spans="1:6" ht="14.25" customHeight="1" x14ac:dyDescent="0.25">
      <c r="B4" s="185"/>
      <c r="C4" s="184"/>
      <c r="D4" s="184"/>
      <c r="E4" s="184"/>
      <c r="F4" s="184"/>
    </row>
    <row r="5" spans="1:6" ht="14.25" customHeight="1" x14ac:dyDescent="0.25">
      <c r="B5" s="187"/>
      <c r="C5" s="184"/>
      <c r="D5" s="184"/>
      <c r="E5" s="184"/>
      <c r="F5" s="184"/>
    </row>
    <row r="6" spans="1:6" s="189" customFormat="1" ht="33.75" customHeight="1" x14ac:dyDescent="0.25">
      <c r="A6" s="188"/>
      <c r="B6" s="1007"/>
      <c r="C6" s="1008" t="str">
        <f>VLOOKUP("T.03.15",Translation,LanguageNo+1,FALSE)</f>
        <v>Ja / Nein</v>
      </c>
      <c r="D6" s="1009" t="str">
        <f>VLOOKUP("T.03.16",Translation,LanguageNo+1,FALSE)</f>
        <v xml:space="preserve">Kommentar bzw. Verweis auf den diesbezüglich relevanten Abschnitt im SST-Bericht </v>
      </c>
      <c r="E6" s="188"/>
      <c r="F6" s="188"/>
    </row>
    <row r="7" spans="1:6" s="193" customFormat="1" ht="14.25" customHeight="1" x14ac:dyDescent="0.25">
      <c r="A7" s="190"/>
      <c r="B7" s="191" t="str">
        <f>VLOOKUP("T.03.02",Translation,LanguageNo+1,FALSE)</f>
        <v>Marktrisiko</v>
      </c>
      <c r="C7" s="192"/>
      <c r="D7" s="192"/>
      <c r="E7" s="190"/>
      <c r="F7" s="188"/>
    </row>
    <row r="8" spans="1:6" s="193" customFormat="1" ht="14.25" customHeight="1" x14ac:dyDescent="0.25">
      <c r="A8" s="190"/>
      <c r="B8" s="525" t="str">
        <f>VLOOKUP("T.03.03",Translation,LanguageNo+1,FALSE)</f>
        <v>Gibt es seit der letzten SST-Erhebung nennenswerte Veränderungen in der Asset- und Liabilitystruktur?</v>
      </c>
      <c r="C8" s="194"/>
      <c r="D8" s="194"/>
      <c r="E8" s="190"/>
      <c r="F8" s="188"/>
    </row>
    <row r="9" spans="1:6" s="189" customFormat="1" ht="14.25" customHeight="1" x14ac:dyDescent="0.25">
      <c r="A9" s="188"/>
      <c r="B9" s="195" t="str">
        <f>VLOOKUP("T.03.04",Translation,LanguageNo+1,FALSE)</f>
        <v xml:space="preserve">Gibt es in der SST-Bilanz Positionen, deren Risiko durch die verwendeten Risikofaktoren nicht oder nur ungenügend erfasst wird ? </v>
      </c>
      <c r="C9" s="194"/>
      <c r="D9" s="194"/>
      <c r="E9" s="188"/>
      <c r="F9" s="188"/>
    </row>
    <row r="10" spans="1:6" s="189" customFormat="1" ht="14.25" customHeight="1" x14ac:dyDescent="0.25">
      <c r="A10" s="188"/>
      <c r="B10" s="195" t="str">
        <f>VLOOKUP("T.03.05",Translation,LanguageNo+1,FALSE)</f>
        <v xml:space="preserve">Liegt ein Exposure gegenüber einer Fremdwährung vor, die nicht als Risikofaktor vorhanden ist? </v>
      </c>
      <c r="C10" s="194"/>
      <c r="D10" s="194"/>
      <c r="E10" s="188"/>
      <c r="F10" s="188"/>
    </row>
    <row r="11" spans="1:6" s="189" customFormat="1" ht="14.25" customHeight="1" x14ac:dyDescent="0.25">
      <c r="A11" s="188"/>
      <c r="B11" s="304" t="str">
        <f>VLOOKUP("T.03.06",Translation,LanguageNo+1,FALSE)</f>
        <v>Versicherungstechnisches Risiko</v>
      </c>
      <c r="C11" s="196"/>
      <c r="D11" s="196"/>
      <c r="E11" s="188"/>
      <c r="F11" s="188"/>
    </row>
    <row r="12" spans="1:6" s="189" customFormat="1" ht="14.25" customHeight="1" x14ac:dyDescent="0.25">
      <c r="A12" s="188"/>
      <c r="B12" s="733" t="str">
        <f>VLOOKUP("T.03.07",Translation,LanguageNo+1,FALSE)</f>
        <v>Gibt es nennenswerte Anpassungen in der Zeichnungspolitik seit dem letzten SST?</v>
      </c>
      <c r="C12" s="194"/>
      <c r="D12" s="194"/>
      <c r="E12" s="188"/>
      <c r="F12" s="188"/>
    </row>
    <row r="13" spans="1:6" s="189" customFormat="1" ht="14.25" customHeight="1" x14ac:dyDescent="0.25">
      <c r="A13" s="188"/>
      <c r="B13" s="733" t="str">
        <f>VLOOKUP("T.03.08",Translation,LanguageNo+1,FALSE)</f>
        <v>Gibt es nennenswerte Veränderungen in der Zusammensetzung der versicherungstechnischen Risiken seit dem letzten SST?</v>
      </c>
      <c r="C13" s="194"/>
      <c r="D13" s="194"/>
      <c r="E13" s="188"/>
      <c r="F13" s="188"/>
    </row>
    <row r="14" spans="1:6" s="189" customFormat="1" ht="14.25" customHeight="1" x14ac:dyDescent="0.25">
      <c r="A14" s="188"/>
      <c r="B14" s="733" t="str">
        <f>VLOOKUP("T.03.09",Translation,LanguageNo+1,FALSE)</f>
        <v>Gibt es nach Ihrer Einschätzung nennenswerte Veränderungen bei möglichen Risikokonzentrationen seit dem letzten SST?</v>
      </c>
      <c r="C14" s="194"/>
      <c r="D14" s="194"/>
      <c r="E14" s="188"/>
      <c r="F14" s="188"/>
    </row>
    <row r="15" spans="1:6" s="199" customFormat="1" ht="14.25" customHeight="1" x14ac:dyDescent="0.25">
      <c r="A15" s="197"/>
      <c r="B15" s="245" t="str">
        <f>VLOOKUP("T.03.10",Translation,LanguageNo+1,FALSE)</f>
        <v>Szenarien</v>
      </c>
      <c r="C15" s="198"/>
      <c r="D15" s="198"/>
      <c r="E15" s="197"/>
      <c r="F15" s="188"/>
    </row>
    <row r="16" spans="1:6" s="199" customFormat="1" ht="14.25" customHeight="1" x14ac:dyDescent="0.25">
      <c r="A16" s="197"/>
      <c r="B16" s="289" t="str">
        <f>VLOOKUP("T.03.11",Translation,LanguageNo+1,FALSE)</f>
        <v>Werden unternehmensspezifische Szenarien aggregiert?</v>
      </c>
      <c r="C16" s="194"/>
      <c r="D16" s="194"/>
      <c r="E16" s="197"/>
      <c r="F16" s="188"/>
    </row>
    <row r="17" spans="1:6" s="199" customFormat="1" ht="14.25" customHeight="1" x14ac:dyDescent="0.25">
      <c r="A17" s="197"/>
      <c r="B17" s="289" t="str">
        <f>VLOOKUP("T.03.12",Translation,LanguageNo+1,FALSE)</f>
        <v>Werden insbesondere Szenarien zur Abbildung von Kumulrisiken aggregiert? (bspw. Immobilienszenario)</v>
      </c>
      <c r="C17" s="194"/>
      <c r="D17" s="194"/>
      <c r="E17" s="197"/>
      <c r="F17" s="188"/>
    </row>
    <row r="18" spans="1:6" s="199" customFormat="1" ht="14.25" customHeight="1" x14ac:dyDescent="0.25">
      <c r="A18" s="197"/>
      <c r="B18" s="245" t="str">
        <f>VLOOKUP("T.03.13",Translation,LanguageNo+1,FALSE)</f>
        <v>Kreditrisiko</v>
      </c>
      <c r="C18" s="198"/>
      <c r="D18" s="198"/>
      <c r="E18" s="197"/>
      <c r="F18" s="188"/>
    </row>
    <row r="19" spans="1:6" s="199" customFormat="1" ht="14.25" customHeight="1" x14ac:dyDescent="0.25">
      <c r="A19" s="197"/>
      <c r="B19" s="200" t="str">
        <f>VLOOKUP("T.03.14",Translation,LanguageNo+1,FALSE)</f>
        <v>Gab es nennenswerte Veränderungen im Kreditrisikoexposure seit dem letzten SST?</v>
      </c>
      <c r="C19" s="734"/>
      <c r="D19" s="201"/>
      <c r="E19" s="197"/>
      <c r="F19" s="188"/>
    </row>
    <row r="20" spans="1:6" s="189" customFormat="1" ht="12.75" customHeight="1" x14ac:dyDescent="0.25">
      <c r="A20" s="188"/>
      <c r="B20" s="202"/>
      <c r="C20" s="202"/>
      <c r="D20" s="203"/>
      <c r="E20" s="188"/>
      <c r="F20" s="188"/>
    </row>
    <row r="21" spans="1:6" ht="12.75" customHeight="1" x14ac:dyDescent="0.25">
      <c r="C21" s="184"/>
      <c r="D21" s="184"/>
      <c r="E21" s="184"/>
      <c r="F21" s="184"/>
    </row>
    <row r="22" spans="1:6" ht="12.75" customHeight="1" x14ac:dyDescent="0.25">
      <c r="C22" s="184"/>
      <c r="D22" s="184"/>
      <c r="E22" s="184"/>
      <c r="F22" s="184"/>
    </row>
    <row r="23" spans="1:6" ht="12.75" customHeight="1" x14ac:dyDescent="0.25">
      <c r="C23" s="184"/>
      <c r="D23" s="184"/>
      <c r="E23" s="184"/>
      <c r="F23" s="184"/>
    </row>
    <row r="24" spans="1:6" ht="12.75" customHeight="1" x14ac:dyDescent="0.25">
      <c r="C24" s="184"/>
      <c r="D24" s="184"/>
      <c r="E24" s="184"/>
      <c r="F24" s="184"/>
    </row>
    <row r="25" spans="1:6" ht="12.75" customHeight="1" x14ac:dyDescent="0.25">
      <c r="C25" s="184"/>
      <c r="D25" s="184"/>
      <c r="E25" s="184"/>
      <c r="F25" s="184"/>
    </row>
    <row r="26" spans="1:6" ht="12.75" customHeight="1" x14ac:dyDescent="0.25">
      <c r="C26" s="184"/>
      <c r="D26" s="184"/>
      <c r="E26" s="184"/>
      <c r="F26" s="184"/>
    </row>
    <row r="27" spans="1:6" ht="12.75" customHeight="1" x14ac:dyDescent="0.25">
      <c r="C27" s="184"/>
      <c r="D27" s="184"/>
      <c r="E27" s="184"/>
      <c r="F27" s="184"/>
    </row>
    <row r="28" spans="1:6" ht="12.75" customHeight="1" x14ac:dyDescent="0.25">
      <c r="C28" s="184"/>
      <c r="D28" s="184"/>
      <c r="E28" s="184"/>
      <c r="F28" s="184"/>
    </row>
    <row r="29" spans="1:6" ht="12.75" customHeight="1" x14ac:dyDescent="0.25">
      <c r="C29" s="184"/>
      <c r="D29" s="184"/>
      <c r="E29" s="184"/>
      <c r="F29" s="184"/>
    </row>
    <row r="30" spans="1:6" ht="12.75" customHeight="1" x14ac:dyDescent="0.25">
      <c r="C30" s="184"/>
      <c r="D30" s="184"/>
      <c r="E30" s="184"/>
      <c r="F30" s="184"/>
    </row>
    <row r="31" spans="1:6" ht="12.75" customHeight="1" x14ac:dyDescent="0.25">
      <c r="C31" s="184"/>
      <c r="D31" s="184"/>
      <c r="E31" s="184"/>
      <c r="F31" s="184"/>
    </row>
    <row r="32" spans="1:6" ht="12.75" customHeight="1" x14ac:dyDescent="0.25">
      <c r="C32" s="184"/>
      <c r="D32" s="184"/>
      <c r="E32" s="184"/>
      <c r="F32" s="184"/>
    </row>
    <row r="33" spans="3:6" ht="12.75" customHeight="1" x14ac:dyDescent="0.25">
      <c r="C33" s="184"/>
      <c r="D33" s="184"/>
      <c r="E33" s="184"/>
      <c r="F33" s="184"/>
    </row>
    <row r="34" spans="3:6" ht="12.75" customHeight="1" x14ac:dyDescent="0.25">
      <c r="C34" s="184"/>
      <c r="D34" s="184"/>
      <c r="E34" s="184"/>
      <c r="F34" s="184"/>
    </row>
    <row r="35" spans="3:6" ht="12.75" customHeight="1" x14ac:dyDescent="0.25">
      <c r="C35" s="184"/>
      <c r="D35" s="184"/>
      <c r="E35" s="184"/>
      <c r="F35" s="184"/>
    </row>
    <row r="36" spans="3:6" ht="12.75" customHeight="1" x14ac:dyDescent="0.25">
      <c r="C36" s="184"/>
      <c r="D36" s="184"/>
      <c r="E36" s="184"/>
      <c r="F36" s="184"/>
    </row>
    <row r="37" spans="3:6" ht="12.75" customHeight="1" x14ac:dyDescent="0.25">
      <c r="C37" s="184"/>
      <c r="D37" s="184"/>
      <c r="E37" s="184"/>
      <c r="F37" s="184"/>
    </row>
    <row r="38" spans="3:6" ht="12.75" customHeight="1" x14ac:dyDescent="0.25">
      <c r="C38" s="184"/>
      <c r="D38" s="184"/>
      <c r="E38" s="184"/>
      <c r="F38" s="184"/>
    </row>
    <row r="39" spans="3:6" ht="12.75" customHeight="1" x14ac:dyDescent="0.25">
      <c r="C39" s="184"/>
      <c r="D39" s="184"/>
      <c r="E39" s="184"/>
      <c r="F39" s="184"/>
    </row>
    <row r="40" spans="3:6" ht="12.75" customHeight="1" x14ac:dyDescent="0.25">
      <c r="C40" s="184"/>
      <c r="D40" s="184"/>
      <c r="E40" s="184"/>
      <c r="F40" s="184"/>
    </row>
    <row r="41" spans="3:6" ht="12.75" customHeight="1" x14ac:dyDescent="0.25">
      <c r="C41" s="184"/>
      <c r="D41" s="184"/>
      <c r="E41" s="184"/>
      <c r="F41" s="184"/>
    </row>
    <row r="42" spans="3:6" ht="12.75" customHeight="1" x14ac:dyDescent="0.25">
      <c r="C42" s="184"/>
      <c r="D42" s="184"/>
      <c r="E42" s="184"/>
      <c r="F42" s="184"/>
    </row>
    <row r="43" spans="3:6" ht="12.75" customHeight="1" x14ac:dyDescent="0.25">
      <c r="C43" s="184"/>
      <c r="D43" s="184"/>
      <c r="E43" s="184"/>
      <c r="F43" s="184"/>
    </row>
    <row r="44" spans="3:6" ht="12.75" customHeight="1" x14ac:dyDescent="0.25">
      <c r="C44" s="184"/>
      <c r="D44" s="184"/>
      <c r="E44" s="184"/>
      <c r="F44" s="184"/>
    </row>
    <row r="45" spans="3:6" ht="12.75" customHeight="1" x14ac:dyDescent="0.25">
      <c r="C45" s="184"/>
      <c r="D45" s="184"/>
      <c r="E45" s="184"/>
      <c r="F45" s="184"/>
    </row>
    <row r="46" spans="3:6" ht="12.75" customHeight="1" x14ac:dyDescent="0.25">
      <c r="C46" s="184"/>
      <c r="D46" s="184"/>
      <c r="E46" s="184"/>
      <c r="F46" s="184"/>
    </row>
    <row r="47" spans="3:6" ht="12.75" customHeight="1" x14ac:dyDescent="0.25">
      <c r="C47" s="184"/>
      <c r="D47" s="184"/>
      <c r="E47" s="184"/>
      <c r="F47" s="184"/>
    </row>
    <row r="48" spans="3:6" ht="12.75" customHeight="1" x14ac:dyDescent="0.25">
      <c r="C48" s="184"/>
      <c r="D48" s="184"/>
      <c r="E48" s="184"/>
      <c r="F48" s="184"/>
    </row>
    <row r="49" spans="3:6" ht="12.75" customHeight="1" x14ac:dyDescent="0.25">
      <c r="C49" s="184"/>
      <c r="D49" s="184"/>
      <c r="E49" s="184"/>
      <c r="F49" s="184"/>
    </row>
    <row r="50" spans="3:6" ht="12.75" customHeight="1" x14ac:dyDescent="0.25">
      <c r="C50" s="184"/>
      <c r="D50" s="184"/>
      <c r="E50" s="184"/>
      <c r="F50" s="184"/>
    </row>
    <row r="51" spans="3:6" ht="12.75" customHeight="1" x14ac:dyDescent="0.25">
      <c r="C51" s="184"/>
      <c r="D51" s="184"/>
      <c r="E51" s="184"/>
      <c r="F51" s="184"/>
    </row>
    <row r="52" spans="3:6" ht="12.75" customHeight="1" x14ac:dyDescent="0.25">
      <c r="C52" s="184"/>
      <c r="D52" s="184"/>
      <c r="E52" s="184"/>
      <c r="F52" s="184"/>
    </row>
    <row r="53" spans="3:6" ht="12.75" customHeight="1" x14ac:dyDescent="0.25">
      <c r="C53" s="184"/>
      <c r="D53" s="184"/>
      <c r="E53" s="184"/>
      <c r="F53" s="184"/>
    </row>
    <row r="54" spans="3:6" ht="12.75" customHeight="1" x14ac:dyDescent="0.25">
      <c r="C54" s="184"/>
      <c r="D54" s="184"/>
      <c r="E54" s="184"/>
      <c r="F54" s="184"/>
    </row>
    <row r="55" spans="3:6" ht="12.75" customHeight="1" x14ac:dyDescent="0.25">
      <c r="C55" s="184"/>
      <c r="D55" s="184"/>
      <c r="E55" s="184"/>
      <c r="F55" s="184"/>
    </row>
    <row r="56" spans="3:6" ht="12.75" customHeight="1" x14ac:dyDescent="0.25">
      <c r="C56" s="184"/>
      <c r="D56" s="184"/>
      <c r="E56" s="184"/>
      <c r="F56" s="184"/>
    </row>
    <row r="57" spans="3:6" ht="12.75" customHeight="1" x14ac:dyDescent="0.25">
      <c r="C57" s="184"/>
      <c r="D57" s="184"/>
      <c r="E57" s="184"/>
      <c r="F57" s="184"/>
    </row>
    <row r="58" spans="3:6" ht="12.75" customHeight="1" x14ac:dyDescent="0.25">
      <c r="C58" s="184"/>
      <c r="D58" s="184"/>
      <c r="E58" s="184"/>
      <c r="F58" s="184"/>
    </row>
    <row r="59" spans="3:6" ht="12.75" customHeight="1" x14ac:dyDescent="0.25">
      <c r="C59" s="184"/>
      <c r="D59" s="184"/>
      <c r="E59" s="184"/>
      <c r="F59" s="184"/>
    </row>
    <row r="60" spans="3:6" ht="12.75" customHeight="1" x14ac:dyDescent="0.25">
      <c r="C60" s="184"/>
      <c r="D60" s="184"/>
      <c r="E60" s="184"/>
      <c r="F60" s="184"/>
    </row>
    <row r="61" spans="3:6" ht="12.75" customHeight="1" x14ac:dyDescent="0.25">
      <c r="C61" s="184"/>
      <c r="D61" s="184"/>
      <c r="E61" s="184"/>
      <c r="F61" s="184"/>
    </row>
    <row r="62" spans="3:6" ht="12.75" customHeight="1" x14ac:dyDescent="0.25">
      <c r="C62" s="184"/>
      <c r="D62" s="184"/>
      <c r="E62" s="184"/>
      <c r="F62" s="184"/>
    </row>
    <row r="63" spans="3:6" ht="12.75" customHeight="1" x14ac:dyDescent="0.25">
      <c r="C63" s="184"/>
      <c r="D63" s="184"/>
      <c r="E63" s="184"/>
      <c r="F63" s="184"/>
    </row>
    <row r="64" spans="3:6" ht="12.75" customHeight="1" x14ac:dyDescent="0.25">
      <c r="C64" s="184"/>
      <c r="D64" s="184"/>
      <c r="E64" s="184"/>
      <c r="F64" s="184"/>
    </row>
    <row r="65" spans="3:6" ht="12.75" customHeight="1" x14ac:dyDescent="0.25">
      <c r="C65" s="184"/>
      <c r="D65" s="184"/>
      <c r="E65" s="184"/>
      <c r="F65" s="184"/>
    </row>
    <row r="66" spans="3:6" ht="12.75" customHeight="1" x14ac:dyDescent="0.25">
      <c r="C66" s="184"/>
      <c r="D66" s="184"/>
      <c r="E66" s="184"/>
      <c r="F66" s="184"/>
    </row>
    <row r="67" spans="3:6" ht="12.75" customHeight="1" x14ac:dyDescent="0.25">
      <c r="C67" s="184"/>
      <c r="D67" s="184"/>
      <c r="E67" s="184"/>
      <c r="F67" s="184"/>
    </row>
    <row r="68" spans="3:6" ht="12.75" customHeight="1" x14ac:dyDescent="0.25">
      <c r="C68" s="184"/>
      <c r="D68" s="184"/>
      <c r="E68" s="184"/>
      <c r="F68" s="184"/>
    </row>
    <row r="69" spans="3:6" ht="12.75" customHeight="1" x14ac:dyDescent="0.25">
      <c r="C69" s="184"/>
      <c r="D69" s="184"/>
      <c r="E69" s="184"/>
      <c r="F69" s="184"/>
    </row>
    <row r="70" spans="3:6" ht="12.75" customHeight="1" x14ac:dyDescent="0.25">
      <c r="C70" s="184"/>
      <c r="D70" s="184"/>
      <c r="E70" s="184"/>
      <c r="F70" s="184"/>
    </row>
    <row r="71" spans="3:6" ht="12.75" customHeight="1" x14ac:dyDescent="0.25">
      <c r="C71" s="184"/>
      <c r="D71" s="184"/>
      <c r="E71" s="184"/>
      <c r="F71" s="184"/>
    </row>
    <row r="72" spans="3:6" ht="12.75" customHeight="1" x14ac:dyDescent="0.25">
      <c r="C72" s="184"/>
      <c r="D72" s="184"/>
      <c r="E72" s="184"/>
      <c r="F72" s="184"/>
    </row>
    <row r="73" spans="3:6" ht="12.75" customHeight="1" x14ac:dyDescent="0.25">
      <c r="C73" s="184"/>
      <c r="D73" s="184"/>
      <c r="E73" s="184"/>
      <c r="F73" s="184"/>
    </row>
    <row r="74" spans="3:6" ht="12.75" customHeight="1" x14ac:dyDescent="0.25">
      <c r="C74" s="184"/>
      <c r="D74" s="184"/>
      <c r="E74" s="184"/>
      <c r="F74" s="184"/>
    </row>
    <row r="75" spans="3:6" ht="12.75" customHeight="1" x14ac:dyDescent="0.25">
      <c r="C75" s="184"/>
      <c r="D75" s="184"/>
      <c r="E75" s="184"/>
      <c r="F75" s="184"/>
    </row>
    <row r="76" spans="3:6" ht="12.75" customHeight="1" x14ac:dyDescent="0.25">
      <c r="C76" s="184"/>
      <c r="D76" s="184"/>
      <c r="E76" s="184"/>
      <c r="F76" s="184"/>
    </row>
    <row r="77" spans="3:6" ht="12.75" customHeight="1" x14ac:dyDescent="0.25">
      <c r="C77" s="184"/>
      <c r="D77" s="184"/>
      <c r="E77" s="184"/>
      <c r="F77" s="184"/>
    </row>
    <row r="78" spans="3:6" ht="12.75" customHeight="1" x14ac:dyDescent="0.25">
      <c r="C78" s="184"/>
      <c r="D78" s="184"/>
      <c r="E78" s="184"/>
      <c r="F78" s="184"/>
    </row>
    <row r="79" spans="3:6" ht="12.75" customHeight="1" x14ac:dyDescent="0.25">
      <c r="C79" s="184"/>
      <c r="D79" s="184"/>
      <c r="E79" s="184"/>
      <c r="F79" s="184"/>
    </row>
    <row r="80" spans="3:6" ht="12.75" customHeight="1" x14ac:dyDescent="0.25">
      <c r="C80" s="184"/>
      <c r="D80" s="184"/>
      <c r="E80" s="184"/>
      <c r="F80" s="184"/>
    </row>
    <row r="81" spans="3:6" ht="12.75" customHeight="1" x14ac:dyDescent="0.25">
      <c r="C81" s="184"/>
      <c r="D81" s="184"/>
      <c r="E81" s="184"/>
      <c r="F81" s="184"/>
    </row>
    <row r="82" spans="3:6" ht="12.75" customHeight="1" x14ac:dyDescent="0.25">
      <c r="C82" s="184"/>
      <c r="D82" s="184"/>
      <c r="E82" s="184"/>
      <c r="F82" s="184"/>
    </row>
    <row r="83" spans="3:6" ht="12.75" customHeight="1" x14ac:dyDescent="0.25">
      <c r="C83" s="184"/>
      <c r="D83" s="184"/>
      <c r="E83" s="184"/>
      <c r="F83" s="184"/>
    </row>
    <row r="84" spans="3:6" ht="12.75" customHeight="1" x14ac:dyDescent="0.25">
      <c r="C84" s="184"/>
      <c r="D84" s="184"/>
      <c r="E84" s="184"/>
      <c r="F84" s="184"/>
    </row>
    <row r="85" spans="3:6" ht="12.75" customHeight="1" x14ac:dyDescent="0.25">
      <c r="C85" s="184"/>
      <c r="D85" s="184"/>
      <c r="E85" s="184"/>
      <c r="F85" s="184"/>
    </row>
    <row r="86" spans="3:6" ht="12.75" customHeight="1" x14ac:dyDescent="0.25">
      <c r="C86" s="184"/>
      <c r="D86" s="184"/>
      <c r="E86" s="184"/>
      <c r="F86" s="184"/>
    </row>
    <row r="87" spans="3:6" ht="12.75" customHeight="1" x14ac:dyDescent="0.25">
      <c r="C87" s="184"/>
      <c r="D87" s="184"/>
      <c r="E87" s="184"/>
      <c r="F87" s="184"/>
    </row>
    <row r="88" spans="3:6" ht="12.75" customHeight="1" x14ac:dyDescent="0.25">
      <c r="C88" s="184"/>
      <c r="D88" s="184"/>
      <c r="E88" s="184"/>
      <c r="F88" s="184"/>
    </row>
    <row r="89" spans="3:6" ht="12.75" customHeight="1" x14ac:dyDescent="0.25">
      <c r="C89" s="184"/>
      <c r="D89" s="184"/>
      <c r="E89" s="184"/>
      <c r="F89" s="184"/>
    </row>
    <row r="90" spans="3:6" ht="12.75" customHeight="1" x14ac:dyDescent="0.25">
      <c r="C90" s="184"/>
      <c r="D90" s="184"/>
      <c r="E90" s="184"/>
      <c r="F90" s="184"/>
    </row>
    <row r="91" spans="3:6" ht="12.75" customHeight="1" x14ac:dyDescent="0.25">
      <c r="C91" s="184"/>
      <c r="D91" s="184"/>
      <c r="E91" s="184"/>
      <c r="F91" s="184"/>
    </row>
    <row r="92" spans="3:6" ht="12.75" customHeight="1" x14ac:dyDescent="0.25">
      <c r="C92" s="184"/>
      <c r="D92" s="184"/>
      <c r="E92" s="184"/>
      <c r="F92" s="184"/>
    </row>
    <row r="93" spans="3:6" ht="12.75" customHeight="1" x14ac:dyDescent="0.25">
      <c r="C93" s="184"/>
      <c r="D93" s="184"/>
      <c r="E93" s="184"/>
      <c r="F93" s="184"/>
    </row>
    <row r="94" spans="3:6" ht="12.75" customHeight="1" x14ac:dyDescent="0.25">
      <c r="C94" s="184"/>
      <c r="D94" s="184"/>
      <c r="E94" s="184"/>
      <c r="F94" s="184"/>
    </row>
    <row r="95" spans="3:6" ht="12.75" customHeight="1" x14ac:dyDescent="0.25">
      <c r="C95" s="184"/>
      <c r="D95" s="184"/>
      <c r="E95" s="184"/>
      <c r="F95" s="184"/>
    </row>
    <row r="96" spans="3:6" ht="12.75" customHeight="1" x14ac:dyDescent="0.25">
      <c r="C96" s="184"/>
      <c r="D96" s="184"/>
      <c r="E96" s="184"/>
      <c r="F96" s="184"/>
    </row>
    <row r="97" spans="3:6" ht="12.75" customHeight="1" x14ac:dyDescent="0.25">
      <c r="C97" s="184"/>
      <c r="D97" s="184"/>
      <c r="E97" s="184"/>
      <c r="F97" s="184"/>
    </row>
    <row r="98" spans="3:6" ht="12.75" customHeight="1" x14ac:dyDescent="0.25">
      <c r="C98" s="184"/>
      <c r="D98" s="184"/>
      <c r="E98" s="184"/>
      <c r="F98" s="184"/>
    </row>
    <row r="99" spans="3:6" ht="12.75" customHeight="1" x14ac:dyDescent="0.25">
      <c r="C99" s="184"/>
      <c r="D99" s="184"/>
      <c r="E99" s="184"/>
      <c r="F99" s="184"/>
    </row>
    <row r="100" spans="3:6" ht="12.75" customHeight="1" x14ac:dyDescent="0.25">
      <c r="C100" s="184"/>
      <c r="D100" s="184"/>
      <c r="E100" s="184"/>
      <c r="F100" s="184"/>
    </row>
    <row r="101" spans="3:6" ht="12.75" customHeight="1" x14ac:dyDescent="0.25">
      <c r="C101" s="184"/>
      <c r="D101" s="184"/>
      <c r="E101" s="184"/>
      <c r="F101" s="184"/>
    </row>
    <row r="102" spans="3:6" ht="12.75" customHeight="1" x14ac:dyDescent="0.25">
      <c r="C102" s="184"/>
      <c r="D102" s="184"/>
      <c r="E102" s="184"/>
      <c r="F102" s="184"/>
    </row>
    <row r="103" spans="3:6" ht="12.75" customHeight="1" x14ac:dyDescent="0.25">
      <c r="C103" s="184"/>
      <c r="D103" s="184"/>
      <c r="E103" s="184"/>
      <c r="F103" s="184"/>
    </row>
    <row r="104" spans="3:6" ht="12.75" customHeight="1" x14ac:dyDescent="0.25">
      <c r="C104" s="184"/>
      <c r="D104" s="184"/>
      <c r="E104" s="184"/>
      <c r="F104" s="184"/>
    </row>
    <row r="105" spans="3:6" ht="12.75" customHeight="1" x14ac:dyDescent="0.25">
      <c r="C105" s="184"/>
      <c r="D105" s="184"/>
      <c r="E105" s="184"/>
      <c r="F105" s="184"/>
    </row>
    <row r="106" spans="3:6" ht="12.75" customHeight="1" x14ac:dyDescent="0.25">
      <c r="C106" s="184"/>
      <c r="D106" s="184"/>
      <c r="E106" s="184"/>
      <c r="F106" s="184"/>
    </row>
    <row r="107" spans="3:6" ht="12.75" customHeight="1" x14ac:dyDescent="0.25">
      <c r="C107" s="184"/>
      <c r="D107" s="184"/>
      <c r="E107" s="184"/>
      <c r="F107" s="184"/>
    </row>
    <row r="108" spans="3:6" ht="12.75" customHeight="1" x14ac:dyDescent="0.25">
      <c r="C108" s="184"/>
      <c r="D108" s="184"/>
      <c r="E108" s="184"/>
      <c r="F108" s="184"/>
    </row>
    <row r="109" spans="3:6" ht="12.75" customHeight="1" x14ac:dyDescent="0.25">
      <c r="C109" s="184"/>
      <c r="D109" s="184"/>
      <c r="E109" s="184"/>
      <c r="F109" s="184"/>
    </row>
    <row r="110" spans="3:6" ht="12.75" customHeight="1" x14ac:dyDescent="0.25">
      <c r="C110" s="184"/>
      <c r="D110" s="184"/>
      <c r="E110" s="184"/>
      <c r="F110" s="184"/>
    </row>
    <row r="111" spans="3:6" ht="12.75" customHeight="1" x14ac:dyDescent="0.25">
      <c r="C111" s="184"/>
      <c r="D111" s="184"/>
      <c r="E111" s="184"/>
      <c r="F111" s="184"/>
    </row>
    <row r="112" spans="3:6" ht="12.75" customHeight="1" x14ac:dyDescent="0.25">
      <c r="C112" s="184"/>
      <c r="D112" s="184"/>
      <c r="E112" s="184"/>
      <c r="F112" s="184"/>
    </row>
    <row r="113" spans="3:6" ht="12.75" customHeight="1" x14ac:dyDescent="0.25">
      <c r="C113" s="184"/>
      <c r="D113" s="184"/>
      <c r="E113" s="184"/>
      <c r="F113" s="184"/>
    </row>
    <row r="114" spans="3:6" ht="12.75" customHeight="1" x14ac:dyDescent="0.25">
      <c r="C114" s="184"/>
      <c r="D114" s="184"/>
      <c r="E114" s="184"/>
      <c r="F114" s="184"/>
    </row>
    <row r="115" spans="3:6" ht="12.75" customHeight="1" x14ac:dyDescent="0.25">
      <c r="C115" s="184"/>
      <c r="D115" s="184"/>
      <c r="E115" s="184"/>
      <c r="F115" s="184"/>
    </row>
    <row r="116" spans="3:6" ht="12.75" customHeight="1" x14ac:dyDescent="0.25">
      <c r="C116" s="184"/>
      <c r="D116" s="184"/>
      <c r="E116" s="184"/>
      <c r="F116" s="184"/>
    </row>
    <row r="117" spans="3:6" ht="12.75" customHeight="1" x14ac:dyDescent="0.25">
      <c r="C117" s="184"/>
      <c r="D117" s="184"/>
      <c r="E117" s="184"/>
      <c r="F117" s="184"/>
    </row>
    <row r="118" spans="3:6" ht="12.75" customHeight="1" x14ac:dyDescent="0.25">
      <c r="C118" s="184"/>
      <c r="D118" s="184"/>
      <c r="E118" s="184"/>
      <c r="F118" s="184"/>
    </row>
    <row r="119" spans="3:6" ht="12.75" customHeight="1" x14ac:dyDescent="0.25">
      <c r="C119" s="184"/>
      <c r="D119" s="184"/>
      <c r="E119" s="184"/>
      <c r="F119" s="184"/>
    </row>
    <row r="120" spans="3:6" ht="12.75" customHeight="1" x14ac:dyDescent="0.25">
      <c r="C120" s="184"/>
      <c r="D120" s="184"/>
      <c r="E120" s="184"/>
      <c r="F120" s="184"/>
    </row>
    <row r="121" spans="3:6" ht="12.75" customHeight="1" x14ac:dyDescent="0.25">
      <c r="C121" s="184"/>
      <c r="D121" s="184"/>
      <c r="E121" s="184"/>
      <c r="F121" s="184"/>
    </row>
    <row r="122" spans="3:6" ht="12.75" customHeight="1" x14ac:dyDescent="0.25">
      <c r="C122" s="184"/>
      <c r="D122" s="184"/>
      <c r="E122" s="184"/>
      <c r="F122" s="184"/>
    </row>
    <row r="123" spans="3:6" ht="12.75" customHeight="1" x14ac:dyDescent="0.25">
      <c r="C123" s="184"/>
      <c r="D123" s="184"/>
      <c r="E123" s="184"/>
      <c r="F123" s="184"/>
    </row>
    <row r="124" spans="3:6" ht="12.75" customHeight="1" x14ac:dyDescent="0.25">
      <c r="C124" s="184"/>
      <c r="D124" s="184"/>
      <c r="E124" s="184"/>
      <c r="F124" s="184"/>
    </row>
    <row r="125" spans="3:6" ht="12.75" customHeight="1" x14ac:dyDescent="0.25">
      <c r="C125" s="184"/>
      <c r="D125" s="184"/>
      <c r="E125" s="184"/>
      <c r="F125" s="184"/>
    </row>
    <row r="126" spans="3:6" ht="12.75" customHeight="1" x14ac:dyDescent="0.25">
      <c r="C126" s="184"/>
      <c r="D126" s="184"/>
      <c r="E126" s="184"/>
      <c r="F126" s="184"/>
    </row>
    <row r="127" spans="3:6" ht="12.75" customHeight="1" x14ac:dyDescent="0.25">
      <c r="C127" s="184"/>
      <c r="D127" s="184"/>
      <c r="E127" s="184"/>
      <c r="F127" s="184"/>
    </row>
    <row r="128" spans="3:6" ht="12.75" customHeight="1" x14ac:dyDescent="0.25">
      <c r="C128" s="184"/>
      <c r="D128" s="184"/>
      <c r="E128" s="184"/>
      <c r="F128" s="184"/>
    </row>
    <row r="129" spans="3:6" ht="12.75" customHeight="1" x14ac:dyDescent="0.25">
      <c r="C129" s="184"/>
      <c r="D129" s="184"/>
      <c r="E129" s="184"/>
      <c r="F129" s="184"/>
    </row>
    <row r="130" spans="3:6" ht="12.75" customHeight="1" x14ac:dyDescent="0.25">
      <c r="C130" s="184"/>
      <c r="D130" s="184"/>
      <c r="E130" s="184"/>
      <c r="F130" s="184"/>
    </row>
    <row r="131" spans="3:6" ht="12.75" customHeight="1" x14ac:dyDescent="0.25">
      <c r="C131" s="184"/>
      <c r="D131" s="184"/>
      <c r="E131" s="184"/>
      <c r="F131" s="184"/>
    </row>
    <row r="132" spans="3:6" ht="12.75" customHeight="1" x14ac:dyDescent="0.25">
      <c r="C132" s="184"/>
      <c r="D132" s="184"/>
      <c r="E132" s="184"/>
      <c r="F132" s="184"/>
    </row>
    <row r="133" spans="3:6" ht="12.75" customHeight="1" x14ac:dyDescent="0.25">
      <c r="C133" s="184"/>
      <c r="D133" s="184"/>
      <c r="E133" s="184"/>
      <c r="F133" s="184"/>
    </row>
    <row r="134" spans="3:6" ht="12.75" customHeight="1" x14ac:dyDescent="0.25">
      <c r="C134" s="184"/>
      <c r="D134" s="184"/>
      <c r="E134" s="184"/>
      <c r="F134" s="184"/>
    </row>
    <row r="135" spans="3:6" ht="12.75" customHeight="1" x14ac:dyDescent="0.25">
      <c r="C135" s="184"/>
      <c r="D135" s="184"/>
      <c r="E135" s="184"/>
      <c r="F135" s="184"/>
    </row>
    <row r="136" spans="3:6" ht="12.75" customHeight="1" x14ac:dyDescent="0.25">
      <c r="C136" s="184"/>
      <c r="D136" s="184"/>
      <c r="E136" s="184"/>
      <c r="F136" s="184"/>
    </row>
    <row r="137" spans="3:6" ht="12.75" customHeight="1" x14ac:dyDescent="0.25">
      <c r="C137" s="184"/>
      <c r="D137" s="184"/>
      <c r="E137" s="184"/>
      <c r="F137" s="184"/>
    </row>
    <row r="138" spans="3:6" ht="12.75" customHeight="1" x14ac:dyDescent="0.25">
      <c r="C138" s="184"/>
      <c r="D138" s="184"/>
      <c r="E138" s="184"/>
      <c r="F138" s="184"/>
    </row>
    <row r="139" spans="3:6" ht="12.75" customHeight="1" x14ac:dyDescent="0.25">
      <c r="C139" s="184"/>
      <c r="D139" s="184"/>
      <c r="E139" s="184"/>
      <c r="F139" s="184"/>
    </row>
    <row r="140" spans="3:6" ht="12.75" customHeight="1" x14ac:dyDescent="0.25">
      <c r="C140" s="184"/>
      <c r="D140" s="184"/>
      <c r="E140" s="184"/>
      <c r="F140" s="184"/>
    </row>
    <row r="141" spans="3:6" ht="12.75" customHeight="1" x14ac:dyDescent="0.25">
      <c r="C141" s="184"/>
      <c r="D141" s="184"/>
      <c r="E141" s="184"/>
      <c r="F141" s="184"/>
    </row>
    <row r="142" spans="3:6" ht="12.75" customHeight="1" x14ac:dyDescent="0.25">
      <c r="C142" s="184"/>
      <c r="D142" s="184"/>
      <c r="E142" s="184"/>
      <c r="F142" s="184"/>
    </row>
    <row r="143" spans="3:6" ht="12.75" customHeight="1" x14ac:dyDescent="0.25">
      <c r="C143" s="184"/>
      <c r="D143" s="184"/>
      <c r="E143" s="184"/>
      <c r="F143" s="184"/>
    </row>
    <row r="144" spans="3:6" ht="12.75" customHeight="1" x14ac:dyDescent="0.25">
      <c r="C144" s="184"/>
      <c r="D144" s="184"/>
      <c r="E144" s="184"/>
      <c r="F144" s="184"/>
    </row>
    <row r="145" spans="3:6" ht="12.75" customHeight="1" x14ac:dyDescent="0.25">
      <c r="C145" s="184"/>
      <c r="D145" s="184"/>
      <c r="E145" s="184"/>
      <c r="F145" s="184"/>
    </row>
    <row r="146" spans="3:6" ht="12.75" customHeight="1" x14ac:dyDescent="0.25">
      <c r="C146" s="184"/>
      <c r="D146" s="184"/>
      <c r="E146" s="184"/>
      <c r="F146" s="184"/>
    </row>
    <row r="147" spans="3:6" ht="12.75" customHeight="1" x14ac:dyDescent="0.25">
      <c r="C147" s="184"/>
      <c r="D147" s="184"/>
      <c r="E147" s="184"/>
      <c r="F147" s="184"/>
    </row>
    <row r="148" spans="3:6" ht="12.75" customHeight="1" x14ac:dyDescent="0.25">
      <c r="C148" s="184"/>
      <c r="D148" s="184"/>
      <c r="E148" s="184"/>
      <c r="F148" s="184"/>
    </row>
    <row r="149" spans="3:6" ht="12.75" customHeight="1" x14ac:dyDescent="0.25">
      <c r="C149" s="184"/>
      <c r="D149" s="184"/>
      <c r="E149" s="184"/>
      <c r="F149" s="184"/>
    </row>
    <row r="150" spans="3:6" ht="12.75" customHeight="1" x14ac:dyDescent="0.25">
      <c r="C150" s="184"/>
      <c r="D150" s="184"/>
      <c r="E150" s="184"/>
      <c r="F150" s="184"/>
    </row>
    <row r="151" spans="3:6" ht="12.75" customHeight="1" x14ac:dyDescent="0.25">
      <c r="C151" s="184"/>
      <c r="D151" s="184"/>
      <c r="E151" s="184"/>
      <c r="F151" s="184"/>
    </row>
    <row r="152" spans="3:6" ht="12.75" customHeight="1" x14ac:dyDescent="0.25">
      <c r="C152" s="184"/>
      <c r="D152" s="184"/>
      <c r="E152" s="184"/>
      <c r="F152" s="184"/>
    </row>
    <row r="153" spans="3:6" ht="12.75" customHeight="1" x14ac:dyDescent="0.25">
      <c r="C153" s="184"/>
      <c r="D153" s="184"/>
      <c r="E153" s="184"/>
      <c r="F153" s="184"/>
    </row>
    <row r="154" spans="3:6" ht="12.75" customHeight="1" x14ac:dyDescent="0.25">
      <c r="C154" s="184"/>
      <c r="D154" s="184"/>
      <c r="E154" s="184"/>
      <c r="F154" s="184"/>
    </row>
    <row r="155" spans="3:6" ht="12.75" customHeight="1" x14ac:dyDescent="0.25">
      <c r="C155" s="184"/>
      <c r="D155" s="184"/>
      <c r="E155" s="184"/>
      <c r="F155" s="184"/>
    </row>
    <row r="156" spans="3:6" ht="12.75" customHeight="1" x14ac:dyDescent="0.25">
      <c r="C156" s="184"/>
      <c r="D156" s="184"/>
      <c r="E156" s="184"/>
      <c r="F156" s="184"/>
    </row>
    <row r="157" spans="3:6" ht="12.75" customHeight="1" x14ac:dyDescent="0.25">
      <c r="C157" s="184"/>
      <c r="D157" s="184"/>
      <c r="E157" s="184"/>
      <c r="F157" s="184"/>
    </row>
    <row r="158" spans="3:6" ht="12.75" customHeight="1" x14ac:dyDescent="0.25">
      <c r="C158" s="184"/>
      <c r="D158" s="184"/>
      <c r="E158" s="184"/>
      <c r="F158" s="184"/>
    </row>
    <row r="159" spans="3:6" ht="12.75" customHeight="1" x14ac:dyDescent="0.25">
      <c r="C159" s="184"/>
      <c r="D159" s="184"/>
      <c r="E159" s="184"/>
      <c r="F159" s="184"/>
    </row>
    <row r="160" spans="3:6" ht="12.75" customHeight="1" x14ac:dyDescent="0.25">
      <c r="C160" s="184"/>
      <c r="D160" s="184"/>
      <c r="E160" s="184"/>
      <c r="F160" s="184"/>
    </row>
    <row r="161" spans="3:6" ht="12.75" customHeight="1" x14ac:dyDescent="0.25">
      <c r="C161" s="184"/>
      <c r="D161" s="184"/>
      <c r="E161" s="184"/>
      <c r="F161" s="184"/>
    </row>
    <row r="162" spans="3:6" ht="12.75" customHeight="1" x14ac:dyDescent="0.25">
      <c r="C162" s="184"/>
      <c r="D162" s="184"/>
      <c r="E162" s="184"/>
      <c r="F162" s="184"/>
    </row>
    <row r="163" spans="3:6" ht="12.75" customHeight="1" x14ac:dyDescent="0.25">
      <c r="C163" s="184"/>
      <c r="D163" s="184"/>
      <c r="E163" s="184"/>
      <c r="F163" s="184"/>
    </row>
    <row r="164" spans="3:6" ht="12.75" customHeight="1" x14ac:dyDescent="0.25">
      <c r="C164" s="184"/>
      <c r="D164" s="184"/>
      <c r="E164" s="184"/>
      <c r="F164" s="184"/>
    </row>
    <row r="165" spans="3:6" ht="12.75" customHeight="1" x14ac:dyDescent="0.25">
      <c r="C165" s="184"/>
      <c r="D165" s="184"/>
      <c r="E165" s="184"/>
      <c r="F165" s="184"/>
    </row>
    <row r="166" spans="3:6" ht="12.75" customHeight="1" x14ac:dyDescent="0.25">
      <c r="C166" s="184"/>
      <c r="D166" s="184"/>
      <c r="E166" s="184"/>
      <c r="F166" s="184"/>
    </row>
    <row r="167" spans="3:6" ht="12.75" customHeight="1" x14ac:dyDescent="0.25">
      <c r="C167" s="184"/>
      <c r="D167" s="184"/>
      <c r="E167" s="184"/>
      <c r="F167" s="184"/>
    </row>
    <row r="168" spans="3:6" ht="12.75" customHeight="1" x14ac:dyDescent="0.25">
      <c r="C168" s="184"/>
      <c r="D168" s="184"/>
      <c r="E168" s="184"/>
      <c r="F168" s="184"/>
    </row>
    <row r="169" spans="3:6" ht="12.75" customHeight="1" x14ac:dyDescent="0.25">
      <c r="C169" s="184"/>
      <c r="D169" s="184"/>
      <c r="E169" s="184"/>
      <c r="F169" s="184"/>
    </row>
    <row r="170" spans="3:6" ht="12.75" customHeight="1" x14ac:dyDescent="0.25">
      <c r="C170" s="184"/>
      <c r="D170" s="184"/>
      <c r="E170" s="184"/>
      <c r="F170" s="184"/>
    </row>
    <row r="171" spans="3:6" ht="12.75" customHeight="1" x14ac:dyDescent="0.25">
      <c r="C171" s="184"/>
      <c r="D171" s="184"/>
      <c r="E171" s="184"/>
      <c r="F171" s="184"/>
    </row>
    <row r="172" spans="3:6" ht="12.75" customHeight="1" x14ac:dyDescent="0.25">
      <c r="C172" s="184"/>
      <c r="D172" s="184"/>
      <c r="E172" s="184"/>
      <c r="F172" s="184"/>
    </row>
    <row r="173" spans="3:6" ht="12.75" customHeight="1" x14ac:dyDescent="0.25">
      <c r="C173" s="184"/>
      <c r="D173" s="184"/>
      <c r="E173" s="184"/>
      <c r="F173" s="184"/>
    </row>
    <row r="174" spans="3:6" ht="12.75" customHeight="1" x14ac:dyDescent="0.25">
      <c r="C174" s="184"/>
      <c r="D174" s="184"/>
      <c r="E174" s="184"/>
      <c r="F174" s="184"/>
    </row>
    <row r="175" spans="3:6" ht="12.75" customHeight="1" x14ac:dyDescent="0.25">
      <c r="C175" s="184"/>
      <c r="D175" s="184"/>
      <c r="E175" s="184"/>
      <c r="F175" s="184"/>
    </row>
    <row r="176" spans="3:6" ht="12.75" customHeight="1" x14ac:dyDescent="0.25">
      <c r="C176" s="184"/>
      <c r="D176" s="184"/>
      <c r="E176" s="184"/>
      <c r="F176" s="184"/>
    </row>
    <row r="177" spans="3:6" ht="12.75" customHeight="1" x14ac:dyDescent="0.25">
      <c r="C177" s="184"/>
      <c r="D177" s="184"/>
      <c r="E177" s="184"/>
      <c r="F177" s="184"/>
    </row>
    <row r="178" spans="3:6" ht="12.75" customHeight="1" x14ac:dyDescent="0.25">
      <c r="C178" s="184"/>
      <c r="D178" s="184"/>
      <c r="E178" s="184"/>
      <c r="F178" s="184"/>
    </row>
    <row r="179" spans="3:6" ht="12.75" customHeight="1" x14ac:dyDescent="0.25">
      <c r="C179" s="184"/>
      <c r="D179" s="184"/>
      <c r="E179" s="184"/>
      <c r="F179" s="184"/>
    </row>
    <row r="180" spans="3:6" ht="12.75" customHeight="1" x14ac:dyDescent="0.25">
      <c r="C180" s="184"/>
      <c r="D180" s="184"/>
      <c r="E180" s="184"/>
      <c r="F180" s="184"/>
    </row>
    <row r="181" spans="3:6" ht="12.75" customHeight="1" x14ac:dyDescent="0.25">
      <c r="C181" s="184"/>
      <c r="D181" s="184"/>
      <c r="E181" s="184"/>
      <c r="F181" s="184"/>
    </row>
    <row r="182" spans="3:6" ht="12.75" customHeight="1" x14ac:dyDescent="0.25">
      <c r="C182" s="184"/>
      <c r="D182" s="184"/>
      <c r="E182" s="184"/>
      <c r="F182" s="184"/>
    </row>
    <row r="183" spans="3:6" ht="12.75" customHeight="1" x14ac:dyDescent="0.25">
      <c r="C183" s="184"/>
      <c r="D183" s="184"/>
      <c r="E183" s="184"/>
      <c r="F183" s="184"/>
    </row>
    <row r="184" spans="3:6" ht="12.75" customHeight="1" x14ac:dyDescent="0.25">
      <c r="C184" s="184"/>
      <c r="D184" s="184"/>
      <c r="E184" s="184"/>
      <c r="F184" s="184"/>
    </row>
    <row r="185" spans="3:6" ht="12.75" customHeight="1" x14ac:dyDescent="0.25">
      <c r="C185" s="184"/>
      <c r="D185" s="184"/>
      <c r="E185" s="184"/>
      <c r="F185" s="184"/>
    </row>
    <row r="186" spans="3:6" ht="12.75" customHeight="1" x14ac:dyDescent="0.25">
      <c r="C186" s="184"/>
      <c r="D186" s="184"/>
      <c r="E186" s="184"/>
      <c r="F186" s="184"/>
    </row>
    <row r="187" spans="3:6" ht="12.75" customHeight="1" x14ac:dyDescent="0.25">
      <c r="C187" s="184"/>
      <c r="D187" s="184"/>
      <c r="E187" s="184"/>
      <c r="F187" s="184"/>
    </row>
    <row r="188" spans="3:6" ht="12.75" customHeight="1" x14ac:dyDescent="0.25">
      <c r="C188" s="184"/>
      <c r="D188" s="184"/>
      <c r="E188" s="184"/>
      <c r="F188" s="184"/>
    </row>
    <row r="189" spans="3:6" ht="12.75" customHeight="1" x14ac:dyDescent="0.25">
      <c r="C189" s="184"/>
      <c r="D189" s="184"/>
      <c r="E189" s="184"/>
      <c r="F189" s="184"/>
    </row>
    <row r="190" spans="3:6" ht="12.75" customHeight="1" x14ac:dyDescent="0.25">
      <c r="C190" s="184"/>
      <c r="D190" s="184"/>
      <c r="E190" s="184"/>
      <c r="F190" s="184"/>
    </row>
    <row r="191" spans="3:6" ht="12.75" customHeight="1" x14ac:dyDescent="0.25">
      <c r="C191" s="184"/>
      <c r="D191" s="184"/>
      <c r="E191" s="184"/>
      <c r="F191" s="184"/>
    </row>
    <row r="192" spans="3:6" ht="12.75" customHeight="1" x14ac:dyDescent="0.25">
      <c r="C192" s="184"/>
      <c r="D192" s="184"/>
      <c r="E192" s="184"/>
      <c r="F192" s="184"/>
    </row>
    <row r="193" spans="3:6" ht="12.75" customHeight="1" x14ac:dyDescent="0.25">
      <c r="C193" s="184"/>
      <c r="D193" s="184"/>
      <c r="E193" s="184"/>
      <c r="F193" s="184"/>
    </row>
    <row r="194" spans="3:6" ht="12.75" customHeight="1" x14ac:dyDescent="0.25">
      <c r="C194" s="184"/>
      <c r="D194" s="184"/>
      <c r="E194" s="184"/>
      <c r="F194" s="184"/>
    </row>
    <row r="195" spans="3:6" ht="12.75" customHeight="1" x14ac:dyDescent="0.25">
      <c r="C195" s="184"/>
      <c r="D195" s="184"/>
      <c r="E195" s="184"/>
      <c r="F195" s="184"/>
    </row>
    <row r="196" spans="3:6" ht="12.75" customHeight="1" x14ac:dyDescent="0.25">
      <c r="C196" s="184"/>
      <c r="D196" s="184"/>
      <c r="E196" s="184"/>
      <c r="F196" s="184"/>
    </row>
    <row r="197" spans="3:6" ht="12.75" customHeight="1" x14ac:dyDescent="0.25">
      <c r="C197" s="184"/>
      <c r="D197" s="184"/>
      <c r="E197" s="184"/>
      <c r="F197" s="184"/>
    </row>
    <row r="198" spans="3:6" ht="12.75" customHeight="1" x14ac:dyDescent="0.25">
      <c r="C198" s="184"/>
      <c r="D198" s="184"/>
      <c r="E198" s="184"/>
      <c r="F198" s="184"/>
    </row>
    <row r="199" spans="3:6" ht="12.75" customHeight="1" x14ac:dyDescent="0.25">
      <c r="C199" s="184"/>
      <c r="D199" s="184"/>
      <c r="E199" s="184"/>
      <c r="F199" s="184"/>
    </row>
    <row r="200" spans="3:6" ht="12.75" customHeight="1" x14ac:dyDescent="0.25">
      <c r="C200" s="184"/>
      <c r="D200" s="184"/>
      <c r="E200" s="184"/>
      <c r="F200" s="184"/>
    </row>
    <row r="201" spans="3:6" ht="12.75" customHeight="1" x14ac:dyDescent="0.25">
      <c r="C201" s="184"/>
      <c r="D201" s="184"/>
      <c r="E201" s="184"/>
      <c r="F201" s="184"/>
    </row>
    <row r="202" spans="3:6" ht="12.75" customHeight="1" x14ac:dyDescent="0.25">
      <c r="C202" s="184"/>
      <c r="D202" s="184"/>
      <c r="E202" s="184"/>
      <c r="F202" s="184"/>
    </row>
    <row r="203" spans="3:6" ht="12.75" customHeight="1" x14ac:dyDescent="0.25">
      <c r="C203" s="184"/>
      <c r="D203" s="184"/>
      <c r="E203" s="184"/>
      <c r="F203" s="184"/>
    </row>
    <row r="204" spans="3:6" ht="12.75" customHeight="1" x14ac:dyDescent="0.25">
      <c r="C204" s="184"/>
      <c r="D204" s="184"/>
      <c r="E204" s="184"/>
      <c r="F204" s="184"/>
    </row>
    <row r="205" spans="3:6" ht="12.75" customHeight="1" x14ac:dyDescent="0.25">
      <c r="C205" s="184"/>
      <c r="D205" s="184"/>
      <c r="E205" s="184"/>
      <c r="F205" s="184"/>
    </row>
    <row r="206" spans="3:6" ht="12.75" customHeight="1" x14ac:dyDescent="0.25">
      <c r="C206" s="184"/>
      <c r="D206" s="184"/>
      <c r="E206" s="184"/>
      <c r="F206" s="184"/>
    </row>
    <row r="207" spans="3:6" ht="12.75" customHeight="1" x14ac:dyDescent="0.25">
      <c r="C207" s="184"/>
      <c r="D207" s="184"/>
      <c r="E207" s="184"/>
      <c r="F207" s="184"/>
    </row>
    <row r="208" spans="3:6" ht="12.75" customHeight="1" x14ac:dyDescent="0.25">
      <c r="C208" s="184"/>
      <c r="D208" s="184"/>
      <c r="E208" s="184"/>
      <c r="F208" s="184"/>
    </row>
    <row r="209" spans="3:6" ht="12.75" customHeight="1" x14ac:dyDescent="0.25">
      <c r="C209" s="184"/>
      <c r="D209" s="184"/>
      <c r="E209" s="184"/>
      <c r="F209" s="184"/>
    </row>
    <row r="210" spans="3:6" ht="12.75" customHeight="1" x14ac:dyDescent="0.25">
      <c r="C210" s="184"/>
      <c r="D210" s="184"/>
      <c r="E210" s="184"/>
      <c r="F210" s="184"/>
    </row>
    <row r="211" spans="3:6" ht="12.75" customHeight="1" x14ac:dyDescent="0.25">
      <c r="C211" s="184"/>
      <c r="D211" s="184"/>
      <c r="E211" s="184"/>
      <c r="F211" s="184"/>
    </row>
    <row r="212" spans="3:6" ht="12.75" customHeight="1" x14ac:dyDescent="0.25">
      <c r="C212" s="184"/>
      <c r="D212" s="184"/>
      <c r="E212" s="184"/>
      <c r="F212" s="184"/>
    </row>
    <row r="213" spans="3:6" ht="12.75" customHeight="1" x14ac:dyDescent="0.25">
      <c r="C213" s="184"/>
      <c r="D213" s="184"/>
      <c r="E213" s="184"/>
      <c r="F213" s="184"/>
    </row>
    <row r="214" spans="3:6" ht="12.75" customHeight="1" x14ac:dyDescent="0.25">
      <c r="C214" s="184"/>
      <c r="D214" s="184"/>
      <c r="E214" s="184"/>
      <c r="F214" s="184"/>
    </row>
    <row r="215" spans="3:6" ht="12.75" customHeight="1" x14ac:dyDescent="0.25">
      <c r="C215" s="184"/>
      <c r="D215" s="184"/>
      <c r="E215" s="184"/>
      <c r="F215" s="184"/>
    </row>
    <row r="216" spans="3:6" ht="12.75" customHeight="1" x14ac:dyDescent="0.25">
      <c r="C216" s="184"/>
      <c r="D216" s="184"/>
      <c r="E216" s="184"/>
      <c r="F216" s="184"/>
    </row>
    <row r="217" spans="3:6" ht="12.75" customHeight="1" x14ac:dyDescent="0.25">
      <c r="C217" s="184"/>
      <c r="D217" s="184"/>
      <c r="E217" s="184"/>
      <c r="F217" s="184"/>
    </row>
    <row r="218" spans="3:6" ht="12.75" customHeight="1" x14ac:dyDescent="0.25">
      <c r="C218" s="184"/>
      <c r="D218" s="184"/>
      <c r="E218" s="184"/>
      <c r="F218" s="184"/>
    </row>
    <row r="219" spans="3:6" ht="12.75" customHeight="1" x14ac:dyDescent="0.25">
      <c r="C219" s="184"/>
      <c r="D219" s="184"/>
      <c r="E219" s="184"/>
      <c r="F219" s="184"/>
    </row>
    <row r="220" spans="3:6" ht="12.75" customHeight="1" x14ac:dyDescent="0.25">
      <c r="C220" s="184"/>
      <c r="D220" s="184"/>
      <c r="E220" s="184"/>
      <c r="F220" s="184"/>
    </row>
    <row r="221" spans="3:6" ht="12.75" customHeight="1" x14ac:dyDescent="0.25">
      <c r="C221" s="184"/>
      <c r="D221" s="184"/>
      <c r="E221" s="184"/>
      <c r="F221" s="184"/>
    </row>
    <row r="222" spans="3:6" ht="12.75" customHeight="1" x14ac:dyDescent="0.25">
      <c r="C222" s="184"/>
      <c r="D222" s="184"/>
      <c r="E222" s="184"/>
      <c r="F222" s="184"/>
    </row>
    <row r="223" spans="3:6" ht="12.75" customHeight="1" x14ac:dyDescent="0.25">
      <c r="C223" s="184"/>
      <c r="D223" s="184"/>
      <c r="E223" s="184"/>
      <c r="F223" s="184"/>
    </row>
    <row r="224" spans="3:6" ht="12.75" customHeight="1" x14ac:dyDescent="0.25">
      <c r="C224" s="184"/>
      <c r="D224" s="184"/>
      <c r="E224" s="184"/>
      <c r="F224" s="184"/>
    </row>
    <row r="225" spans="3:6" ht="12.75" customHeight="1" x14ac:dyDescent="0.25">
      <c r="C225" s="184"/>
      <c r="D225" s="184"/>
      <c r="E225" s="184"/>
      <c r="F225" s="184"/>
    </row>
    <row r="226" spans="3:6" ht="12.75" customHeight="1" x14ac:dyDescent="0.25">
      <c r="C226" s="184"/>
      <c r="D226" s="184"/>
      <c r="E226" s="184"/>
      <c r="F226" s="184"/>
    </row>
    <row r="227" spans="3:6" ht="12.75" customHeight="1" x14ac:dyDescent="0.25">
      <c r="C227" s="184"/>
      <c r="D227" s="184"/>
      <c r="E227" s="184"/>
      <c r="F227" s="184"/>
    </row>
    <row r="228" spans="3:6" ht="12.75" customHeight="1" x14ac:dyDescent="0.25">
      <c r="C228" s="184"/>
      <c r="D228" s="184"/>
      <c r="E228" s="184"/>
      <c r="F228" s="184"/>
    </row>
    <row r="229" spans="3:6" ht="12.75" customHeight="1" x14ac:dyDescent="0.25">
      <c r="C229" s="184"/>
      <c r="D229" s="184"/>
      <c r="E229" s="184"/>
      <c r="F229" s="184"/>
    </row>
    <row r="230" spans="3:6" ht="12.75" customHeight="1" x14ac:dyDescent="0.25">
      <c r="C230" s="184"/>
      <c r="D230" s="184"/>
      <c r="E230" s="184"/>
      <c r="F230" s="184"/>
    </row>
    <row r="231" spans="3:6" ht="12.75" customHeight="1" x14ac:dyDescent="0.25">
      <c r="C231" s="184"/>
      <c r="D231" s="184"/>
      <c r="E231" s="184"/>
      <c r="F231" s="184"/>
    </row>
    <row r="232" spans="3:6" ht="12.75" customHeight="1" x14ac:dyDescent="0.25">
      <c r="C232" s="184"/>
      <c r="D232" s="184"/>
      <c r="E232" s="184"/>
      <c r="F232" s="184"/>
    </row>
    <row r="233" spans="3:6" ht="12.75" customHeight="1" x14ac:dyDescent="0.25">
      <c r="C233" s="184"/>
      <c r="D233" s="184"/>
      <c r="E233" s="184"/>
      <c r="F233" s="184"/>
    </row>
    <row r="234" spans="3:6" ht="12.75" customHeight="1" x14ac:dyDescent="0.25">
      <c r="C234" s="184"/>
      <c r="D234" s="184"/>
      <c r="E234" s="184"/>
      <c r="F234" s="184"/>
    </row>
    <row r="235" spans="3:6" ht="12.75" customHeight="1" x14ac:dyDescent="0.25">
      <c r="C235" s="184"/>
      <c r="D235" s="184"/>
      <c r="E235" s="184"/>
      <c r="F235" s="184"/>
    </row>
    <row r="236" spans="3:6" ht="12.75" customHeight="1" x14ac:dyDescent="0.25">
      <c r="C236" s="184"/>
      <c r="D236" s="184"/>
      <c r="E236" s="184"/>
      <c r="F236" s="184"/>
    </row>
    <row r="237" spans="3:6" ht="12.75" customHeight="1" x14ac:dyDescent="0.25">
      <c r="C237" s="184"/>
      <c r="D237" s="184"/>
      <c r="E237" s="184"/>
      <c r="F237" s="184"/>
    </row>
    <row r="238" spans="3:6" ht="12.75" customHeight="1" x14ac:dyDescent="0.25">
      <c r="C238" s="184"/>
      <c r="D238" s="184"/>
      <c r="E238" s="184"/>
      <c r="F238" s="184"/>
    </row>
    <row r="239" spans="3:6" ht="12.75" customHeight="1" x14ac:dyDescent="0.25">
      <c r="C239" s="184"/>
      <c r="D239" s="184"/>
      <c r="E239" s="184"/>
      <c r="F239" s="184"/>
    </row>
    <row r="240" spans="3:6" ht="12.75" customHeight="1" x14ac:dyDescent="0.25">
      <c r="C240" s="184"/>
      <c r="D240" s="184"/>
      <c r="E240" s="184"/>
      <c r="F240" s="184"/>
    </row>
    <row r="241" spans="3:6" ht="12.75" customHeight="1" x14ac:dyDescent="0.25">
      <c r="C241" s="184"/>
      <c r="D241" s="184"/>
      <c r="E241" s="184"/>
      <c r="F241" s="184"/>
    </row>
    <row r="242" spans="3:6" ht="12.75" customHeight="1" x14ac:dyDescent="0.25">
      <c r="C242" s="184"/>
      <c r="D242" s="184"/>
      <c r="E242" s="184"/>
      <c r="F242" s="184"/>
    </row>
    <row r="243" spans="3:6" ht="12.75" customHeight="1" x14ac:dyDescent="0.25">
      <c r="C243" s="184"/>
      <c r="D243" s="184"/>
      <c r="E243" s="184"/>
      <c r="F243" s="184"/>
    </row>
    <row r="244" spans="3:6" ht="12.75" customHeight="1" x14ac:dyDescent="0.25">
      <c r="C244" s="184"/>
      <c r="D244" s="184"/>
      <c r="E244" s="184"/>
      <c r="F244" s="184"/>
    </row>
    <row r="245" spans="3:6" ht="12.75" customHeight="1" x14ac:dyDescent="0.25">
      <c r="C245" s="184"/>
      <c r="D245" s="184"/>
      <c r="E245" s="184"/>
      <c r="F245" s="184"/>
    </row>
    <row r="246" spans="3:6" ht="12.75" customHeight="1" x14ac:dyDescent="0.25">
      <c r="C246" s="184"/>
      <c r="D246" s="184"/>
      <c r="E246" s="184"/>
      <c r="F246" s="184"/>
    </row>
    <row r="247" spans="3:6" ht="12.75" customHeight="1" x14ac:dyDescent="0.25">
      <c r="C247" s="184"/>
      <c r="D247" s="184"/>
      <c r="E247" s="184"/>
      <c r="F247" s="184"/>
    </row>
    <row r="248" spans="3:6" ht="12.75" customHeight="1" x14ac:dyDescent="0.25">
      <c r="C248" s="184"/>
      <c r="D248" s="184"/>
      <c r="E248" s="184"/>
      <c r="F248" s="184"/>
    </row>
    <row r="249" spans="3:6" ht="12.75" customHeight="1" x14ac:dyDescent="0.25">
      <c r="C249" s="184"/>
      <c r="D249" s="184"/>
      <c r="E249" s="184"/>
      <c r="F249" s="184"/>
    </row>
    <row r="250" spans="3:6" ht="12.75" customHeight="1" x14ac:dyDescent="0.25">
      <c r="C250" s="184"/>
      <c r="D250" s="184"/>
      <c r="E250" s="184"/>
      <c r="F250" s="184"/>
    </row>
    <row r="251" spans="3:6" ht="12.75" customHeight="1" x14ac:dyDescent="0.25">
      <c r="C251" s="184"/>
      <c r="D251" s="184"/>
      <c r="E251" s="184"/>
      <c r="F251" s="184"/>
    </row>
    <row r="252" spans="3:6" ht="12.75" customHeight="1" x14ac:dyDescent="0.25">
      <c r="C252" s="184"/>
      <c r="D252" s="184"/>
      <c r="E252" s="184"/>
      <c r="F252" s="184"/>
    </row>
    <row r="253" spans="3:6" ht="12.75" customHeight="1" x14ac:dyDescent="0.25">
      <c r="C253" s="184"/>
      <c r="D253" s="184"/>
      <c r="E253" s="184"/>
      <c r="F253" s="184"/>
    </row>
    <row r="254" spans="3:6" ht="12.75" customHeight="1" x14ac:dyDescent="0.25">
      <c r="C254" s="184"/>
      <c r="D254" s="184"/>
      <c r="E254" s="184"/>
      <c r="F254" s="184"/>
    </row>
    <row r="255" spans="3:6" ht="12.75" customHeight="1" x14ac:dyDescent="0.25">
      <c r="C255" s="184"/>
      <c r="D255" s="184"/>
      <c r="E255" s="184"/>
      <c r="F255" s="184"/>
    </row>
    <row r="256" spans="3:6" ht="12.75" customHeight="1" x14ac:dyDescent="0.25">
      <c r="C256" s="184"/>
      <c r="D256" s="184"/>
      <c r="E256" s="184"/>
      <c r="F256" s="184"/>
    </row>
    <row r="257" spans="3:6" ht="12.75" customHeight="1" x14ac:dyDescent="0.25">
      <c r="C257" s="184"/>
      <c r="D257" s="184"/>
      <c r="E257" s="184"/>
      <c r="F257" s="184"/>
    </row>
    <row r="258" spans="3:6" ht="12.75" customHeight="1" x14ac:dyDescent="0.25">
      <c r="C258" s="184"/>
      <c r="D258" s="184"/>
      <c r="E258" s="184"/>
      <c r="F258" s="184"/>
    </row>
    <row r="259" spans="3:6" ht="12.75" customHeight="1" x14ac:dyDescent="0.25">
      <c r="C259" s="184"/>
      <c r="D259" s="184"/>
      <c r="E259" s="184"/>
      <c r="F259" s="184"/>
    </row>
    <row r="260" spans="3:6" ht="12.75" customHeight="1" x14ac:dyDescent="0.25">
      <c r="C260" s="184"/>
      <c r="D260" s="184"/>
      <c r="E260" s="184"/>
      <c r="F260" s="184"/>
    </row>
    <row r="261" spans="3:6" ht="12.75" customHeight="1" x14ac:dyDescent="0.25">
      <c r="C261" s="184"/>
      <c r="D261" s="184"/>
      <c r="E261" s="184"/>
      <c r="F261" s="184"/>
    </row>
    <row r="262" spans="3:6" ht="12.75" customHeight="1" x14ac:dyDescent="0.25">
      <c r="C262" s="184"/>
      <c r="D262" s="184"/>
      <c r="E262" s="184"/>
      <c r="F262" s="184"/>
    </row>
    <row r="263" spans="3:6" ht="12.75" customHeight="1" x14ac:dyDescent="0.25">
      <c r="C263" s="184"/>
      <c r="D263" s="184"/>
      <c r="E263" s="184"/>
      <c r="F263" s="184"/>
    </row>
    <row r="264" spans="3:6" ht="12.75" customHeight="1" x14ac:dyDescent="0.25">
      <c r="C264" s="184"/>
      <c r="D264" s="184"/>
      <c r="E264" s="184"/>
      <c r="F264" s="184"/>
    </row>
    <row r="265" spans="3:6" ht="12.75" customHeight="1" x14ac:dyDescent="0.25">
      <c r="C265" s="184"/>
      <c r="D265" s="184"/>
      <c r="E265" s="184"/>
      <c r="F265" s="184"/>
    </row>
    <row r="266" spans="3:6" ht="12.75" customHeight="1" x14ac:dyDescent="0.25">
      <c r="C266" s="184"/>
      <c r="D266" s="184"/>
      <c r="E266" s="184"/>
      <c r="F266" s="184"/>
    </row>
    <row r="267" spans="3:6" ht="12.75" customHeight="1" x14ac:dyDescent="0.25">
      <c r="C267" s="184"/>
      <c r="D267" s="184"/>
      <c r="E267" s="184"/>
      <c r="F267" s="184"/>
    </row>
    <row r="268" spans="3:6" ht="12.75" customHeight="1" x14ac:dyDescent="0.25">
      <c r="C268" s="184"/>
      <c r="D268" s="184"/>
      <c r="E268" s="184"/>
      <c r="F268" s="184"/>
    </row>
    <row r="269" spans="3:6" ht="12.75" customHeight="1" x14ac:dyDescent="0.25">
      <c r="C269" s="184"/>
      <c r="D269" s="184"/>
      <c r="E269" s="184"/>
      <c r="F269" s="184"/>
    </row>
    <row r="270" spans="3:6" ht="12.75" customHeight="1" x14ac:dyDescent="0.25">
      <c r="C270" s="184"/>
      <c r="D270" s="184"/>
      <c r="E270" s="184"/>
      <c r="F270" s="184"/>
    </row>
    <row r="271" spans="3:6" ht="12.75" customHeight="1" x14ac:dyDescent="0.25">
      <c r="C271" s="184"/>
      <c r="D271" s="184"/>
      <c r="E271" s="184"/>
      <c r="F271" s="184"/>
    </row>
    <row r="272" spans="3:6" ht="12.75" customHeight="1" x14ac:dyDescent="0.25">
      <c r="C272" s="184"/>
      <c r="D272" s="184"/>
      <c r="E272" s="184"/>
      <c r="F272" s="184"/>
    </row>
    <row r="273" spans="3:6" ht="12.75" customHeight="1" x14ac:dyDescent="0.25">
      <c r="C273" s="184"/>
      <c r="D273" s="184"/>
      <c r="E273" s="184"/>
      <c r="F273" s="184"/>
    </row>
    <row r="274" spans="3:6" ht="12.75" customHeight="1" x14ac:dyDescent="0.25">
      <c r="C274" s="184"/>
      <c r="D274" s="184"/>
      <c r="E274" s="184"/>
      <c r="F274" s="184"/>
    </row>
    <row r="275" spans="3:6" ht="12.75" customHeight="1" x14ac:dyDescent="0.25">
      <c r="C275" s="184"/>
      <c r="D275" s="184"/>
      <c r="E275" s="184"/>
      <c r="F275" s="184"/>
    </row>
    <row r="276" spans="3:6" ht="12.75" customHeight="1" x14ac:dyDescent="0.25">
      <c r="C276" s="184"/>
      <c r="D276" s="184"/>
      <c r="E276" s="184"/>
      <c r="F276" s="184"/>
    </row>
    <row r="277" spans="3:6" ht="12.75" customHeight="1" x14ac:dyDescent="0.25">
      <c r="C277" s="184"/>
      <c r="D277" s="184"/>
      <c r="E277" s="184"/>
      <c r="F277" s="184"/>
    </row>
    <row r="278" spans="3:6" ht="12.75" customHeight="1" x14ac:dyDescent="0.25">
      <c r="C278" s="184"/>
      <c r="D278" s="184"/>
      <c r="E278" s="184"/>
      <c r="F278" s="184"/>
    </row>
    <row r="279" spans="3:6" ht="12.75" customHeight="1" x14ac:dyDescent="0.25">
      <c r="C279" s="184"/>
      <c r="D279" s="184"/>
      <c r="E279" s="184"/>
      <c r="F279" s="184"/>
    </row>
    <row r="280" spans="3:6" ht="12.75" customHeight="1" x14ac:dyDescent="0.25">
      <c r="C280" s="184"/>
      <c r="D280" s="184"/>
      <c r="E280" s="184"/>
      <c r="F280" s="184"/>
    </row>
    <row r="281" spans="3:6" ht="12.75" customHeight="1" x14ac:dyDescent="0.25">
      <c r="C281" s="184"/>
      <c r="D281" s="184"/>
      <c r="E281" s="184"/>
      <c r="F281" s="184"/>
    </row>
    <row r="282" spans="3:6" ht="12.75" customHeight="1" x14ac:dyDescent="0.25">
      <c r="C282" s="184"/>
      <c r="D282" s="184"/>
      <c r="E282" s="184"/>
      <c r="F282" s="184"/>
    </row>
    <row r="283" spans="3:6" ht="12.75" customHeight="1" x14ac:dyDescent="0.25">
      <c r="C283" s="184"/>
      <c r="D283" s="184"/>
      <c r="E283" s="184"/>
      <c r="F283" s="184"/>
    </row>
    <row r="284" spans="3:6" ht="12.75" customHeight="1" x14ac:dyDescent="0.25">
      <c r="C284" s="184"/>
      <c r="D284" s="184"/>
      <c r="E284" s="184"/>
      <c r="F284" s="184"/>
    </row>
    <row r="285" spans="3:6" ht="12.75" customHeight="1" x14ac:dyDescent="0.25">
      <c r="C285" s="184"/>
      <c r="D285" s="184"/>
      <c r="E285" s="184"/>
      <c r="F285" s="184"/>
    </row>
    <row r="286" spans="3:6" ht="12.75" customHeight="1" x14ac:dyDescent="0.25">
      <c r="C286" s="184"/>
      <c r="D286" s="184"/>
      <c r="E286" s="184"/>
      <c r="F286" s="184"/>
    </row>
    <row r="287" spans="3:6" ht="12.75" customHeight="1" x14ac:dyDescent="0.25">
      <c r="C287" s="184"/>
      <c r="D287" s="184"/>
      <c r="E287" s="184"/>
      <c r="F287" s="184"/>
    </row>
    <row r="288" spans="3:6" ht="12.75" customHeight="1" x14ac:dyDescent="0.25">
      <c r="C288" s="184"/>
      <c r="D288" s="184"/>
      <c r="E288" s="184"/>
      <c r="F288" s="184"/>
    </row>
    <row r="289" spans="3:6" ht="12.75" customHeight="1" x14ac:dyDescent="0.25">
      <c r="C289" s="184"/>
      <c r="D289" s="184"/>
      <c r="E289" s="184"/>
      <c r="F289" s="184"/>
    </row>
    <row r="290" spans="3:6" ht="12.75" customHeight="1" x14ac:dyDescent="0.25">
      <c r="C290" s="184"/>
      <c r="D290" s="184"/>
      <c r="E290" s="184"/>
      <c r="F290" s="184"/>
    </row>
    <row r="291" spans="3:6" ht="12.75" customHeight="1" x14ac:dyDescent="0.25">
      <c r="C291" s="184"/>
      <c r="D291" s="184"/>
      <c r="E291" s="184"/>
      <c r="F291" s="184"/>
    </row>
    <row r="292" spans="3:6" ht="12.75" customHeight="1" x14ac:dyDescent="0.25">
      <c r="C292" s="184"/>
      <c r="D292" s="184"/>
      <c r="E292" s="184"/>
      <c r="F292" s="184"/>
    </row>
    <row r="293" spans="3:6" ht="12.75" customHeight="1" x14ac:dyDescent="0.25">
      <c r="C293" s="184"/>
      <c r="D293" s="184"/>
      <c r="E293" s="184"/>
      <c r="F293" s="184"/>
    </row>
    <row r="294" spans="3:6" ht="12.75" customHeight="1" x14ac:dyDescent="0.25">
      <c r="C294" s="184"/>
      <c r="D294" s="184"/>
      <c r="E294" s="184"/>
      <c r="F294" s="184"/>
    </row>
    <row r="295" spans="3:6" ht="12.75" customHeight="1" x14ac:dyDescent="0.25">
      <c r="C295" s="184"/>
      <c r="D295" s="184"/>
      <c r="E295" s="184"/>
      <c r="F295" s="184"/>
    </row>
    <row r="296" spans="3:6" ht="12.75" customHeight="1" x14ac:dyDescent="0.25">
      <c r="C296" s="184"/>
      <c r="D296" s="184"/>
      <c r="E296" s="184"/>
      <c r="F296" s="184"/>
    </row>
    <row r="297" spans="3:6" ht="12.75" customHeight="1" x14ac:dyDescent="0.25">
      <c r="C297" s="184"/>
      <c r="D297" s="184"/>
      <c r="E297" s="184"/>
      <c r="F297" s="184"/>
    </row>
    <row r="298" spans="3:6" ht="12.75" customHeight="1" x14ac:dyDescent="0.25">
      <c r="C298" s="184"/>
      <c r="D298" s="184"/>
      <c r="E298" s="184"/>
      <c r="F298" s="184"/>
    </row>
    <row r="299" spans="3:6" ht="12.75" customHeight="1" x14ac:dyDescent="0.25">
      <c r="C299" s="184"/>
      <c r="D299" s="184"/>
      <c r="E299" s="184"/>
      <c r="F299" s="184"/>
    </row>
    <row r="300" spans="3:6" ht="12.75" customHeight="1" x14ac:dyDescent="0.25">
      <c r="C300" s="184"/>
      <c r="D300" s="184"/>
      <c r="E300" s="184"/>
      <c r="F300" s="184"/>
    </row>
    <row r="301" spans="3:6" ht="12.75" customHeight="1" x14ac:dyDescent="0.25">
      <c r="C301" s="184"/>
      <c r="D301" s="184"/>
      <c r="E301" s="184"/>
      <c r="F301" s="184"/>
    </row>
    <row r="302" spans="3:6" ht="12.75" customHeight="1" x14ac:dyDescent="0.25">
      <c r="C302" s="184"/>
      <c r="D302" s="184"/>
      <c r="E302" s="184"/>
      <c r="F302" s="184"/>
    </row>
    <row r="303" spans="3:6" ht="12.75" customHeight="1" x14ac:dyDescent="0.25">
      <c r="C303" s="184"/>
      <c r="D303" s="184"/>
      <c r="E303" s="184"/>
      <c r="F303" s="184"/>
    </row>
    <row r="304" spans="3:6" ht="12.75" customHeight="1" x14ac:dyDescent="0.25">
      <c r="C304" s="184"/>
      <c r="D304" s="184"/>
      <c r="E304" s="184"/>
      <c r="F304" s="184"/>
    </row>
    <row r="305" spans="3:6" ht="12.75" customHeight="1" x14ac:dyDescent="0.25">
      <c r="C305" s="184"/>
      <c r="D305" s="184"/>
      <c r="E305" s="184"/>
      <c r="F305" s="184"/>
    </row>
    <row r="306" spans="3:6" ht="12.75" customHeight="1" x14ac:dyDescent="0.25">
      <c r="C306" s="184"/>
      <c r="D306" s="184"/>
      <c r="E306" s="184"/>
      <c r="F306" s="184"/>
    </row>
    <row r="307" spans="3:6" ht="12.75" customHeight="1" x14ac:dyDescent="0.25">
      <c r="C307" s="184"/>
      <c r="D307" s="184"/>
      <c r="E307" s="184"/>
      <c r="F307" s="184"/>
    </row>
    <row r="308" spans="3:6" ht="12.75" customHeight="1" x14ac:dyDescent="0.25">
      <c r="C308" s="184"/>
      <c r="D308" s="184"/>
      <c r="E308" s="184"/>
      <c r="F308" s="184"/>
    </row>
    <row r="309" spans="3:6" ht="12.75" customHeight="1" x14ac:dyDescent="0.25">
      <c r="C309" s="184"/>
      <c r="D309" s="184"/>
      <c r="E309" s="184"/>
      <c r="F309" s="184"/>
    </row>
    <row r="310" spans="3:6" ht="12.75" customHeight="1" x14ac:dyDescent="0.25">
      <c r="C310" s="184"/>
      <c r="D310" s="184"/>
      <c r="E310" s="184"/>
      <c r="F310" s="184"/>
    </row>
    <row r="311" spans="3:6" ht="12.75" customHeight="1" x14ac:dyDescent="0.25">
      <c r="C311" s="184"/>
      <c r="D311" s="184"/>
      <c r="E311" s="184"/>
      <c r="F311" s="184"/>
    </row>
    <row r="312" spans="3:6" ht="12.75" customHeight="1" x14ac:dyDescent="0.25">
      <c r="C312" s="184"/>
      <c r="D312" s="184"/>
      <c r="E312" s="184"/>
      <c r="F312" s="184"/>
    </row>
    <row r="313" spans="3:6" ht="12.75" customHeight="1" x14ac:dyDescent="0.25">
      <c r="C313" s="184"/>
      <c r="D313" s="184"/>
      <c r="E313" s="184"/>
      <c r="F313" s="184"/>
    </row>
    <row r="314" spans="3:6" ht="12.75" customHeight="1" x14ac:dyDescent="0.25">
      <c r="C314" s="184"/>
      <c r="D314" s="184"/>
      <c r="E314" s="184"/>
      <c r="F314" s="184"/>
    </row>
    <row r="315" spans="3:6" ht="12.75" customHeight="1" x14ac:dyDescent="0.25">
      <c r="C315" s="184"/>
      <c r="D315" s="184"/>
      <c r="E315" s="184"/>
      <c r="F315" s="184"/>
    </row>
    <row r="316" spans="3:6" ht="12.75" customHeight="1" x14ac:dyDescent="0.25">
      <c r="C316" s="184"/>
      <c r="D316" s="184"/>
      <c r="E316" s="184"/>
      <c r="F316" s="184"/>
    </row>
    <row r="317" spans="3:6" ht="12.75" customHeight="1" x14ac:dyDescent="0.25">
      <c r="C317" s="184"/>
      <c r="D317" s="184"/>
      <c r="E317" s="184"/>
      <c r="F317" s="184"/>
    </row>
    <row r="318" spans="3:6" ht="12.75" customHeight="1" x14ac:dyDescent="0.25">
      <c r="C318" s="184"/>
      <c r="D318" s="184"/>
      <c r="E318" s="184"/>
      <c r="F318" s="184"/>
    </row>
    <row r="319" spans="3:6" ht="12.75" customHeight="1" x14ac:dyDescent="0.25">
      <c r="C319" s="184"/>
      <c r="D319" s="184"/>
      <c r="E319" s="184"/>
      <c r="F319" s="184"/>
    </row>
    <row r="320" spans="3:6" ht="12.75" customHeight="1" x14ac:dyDescent="0.25">
      <c r="C320" s="184"/>
      <c r="D320" s="184"/>
      <c r="E320" s="184"/>
      <c r="F320" s="184"/>
    </row>
    <row r="321" spans="3:6" ht="12.75" customHeight="1" x14ac:dyDescent="0.25">
      <c r="C321" s="184"/>
      <c r="D321" s="184"/>
      <c r="E321" s="184"/>
      <c r="F321" s="184"/>
    </row>
    <row r="322" spans="3:6" ht="12.75" customHeight="1" x14ac:dyDescent="0.25">
      <c r="C322" s="184"/>
      <c r="D322" s="184"/>
      <c r="E322" s="184"/>
      <c r="F322" s="184"/>
    </row>
    <row r="323" spans="3:6" ht="12.75" customHeight="1" x14ac:dyDescent="0.25">
      <c r="C323" s="184"/>
      <c r="D323" s="184"/>
      <c r="E323" s="184"/>
      <c r="F323" s="184"/>
    </row>
    <row r="324" spans="3:6" ht="12.75" customHeight="1" x14ac:dyDescent="0.25">
      <c r="C324" s="184"/>
      <c r="D324" s="184"/>
      <c r="E324" s="184"/>
      <c r="F324" s="184"/>
    </row>
    <row r="325" spans="3:6" ht="12.75" customHeight="1" x14ac:dyDescent="0.25">
      <c r="C325" s="184"/>
      <c r="D325" s="184"/>
      <c r="E325" s="184"/>
      <c r="F325" s="184"/>
    </row>
    <row r="326" spans="3:6" ht="12.75" customHeight="1" x14ac:dyDescent="0.25">
      <c r="C326" s="184"/>
      <c r="D326" s="184"/>
      <c r="E326" s="184"/>
      <c r="F326" s="184"/>
    </row>
    <row r="327" spans="3:6" ht="12.75" customHeight="1" x14ac:dyDescent="0.25">
      <c r="C327" s="184"/>
      <c r="D327" s="184"/>
      <c r="E327" s="184"/>
      <c r="F327" s="184"/>
    </row>
    <row r="328" spans="3:6" ht="12.75" customHeight="1" x14ac:dyDescent="0.25">
      <c r="C328" s="184"/>
      <c r="D328" s="184"/>
      <c r="E328" s="184"/>
      <c r="F328" s="184"/>
    </row>
    <row r="329" spans="3:6" ht="12.75" customHeight="1" x14ac:dyDescent="0.25">
      <c r="C329" s="184"/>
      <c r="D329" s="184"/>
      <c r="E329" s="184"/>
      <c r="F329" s="184"/>
    </row>
    <row r="330" spans="3:6" ht="12.75" customHeight="1" x14ac:dyDescent="0.25">
      <c r="C330" s="184"/>
      <c r="D330" s="184"/>
      <c r="E330" s="184"/>
      <c r="F330" s="184"/>
    </row>
    <row r="331" spans="3:6" ht="12.75" customHeight="1" x14ac:dyDescent="0.25">
      <c r="C331" s="184"/>
      <c r="D331" s="184"/>
      <c r="E331" s="184"/>
      <c r="F331" s="184"/>
    </row>
    <row r="332" spans="3:6" ht="12.75" customHeight="1" x14ac:dyDescent="0.25">
      <c r="C332" s="184"/>
      <c r="D332" s="184"/>
      <c r="E332" s="184"/>
      <c r="F332" s="184"/>
    </row>
    <row r="333" spans="3:6" ht="12.75" customHeight="1" x14ac:dyDescent="0.25">
      <c r="C333" s="184"/>
      <c r="D333" s="184"/>
      <c r="E333" s="184"/>
      <c r="F333" s="184"/>
    </row>
    <row r="334" spans="3:6" ht="12.75" customHeight="1" x14ac:dyDescent="0.25">
      <c r="C334" s="184"/>
      <c r="D334" s="184"/>
      <c r="E334" s="184"/>
      <c r="F334" s="184"/>
    </row>
    <row r="335" spans="3:6" ht="12.75" customHeight="1" x14ac:dyDescent="0.25">
      <c r="C335" s="184"/>
      <c r="D335" s="184"/>
      <c r="E335" s="184"/>
      <c r="F335" s="184"/>
    </row>
    <row r="336" spans="3:6" ht="12.75" customHeight="1" x14ac:dyDescent="0.25">
      <c r="C336" s="184"/>
      <c r="D336" s="184"/>
      <c r="E336" s="184"/>
      <c r="F336" s="184"/>
    </row>
    <row r="337" spans="3:6" ht="12.75" customHeight="1" x14ac:dyDescent="0.25">
      <c r="C337" s="184"/>
      <c r="D337" s="184"/>
      <c r="E337" s="184"/>
      <c r="F337" s="184"/>
    </row>
    <row r="338" spans="3:6" ht="12.75" customHeight="1" x14ac:dyDescent="0.25">
      <c r="C338" s="184"/>
      <c r="D338" s="184"/>
      <c r="E338" s="184"/>
      <c r="F338" s="184"/>
    </row>
    <row r="339" spans="3:6" ht="12.75" customHeight="1" x14ac:dyDescent="0.25">
      <c r="C339" s="184"/>
      <c r="D339" s="184"/>
      <c r="E339" s="184"/>
      <c r="F339" s="184"/>
    </row>
    <row r="340" spans="3:6" ht="12.75" customHeight="1" x14ac:dyDescent="0.25">
      <c r="C340" s="184"/>
      <c r="D340" s="184"/>
      <c r="E340" s="184"/>
      <c r="F340" s="184"/>
    </row>
    <row r="341" spans="3:6" ht="12.75" customHeight="1" x14ac:dyDescent="0.25">
      <c r="C341" s="184"/>
      <c r="D341" s="184"/>
      <c r="E341" s="184"/>
      <c r="F341" s="184"/>
    </row>
    <row r="342" spans="3:6" ht="12.75" customHeight="1" x14ac:dyDescent="0.25">
      <c r="C342" s="184"/>
      <c r="D342" s="184"/>
      <c r="E342" s="184"/>
      <c r="F342" s="184"/>
    </row>
    <row r="343" spans="3:6" ht="12.75" customHeight="1" x14ac:dyDescent="0.25">
      <c r="C343" s="184"/>
      <c r="D343" s="184"/>
      <c r="E343" s="184"/>
      <c r="F343" s="184"/>
    </row>
    <row r="344" spans="3:6" ht="12.75" customHeight="1" x14ac:dyDescent="0.25">
      <c r="C344" s="184"/>
      <c r="D344" s="184"/>
      <c r="E344" s="184"/>
      <c r="F344" s="184"/>
    </row>
    <row r="345" spans="3:6" ht="12.75" customHeight="1" x14ac:dyDescent="0.25">
      <c r="C345" s="184"/>
      <c r="D345" s="184"/>
      <c r="E345" s="184"/>
      <c r="F345" s="184"/>
    </row>
    <row r="346" spans="3:6" ht="12.75" customHeight="1" x14ac:dyDescent="0.25">
      <c r="C346" s="184"/>
      <c r="D346" s="184"/>
      <c r="E346" s="184"/>
      <c r="F346" s="184"/>
    </row>
    <row r="347" spans="3:6" ht="12.75" customHeight="1" x14ac:dyDescent="0.25">
      <c r="C347" s="184"/>
      <c r="D347" s="184"/>
      <c r="E347" s="184"/>
      <c r="F347" s="184"/>
    </row>
    <row r="348" spans="3:6" ht="12.75" customHeight="1" x14ac:dyDescent="0.25">
      <c r="C348" s="184"/>
      <c r="D348" s="184"/>
      <c r="E348" s="184"/>
      <c r="F348" s="184"/>
    </row>
    <row r="349" spans="3:6" ht="12.75" customHeight="1" x14ac:dyDescent="0.25">
      <c r="C349" s="184"/>
      <c r="D349" s="184"/>
      <c r="E349" s="184"/>
      <c r="F349" s="184"/>
    </row>
    <row r="350" spans="3:6" ht="12.75" customHeight="1" x14ac:dyDescent="0.25">
      <c r="C350" s="184"/>
      <c r="D350" s="184"/>
      <c r="E350" s="184"/>
      <c r="F350" s="184"/>
    </row>
    <row r="351" spans="3:6" ht="12.75" customHeight="1" x14ac:dyDescent="0.25">
      <c r="C351" s="184"/>
      <c r="D351" s="184"/>
      <c r="E351" s="184"/>
      <c r="F351" s="184"/>
    </row>
    <row r="352" spans="3:6" ht="12.75" customHeight="1" x14ac:dyDescent="0.25">
      <c r="C352" s="184"/>
      <c r="D352" s="184"/>
      <c r="E352" s="184"/>
      <c r="F352" s="184"/>
    </row>
    <row r="353" spans="3:6" ht="12.75" customHeight="1" x14ac:dyDescent="0.25">
      <c r="C353" s="184"/>
      <c r="D353" s="184"/>
      <c r="E353" s="184"/>
      <c r="F353" s="184"/>
    </row>
    <row r="354" spans="3:6" ht="12.75" customHeight="1" x14ac:dyDescent="0.25">
      <c r="C354" s="184"/>
      <c r="D354" s="184"/>
      <c r="E354" s="184"/>
      <c r="F354" s="184"/>
    </row>
    <row r="355" spans="3:6" ht="12.75" customHeight="1" x14ac:dyDescent="0.25">
      <c r="C355" s="184"/>
      <c r="D355" s="184"/>
      <c r="E355" s="184"/>
      <c r="F355" s="184"/>
    </row>
    <row r="356" spans="3:6" ht="12.75" customHeight="1" x14ac:dyDescent="0.25">
      <c r="C356" s="184"/>
      <c r="D356" s="184"/>
      <c r="E356" s="184"/>
      <c r="F356" s="184"/>
    </row>
    <row r="357" spans="3:6" ht="12.75" customHeight="1" x14ac:dyDescent="0.25">
      <c r="C357" s="184"/>
      <c r="D357" s="184"/>
      <c r="E357" s="184"/>
      <c r="F357" s="184"/>
    </row>
    <row r="358" spans="3:6" ht="12.75" customHeight="1" x14ac:dyDescent="0.25">
      <c r="C358" s="184"/>
      <c r="D358" s="184"/>
      <c r="E358" s="184"/>
      <c r="F358" s="184"/>
    </row>
    <row r="359" spans="3:6" ht="12.75" customHeight="1" x14ac:dyDescent="0.25">
      <c r="C359" s="184"/>
      <c r="D359" s="184"/>
      <c r="E359" s="184"/>
      <c r="F359" s="184"/>
    </row>
    <row r="360" spans="3:6" ht="12.75" customHeight="1" x14ac:dyDescent="0.25">
      <c r="C360" s="184"/>
      <c r="D360" s="184"/>
      <c r="E360" s="184"/>
      <c r="F360" s="184"/>
    </row>
    <row r="361" spans="3:6" ht="12.75" customHeight="1" x14ac:dyDescent="0.25">
      <c r="C361" s="184"/>
      <c r="D361" s="184"/>
      <c r="E361" s="184"/>
      <c r="F361" s="184"/>
    </row>
    <row r="362" spans="3:6" ht="12.75" customHeight="1" x14ac:dyDescent="0.25">
      <c r="C362" s="184"/>
      <c r="D362" s="184"/>
      <c r="E362" s="184"/>
      <c r="F362" s="184"/>
    </row>
    <row r="363" spans="3:6" ht="12.75" customHeight="1" x14ac:dyDescent="0.25">
      <c r="C363" s="184"/>
      <c r="D363" s="184"/>
      <c r="E363" s="184"/>
      <c r="F363" s="184"/>
    </row>
    <row r="364" spans="3:6" ht="12.75" customHeight="1" x14ac:dyDescent="0.25">
      <c r="C364" s="184"/>
      <c r="D364" s="184"/>
      <c r="E364" s="184"/>
      <c r="F364" s="184"/>
    </row>
    <row r="365" spans="3:6" ht="12.75" customHeight="1" x14ac:dyDescent="0.25">
      <c r="C365" s="184"/>
      <c r="D365" s="184"/>
      <c r="E365" s="184"/>
      <c r="F365" s="184"/>
    </row>
    <row r="366" spans="3:6" ht="12.75" customHeight="1" x14ac:dyDescent="0.25">
      <c r="C366" s="184"/>
      <c r="D366" s="184"/>
      <c r="E366" s="184"/>
      <c r="F366" s="184"/>
    </row>
    <row r="367" spans="3:6" ht="12.75" customHeight="1" x14ac:dyDescent="0.25">
      <c r="C367" s="184"/>
      <c r="D367" s="184"/>
      <c r="E367" s="184"/>
      <c r="F367" s="184"/>
    </row>
    <row r="368" spans="3:6" ht="12.75" customHeight="1" x14ac:dyDescent="0.25">
      <c r="C368" s="184"/>
      <c r="D368" s="184"/>
      <c r="E368" s="184"/>
      <c r="F368" s="184"/>
    </row>
    <row r="369" spans="3:6" ht="12.75" customHeight="1" x14ac:dyDescent="0.25">
      <c r="C369" s="184"/>
      <c r="D369" s="184"/>
      <c r="E369" s="184"/>
      <c r="F369" s="184"/>
    </row>
    <row r="370" spans="3:6" ht="12.75" customHeight="1" x14ac:dyDescent="0.25">
      <c r="C370" s="184"/>
      <c r="D370" s="184"/>
      <c r="E370" s="184"/>
      <c r="F370" s="184"/>
    </row>
    <row r="371" spans="3:6" ht="12.75" customHeight="1" x14ac:dyDescent="0.25">
      <c r="C371" s="184"/>
      <c r="D371" s="184"/>
      <c r="E371" s="184"/>
      <c r="F371" s="184"/>
    </row>
    <row r="372" spans="3:6" ht="12.75" customHeight="1" x14ac:dyDescent="0.25">
      <c r="C372" s="184"/>
      <c r="D372" s="184"/>
      <c r="E372" s="184"/>
      <c r="F372" s="184"/>
    </row>
    <row r="373" spans="3:6" ht="12.75" customHeight="1" x14ac:dyDescent="0.25">
      <c r="C373" s="184"/>
      <c r="D373" s="184"/>
      <c r="E373" s="184"/>
      <c r="F373" s="184"/>
    </row>
    <row r="374" spans="3:6" ht="12.75" customHeight="1" x14ac:dyDescent="0.25">
      <c r="C374" s="184"/>
      <c r="D374" s="184"/>
      <c r="E374" s="184"/>
      <c r="F374" s="184"/>
    </row>
    <row r="375" spans="3:6" ht="12.75" customHeight="1" x14ac:dyDescent="0.25">
      <c r="C375" s="184"/>
      <c r="D375" s="184"/>
      <c r="E375" s="184"/>
      <c r="F375" s="184"/>
    </row>
    <row r="376" spans="3:6" ht="12.75" customHeight="1" x14ac:dyDescent="0.25">
      <c r="C376" s="184"/>
      <c r="D376" s="184"/>
      <c r="E376" s="184"/>
      <c r="F376" s="184"/>
    </row>
    <row r="377" spans="3:6" ht="12.75" customHeight="1" x14ac:dyDescent="0.25">
      <c r="C377" s="184"/>
      <c r="D377" s="184"/>
      <c r="E377" s="184"/>
      <c r="F377" s="184"/>
    </row>
    <row r="378" spans="3:6" ht="12.75" customHeight="1" x14ac:dyDescent="0.25">
      <c r="C378" s="184"/>
      <c r="D378" s="184"/>
      <c r="E378" s="184"/>
      <c r="F378" s="184"/>
    </row>
    <row r="379" spans="3:6" ht="12.75" customHeight="1" x14ac:dyDescent="0.25">
      <c r="C379" s="184"/>
      <c r="D379" s="184"/>
      <c r="E379" s="184"/>
      <c r="F379" s="184"/>
    </row>
    <row r="380" spans="3:6" ht="12.75" customHeight="1" x14ac:dyDescent="0.25">
      <c r="C380" s="184"/>
      <c r="D380" s="184"/>
      <c r="E380" s="184"/>
      <c r="F380" s="184"/>
    </row>
    <row r="381" spans="3:6" ht="12.75" customHeight="1" x14ac:dyDescent="0.25">
      <c r="C381" s="184"/>
      <c r="D381" s="184"/>
      <c r="E381" s="184"/>
      <c r="F381" s="184"/>
    </row>
    <row r="382" spans="3:6" ht="12.75" customHeight="1" x14ac:dyDescent="0.25">
      <c r="C382" s="184"/>
      <c r="D382" s="184"/>
      <c r="E382" s="184"/>
      <c r="F382" s="184"/>
    </row>
    <row r="383" spans="3:6" ht="12.75" customHeight="1" x14ac:dyDescent="0.25">
      <c r="C383" s="184"/>
      <c r="D383" s="184"/>
      <c r="E383" s="184"/>
      <c r="F383" s="184"/>
    </row>
    <row r="384" spans="3:6" ht="12.75" customHeight="1" x14ac:dyDescent="0.25">
      <c r="C384" s="184"/>
      <c r="D384" s="184"/>
      <c r="E384" s="184"/>
      <c r="F384" s="184"/>
    </row>
    <row r="385" spans="3:6" ht="12.75" customHeight="1" x14ac:dyDescent="0.25">
      <c r="C385" s="184"/>
      <c r="D385" s="184"/>
      <c r="E385" s="184"/>
      <c r="F385" s="184"/>
    </row>
    <row r="386" spans="3:6" ht="12.75" customHeight="1" x14ac:dyDescent="0.25">
      <c r="C386" s="184"/>
      <c r="D386" s="184"/>
      <c r="E386" s="184"/>
      <c r="F386" s="184"/>
    </row>
    <row r="387" spans="3:6" ht="12.75" customHeight="1" x14ac:dyDescent="0.25">
      <c r="C387" s="184"/>
      <c r="D387" s="184"/>
      <c r="E387" s="184"/>
      <c r="F387" s="184"/>
    </row>
    <row r="388" spans="3:6" ht="12.75" customHeight="1" x14ac:dyDescent="0.25">
      <c r="C388" s="184"/>
      <c r="D388" s="184"/>
      <c r="E388" s="184"/>
      <c r="F388" s="184"/>
    </row>
    <row r="389" spans="3:6" ht="12.75" customHeight="1" x14ac:dyDescent="0.25">
      <c r="C389" s="184"/>
      <c r="D389" s="184"/>
      <c r="E389" s="184"/>
      <c r="F389" s="184"/>
    </row>
    <row r="390" spans="3:6" ht="12.75" customHeight="1" x14ac:dyDescent="0.25">
      <c r="C390" s="184"/>
      <c r="D390" s="184"/>
      <c r="E390" s="184"/>
      <c r="F390" s="184"/>
    </row>
    <row r="391" spans="3:6" ht="12.75" customHeight="1" x14ac:dyDescent="0.25">
      <c r="C391" s="184"/>
      <c r="D391" s="184"/>
      <c r="E391" s="184"/>
      <c r="F391" s="184"/>
    </row>
    <row r="392" spans="3:6" ht="12.75" customHeight="1" x14ac:dyDescent="0.25">
      <c r="C392" s="184"/>
      <c r="D392" s="184"/>
      <c r="E392" s="184"/>
      <c r="F392" s="184"/>
    </row>
    <row r="393" spans="3:6" ht="12.75" customHeight="1" x14ac:dyDescent="0.25">
      <c r="C393" s="184"/>
      <c r="D393" s="184"/>
      <c r="E393" s="184"/>
      <c r="F393" s="184"/>
    </row>
    <row r="394" spans="3:6" ht="12.75" customHeight="1" x14ac:dyDescent="0.25">
      <c r="C394" s="184"/>
      <c r="D394" s="184"/>
      <c r="E394" s="184"/>
      <c r="F394" s="184"/>
    </row>
    <row r="395" spans="3:6" ht="12.75" customHeight="1" x14ac:dyDescent="0.25">
      <c r="C395" s="184"/>
      <c r="D395" s="184"/>
      <c r="E395" s="184"/>
      <c r="F395" s="184"/>
    </row>
    <row r="396" spans="3:6" ht="12.75" customHeight="1" x14ac:dyDescent="0.25">
      <c r="C396" s="184"/>
      <c r="D396" s="184"/>
      <c r="E396" s="184"/>
      <c r="F396" s="184"/>
    </row>
    <row r="397" spans="3:6" ht="12.75" customHeight="1" x14ac:dyDescent="0.25">
      <c r="C397" s="184"/>
      <c r="D397" s="184"/>
      <c r="E397" s="184"/>
      <c r="F397" s="184"/>
    </row>
    <row r="398" spans="3:6" ht="12.75" customHeight="1" x14ac:dyDescent="0.25">
      <c r="C398" s="184"/>
      <c r="D398" s="184"/>
      <c r="E398" s="184"/>
      <c r="F398" s="184"/>
    </row>
    <row r="399" spans="3:6" ht="12.75" customHeight="1" x14ac:dyDescent="0.25">
      <c r="C399" s="184"/>
      <c r="D399" s="184"/>
      <c r="E399" s="184"/>
      <c r="F399" s="184"/>
    </row>
    <row r="400" spans="3:6" ht="12.75" customHeight="1" x14ac:dyDescent="0.25">
      <c r="C400" s="184"/>
      <c r="D400" s="184"/>
      <c r="E400" s="184"/>
      <c r="F400" s="184"/>
    </row>
    <row r="401" spans="3:6" ht="12.75" customHeight="1" x14ac:dyDescent="0.25">
      <c r="C401" s="184"/>
      <c r="D401" s="184"/>
      <c r="E401" s="184"/>
      <c r="F401" s="184"/>
    </row>
    <row r="402" spans="3:6" ht="12.75" customHeight="1" x14ac:dyDescent="0.25">
      <c r="C402" s="184"/>
      <c r="D402" s="184"/>
      <c r="E402" s="184"/>
      <c r="F402" s="184"/>
    </row>
    <row r="403" spans="3:6" ht="12.75" customHeight="1" x14ac:dyDescent="0.25">
      <c r="C403" s="184"/>
      <c r="D403" s="184"/>
      <c r="E403" s="184"/>
      <c r="F403" s="184"/>
    </row>
    <row r="404" spans="3:6" ht="12.75" customHeight="1" x14ac:dyDescent="0.25">
      <c r="C404" s="184"/>
      <c r="D404" s="184"/>
      <c r="E404" s="184"/>
      <c r="F404" s="184"/>
    </row>
    <row r="405" spans="3:6" ht="12.75" customHeight="1" x14ac:dyDescent="0.25">
      <c r="C405" s="184"/>
      <c r="D405" s="184"/>
      <c r="E405" s="184"/>
      <c r="F405" s="184"/>
    </row>
    <row r="406" spans="3:6" ht="12.75" customHeight="1" x14ac:dyDescent="0.25">
      <c r="C406" s="184"/>
      <c r="D406" s="184"/>
      <c r="E406" s="184"/>
      <c r="F406" s="184"/>
    </row>
    <row r="407" spans="3:6" ht="12.75" customHeight="1" x14ac:dyDescent="0.25">
      <c r="C407" s="184"/>
      <c r="D407" s="184"/>
      <c r="E407" s="184"/>
      <c r="F407" s="184"/>
    </row>
    <row r="408" spans="3:6" ht="12.75" customHeight="1" x14ac:dyDescent="0.25">
      <c r="C408" s="184"/>
      <c r="D408" s="184"/>
      <c r="E408" s="184"/>
      <c r="F408" s="184"/>
    </row>
    <row r="409" spans="3:6" ht="12.75" customHeight="1" x14ac:dyDescent="0.25">
      <c r="C409" s="184"/>
      <c r="D409" s="184"/>
      <c r="E409" s="184"/>
      <c r="F409" s="184"/>
    </row>
    <row r="410" spans="3:6" ht="12.75" customHeight="1" x14ac:dyDescent="0.25">
      <c r="C410" s="184"/>
      <c r="D410" s="184"/>
      <c r="E410" s="184"/>
      <c r="F410" s="184"/>
    </row>
    <row r="411" spans="3:6" ht="12.75" customHeight="1" x14ac:dyDescent="0.25">
      <c r="C411" s="184"/>
      <c r="D411" s="184"/>
      <c r="E411" s="184"/>
      <c r="F411" s="184"/>
    </row>
    <row r="412" spans="3:6" ht="12.75" customHeight="1" x14ac:dyDescent="0.25">
      <c r="C412" s="184"/>
      <c r="D412" s="184"/>
      <c r="E412" s="184"/>
      <c r="F412" s="184"/>
    </row>
    <row r="413" spans="3:6" ht="12.75" customHeight="1" x14ac:dyDescent="0.25">
      <c r="C413" s="184"/>
      <c r="D413" s="184"/>
      <c r="E413" s="184"/>
      <c r="F413" s="184"/>
    </row>
    <row r="414" spans="3:6" ht="12.75" customHeight="1" x14ac:dyDescent="0.25">
      <c r="C414" s="184"/>
      <c r="D414" s="184"/>
      <c r="E414" s="184"/>
      <c r="F414" s="184"/>
    </row>
    <row r="415" spans="3:6" ht="12.75" customHeight="1" x14ac:dyDescent="0.25">
      <c r="C415" s="184"/>
      <c r="D415" s="184"/>
      <c r="E415" s="184"/>
      <c r="F415" s="184"/>
    </row>
    <row r="416" spans="3:6" ht="12.75" customHeight="1" x14ac:dyDescent="0.25">
      <c r="C416" s="184"/>
      <c r="D416" s="184"/>
      <c r="E416" s="184"/>
      <c r="F416" s="184"/>
    </row>
    <row r="417" spans="3:6" ht="12.75" customHeight="1" x14ac:dyDescent="0.25">
      <c r="C417" s="184"/>
      <c r="D417" s="184"/>
      <c r="E417" s="184"/>
      <c r="F417" s="184"/>
    </row>
    <row r="418" spans="3:6" ht="12.75" customHeight="1" x14ac:dyDescent="0.25">
      <c r="C418" s="184"/>
      <c r="D418" s="184"/>
      <c r="E418" s="184"/>
      <c r="F418" s="184"/>
    </row>
    <row r="419" spans="3:6" ht="12.75" customHeight="1" x14ac:dyDescent="0.25">
      <c r="C419" s="184"/>
      <c r="D419" s="184"/>
      <c r="E419" s="184"/>
      <c r="F419" s="184"/>
    </row>
    <row r="420" spans="3:6" ht="12.75" customHeight="1" x14ac:dyDescent="0.25">
      <c r="C420" s="184"/>
      <c r="D420" s="184"/>
      <c r="E420" s="184"/>
      <c r="F420" s="184"/>
    </row>
    <row r="421" spans="3:6" ht="12.75" customHeight="1" x14ac:dyDescent="0.25">
      <c r="C421" s="184"/>
      <c r="D421" s="184"/>
      <c r="E421" s="184"/>
      <c r="F421" s="184"/>
    </row>
    <row r="422" spans="3:6" ht="12.75" customHeight="1" x14ac:dyDescent="0.25">
      <c r="C422" s="184"/>
      <c r="D422" s="184"/>
      <c r="E422" s="184"/>
      <c r="F422" s="184"/>
    </row>
    <row r="423" spans="3:6" ht="12.75" customHeight="1" x14ac:dyDescent="0.25">
      <c r="C423" s="184"/>
      <c r="D423" s="184"/>
      <c r="E423" s="184"/>
      <c r="F423" s="184"/>
    </row>
    <row r="424" spans="3:6" ht="12.75" customHeight="1" x14ac:dyDescent="0.25">
      <c r="C424" s="184"/>
      <c r="D424" s="184"/>
      <c r="E424" s="184"/>
      <c r="F424" s="184"/>
    </row>
    <row r="425" spans="3:6" ht="12.75" customHeight="1" x14ac:dyDescent="0.25">
      <c r="C425" s="184"/>
      <c r="D425" s="184"/>
      <c r="E425" s="184"/>
      <c r="F425" s="184"/>
    </row>
    <row r="426" spans="3:6" ht="12.75" customHeight="1" x14ac:dyDescent="0.25">
      <c r="C426" s="184"/>
      <c r="D426" s="184"/>
      <c r="E426" s="184"/>
      <c r="F426" s="184"/>
    </row>
    <row r="427" spans="3:6" ht="12.75" customHeight="1" x14ac:dyDescent="0.25">
      <c r="C427" s="184"/>
      <c r="D427" s="184"/>
      <c r="E427" s="184"/>
      <c r="F427" s="184"/>
    </row>
    <row r="428" spans="3:6" ht="12.75" customHeight="1" x14ac:dyDescent="0.25">
      <c r="C428" s="184"/>
      <c r="D428" s="184"/>
      <c r="E428" s="184"/>
      <c r="F428" s="184"/>
    </row>
    <row r="429" spans="3:6" ht="12.75" customHeight="1" x14ac:dyDescent="0.25">
      <c r="C429" s="184"/>
      <c r="D429" s="184"/>
      <c r="E429" s="184"/>
      <c r="F429" s="184"/>
    </row>
    <row r="430" spans="3:6" ht="12.75" customHeight="1" x14ac:dyDescent="0.25">
      <c r="C430" s="184"/>
      <c r="D430" s="184"/>
      <c r="E430" s="184"/>
      <c r="F430" s="184"/>
    </row>
    <row r="431" spans="3:6" ht="12.75" customHeight="1" x14ac:dyDescent="0.25">
      <c r="C431" s="184"/>
      <c r="D431" s="184"/>
      <c r="E431" s="184"/>
      <c r="F431" s="184"/>
    </row>
    <row r="432" spans="3:6" ht="12.75" customHeight="1" x14ac:dyDescent="0.25">
      <c r="C432" s="184"/>
      <c r="D432" s="184"/>
      <c r="E432" s="184"/>
      <c r="F432" s="184"/>
    </row>
    <row r="433" spans="3:6" ht="12.75" customHeight="1" x14ac:dyDescent="0.25">
      <c r="C433" s="184"/>
      <c r="D433" s="184"/>
      <c r="E433" s="184"/>
      <c r="F433" s="184"/>
    </row>
    <row r="434" spans="3:6" ht="12.75" customHeight="1" x14ac:dyDescent="0.25">
      <c r="C434" s="184"/>
      <c r="D434" s="184"/>
      <c r="E434" s="184"/>
      <c r="F434" s="184"/>
    </row>
    <row r="435" spans="3:6" ht="12.75" customHeight="1" x14ac:dyDescent="0.25">
      <c r="C435" s="184"/>
      <c r="D435" s="184"/>
      <c r="E435" s="184"/>
      <c r="F435" s="184"/>
    </row>
    <row r="436" spans="3:6" ht="12.75" customHeight="1" x14ac:dyDescent="0.25">
      <c r="C436" s="184"/>
      <c r="D436" s="184"/>
      <c r="E436" s="184"/>
      <c r="F436" s="184"/>
    </row>
    <row r="437" spans="3:6" ht="12.75" customHeight="1" x14ac:dyDescent="0.25">
      <c r="C437" s="184"/>
      <c r="D437" s="184"/>
      <c r="E437" s="184"/>
      <c r="F437" s="184"/>
    </row>
    <row r="438" spans="3:6" ht="12.75" customHeight="1" x14ac:dyDescent="0.25">
      <c r="C438" s="184"/>
      <c r="D438" s="184"/>
      <c r="E438" s="184"/>
      <c r="F438" s="184"/>
    </row>
    <row r="439" spans="3:6" ht="12.75" customHeight="1" x14ac:dyDescent="0.25">
      <c r="C439" s="184"/>
      <c r="D439" s="184"/>
      <c r="E439" s="184"/>
      <c r="F439" s="184"/>
    </row>
    <row r="440" spans="3:6" ht="12.75" customHeight="1" x14ac:dyDescent="0.25">
      <c r="C440" s="184"/>
      <c r="D440" s="184"/>
      <c r="E440" s="184"/>
      <c r="F440" s="184"/>
    </row>
    <row r="441" spans="3:6" ht="12.75" customHeight="1" x14ac:dyDescent="0.25">
      <c r="C441" s="184"/>
      <c r="D441" s="184"/>
      <c r="E441" s="184"/>
      <c r="F441" s="184"/>
    </row>
    <row r="442" spans="3:6" ht="12.75" customHeight="1" x14ac:dyDescent="0.25">
      <c r="C442" s="184"/>
      <c r="D442" s="184"/>
      <c r="E442" s="184"/>
      <c r="F442" s="184"/>
    </row>
    <row r="443" spans="3:6" ht="12.75" customHeight="1" x14ac:dyDescent="0.25">
      <c r="C443" s="184"/>
      <c r="D443" s="184"/>
      <c r="E443" s="184"/>
      <c r="F443" s="184"/>
    </row>
    <row r="444" spans="3:6" ht="12.75" customHeight="1" x14ac:dyDescent="0.25">
      <c r="C444" s="184"/>
      <c r="D444" s="184"/>
      <c r="E444" s="184"/>
      <c r="F444" s="184"/>
    </row>
    <row r="445" spans="3:6" ht="12.75" customHeight="1" x14ac:dyDescent="0.25">
      <c r="C445" s="184"/>
      <c r="D445" s="184"/>
      <c r="E445" s="184"/>
      <c r="F445" s="184"/>
    </row>
    <row r="446" spans="3:6" ht="12.75" customHeight="1" x14ac:dyDescent="0.25">
      <c r="C446" s="184"/>
      <c r="D446" s="184"/>
      <c r="E446" s="184"/>
      <c r="F446" s="184"/>
    </row>
    <row r="447" spans="3:6" ht="12.75" customHeight="1" x14ac:dyDescent="0.25">
      <c r="C447" s="184"/>
      <c r="D447" s="184"/>
      <c r="E447" s="184"/>
      <c r="F447" s="184"/>
    </row>
    <row r="448" spans="3:6" ht="12.75" customHeight="1" x14ac:dyDescent="0.25">
      <c r="C448" s="184"/>
      <c r="D448" s="184"/>
      <c r="E448" s="184"/>
      <c r="F448" s="184"/>
    </row>
    <row r="449" spans="3:6" ht="12.75" customHeight="1" x14ac:dyDescent="0.25">
      <c r="C449" s="184"/>
      <c r="D449" s="184"/>
      <c r="E449" s="184"/>
      <c r="F449" s="184"/>
    </row>
    <row r="450" spans="3:6" ht="12.75" customHeight="1" x14ac:dyDescent="0.25">
      <c r="C450" s="184"/>
      <c r="D450" s="184"/>
      <c r="E450" s="184"/>
      <c r="F450" s="184"/>
    </row>
    <row r="451" spans="3:6" ht="12.75" customHeight="1" x14ac:dyDescent="0.25">
      <c r="C451" s="184"/>
      <c r="D451" s="184"/>
      <c r="E451" s="184"/>
      <c r="F451" s="184"/>
    </row>
    <row r="452" spans="3:6" ht="12.75" customHeight="1" x14ac:dyDescent="0.25">
      <c r="C452" s="184"/>
      <c r="D452" s="184"/>
      <c r="E452" s="184"/>
      <c r="F452" s="184"/>
    </row>
    <row r="453" spans="3:6" ht="12.75" customHeight="1" x14ac:dyDescent="0.25">
      <c r="C453" s="184"/>
      <c r="D453" s="184"/>
      <c r="E453" s="184"/>
      <c r="F453" s="184"/>
    </row>
    <row r="454" spans="3:6" ht="12.75" customHeight="1" x14ac:dyDescent="0.25">
      <c r="C454" s="184"/>
      <c r="D454" s="184"/>
      <c r="E454" s="184"/>
      <c r="F454" s="184"/>
    </row>
    <row r="455" spans="3:6" ht="12.75" customHeight="1" x14ac:dyDescent="0.25">
      <c r="C455" s="184"/>
      <c r="D455" s="184"/>
      <c r="E455" s="184"/>
      <c r="F455" s="184"/>
    </row>
    <row r="456" spans="3:6" ht="12.75" customHeight="1" x14ac:dyDescent="0.25">
      <c r="C456" s="184"/>
      <c r="D456" s="184"/>
      <c r="E456" s="184"/>
      <c r="F456" s="184"/>
    </row>
    <row r="457" spans="3:6" ht="12.75" customHeight="1" x14ac:dyDescent="0.25">
      <c r="C457" s="184"/>
      <c r="D457" s="184"/>
      <c r="E457" s="184"/>
      <c r="F457" s="184"/>
    </row>
    <row r="458" spans="3:6" ht="12.75" customHeight="1" x14ac:dyDescent="0.25">
      <c r="C458" s="184"/>
      <c r="D458" s="184"/>
      <c r="E458" s="184"/>
      <c r="F458" s="184"/>
    </row>
    <row r="459" spans="3:6" ht="12.75" customHeight="1" x14ac:dyDescent="0.25">
      <c r="C459" s="184"/>
      <c r="D459" s="184"/>
      <c r="E459" s="184"/>
      <c r="F459" s="184"/>
    </row>
    <row r="460" spans="3:6" ht="12.75" customHeight="1" x14ac:dyDescent="0.25">
      <c r="C460" s="184"/>
      <c r="D460" s="184"/>
      <c r="E460" s="184"/>
      <c r="F460" s="184"/>
    </row>
    <row r="461" spans="3:6" ht="12.75" customHeight="1" x14ac:dyDescent="0.25">
      <c r="C461" s="184"/>
      <c r="D461" s="184"/>
      <c r="E461" s="184"/>
      <c r="F461" s="184"/>
    </row>
    <row r="462" spans="3:6" ht="12.75" customHeight="1" x14ac:dyDescent="0.25">
      <c r="C462" s="184"/>
      <c r="D462" s="184"/>
      <c r="E462" s="184"/>
      <c r="F462" s="184"/>
    </row>
    <row r="463" spans="3:6" ht="12.75" customHeight="1" x14ac:dyDescent="0.25">
      <c r="C463" s="184"/>
      <c r="D463" s="184"/>
      <c r="E463" s="184"/>
      <c r="F463" s="184"/>
    </row>
    <row r="464" spans="3:6" ht="12.75" customHeight="1" x14ac:dyDescent="0.25">
      <c r="C464" s="184"/>
      <c r="D464" s="184"/>
      <c r="E464" s="184"/>
      <c r="F464" s="184"/>
    </row>
    <row r="465" spans="3:6" ht="12.75" customHeight="1" x14ac:dyDescent="0.25">
      <c r="C465" s="184"/>
      <c r="D465" s="184"/>
      <c r="E465" s="184"/>
      <c r="F465" s="184"/>
    </row>
    <row r="466" spans="3:6" ht="12.75" customHeight="1" x14ac:dyDescent="0.25">
      <c r="C466" s="184"/>
      <c r="D466" s="184"/>
      <c r="E466" s="184"/>
      <c r="F466" s="184"/>
    </row>
    <row r="467" spans="3:6" ht="12.75" customHeight="1" x14ac:dyDescent="0.25">
      <c r="C467" s="184"/>
      <c r="D467" s="184"/>
      <c r="E467" s="184"/>
      <c r="F467" s="184"/>
    </row>
    <row r="468" spans="3:6" ht="12.75" customHeight="1" x14ac:dyDescent="0.25">
      <c r="C468" s="184"/>
      <c r="D468" s="184"/>
      <c r="E468" s="184"/>
      <c r="F468" s="184"/>
    </row>
    <row r="469" spans="3:6" ht="12.75" customHeight="1" x14ac:dyDescent="0.25">
      <c r="C469" s="184"/>
      <c r="D469" s="184"/>
      <c r="E469" s="184"/>
      <c r="F469" s="184"/>
    </row>
    <row r="470" spans="3:6" ht="12.75" customHeight="1" x14ac:dyDescent="0.25">
      <c r="C470" s="184"/>
      <c r="D470" s="184"/>
      <c r="E470" s="184"/>
      <c r="F470" s="184"/>
    </row>
    <row r="471" spans="3:6" ht="12.75" customHeight="1" x14ac:dyDescent="0.25">
      <c r="C471" s="184"/>
      <c r="D471" s="184"/>
      <c r="E471" s="184"/>
      <c r="F471" s="184"/>
    </row>
    <row r="472" spans="3:6" ht="12.75" customHeight="1" x14ac:dyDescent="0.25">
      <c r="C472" s="184"/>
      <c r="D472" s="184"/>
      <c r="E472" s="184"/>
      <c r="F472" s="184"/>
    </row>
    <row r="473" spans="3:6" ht="12.75" customHeight="1" x14ac:dyDescent="0.25">
      <c r="C473" s="184"/>
      <c r="D473" s="184"/>
      <c r="E473" s="184"/>
      <c r="F473" s="184"/>
    </row>
    <row r="474" spans="3:6" ht="12.75" customHeight="1" x14ac:dyDescent="0.25">
      <c r="C474" s="184"/>
      <c r="D474" s="184"/>
      <c r="E474" s="184"/>
      <c r="F474" s="184"/>
    </row>
    <row r="475" spans="3:6" ht="12.75" customHeight="1" x14ac:dyDescent="0.25">
      <c r="C475" s="184"/>
      <c r="D475" s="184"/>
      <c r="E475" s="184"/>
      <c r="F475" s="184"/>
    </row>
    <row r="476" spans="3:6" ht="12.75" customHeight="1" x14ac:dyDescent="0.25">
      <c r="C476" s="184"/>
      <c r="D476" s="184"/>
      <c r="E476" s="184"/>
      <c r="F476" s="184"/>
    </row>
    <row r="477" spans="3:6" ht="12.75" customHeight="1" x14ac:dyDescent="0.25">
      <c r="C477" s="184"/>
      <c r="D477" s="184"/>
      <c r="E477" s="184"/>
      <c r="F477" s="184"/>
    </row>
    <row r="478" spans="3:6" ht="12.75" customHeight="1" x14ac:dyDescent="0.25">
      <c r="C478" s="184"/>
      <c r="D478" s="184"/>
      <c r="E478" s="184"/>
      <c r="F478" s="184"/>
    </row>
    <row r="479" spans="3:6" ht="12.75" customHeight="1" x14ac:dyDescent="0.25">
      <c r="C479" s="184"/>
      <c r="D479" s="184"/>
      <c r="E479" s="184"/>
      <c r="F479" s="184"/>
    </row>
    <row r="480" spans="3:6" ht="12.75" customHeight="1" x14ac:dyDescent="0.25">
      <c r="C480" s="184"/>
      <c r="D480" s="184"/>
      <c r="E480" s="184"/>
      <c r="F480" s="184"/>
    </row>
    <row r="481" spans="3:6" ht="12.75" customHeight="1" x14ac:dyDescent="0.25">
      <c r="C481" s="184"/>
      <c r="D481" s="184"/>
      <c r="E481" s="184"/>
      <c r="F481" s="184"/>
    </row>
    <row r="482" spans="3:6" ht="12.75" customHeight="1" x14ac:dyDescent="0.25">
      <c r="C482" s="184"/>
      <c r="D482" s="184"/>
      <c r="E482" s="184"/>
      <c r="F482" s="184"/>
    </row>
    <row r="483" spans="3:6" ht="12.75" customHeight="1" x14ac:dyDescent="0.25">
      <c r="C483" s="184"/>
      <c r="D483" s="184"/>
      <c r="E483" s="184"/>
      <c r="F483" s="184"/>
    </row>
    <row r="484" spans="3:6" ht="12.75" customHeight="1" x14ac:dyDescent="0.25">
      <c r="C484" s="184"/>
      <c r="D484" s="184"/>
      <c r="E484" s="184"/>
      <c r="F484" s="184"/>
    </row>
    <row r="485" spans="3:6" ht="12.75" customHeight="1" x14ac:dyDescent="0.25">
      <c r="C485" s="184"/>
      <c r="D485" s="184"/>
      <c r="E485" s="184"/>
      <c r="F485" s="184"/>
    </row>
    <row r="486" spans="3:6" ht="12.75" customHeight="1" x14ac:dyDescent="0.25">
      <c r="C486" s="184"/>
      <c r="D486" s="184"/>
      <c r="E486" s="184"/>
      <c r="F486" s="184"/>
    </row>
    <row r="487" spans="3:6" ht="12.75" customHeight="1" x14ac:dyDescent="0.25">
      <c r="C487" s="184"/>
      <c r="D487" s="184"/>
      <c r="E487" s="184"/>
      <c r="F487" s="184"/>
    </row>
    <row r="488" spans="3:6" ht="12.75" customHeight="1" x14ac:dyDescent="0.25">
      <c r="C488" s="184"/>
      <c r="D488" s="184"/>
      <c r="E488" s="184"/>
      <c r="F488" s="184"/>
    </row>
    <row r="489" spans="3:6" ht="12.75" customHeight="1" x14ac:dyDescent="0.25">
      <c r="C489" s="184"/>
      <c r="D489" s="184"/>
      <c r="E489" s="184"/>
      <c r="F489" s="184"/>
    </row>
    <row r="490" spans="3:6" ht="12.75" customHeight="1" x14ac:dyDescent="0.25">
      <c r="C490" s="184"/>
      <c r="D490" s="184"/>
      <c r="E490" s="184"/>
      <c r="F490" s="184"/>
    </row>
    <row r="491" spans="3:6" ht="12.75" customHeight="1" x14ac:dyDescent="0.25">
      <c r="C491" s="184"/>
      <c r="D491" s="184"/>
      <c r="E491" s="184"/>
      <c r="F491" s="184"/>
    </row>
    <row r="492" spans="3:6" ht="12.75" customHeight="1" x14ac:dyDescent="0.25">
      <c r="C492" s="184"/>
      <c r="D492" s="184"/>
      <c r="E492" s="184"/>
      <c r="F492" s="184"/>
    </row>
    <row r="493" spans="3:6" ht="12.75" customHeight="1" x14ac:dyDescent="0.25">
      <c r="C493" s="184"/>
      <c r="D493" s="184"/>
      <c r="E493" s="184"/>
      <c r="F493" s="184"/>
    </row>
    <row r="494" spans="3:6" ht="12.75" customHeight="1" x14ac:dyDescent="0.25">
      <c r="C494" s="184"/>
      <c r="D494" s="184"/>
      <c r="E494" s="184"/>
      <c r="F494" s="184"/>
    </row>
    <row r="495" spans="3:6" ht="12.75" customHeight="1" x14ac:dyDescent="0.25">
      <c r="C495" s="184"/>
      <c r="D495" s="184"/>
      <c r="E495" s="184"/>
      <c r="F495" s="184"/>
    </row>
    <row r="496" spans="3:6" ht="12.75" customHeight="1" x14ac:dyDescent="0.25">
      <c r="C496" s="184"/>
      <c r="D496" s="184"/>
      <c r="E496" s="184"/>
      <c r="F496" s="184"/>
    </row>
    <row r="497" spans="3:6" ht="12.75" customHeight="1" x14ac:dyDescent="0.25">
      <c r="C497" s="184"/>
      <c r="D497" s="184"/>
      <c r="E497" s="184"/>
      <c r="F497" s="184"/>
    </row>
    <row r="498" spans="3:6" ht="12.75" customHeight="1" x14ac:dyDescent="0.25">
      <c r="C498" s="184"/>
      <c r="D498" s="184"/>
      <c r="E498" s="184"/>
      <c r="F498" s="184"/>
    </row>
    <row r="499" spans="3:6" ht="12.75" customHeight="1" x14ac:dyDescent="0.25">
      <c r="C499" s="184"/>
      <c r="D499" s="184"/>
      <c r="E499" s="184"/>
      <c r="F499" s="184"/>
    </row>
    <row r="500" spans="3:6" ht="12.75" customHeight="1" x14ac:dyDescent="0.25">
      <c r="C500" s="184"/>
      <c r="D500" s="184"/>
      <c r="E500" s="184"/>
      <c r="F500" s="184"/>
    </row>
    <row r="501" spans="3:6" ht="12.75" customHeight="1" x14ac:dyDescent="0.25">
      <c r="C501" s="184"/>
      <c r="D501" s="184"/>
      <c r="E501" s="184"/>
      <c r="F501" s="184"/>
    </row>
    <row r="502" spans="3:6" ht="12.75" customHeight="1" x14ac:dyDescent="0.25">
      <c r="C502" s="184"/>
      <c r="D502" s="184"/>
      <c r="E502" s="184"/>
      <c r="F502" s="184"/>
    </row>
    <row r="503" spans="3:6" ht="12.75" customHeight="1" x14ac:dyDescent="0.25">
      <c r="C503" s="184"/>
      <c r="D503" s="184"/>
      <c r="E503" s="184"/>
      <c r="F503" s="184"/>
    </row>
    <row r="504" spans="3:6" ht="12.75" customHeight="1" x14ac:dyDescent="0.25">
      <c r="C504" s="184"/>
      <c r="D504" s="184"/>
      <c r="E504" s="184"/>
      <c r="F504" s="184"/>
    </row>
    <row r="505" spans="3:6" ht="12.75" customHeight="1" x14ac:dyDescent="0.25">
      <c r="C505" s="184"/>
      <c r="D505" s="184"/>
      <c r="E505" s="184"/>
      <c r="F505" s="184"/>
    </row>
    <row r="506" spans="3:6" ht="12.75" customHeight="1" x14ac:dyDescent="0.25">
      <c r="C506" s="184"/>
      <c r="D506" s="184"/>
      <c r="E506" s="184"/>
      <c r="F506" s="184"/>
    </row>
    <row r="507" spans="3:6" ht="12.75" customHeight="1" x14ac:dyDescent="0.25">
      <c r="C507" s="184"/>
      <c r="D507" s="184"/>
      <c r="E507" s="184"/>
      <c r="F507" s="184"/>
    </row>
    <row r="508" spans="3:6" ht="12.75" customHeight="1" x14ac:dyDescent="0.25">
      <c r="C508" s="184"/>
      <c r="D508" s="184"/>
      <c r="E508" s="184"/>
      <c r="F508" s="184"/>
    </row>
    <row r="509" spans="3:6" ht="12.75" customHeight="1" x14ac:dyDescent="0.25">
      <c r="C509" s="184"/>
      <c r="D509" s="184"/>
      <c r="E509" s="184"/>
      <c r="F509" s="184"/>
    </row>
    <row r="510" spans="3:6" ht="12.75" customHeight="1" x14ac:dyDescent="0.25">
      <c r="C510" s="184"/>
      <c r="D510" s="184"/>
      <c r="E510" s="184"/>
      <c r="F510" s="184"/>
    </row>
    <row r="511" spans="3:6" ht="12.75" customHeight="1" x14ac:dyDescent="0.25">
      <c r="C511" s="184"/>
      <c r="D511" s="184"/>
      <c r="E511" s="184"/>
      <c r="F511" s="184"/>
    </row>
    <row r="512" spans="3:6" ht="12.75" customHeight="1" x14ac:dyDescent="0.25">
      <c r="C512" s="184"/>
      <c r="D512" s="184"/>
      <c r="E512" s="184"/>
      <c r="F512" s="184"/>
    </row>
    <row r="513" spans="3:6" ht="12.75" customHeight="1" x14ac:dyDescent="0.25">
      <c r="C513" s="184"/>
      <c r="D513" s="184"/>
      <c r="E513" s="184"/>
      <c r="F513" s="184"/>
    </row>
    <row r="514" spans="3:6" ht="12.75" customHeight="1" x14ac:dyDescent="0.25">
      <c r="C514" s="184"/>
      <c r="D514" s="184"/>
      <c r="E514" s="184"/>
      <c r="F514" s="184"/>
    </row>
    <row r="515" spans="3:6" ht="12.75" customHeight="1" x14ac:dyDescent="0.25">
      <c r="C515" s="184"/>
      <c r="D515" s="184"/>
      <c r="E515" s="184"/>
      <c r="F515" s="184"/>
    </row>
    <row r="516" spans="3:6" ht="12.75" customHeight="1" x14ac:dyDescent="0.25">
      <c r="C516" s="184"/>
      <c r="D516" s="184"/>
      <c r="E516" s="184"/>
      <c r="F516" s="184"/>
    </row>
    <row r="517" spans="3:6" ht="12.75" customHeight="1" x14ac:dyDescent="0.25">
      <c r="C517" s="184"/>
      <c r="D517" s="184"/>
      <c r="E517" s="184"/>
      <c r="F517" s="184"/>
    </row>
    <row r="518" spans="3:6" ht="12.75" customHeight="1" x14ac:dyDescent="0.25">
      <c r="C518" s="184"/>
      <c r="D518" s="184"/>
      <c r="E518" s="184"/>
      <c r="F518" s="184"/>
    </row>
    <row r="519" spans="3:6" ht="12.75" customHeight="1" x14ac:dyDescent="0.25">
      <c r="C519" s="184"/>
      <c r="D519" s="184"/>
      <c r="E519" s="184"/>
      <c r="F519" s="184"/>
    </row>
    <row r="520" spans="3:6" ht="12.75" customHeight="1" x14ac:dyDescent="0.25">
      <c r="C520" s="184"/>
      <c r="D520" s="184"/>
      <c r="E520" s="184"/>
      <c r="F520" s="184"/>
    </row>
    <row r="521" spans="3:6" ht="12.75" customHeight="1" x14ac:dyDescent="0.25">
      <c r="C521" s="184"/>
      <c r="D521" s="184"/>
      <c r="E521" s="184"/>
      <c r="F521" s="184"/>
    </row>
    <row r="522" spans="3:6" ht="12.75" customHeight="1" x14ac:dyDescent="0.25">
      <c r="C522" s="184"/>
      <c r="D522" s="184"/>
      <c r="E522" s="184"/>
      <c r="F522" s="184"/>
    </row>
    <row r="523" spans="3:6" ht="12.75" customHeight="1" x14ac:dyDescent="0.25">
      <c r="C523" s="184"/>
      <c r="D523" s="184"/>
      <c r="E523" s="184"/>
      <c r="F523" s="184"/>
    </row>
    <row r="524" spans="3:6" ht="12.75" customHeight="1" x14ac:dyDescent="0.25">
      <c r="C524" s="184"/>
      <c r="D524" s="184"/>
      <c r="E524" s="184"/>
      <c r="F524" s="184"/>
    </row>
    <row r="525" spans="3:6" ht="12.75" customHeight="1" x14ac:dyDescent="0.25">
      <c r="C525" s="184"/>
      <c r="D525" s="184"/>
      <c r="E525" s="184"/>
      <c r="F525" s="184"/>
    </row>
    <row r="526" spans="3:6" ht="12.75" customHeight="1" x14ac:dyDescent="0.25">
      <c r="C526" s="184"/>
      <c r="D526" s="184"/>
      <c r="E526" s="184"/>
      <c r="F526" s="184"/>
    </row>
    <row r="527" spans="3:6" ht="12.75" customHeight="1" x14ac:dyDescent="0.25">
      <c r="C527" s="184"/>
      <c r="D527" s="184"/>
      <c r="E527" s="184"/>
      <c r="F527" s="184"/>
    </row>
    <row r="528" spans="3:6" ht="12.75" customHeight="1" x14ac:dyDescent="0.25">
      <c r="C528" s="184"/>
      <c r="D528" s="184"/>
      <c r="E528" s="184"/>
      <c r="F528" s="184"/>
    </row>
    <row r="529" spans="3:6" ht="12.75" customHeight="1" x14ac:dyDescent="0.25">
      <c r="C529" s="184"/>
      <c r="D529" s="184"/>
      <c r="E529" s="184"/>
      <c r="F529" s="184"/>
    </row>
    <row r="530" spans="3:6" ht="12.75" customHeight="1" x14ac:dyDescent="0.25">
      <c r="C530" s="184"/>
      <c r="D530" s="184"/>
      <c r="E530" s="184"/>
      <c r="F530" s="184"/>
    </row>
    <row r="531" spans="3:6" ht="12.75" customHeight="1" x14ac:dyDescent="0.25">
      <c r="C531" s="184"/>
      <c r="D531" s="184"/>
      <c r="E531" s="184"/>
      <c r="F531" s="184"/>
    </row>
    <row r="532" spans="3:6" ht="12.75" customHeight="1" x14ac:dyDescent="0.25">
      <c r="C532" s="184"/>
      <c r="D532" s="184"/>
      <c r="E532" s="184"/>
      <c r="F532" s="184"/>
    </row>
    <row r="533" spans="3:6" ht="12.75" customHeight="1" x14ac:dyDescent="0.25">
      <c r="C533" s="184"/>
      <c r="D533" s="184"/>
      <c r="E533" s="184"/>
      <c r="F533" s="184"/>
    </row>
    <row r="534" spans="3:6" ht="12.75" customHeight="1" x14ac:dyDescent="0.25">
      <c r="C534" s="184"/>
      <c r="D534" s="184"/>
      <c r="E534" s="184"/>
      <c r="F534" s="184"/>
    </row>
    <row r="535" spans="3:6" ht="12.75" customHeight="1" x14ac:dyDescent="0.25">
      <c r="C535" s="184"/>
      <c r="D535" s="184"/>
      <c r="E535" s="184"/>
      <c r="F535" s="184"/>
    </row>
    <row r="536" spans="3:6" ht="12.75" customHeight="1" x14ac:dyDescent="0.25">
      <c r="C536" s="184"/>
      <c r="D536" s="184"/>
      <c r="E536" s="184"/>
      <c r="F536" s="184"/>
    </row>
    <row r="537" spans="3:6" ht="12.75" customHeight="1" x14ac:dyDescent="0.25">
      <c r="C537" s="184"/>
      <c r="D537" s="184"/>
      <c r="E537" s="184"/>
      <c r="F537" s="184"/>
    </row>
    <row r="538" spans="3:6" ht="12.75" customHeight="1" x14ac:dyDescent="0.25">
      <c r="C538" s="184"/>
      <c r="D538" s="184"/>
      <c r="E538" s="184"/>
      <c r="F538" s="184"/>
    </row>
    <row r="539" spans="3:6" ht="12.75" customHeight="1" x14ac:dyDescent="0.25">
      <c r="C539" s="184"/>
      <c r="D539" s="184"/>
      <c r="E539" s="184"/>
      <c r="F539" s="184"/>
    </row>
    <row r="540" spans="3:6" ht="12.75" customHeight="1" x14ac:dyDescent="0.25">
      <c r="C540" s="184"/>
      <c r="D540" s="184"/>
      <c r="E540" s="184"/>
      <c r="F540" s="184"/>
    </row>
    <row r="541" spans="3:6" ht="12.75" customHeight="1" x14ac:dyDescent="0.25">
      <c r="C541" s="184"/>
      <c r="D541" s="184"/>
      <c r="E541" s="184"/>
      <c r="F541" s="184"/>
    </row>
    <row r="542" spans="3:6" ht="12.75" customHeight="1" x14ac:dyDescent="0.25">
      <c r="C542" s="184"/>
      <c r="D542" s="184"/>
      <c r="E542" s="184"/>
      <c r="F542" s="184"/>
    </row>
    <row r="543" spans="3:6" ht="12.75" customHeight="1" x14ac:dyDescent="0.25">
      <c r="C543" s="184"/>
      <c r="D543" s="184"/>
      <c r="E543" s="184"/>
      <c r="F543" s="184"/>
    </row>
    <row r="544" spans="3:6" ht="12.75" customHeight="1" x14ac:dyDescent="0.25">
      <c r="C544" s="184"/>
      <c r="D544" s="184"/>
      <c r="E544" s="184"/>
      <c r="F544" s="184"/>
    </row>
    <row r="545" spans="3:6" ht="12.75" customHeight="1" x14ac:dyDescent="0.25">
      <c r="C545" s="184"/>
      <c r="D545" s="184"/>
      <c r="E545" s="184"/>
      <c r="F545" s="184"/>
    </row>
    <row r="546" spans="3:6" ht="12.75" customHeight="1" x14ac:dyDescent="0.25">
      <c r="C546" s="184"/>
      <c r="D546" s="184"/>
      <c r="E546" s="184"/>
      <c r="F546" s="184"/>
    </row>
    <row r="547" spans="3:6" ht="12.75" customHeight="1" x14ac:dyDescent="0.25">
      <c r="C547" s="184"/>
      <c r="D547" s="184"/>
      <c r="E547" s="184"/>
      <c r="F547" s="184"/>
    </row>
    <row r="548" spans="3:6" ht="12.75" customHeight="1" x14ac:dyDescent="0.25">
      <c r="C548" s="184"/>
      <c r="D548" s="184"/>
      <c r="E548" s="184"/>
      <c r="F548" s="184"/>
    </row>
    <row r="549" spans="3:6" ht="12.75" customHeight="1" x14ac:dyDescent="0.25">
      <c r="C549" s="184"/>
      <c r="D549" s="184"/>
      <c r="E549" s="184"/>
      <c r="F549" s="184"/>
    </row>
    <row r="550" spans="3:6" ht="12.75" customHeight="1" x14ac:dyDescent="0.25">
      <c r="C550" s="184"/>
      <c r="D550" s="184"/>
      <c r="E550" s="184"/>
      <c r="F550" s="184"/>
    </row>
    <row r="551" spans="3:6" ht="12.75" customHeight="1" x14ac:dyDescent="0.25">
      <c r="C551" s="184"/>
      <c r="D551" s="184"/>
      <c r="E551" s="184"/>
      <c r="F551" s="184"/>
    </row>
    <row r="552" spans="3:6" ht="12.75" customHeight="1" x14ac:dyDescent="0.25">
      <c r="C552" s="184"/>
      <c r="D552" s="184"/>
      <c r="E552" s="184"/>
      <c r="F552" s="184"/>
    </row>
    <row r="553" spans="3:6" ht="12.75" customHeight="1" x14ac:dyDescent="0.25">
      <c r="C553" s="184"/>
      <c r="D553" s="184"/>
      <c r="E553" s="184"/>
      <c r="F553" s="184"/>
    </row>
    <row r="554" spans="3:6" ht="12.75" customHeight="1" x14ac:dyDescent="0.25">
      <c r="C554" s="184"/>
      <c r="D554" s="184"/>
      <c r="E554" s="184"/>
      <c r="F554" s="184"/>
    </row>
    <row r="555" spans="3:6" ht="12.75" customHeight="1" x14ac:dyDescent="0.25">
      <c r="C555" s="184"/>
      <c r="D555" s="184"/>
      <c r="E555" s="184"/>
      <c r="F555" s="184"/>
    </row>
    <row r="556" spans="3:6" ht="12.75" customHeight="1" x14ac:dyDescent="0.25">
      <c r="C556" s="184"/>
      <c r="D556" s="184"/>
      <c r="E556" s="184"/>
      <c r="F556" s="184"/>
    </row>
    <row r="557" spans="3:6" ht="12.75" customHeight="1" x14ac:dyDescent="0.25">
      <c r="C557" s="184"/>
      <c r="D557" s="184"/>
      <c r="E557" s="184"/>
      <c r="F557" s="184"/>
    </row>
    <row r="558" spans="3:6" ht="12.75" customHeight="1" x14ac:dyDescent="0.25">
      <c r="C558" s="184"/>
      <c r="D558" s="184"/>
      <c r="E558" s="184"/>
      <c r="F558" s="184"/>
    </row>
    <row r="559" spans="3:6" ht="12.75" customHeight="1" x14ac:dyDescent="0.25">
      <c r="C559" s="184"/>
      <c r="D559" s="184"/>
      <c r="E559" s="184"/>
      <c r="F559" s="184"/>
    </row>
    <row r="560" spans="3:6" ht="12.75" customHeight="1" x14ac:dyDescent="0.25">
      <c r="C560" s="184"/>
      <c r="D560" s="184"/>
      <c r="E560" s="184"/>
      <c r="F560" s="184"/>
    </row>
    <row r="561" spans="3:6" ht="12.75" customHeight="1" x14ac:dyDescent="0.25">
      <c r="C561" s="184"/>
      <c r="D561" s="184"/>
      <c r="E561" s="184"/>
      <c r="F561" s="184"/>
    </row>
    <row r="562" spans="3:6" ht="12.75" customHeight="1" x14ac:dyDescent="0.25">
      <c r="C562" s="184"/>
      <c r="D562" s="184"/>
      <c r="E562" s="184"/>
      <c r="F562" s="184"/>
    </row>
    <row r="563" spans="3:6" ht="12.75" customHeight="1" x14ac:dyDescent="0.25">
      <c r="C563" s="184"/>
      <c r="D563" s="184"/>
      <c r="E563" s="184"/>
      <c r="F563" s="184"/>
    </row>
    <row r="564" spans="3:6" ht="12.75" customHeight="1" x14ac:dyDescent="0.25">
      <c r="C564" s="184"/>
      <c r="D564" s="184"/>
      <c r="E564" s="184"/>
      <c r="F564" s="184"/>
    </row>
    <row r="565" spans="3:6" ht="12.75" customHeight="1" x14ac:dyDescent="0.25">
      <c r="C565" s="184"/>
      <c r="D565" s="184"/>
      <c r="E565" s="184"/>
      <c r="F565" s="184"/>
    </row>
    <row r="566" spans="3:6" ht="12.75" customHeight="1" x14ac:dyDescent="0.25">
      <c r="C566" s="184"/>
      <c r="D566" s="184"/>
      <c r="E566" s="184"/>
      <c r="F566" s="184"/>
    </row>
    <row r="567" spans="3:6" ht="12.75" customHeight="1" x14ac:dyDescent="0.25">
      <c r="C567" s="184"/>
      <c r="D567" s="184"/>
      <c r="E567" s="184"/>
      <c r="F567" s="184"/>
    </row>
    <row r="568" spans="3:6" ht="12.75" customHeight="1" x14ac:dyDescent="0.25">
      <c r="C568" s="184"/>
      <c r="D568" s="184"/>
      <c r="E568" s="184"/>
      <c r="F568" s="184"/>
    </row>
    <row r="569" spans="3:6" ht="12.75" customHeight="1" x14ac:dyDescent="0.25">
      <c r="C569" s="184"/>
      <c r="D569" s="184"/>
      <c r="E569" s="184"/>
      <c r="F569" s="184"/>
    </row>
    <row r="570" spans="3:6" ht="12.75" customHeight="1" x14ac:dyDescent="0.25">
      <c r="C570" s="184"/>
      <c r="D570" s="184"/>
      <c r="E570" s="184"/>
      <c r="F570" s="184"/>
    </row>
    <row r="571" spans="3:6" ht="12.75" customHeight="1" x14ac:dyDescent="0.25">
      <c r="C571" s="184"/>
      <c r="D571" s="184"/>
      <c r="E571" s="184"/>
      <c r="F571" s="184"/>
    </row>
    <row r="572" spans="3:6" ht="12.75" customHeight="1" x14ac:dyDescent="0.25">
      <c r="C572" s="184"/>
      <c r="D572" s="184"/>
      <c r="E572" s="184"/>
      <c r="F572" s="184"/>
    </row>
    <row r="573" spans="3:6" ht="12.75" customHeight="1" x14ac:dyDescent="0.25">
      <c r="C573" s="184"/>
      <c r="D573" s="184"/>
      <c r="E573" s="184"/>
      <c r="F573" s="184"/>
    </row>
    <row r="574" spans="3:6" ht="12.75" customHeight="1" x14ac:dyDescent="0.25">
      <c r="C574" s="184"/>
      <c r="D574" s="184"/>
      <c r="E574" s="184"/>
      <c r="F574" s="184"/>
    </row>
    <row r="575" spans="3:6" ht="12.75" customHeight="1" x14ac:dyDescent="0.25">
      <c r="C575" s="184"/>
      <c r="D575" s="184"/>
      <c r="E575" s="184"/>
      <c r="F575" s="184"/>
    </row>
    <row r="576" spans="3:6" ht="12.75" customHeight="1" x14ac:dyDescent="0.25">
      <c r="C576" s="184"/>
      <c r="D576" s="184"/>
      <c r="E576" s="184"/>
      <c r="F576" s="184"/>
    </row>
    <row r="577" spans="3:6" ht="12.75" customHeight="1" x14ac:dyDescent="0.25">
      <c r="C577" s="184"/>
      <c r="D577" s="184"/>
      <c r="E577" s="184"/>
      <c r="F577" s="184"/>
    </row>
    <row r="578" spans="3:6" ht="12.75" customHeight="1" x14ac:dyDescent="0.25">
      <c r="C578" s="184"/>
      <c r="D578" s="184"/>
      <c r="E578" s="184"/>
      <c r="F578" s="184"/>
    </row>
    <row r="579" spans="3:6" ht="12.75" customHeight="1" x14ac:dyDescent="0.25">
      <c r="C579" s="184"/>
      <c r="D579" s="184"/>
      <c r="E579" s="184"/>
      <c r="F579" s="184"/>
    </row>
    <row r="580" spans="3:6" ht="12.75" customHeight="1" x14ac:dyDescent="0.25">
      <c r="C580" s="184"/>
      <c r="D580" s="184"/>
      <c r="E580" s="184"/>
      <c r="F580" s="184"/>
    </row>
    <row r="581" spans="3:6" ht="12.75" customHeight="1" x14ac:dyDescent="0.25">
      <c r="C581" s="184"/>
      <c r="D581" s="184"/>
      <c r="E581" s="184"/>
      <c r="F581" s="184"/>
    </row>
    <row r="582" spans="3:6" ht="12.75" customHeight="1" x14ac:dyDescent="0.25">
      <c r="C582" s="184"/>
      <c r="D582" s="184"/>
      <c r="E582" s="184"/>
      <c r="F582" s="184"/>
    </row>
    <row r="583" spans="3:6" ht="12.75" customHeight="1" x14ac:dyDescent="0.25">
      <c r="C583" s="184"/>
      <c r="D583" s="184"/>
      <c r="E583" s="184"/>
      <c r="F583" s="184"/>
    </row>
    <row r="584" spans="3:6" ht="12.75" customHeight="1" x14ac:dyDescent="0.25">
      <c r="C584" s="184"/>
      <c r="D584" s="184"/>
      <c r="E584" s="184"/>
      <c r="F584" s="184"/>
    </row>
    <row r="585" spans="3:6" ht="12.75" customHeight="1" x14ac:dyDescent="0.25">
      <c r="C585" s="184"/>
      <c r="D585" s="184"/>
      <c r="E585" s="184"/>
      <c r="F585" s="184"/>
    </row>
    <row r="586" spans="3:6" ht="12.75" customHeight="1" x14ac:dyDescent="0.25">
      <c r="C586" s="184"/>
      <c r="D586" s="184"/>
      <c r="E586" s="184"/>
      <c r="F586" s="184"/>
    </row>
    <row r="587" spans="3:6" ht="12.75" customHeight="1" x14ac:dyDescent="0.25">
      <c r="C587" s="184"/>
      <c r="D587" s="184"/>
      <c r="E587" s="184"/>
      <c r="F587" s="184"/>
    </row>
    <row r="588" spans="3:6" ht="12.75" customHeight="1" x14ac:dyDescent="0.25">
      <c r="C588" s="184"/>
      <c r="D588" s="184"/>
      <c r="E588" s="184"/>
      <c r="F588" s="184"/>
    </row>
    <row r="589" spans="3:6" ht="12.75" customHeight="1" x14ac:dyDescent="0.25">
      <c r="C589" s="184"/>
      <c r="D589" s="184"/>
      <c r="E589" s="184"/>
      <c r="F589" s="184"/>
    </row>
    <row r="590" spans="3:6" ht="12.75" customHeight="1" x14ac:dyDescent="0.25">
      <c r="C590" s="184"/>
      <c r="D590" s="184"/>
      <c r="E590" s="184"/>
      <c r="F590" s="184"/>
    </row>
    <row r="591" spans="3:6" ht="12.75" customHeight="1" x14ac:dyDescent="0.25">
      <c r="C591" s="184"/>
      <c r="D591" s="184"/>
      <c r="E591" s="184"/>
      <c r="F591" s="184"/>
    </row>
    <row r="592" spans="3:6" ht="12.75" customHeight="1" x14ac:dyDescent="0.25">
      <c r="C592" s="184"/>
      <c r="D592" s="184"/>
      <c r="E592" s="184"/>
      <c r="F592" s="184"/>
    </row>
    <row r="593" spans="3:6" ht="12.75" customHeight="1" x14ac:dyDescent="0.25">
      <c r="C593" s="184"/>
      <c r="D593" s="184"/>
      <c r="E593" s="184"/>
      <c r="F593" s="184"/>
    </row>
    <row r="594" spans="3:6" ht="12.75" customHeight="1" x14ac:dyDescent="0.25">
      <c r="C594" s="184"/>
      <c r="D594" s="184"/>
      <c r="E594" s="184"/>
      <c r="F594" s="184"/>
    </row>
    <row r="595" spans="3:6" ht="12.75" customHeight="1" x14ac:dyDescent="0.25">
      <c r="C595" s="184"/>
      <c r="D595" s="184"/>
      <c r="E595" s="184"/>
      <c r="F595" s="184"/>
    </row>
    <row r="596" spans="3:6" ht="12.75" customHeight="1" x14ac:dyDescent="0.25">
      <c r="C596" s="184"/>
      <c r="D596" s="184"/>
      <c r="E596" s="184"/>
      <c r="F596" s="184"/>
    </row>
    <row r="597" spans="3:6" ht="12.75" customHeight="1" x14ac:dyDescent="0.25">
      <c r="C597" s="184"/>
      <c r="D597" s="184"/>
      <c r="E597" s="184"/>
      <c r="F597" s="184"/>
    </row>
    <row r="598" spans="3:6" ht="12.75" customHeight="1" x14ac:dyDescent="0.25">
      <c r="C598" s="184"/>
      <c r="D598" s="184"/>
      <c r="E598" s="184"/>
      <c r="F598" s="184"/>
    </row>
    <row r="599" spans="3:6" ht="12.75" customHeight="1" x14ac:dyDescent="0.25">
      <c r="C599" s="184"/>
      <c r="D599" s="184"/>
      <c r="E599" s="184"/>
      <c r="F599" s="184"/>
    </row>
    <row r="600" spans="3:6" ht="12.75" customHeight="1" x14ac:dyDescent="0.25">
      <c r="C600" s="184"/>
      <c r="D600" s="184"/>
      <c r="E600" s="184"/>
      <c r="F600" s="184"/>
    </row>
    <row r="601" spans="3:6" ht="12.75" customHeight="1" x14ac:dyDescent="0.25">
      <c r="C601" s="184"/>
      <c r="D601" s="184"/>
      <c r="E601" s="184"/>
      <c r="F601" s="184"/>
    </row>
    <row r="602" spans="3:6" ht="12.75" customHeight="1" x14ac:dyDescent="0.25">
      <c r="C602" s="184"/>
      <c r="D602" s="184"/>
      <c r="E602" s="184"/>
      <c r="F602" s="184"/>
    </row>
    <row r="603" spans="3:6" ht="12.75" customHeight="1" x14ac:dyDescent="0.25">
      <c r="C603" s="184"/>
      <c r="D603" s="184"/>
      <c r="E603" s="184"/>
      <c r="F603" s="184"/>
    </row>
    <row r="604" spans="3:6" ht="12.75" customHeight="1" x14ac:dyDescent="0.25">
      <c r="C604" s="184"/>
      <c r="D604" s="184"/>
      <c r="E604" s="184"/>
      <c r="F604" s="184"/>
    </row>
    <row r="605" spans="3:6" ht="12.75" customHeight="1" x14ac:dyDescent="0.25">
      <c r="C605" s="184"/>
      <c r="D605" s="184"/>
      <c r="E605" s="184"/>
      <c r="F605" s="184"/>
    </row>
    <row r="606" spans="3:6" ht="12.75" customHeight="1" x14ac:dyDescent="0.25">
      <c r="C606" s="184"/>
      <c r="D606" s="184"/>
      <c r="E606" s="184"/>
      <c r="F606" s="184"/>
    </row>
    <row r="607" spans="3:6" ht="12.75" customHeight="1" x14ac:dyDescent="0.25">
      <c r="C607" s="184"/>
      <c r="D607" s="184"/>
      <c r="E607" s="184"/>
      <c r="F607" s="184"/>
    </row>
    <row r="608" spans="3:6" ht="12.75" customHeight="1" x14ac:dyDescent="0.25">
      <c r="C608" s="184"/>
      <c r="D608" s="184"/>
      <c r="E608" s="184"/>
      <c r="F608" s="184"/>
    </row>
    <row r="609" spans="3:6" ht="12.75" customHeight="1" x14ac:dyDescent="0.25">
      <c r="C609" s="184"/>
      <c r="D609" s="184"/>
      <c r="E609" s="184"/>
      <c r="F609" s="184"/>
    </row>
    <row r="610" spans="3:6" ht="12.75" customHeight="1" x14ac:dyDescent="0.25">
      <c r="C610" s="184"/>
      <c r="D610" s="184"/>
      <c r="E610" s="184"/>
      <c r="F610" s="184"/>
    </row>
    <row r="611" spans="3:6" ht="12.75" customHeight="1" x14ac:dyDescent="0.25">
      <c r="C611" s="184"/>
      <c r="D611" s="184"/>
      <c r="E611" s="184"/>
      <c r="F611" s="184"/>
    </row>
    <row r="612" spans="3:6" ht="12.75" customHeight="1" x14ac:dyDescent="0.25">
      <c r="C612" s="184"/>
      <c r="D612" s="184"/>
      <c r="E612" s="184"/>
      <c r="F612" s="184"/>
    </row>
    <row r="613" spans="3:6" ht="12.75" customHeight="1" x14ac:dyDescent="0.25">
      <c r="C613" s="184"/>
      <c r="D613" s="184"/>
      <c r="E613" s="184"/>
      <c r="F613" s="184"/>
    </row>
    <row r="614" spans="3:6" ht="12.75" customHeight="1" x14ac:dyDescent="0.25">
      <c r="C614" s="184"/>
      <c r="D614" s="184"/>
      <c r="E614" s="184"/>
      <c r="F614" s="184"/>
    </row>
    <row r="615" spans="3:6" ht="12.75" customHeight="1" x14ac:dyDescent="0.25">
      <c r="C615" s="184"/>
      <c r="D615" s="184"/>
      <c r="E615" s="184"/>
      <c r="F615" s="184"/>
    </row>
    <row r="616" spans="3:6" ht="12.75" customHeight="1" x14ac:dyDescent="0.25">
      <c r="C616" s="184"/>
      <c r="D616" s="184"/>
      <c r="E616" s="184"/>
      <c r="F616" s="184"/>
    </row>
    <row r="617" spans="3:6" ht="12.75" customHeight="1" x14ac:dyDescent="0.25">
      <c r="C617" s="184"/>
      <c r="D617" s="184"/>
      <c r="E617" s="184"/>
      <c r="F617" s="184"/>
    </row>
    <row r="618" spans="3:6" ht="12.75" customHeight="1" x14ac:dyDescent="0.25">
      <c r="C618" s="184"/>
      <c r="D618" s="184"/>
      <c r="E618" s="184"/>
      <c r="F618" s="184"/>
    </row>
    <row r="619" spans="3:6" ht="12.75" customHeight="1" x14ac:dyDescent="0.25">
      <c r="C619" s="184"/>
      <c r="D619" s="184"/>
      <c r="E619" s="184"/>
      <c r="F619" s="184"/>
    </row>
    <row r="620" spans="3:6" ht="12.75" customHeight="1" x14ac:dyDescent="0.25">
      <c r="C620" s="184"/>
      <c r="D620" s="184"/>
      <c r="E620" s="184"/>
      <c r="F620" s="184"/>
    </row>
    <row r="621" spans="3:6" ht="12.75" customHeight="1" x14ac:dyDescent="0.25">
      <c r="C621" s="184"/>
      <c r="D621" s="184"/>
      <c r="E621" s="184"/>
      <c r="F621" s="184"/>
    </row>
    <row r="622" spans="3:6" ht="12.75" customHeight="1" x14ac:dyDescent="0.25">
      <c r="C622" s="184"/>
      <c r="D622" s="184"/>
      <c r="E622" s="184"/>
      <c r="F622" s="184"/>
    </row>
    <row r="623" spans="3:6" ht="12.75" customHeight="1" x14ac:dyDescent="0.25">
      <c r="C623" s="184"/>
      <c r="D623" s="184"/>
      <c r="E623" s="184"/>
      <c r="F623" s="184"/>
    </row>
    <row r="624" spans="3:6" ht="12.75" customHeight="1" x14ac:dyDescent="0.25">
      <c r="C624" s="184"/>
      <c r="D624" s="184"/>
      <c r="E624" s="184"/>
      <c r="F624" s="184"/>
    </row>
    <row r="625" spans="3:6" ht="12.75" customHeight="1" x14ac:dyDescent="0.25">
      <c r="C625" s="184"/>
      <c r="D625" s="184"/>
      <c r="E625" s="184"/>
      <c r="F625" s="184"/>
    </row>
    <row r="626" spans="3:6" ht="12.75" customHeight="1" x14ac:dyDescent="0.25">
      <c r="C626" s="184"/>
      <c r="D626" s="184"/>
      <c r="E626" s="184"/>
      <c r="F626" s="184"/>
    </row>
    <row r="627" spans="3:6" ht="12.75" customHeight="1" x14ac:dyDescent="0.25">
      <c r="C627" s="184"/>
      <c r="D627" s="184"/>
      <c r="E627" s="184"/>
      <c r="F627" s="184"/>
    </row>
    <row r="628" spans="3:6" ht="12.75" customHeight="1" x14ac:dyDescent="0.25">
      <c r="C628" s="184"/>
      <c r="D628" s="184"/>
      <c r="E628" s="184"/>
      <c r="F628" s="184"/>
    </row>
    <row r="629" spans="3:6" ht="12.75" customHeight="1" x14ac:dyDescent="0.25">
      <c r="C629" s="184"/>
      <c r="D629" s="184"/>
      <c r="E629" s="184"/>
      <c r="F629" s="184"/>
    </row>
    <row r="630" spans="3:6" ht="12.75" customHeight="1" x14ac:dyDescent="0.25">
      <c r="C630" s="184"/>
      <c r="D630" s="184"/>
      <c r="E630" s="184"/>
      <c r="F630" s="184"/>
    </row>
    <row r="631" spans="3:6" ht="12.75" customHeight="1" x14ac:dyDescent="0.25">
      <c r="C631" s="184"/>
      <c r="D631" s="184"/>
      <c r="E631" s="184"/>
      <c r="F631" s="184"/>
    </row>
    <row r="632" spans="3:6" ht="12.75" customHeight="1" x14ac:dyDescent="0.25">
      <c r="C632" s="184"/>
      <c r="D632" s="184"/>
      <c r="E632" s="184"/>
      <c r="F632" s="184"/>
    </row>
    <row r="633" spans="3:6" ht="12.75" customHeight="1" x14ac:dyDescent="0.25">
      <c r="C633" s="184"/>
      <c r="D633" s="184"/>
      <c r="E633" s="184"/>
      <c r="F633" s="184"/>
    </row>
    <row r="634" spans="3:6" ht="12.75" customHeight="1" x14ac:dyDescent="0.25">
      <c r="C634" s="184"/>
      <c r="D634" s="184"/>
      <c r="E634" s="184"/>
      <c r="F634" s="184"/>
    </row>
    <row r="635" spans="3:6" ht="12.75" customHeight="1" x14ac:dyDescent="0.25">
      <c r="C635" s="184"/>
      <c r="D635" s="184"/>
      <c r="E635" s="184"/>
      <c r="F635" s="184"/>
    </row>
    <row r="636" spans="3:6" ht="12.75" customHeight="1" x14ac:dyDescent="0.25">
      <c r="C636" s="184"/>
      <c r="D636" s="184"/>
      <c r="E636" s="184"/>
      <c r="F636" s="184"/>
    </row>
    <row r="637" spans="3:6" ht="12.75" customHeight="1" x14ac:dyDescent="0.25">
      <c r="C637" s="184"/>
      <c r="D637" s="184"/>
      <c r="E637" s="184"/>
      <c r="F637" s="184"/>
    </row>
    <row r="638" spans="3:6" ht="12.75" customHeight="1" x14ac:dyDescent="0.25">
      <c r="C638" s="184"/>
      <c r="D638" s="184"/>
      <c r="E638" s="184"/>
      <c r="F638" s="184"/>
    </row>
    <row r="639" spans="3:6" ht="12.75" customHeight="1" x14ac:dyDescent="0.25">
      <c r="C639" s="184"/>
      <c r="D639" s="184"/>
      <c r="E639" s="184"/>
      <c r="F639" s="184"/>
    </row>
    <row r="640" spans="3:6" ht="12.75" customHeight="1" x14ac:dyDescent="0.25">
      <c r="C640" s="184"/>
      <c r="D640" s="184"/>
      <c r="E640" s="184"/>
      <c r="F640" s="184"/>
    </row>
    <row r="641" spans="3:6" ht="12.75" customHeight="1" x14ac:dyDescent="0.25">
      <c r="C641" s="184"/>
      <c r="D641" s="184"/>
      <c r="E641" s="184"/>
      <c r="F641" s="184"/>
    </row>
    <row r="642" spans="3:6" ht="12.75" customHeight="1" x14ac:dyDescent="0.25">
      <c r="C642" s="184"/>
      <c r="D642" s="184"/>
      <c r="E642" s="184"/>
      <c r="F642" s="184"/>
    </row>
    <row r="643" spans="3:6" ht="12.75" customHeight="1" x14ac:dyDescent="0.25">
      <c r="C643" s="184"/>
      <c r="D643" s="184"/>
      <c r="E643" s="184"/>
      <c r="F643" s="184"/>
    </row>
    <row r="644" spans="3:6" ht="12.75" customHeight="1" x14ac:dyDescent="0.25">
      <c r="C644" s="184"/>
      <c r="D644" s="184"/>
      <c r="E644" s="184"/>
      <c r="F644" s="184"/>
    </row>
    <row r="645" spans="3:6" ht="12.75" customHeight="1" x14ac:dyDescent="0.25">
      <c r="C645" s="184"/>
      <c r="D645" s="184"/>
      <c r="E645" s="184"/>
      <c r="F645" s="184"/>
    </row>
    <row r="646" spans="3:6" ht="12.75" customHeight="1" x14ac:dyDescent="0.25">
      <c r="C646" s="184"/>
      <c r="D646" s="184"/>
      <c r="E646" s="184"/>
      <c r="F646" s="184"/>
    </row>
    <row r="647" spans="3:6" ht="12.75" customHeight="1" x14ac:dyDescent="0.25">
      <c r="C647" s="184"/>
      <c r="D647" s="184"/>
      <c r="E647" s="184"/>
      <c r="F647" s="184"/>
    </row>
    <row r="648" spans="3:6" ht="12.75" customHeight="1" x14ac:dyDescent="0.25">
      <c r="C648" s="184"/>
      <c r="D648" s="184"/>
      <c r="E648" s="184"/>
      <c r="F648" s="184"/>
    </row>
    <row r="649" spans="3:6" ht="12.75" customHeight="1" x14ac:dyDescent="0.25">
      <c r="C649" s="184"/>
      <c r="D649" s="184"/>
      <c r="E649" s="184"/>
      <c r="F649" s="184"/>
    </row>
    <row r="650" spans="3:6" ht="12.75" customHeight="1" x14ac:dyDescent="0.25">
      <c r="C650" s="184"/>
      <c r="D650" s="184"/>
      <c r="E650" s="184"/>
      <c r="F650" s="184"/>
    </row>
    <row r="651" spans="3:6" ht="12.75" customHeight="1" x14ac:dyDescent="0.25">
      <c r="C651" s="184"/>
      <c r="D651" s="184"/>
      <c r="E651" s="184"/>
      <c r="F651" s="184"/>
    </row>
    <row r="652" spans="3:6" ht="12.75" customHeight="1" x14ac:dyDescent="0.25">
      <c r="C652" s="184"/>
      <c r="D652" s="184"/>
      <c r="E652" s="184"/>
      <c r="F652" s="184"/>
    </row>
    <row r="653" spans="3:6" ht="12.75" customHeight="1" x14ac:dyDescent="0.25">
      <c r="C653" s="184"/>
      <c r="D653" s="184"/>
      <c r="E653" s="184"/>
      <c r="F653" s="184"/>
    </row>
    <row r="654" spans="3:6" ht="12.75" customHeight="1" x14ac:dyDescent="0.25">
      <c r="C654" s="184"/>
      <c r="D654" s="184"/>
      <c r="E654" s="184"/>
      <c r="F654" s="184"/>
    </row>
    <row r="655" spans="3:6" ht="12.75" customHeight="1" x14ac:dyDescent="0.25">
      <c r="C655" s="184"/>
      <c r="D655" s="184"/>
      <c r="E655" s="184"/>
      <c r="F655" s="184"/>
    </row>
    <row r="656" spans="3:6" ht="12.75" customHeight="1" x14ac:dyDescent="0.25">
      <c r="C656" s="184"/>
      <c r="D656" s="184"/>
      <c r="E656" s="184"/>
      <c r="F656" s="184"/>
    </row>
    <row r="657" spans="3:6" ht="12.75" customHeight="1" x14ac:dyDescent="0.25">
      <c r="C657" s="184"/>
      <c r="D657" s="184"/>
      <c r="E657" s="184"/>
      <c r="F657" s="184"/>
    </row>
    <row r="658" spans="3:6" ht="12.75" customHeight="1" x14ac:dyDescent="0.25">
      <c r="C658" s="184"/>
      <c r="D658" s="184"/>
      <c r="E658" s="184"/>
      <c r="F658" s="184"/>
    </row>
    <row r="659" spans="3:6" ht="12.75" customHeight="1" x14ac:dyDescent="0.25">
      <c r="C659" s="184"/>
      <c r="D659" s="184"/>
      <c r="E659" s="184"/>
      <c r="F659" s="184"/>
    </row>
    <row r="660" spans="3:6" ht="12.75" customHeight="1" x14ac:dyDescent="0.25">
      <c r="C660" s="184"/>
      <c r="D660" s="184"/>
      <c r="E660" s="184"/>
      <c r="F660" s="184"/>
    </row>
    <row r="661" spans="3:6" ht="12.75" customHeight="1" x14ac:dyDescent="0.25">
      <c r="C661" s="184"/>
      <c r="D661" s="184"/>
      <c r="E661" s="184"/>
      <c r="F661" s="184"/>
    </row>
    <row r="662" spans="3:6" ht="12.75" customHeight="1" x14ac:dyDescent="0.25">
      <c r="C662" s="184"/>
      <c r="D662" s="184"/>
      <c r="E662" s="184"/>
      <c r="F662" s="184"/>
    </row>
    <row r="663" spans="3:6" ht="12.75" customHeight="1" x14ac:dyDescent="0.25">
      <c r="C663" s="184"/>
      <c r="D663" s="184"/>
      <c r="E663" s="184"/>
      <c r="F663" s="184"/>
    </row>
    <row r="664" spans="3:6" ht="12.75" customHeight="1" x14ac:dyDescent="0.25">
      <c r="C664" s="184"/>
      <c r="D664" s="184"/>
      <c r="E664" s="184"/>
      <c r="F664" s="184"/>
    </row>
    <row r="665" spans="3:6" ht="12.75" customHeight="1" x14ac:dyDescent="0.25">
      <c r="C665" s="184"/>
      <c r="D665" s="184"/>
      <c r="E665" s="184"/>
      <c r="F665" s="184"/>
    </row>
    <row r="666" spans="3:6" ht="12.75" customHeight="1" x14ac:dyDescent="0.25">
      <c r="C666" s="184"/>
      <c r="D666" s="184"/>
      <c r="E666" s="184"/>
      <c r="F666" s="184"/>
    </row>
    <row r="667" spans="3:6" ht="12.75" customHeight="1" x14ac:dyDescent="0.25">
      <c r="C667" s="184"/>
      <c r="D667" s="184"/>
      <c r="E667" s="184"/>
      <c r="F667" s="184"/>
    </row>
    <row r="668" spans="3:6" ht="12.75" customHeight="1" x14ac:dyDescent="0.25">
      <c r="C668" s="184"/>
      <c r="D668" s="184"/>
      <c r="E668" s="184"/>
      <c r="F668" s="184"/>
    </row>
    <row r="669" spans="3:6" ht="12.75" customHeight="1" x14ac:dyDescent="0.25">
      <c r="C669" s="184"/>
      <c r="D669" s="184"/>
      <c r="E669" s="184"/>
      <c r="F669" s="184"/>
    </row>
    <row r="670" spans="3:6" ht="12.75" customHeight="1" x14ac:dyDescent="0.25">
      <c r="C670" s="184"/>
      <c r="D670" s="184"/>
      <c r="E670" s="184"/>
      <c r="F670" s="184"/>
    </row>
    <row r="671" spans="3:6" ht="12.75" customHeight="1" x14ac:dyDescent="0.25">
      <c r="C671" s="184"/>
      <c r="D671" s="184"/>
      <c r="E671" s="184"/>
      <c r="F671" s="184"/>
    </row>
    <row r="672" spans="3:6" ht="12.75" customHeight="1" x14ac:dyDescent="0.25">
      <c r="C672" s="184"/>
      <c r="D672" s="184"/>
      <c r="E672" s="184"/>
      <c r="F672" s="184"/>
    </row>
    <row r="673" spans="3:6" ht="12.75" customHeight="1" x14ac:dyDescent="0.25">
      <c r="C673" s="184"/>
      <c r="D673" s="184"/>
      <c r="E673" s="184"/>
      <c r="F673" s="184"/>
    </row>
    <row r="674" spans="3:6" ht="12.75" customHeight="1" x14ac:dyDescent="0.25">
      <c r="C674" s="184"/>
      <c r="D674" s="184"/>
      <c r="E674" s="184"/>
      <c r="F674" s="184"/>
    </row>
    <row r="675" spans="3:6" ht="12.75" customHeight="1" x14ac:dyDescent="0.25">
      <c r="C675" s="184"/>
      <c r="D675" s="184"/>
      <c r="E675" s="184"/>
      <c r="F675" s="184"/>
    </row>
    <row r="676" spans="3:6" ht="12.75" customHeight="1" x14ac:dyDescent="0.25">
      <c r="C676" s="184"/>
      <c r="D676" s="184"/>
      <c r="E676" s="184"/>
      <c r="F676" s="184"/>
    </row>
    <row r="677" spans="3:6" ht="12.75" customHeight="1" x14ac:dyDescent="0.25">
      <c r="C677" s="184"/>
      <c r="D677" s="184"/>
      <c r="E677" s="184"/>
      <c r="F677" s="184"/>
    </row>
    <row r="678" spans="3:6" ht="12.75" customHeight="1" x14ac:dyDescent="0.25">
      <c r="C678" s="184"/>
      <c r="D678" s="184"/>
      <c r="E678" s="184"/>
      <c r="F678" s="184"/>
    </row>
    <row r="679" spans="3:6" ht="12.75" customHeight="1" x14ac:dyDescent="0.25">
      <c r="C679" s="184"/>
      <c r="D679" s="184"/>
      <c r="E679" s="184"/>
      <c r="F679" s="184"/>
    </row>
    <row r="680" spans="3:6" ht="12.75" customHeight="1" x14ac:dyDescent="0.25">
      <c r="C680" s="184"/>
      <c r="D680" s="184"/>
      <c r="E680" s="184"/>
      <c r="F680" s="184"/>
    </row>
    <row r="681" spans="3:6" ht="12.75" customHeight="1" x14ac:dyDescent="0.25">
      <c r="C681" s="184"/>
      <c r="D681" s="184"/>
      <c r="E681" s="184"/>
      <c r="F681" s="184"/>
    </row>
    <row r="682" spans="3:6" ht="12.75" customHeight="1" x14ac:dyDescent="0.25">
      <c r="C682" s="184"/>
      <c r="D682" s="184"/>
      <c r="E682" s="184"/>
      <c r="F682" s="184"/>
    </row>
    <row r="683" spans="3:6" ht="12.75" customHeight="1" x14ac:dyDescent="0.25">
      <c r="C683" s="184"/>
      <c r="D683" s="184"/>
      <c r="E683" s="184"/>
      <c r="F683" s="184"/>
    </row>
    <row r="684" spans="3:6" ht="12.75" customHeight="1" x14ac:dyDescent="0.25">
      <c r="C684" s="184"/>
      <c r="D684" s="184"/>
      <c r="E684" s="184"/>
      <c r="F684" s="184"/>
    </row>
    <row r="685" spans="3:6" ht="12.75" customHeight="1" x14ac:dyDescent="0.25">
      <c r="C685" s="184"/>
      <c r="D685" s="184"/>
      <c r="E685" s="184"/>
      <c r="F685" s="184"/>
    </row>
    <row r="686" spans="3:6" ht="12.75" customHeight="1" x14ac:dyDescent="0.25">
      <c r="C686" s="184"/>
      <c r="D686" s="184"/>
      <c r="E686" s="184"/>
      <c r="F686" s="184"/>
    </row>
    <row r="687" spans="3:6" ht="12.75" customHeight="1" x14ac:dyDescent="0.25">
      <c r="C687" s="184"/>
      <c r="D687" s="184"/>
      <c r="E687" s="184"/>
      <c r="F687" s="184"/>
    </row>
    <row r="688" spans="3:6" ht="12.75" customHeight="1" x14ac:dyDescent="0.25">
      <c r="C688" s="184"/>
      <c r="D688" s="184"/>
      <c r="E688" s="184"/>
      <c r="F688" s="184"/>
    </row>
    <row r="689" spans="3:6" ht="12.75" customHeight="1" x14ac:dyDescent="0.25">
      <c r="C689" s="184"/>
      <c r="D689" s="184"/>
      <c r="E689" s="184"/>
      <c r="F689" s="184"/>
    </row>
    <row r="690" spans="3:6" ht="12.75" customHeight="1" x14ac:dyDescent="0.25">
      <c r="C690" s="184"/>
      <c r="D690" s="184"/>
      <c r="E690" s="184"/>
      <c r="F690" s="184"/>
    </row>
    <row r="691" spans="3:6" ht="12.75" customHeight="1" x14ac:dyDescent="0.25">
      <c r="C691" s="184"/>
      <c r="D691" s="184"/>
      <c r="E691" s="184"/>
      <c r="F691" s="184"/>
    </row>
    <row r="692" spans="3:6" ht="12.75" customHeight="1" x14ac:dyDescent="0.25">
      <c r="C692" s="184"/>
      <c r="D692" s="184"/>
      <c r="E692" s="184"/>
      <c r="F692" s="184"/>
    </row>
    <row r="693" spans="3:6" ht="12.75" customHeight="1" x14ac:dyDescent="0.25">
      <c r="C693" s="184"/>
      <c r="D693" s="184"/>
      <c r="E693" s="184"/>
      <c r="F693" s="184"/>
    </row>
    <row r="694" spans="3:6" ht="12.75" customHeight="1" x14ac:dyDescent="0.25">
      <c r="C694" s="184"/>
      <c r="D694" s="184"/>
      <c r="E694" s="184"/>
      <c r="F694" s="184"/>
    </row>
    <row r="695" spans="3:6" ht="12.75" customHeight="1" x14ac:dyDescent="0.25">
      <c r="C695" s="184"/>
      <c r="D695" s="184"/>
      <c r="E695" s="184"/>
      <c r="F695" s="184"/>
    </row>
    <row r="696" spans="3:6" ht="12.75" customHeight="1" x14ac:dyDescent="0.25">
      <c r="C696" s="184"/>
      <c r="D696" s="184"/>
      <c r="E696" s="184"/>
      <c r="F696" s="184"/>
    </row>
    <row r="697" spans="3:6" ht="12.75" customHeight="1" x14ac:dyDescent="0.25">
      <c r="C697" s="184"/>
      <c r="D697" s="184"/>
      <c r="E697" s="184"/>
      <c r="F697" s="184"/>
    </row>
    <row r="698" spans="3:6" ht="12.75" customHeight="1" x14ac:dyDescent="0.25">
      <c r="C698" s="184"/>
      <c r="D698" s="184"/>
      <c r="E698" s="184"/>
      <c r="F698" s="184"/>
    </row>
    <row r="699" spans="3:6" ht="12.75" customHeight="1" x14ac:dyDescent="0.25">
      <c r="C699" s="184"/>
      <c r="D699" s="184"/>
      <c r="E699" s="184"/>
      <c r="F699" s="184"/>
    </row>
    <row r="700" spans="3:6" ht="12.75" customHeight="1" x14ac:dyDescent="0.25">
      <c r="C700" s="184"/>
      <c r="D700" s="184"/>
      <c r="E700" s="184"/>
      <c r="F700" s="184"/>
    </row>
    <row r="701" spans="3:6" ht="12.75" customHeight="1" x14ac:dyDescent="0.25">
      <c r="C701" s="184"/>
      <c r="D701" s="184"/>
      <c r="E701" s="184"/>
      <c r="F701" s="184"/>
    </row>
    <row r="702" spans="3:6" ht="12.75" customHeight="1" x14ac:dyDescent="0.25">
      <c r="C702" s="184"/>
      <c r="D702" s="184"/>
      <c r="E702" s="184"/>
      <c r="F702" s="184"/>
    </row>
    <row r="703" spans="3:6" ht="12.75" customHeight="1" x14ac:dyDescent="0.25">
      <c r="C703" s="184"/>
      <c r="D703" s="184"/>
      <c r="E703" s="184"/>
      <c r="F703" s="184"/>
    </row>
    <row r="704" spans="3:6" ht="12.75" customHeight="1" x14ac:dyDescent="0.25">
      <c r="C704" s="184"/>
      <c r="D704" s="184"/>
      <c r="E704" s="184"/>
      <c r="F704" s="184"/>
    </row>
    <row r="705" spans="3:6" ht="12.75" customHeight="1" x14ac:dyDescent="0.25">
      <c r="C705" s="184"/>
      <c r="D705" s="184"/>
      <c r="E705" s="184"/>
      <c r="F705" s="184"/>
    </row>
    <row r="706" spans="3:6" ht="12.75" customHeight="1" x14ac:dyDescent="0.25">
      <c r="C706" s="184"/>
      <c r="D706" s="184"/>
      <c r="E706" s="184"/>
      <c r="F706" s="184"/>
    </row>
    <row r="707" spans="3:6" ht="12.75" customHeight="1" x14ac:dyDescent="0.25">
      <c r="C707" s="184"/>
      <c r="D707" s="184"/>
      <c r="E707" s="184"/>
      <c r="F707" s="184"/>
    </row>
    <row r="708" spans="3:6" ht="12.75" customHeight="1" x14ac:dyDescent="0.25">
      <c r="C708" s="184"/>
      <c r="D708" s="184"/>
      <c r="E708" s="184"/>
      <c r="F708" s="184"/>
    </row>
    <row r="709" spans="3:6" ht="12.75" customHeight="1" x14ac:dyDescent="0.25">
      <c r="C709" s="184"/>
      <c r="D709" s="184"/>
      <c r="E709" s="184"/>
      <c r="F709" s="184"/>
    </row>
    <row r="710" spans="3:6" ht="12.75" customHeight="1" x14ac:dyDescent="0.25">
      <c r="C710" s="184"/>
      <c r="D710" s="184"/>
      <c r="E710" s="184"/>
      <c r="F710" s="184"/>
    </row>
    <row r="711" spans="3:6" ht="12.75" customHeight="1" x14ac:dyDescent="0.25">
      <c r="C711" s="184"/>
      <c r="D711" s="184"/>
      <c r="E711" s="184"/>
      <c r="F711" s="184"/>
    </row>
    <row r="712" spans="3:6" ht="12.75" customHeight="1" x14ac:dyDescent="0.25">
      <c r="C712" s="184"/>
      <c r="D712" s="184"/>
      <c r="E712" s="184"/>
      <c r="F712" s="184"/>
    </row>
    <row r="713" spans="3:6" ht="12.75" customHeight="1" x14ac:dyDescent="0.25">
      <c r="C713" s="184"/>
      <c r="D713" s="184"/>
      <c r="E713" s="184"/>
      <c r="F713" s="184"/>
    </row>
    <row r="714" spans="3:6" ht="12.75" customHeight="1" x14ac:dyDescent="0.25">
      <c r="C714" s="184"/>
      <c r="D714" s="184"/>
      <c r="E714" s="184"/>
      <c r="F714" s="184"/>
    </row>
    <row r="715" spans="3:6" ht="12.75" customHeight="1" x14ac:dyDescent="0.25">
      <c r="C715" s="184"/>
      <c r="D715" s="184"/>
      <c r="E715" s="184"/>
      <c r="F715" s="184"/>
    </row>
    <row r="716" spans="3:6" ht="12.75" customHeight="1" x14ac:dyDescent="0.25">
      <c r="C716" s="184"/>
      <c r="D716" s="184"/>
      <c r="E716" s="184"/>
      <c r="F716" s="184"/>
    </row>
    <row r="717" spans="3:6" ht="12.75" customHeight="1" x14ac:dyDescent="0.25">
      <c r="C717" s="184"/>
      <c r="D717" s="184"/>
      <c r="E717" s="184"/>
      <c r="F717" s="184"/>
    </row>
    <row r="718" spans="3:6" ht="12.75" customHeight="1" x14ac:dyDescent="0.25">
      <c r="C718" s="184"/>
      <c r="D718" s="184"/>
      <c r="E718" s="184"/>
      <c r="F718" s="184"/>
    </row>
    <row r="719" spans="3:6" ht="12.75" customHeight="1" x14ac:dyDescent="0.25">
      <c r="C719" s="184"/>
      <c r="D719" s="184"/>
      <c r="E719" s="184"/>
      <c r="F719" s="184"/>
    </row>
    <row r="720" spans="3:6" ht="12.75" customHeight="1" x14ac:dyDescent="0.25">
      <c r="C720" s="184"/>
      <c r="D720" s="184"/>
      <c r="E720" s="184"/>
      <c r="F720" s="184"/>
    </row>
    <row r="721" spans="3:6" ht="12.75" customHeight="1" x14ac:dyDescent="0.25">
      <c r="C721" s="184"/>
      <c r="D721" s="184"/>
      <c r="E721" s="184"/>
      <c r="F721" s="184"/>
    </row>
    <row r="722" spans="3:6" ht="12.75" customHeight="1" x14ac:dyDescent="0.25">
      <c r="C722" s="184"/>
      <c r="D722" s="184"/>
      <c r="E722" s="184"/>
      <c r="F722" s="184"/>
    </row>
    <row r="723" spans="3:6" ht="12.75" customHeight="1" x14ac:dyDescent="0.25">
      <c r="C723" s="184"/>
      <c r="D723" s="184"/>
      <c r="E723" s="184"/>
      <c r="F723" s="184"/>
    </row>
    <row r="724" spans="3:6" ht="12.75" customHeight="1" x14ac:dyDescent="0.25">
      <c r="C724" s="184"/>
      <c r="D724" s="184"/>
      <c r="E724" s="184"/>
      <c r="F724" s="184"/>
    </row>
    <row r="725" spans="3:6" ht="12.75" customHeight="1" x14ac:dyDescent="0.25">
      <c r="C725" s="184"/>
      <c r="D725" s="184"/>
      <c r="E725" s="184"/>
      <c r="F725" s="184"/>
    </row>
    <row r="726" spans="3:6" ht="12.75" customHeight="1" x14ac:dyDescent="0.25">
      <c r="C726" s="184"/>
      <c r="D726" s="184"/>
      <c r="E726" s="184"/>
      <c r="F726" s="184"/>
    </row>
    <row r="727" spans="3:6" ht="12.75" customHeight="1" x14ac:dyDescent="0.25">
      <c r="C727" s="184"/>
      <c r="D727" s="184"/>
      <c r="E727" s="184"/>
      <c r="F727" s="184"/>
    </row>
    <row r="728" spans="3:6" ht="12.75" customHeight="1" x14ac:dyDescent="0.25">
      <c r="C728" s="184"/>
      <c r="D728" s="184"/>
      <c r="E728" s="184"/>
      <c r="F728" s="184"/>
    </row>
    <row r="729" spans="3:6" ht="12.75" customHeight="1" x14ac:dyDescent="0.25">
      <c r="C729" s="184"/>
      <c r="D729" s="184"/>
      <c r="E729" s="184"/>
      <c r="F729" s="184"/>
    </row>
    <row r="730" spans="3:6" ht="12.75" customHeight="1" x14ac:dyDescent="0.25">
      <c r="C730" s="184"/>
      <c r="D730" s="184"/>
      <c r="E730" s="184"/>
      <c r="F730" s="184"/>
    </row>
    <row r="731" spans="3:6" ht="12.75" customHeight="1" x14ac:dyDescent="0.25">
      <c r="C731" s="184"/>
      <c r="D731" s="184"/>
      <c r="E731" s="184"/>
      <c r="F731" s="184"/>
    </row>
    <row r="732" spans="3:6" ht="12.75" customHeight="1" x14ac:dyDescent="0.25">
      <c r="C732" s="184"/>
      <c r="D732" s="184"/>
      <c r="E732" s="184"/>
      <c r="F732" s="184"/>
    </row>
    <row r="733" spans="3:6" ht="12.75" customHeight="1" x14ac:dyDescent="0.25">
      <c r="C733" s="184"/>
      <c r="D733" s="184"/>
      <c r="E733" s="184"/>
      <c r="F733" s="184"/>
    </row>
    <row r="734" spans="3:6" ht="12.75" customHeight="1" x14ac:dyDescent="0.25">
      <c r="C734" s="184"/>
      <c r="D734" s="184"/>
      <c r="E734" s="184"/>
      <c r="F734" s="184"/>
    </row>
    <row r="735" spans="3:6" ht="12.75" customHeight="1" x14ac:dyDescent="0.25">
      <c r="C735" s="184"/>
      <c r="D735" s="184"/>
      <c r="E735" s="184"/>
      <c r="F735" s="184"/>
    </row>
    <row r="736" spans="3:6" ht="12.75" customHeight="1" x14ac:dyDescent="0.25">
      <c r="C736" s="184"/>
      <c r="D736" s="184"/>
      <c r="E736" s="184"/>
      <c r="F736" s="184"/>
    </row>
    <row r="737" spans="3:6" ht="12.75" customHeight="1" x14ac:dyDescent="0.25">
      <c r="C737" s="184"/>
      <c r="D737" s="184"/>
      <c r="E737" s="184"/>
      <c r="F737" s="184"/>
    </row>
    <row r="738" spans="3:6" ht="12.75" customHeight="1" x14ac:dyDescent="0.25">
      <c r="C738" s="184"/>
      <c r="D738" s="184"/>
      <c r="E738" s="184"/>
      <c r="F738" s="184"/>
    </row>
    <row r="739" spans="3:6" ht="12.75" customHeight="1" x14ac:dyDescent="0.25">
      <c r="C739" s="184"/>
      <c r="D739" s="184"/>
      <c r="E739" s="184"/>
      <c r="F739" s="184"/>
    </row>
    <row r="740" spans="3:6" ht="12.75" customHeight="1" x14ac:dyDescent="0.25">
      <c r="C740" s="184"/>
      <c r="D740" s="184"/>
      <c r="E740" s="184"/>
      <c r="F740" s="184"/>
    </row>
    <row r="741" spans="3:6" ht="12.75" customHeight="1" x14ac:dyDescent="0.25">
      <c r="C741" s="184"/>
      <c r="D741" s="184"/>
      <c r="E741" s="184"/>
      <c r="F741" s="184"/>
    </row>
    <row r="742" spans="3:6" ht="12.75" customHeight="1" x14ac:dyDescent="0.25">
      <c r="C742" s="184"/>
      <c r="D742" s="184"/>
      <c r="E742" s="184"/>
      <c r="F742" s="184"/>
    </row>
    <row r="743" spans="3:6" ht="12.75" customHeight="1" x14ac:dyDescent="0.25">
      <c r="C743" s="184"/>
      <c r="D743" s="184"/>
      <c r="E743" s="184"/>
      <c r="F743" s="184"/>
    </row>
    <row r="744" spans="3:6" ht="12.75" customHeight="1" x14ac:dyDescent="0.25">
      <c r="C744" s="184"/>
      <c r="D744" s="184"/>
      <c r="E744" s="184"/>
      <c r="F744" s="184"/>
    </row>
    <row r="745" spans="3:6" ht="12.75" customHeight="1" x14ac:dyDescent="0.25">
      <c r="C745" s="184"/>
      <c r="D745" s="184"/>
      <c r="E745" s="184"/>
      <c r="F745" s="184"/>
    </row>
    <row r="746" spans="3:6" ht="12.75" customHeight="1" x14ac:dyDescent="0.25">
      <c r="C746" s="184"/>
      <c r="D746" s="184"/>
      <c r="E746" s="184"/>
      <c r="F746" s="184"/>
    </row>
    <row r="747" spans="3:6" ht="12.75" customHeight="1" x14ac:dyDescent="0.25">
      <c r="C747" s="184"/>
      <c r="D747" s="184"/>
      <c r="E747" s="184"/>
      <c r="F747" s="184"/>
    </row>
    <row r="748" spans="3:6" ht="12.75" customHeight="1" x14ac:dyDescent="0.25">
      <c r="C748" s="184"/>
      <c r="D748" s="184"/>
      <c r="E748" s="184"/>
      <c r="F748" s="184"/>
    </row>
    <row r="749" spans="3:6" ht="12.75" customHeight="1" x14ac:dyDescent="0.25">
      <c r="C749" s="184"/>
      <c r="D749" s="184"/>
      <c r="E749" s="184"/>
      <c r="F749" s="184"/>
    </row>
    <row r="750" spans="3:6" ht="12.75" customHeight="1" x14ac:dyDescent="0.25">
      <c r="C750" s="184"/>
      <c r="D750" s="184"/>
      <c r="E750" s="184"/>
      <c r="F750" s="184"/>
    </row>
    <row r="751" spans="3:6" ht="12.75" customHeight="1" x14ac:dyDescent="0.25">
      <c r="C751" s="184"/>
      <c r="D751" s="184"/>
      <c r="E751" s="184"/>
      <c r="F751" s="184"/>
    </row>
    <row r="752" spans="3:6" ht="12.75" customHeight="1" x14ac:dyDescent="0.25">
      <c r="C752" s="184"/>
      <c r="D752" s="184"/>
      <c r="E752" s="184"/>
      <c r="F752" s="184"/>
    </row>
    <row r="753" spans="3:6" ht="12.75" customHeight="1" x14ac:dyDescent="0.25">
      <c r="C753" s="184"/>
      <c r="D753" s="184"/>
      <c r="E753" s="184"/>
      <c r="F753" s="184"/>
    </row>
    <row r="754" spans="3:6" ht="12.75" customHeight="1" x14ac:dyDescent="0.25">
      <c r="C754" s="184"/>
      <c r="D754" s="184"/>
      <c r="E754" s="184"/>
      <c r="F754" s="184"/>
    </row>
    <row r="755" spans="3:6" ht="12.75" customHeight="1" x14ac:dyDescent="0.25">
      <c r="C755" s="184"/>
      <c r="D755" s="184"/>
      <c r="E755" s="184"/>
      <c r="F755" s="184"/>
    </row>
    <row r="756" spans="3:6" ht="12.75" customHeight="1" x14ac:dyDescent="0.25">
      <c r="C756" s="184"/>
      <c r="D756" s="184"/>
      <c r="E756" s="184"/>
      <c r="F756" s="184"/>
    </row>
    <row r="757" spans="3:6" ht="12.75" customHeight="1" x14ac:dyDescent="0.25">
      <c r="C757" s="184"/>
      <c r="D757" s="184"/>
      <c r="E757" s="184"/>
      <c r="F757" s="184"/>
    </row>
    <row r="758" spans="3:6" ht="12.75" customHeight="1" x14ac:dyDescent="0.25">
      <c r="C758" s="184"/>
      <c r="D758" s="184"/>
      <c r="E758" s="184"/>
      <c r="F758" s="184"/>
    </row>
    <row r="759" spans="3:6" ht="12.75" customHeight="1" x14ac:dyDescent="0.25">
      <c r="C759" s="184"/>
      <c r="D759" s="184"/>
      <c r="E759" s="184"/>
      <c r="F759" s="184"/>
    </row>
    <row r="760" spans="3:6" ht="12.75" customHeight="1" x14ac:dyDescent="0.25">
      <c r="C760" s="184"/>
      <c r="D760" s="184"/>
      <c r="E760" s="184"/>
      <c r="F760" s="184"/>
    </row>
    <row r="761" spans="3:6" ht="12.75" customHeight="1" x14ac:dyDescent="0.25">
      <c r="C761" s="184"/>
      <c r="D761" s="184"/>
      <c r="E761" s="184"/>
      <c r="F761" s="184"/>
    </row>
    <row r="762" spans="3:6" ht="12.75" customHeight="1" x14ac:dyDescent="0.25">
      <c r="C762" s="184"/>
      <c r="D762" s="184"/>
      <c r="E762" s="184"/>
      <c r="F762" s="184"/>
    </row>
    <row r="763" spans="3:6" ht="12.75" customHeight="1" x14ac:dyDescent="0.25">
      <c r="C763" s="184"/>
      <c r="D763" s="184"/>
      <c r="E763" s="184"/>
      <c r="F763" s="184"/>
    </row>
    <row r="764" spans="3:6" ht="12.75" customHeight="1" x14ac:dyDescent="0.25">
      <c r="C764" s="184"/>
      <c r="D764" s="184"/>
      <c r="E764" s="184"/>
      <c r="F764" s="184"/>
    </row>
    <row r="765" spans="3:6" ht="12.75" customHeight="1" x14ac:dyDescent="0.25">
      <c r="C765" s="184"/>
      <c r="D765" s="184"/>
      <c r="E765" s="184"/>
      <c r="F765" s="184"/>
    </row>
    <row r="766" spans="3:6" ht="12.75" customHeight="1" x14ac:dyDescent="0.25">
      <c r="C766" s="184"/>
      <c r="D766" s="184"/>
      <c r="E766" s="184"/>
      <c r="F766" s="184"/>
    </row>
    <row r="767" spans="3:6" ht="12.75" customHeight="1" x14ac:dyDescent="0.25">
      <c r="C767" s="184"/>
      <c r="D767" s="184"/>
      <c r="E767" s="184"/>
      <c r="F767" s="184"/>
    </row>
    <row r="768" spans="3:6" ht="12.75" customHeight="1" x14ac:dyDescent="0.25">
      <c r="C768" s="184"/>
      <c r="D768" s="184"/>
      <c r="E768" s="184"/>
      <c r="F768" s="184"/>
    </row>
    <row r="769" spans="3:6" ht="12.75" customHeight="1" x14ac:dyDescent="0.25">
      <c r="C769" s="184"/>
      <c r="D769" s="184"/>
      <c r="E769" s="184"/>
      <c r="F769" s="184"/>
    </row>
    <row r="770" spans="3:6" ht="12.75" customHeight="1" x14ac:dyDescent="0.25">
      <c r="C770" s="184"/>
      <c r="D770" s="184"/>
      <c r="E770" s="184"/>
      <c r="F770" s="184"/>
    </row>
    <row r="771" spans="3:6" ht="12.75" customHeight="1" x14ac:dyDescent="0.25">
      <c r="C771" s="184"/>
      <c r="D771" s="184"/>
      <c r="E771" s="184"/>
      <c r="F771" s="184"/>
    </row>
    <row r="772" spans="3:6" ht="12.75" customHeight="1" x14ac:dyDescent="0.25">
      <c r="C772" s="184"/>
      <c r="D772" s="184"/>
      <c r="E772" s="184"/>
      <c r="F772" s="184"/>
    </row>
    <row r="773" spans="3:6" ht="12.75" customHeight="1" x14ac:dyDescent="0.25">
      <c r="C773" s="184"/>
      <c r="D773" s="184"/>
      <c r="E773" s="184"/>
      <c r="F773" s="184"/>
    </row>
    <row r="774" spans="3:6" ht="12.75" customHeight="1" x14ac:dyDescent="0.25">
      <c r="C774" s="184"/>
      <c r="D774" s="184"/>
      <c r="E774" s="184"/>
      <c r="F774" s="184"/>
    </row>
    <row r="775" spans="3:6" ht="12.75" customHeight="1" x14ac:dyDescent="0.25">
      <c r="C775" s="184"/>
      <c r="D775" s="184"/>
      <c r="E775" s="184"/>
      <c r="F775" s="184"/>
    </row>
    <row r="776" spans="3:6" ht="12.75" customHeight="1" x14ac:dyDescent="0.25">
      <c r="C776" s="184"/>
      <c r="D776" s="184"/>
      <c r="E776" s="184"/>
      <c r="F776" s="184"/>
    </row>
    <row r="777" spans="3:6" ht="12.75" customHeight="1" x14ac:dyDescent="0.25">
      <c r="C777" s="184"/>
      <c r="D777" s="184"/>
      <c r="E777" s="184"/>
      <c r="F777" s="184"/>
    </row>
    <row r="778" spans="3:6" ht="12.75" customHeight="1" x14ac:dyDescent="0.25">
      <c r="C778" s="184"/>
      <c r="D778" s="184"/>
      <c r="E778" s="184"/>
      <c r="F778" s="184"/>
    </row>
    <row r="779" spans="3:6" ht="12.75" customHeight="1" x14ac:dyDescent="0.25">
      <c r="C779" s="184"/>
      <c r="D779" s="184"/>
      <c r="E779" s="184"/>
      <c r="F779" s="184"/>
    </row>
    <row r="780" spans="3:6" ht="12.75" customHeight="1" x14ac:dyDescent="0.25">
      <c r="C780" s="184"/>
      <c r="D780" s="184"/>
      <c r="E780" s="184"/>
      <c r="F780" s="184"/>
    </row>
    <row r="781" spans="3:6" ht="12.75" customHeight="1" x14ac:dyDescent="0.25">
      <c r="C781" s="184"/>
      <c r="D781" s="184"/>
      <c r="E781" s="184"/>
      <c r="F781" s="184"/>
    </row>
    <row r="782" spans="3:6" ht="12.75" customHeight="1" x14ac:dyDescent="0.25">
      <c r="C782" s="184"/>
      <c r="D782" s="184"/>
      <c r="E782" s="184"/>
      <c r="F782" s="184"/>
    </row>
    <row r="783" spans="3:6" ht="12.75" customHeight="1" x14ac:dyDescent="0.25">
      <c r="C783" s="184"/>
      <c r="D783" s="184"/>
      <c r="E783" s="184"/>
      <c r="F783" s="184"/>
    </row>
    <row r="784" spans="3:6" ht="12.75" customHeight="1" x14ac:dyDescent="0.25">
      <c r="C784" s="184"/>
      <c r="D784" s="184"/>
      <c r="E784" s="184"/>
      <c r="F784" s="184"/>
    </row>
    <row r="785" spans="3:6" ht="12.75" customHeight="1" x14ac:dyDescent="0.25">
      <c r="C785" s="184"/>
      <c r="D785" s="184"/>
      <c r="E785" s="184"/>
      <c r="F785" s="184"/>
    </row>
    <row r="786" spans="3:6" ht="12.75" customHeight="1" x14ac:dyDescent="0.25">
      <c r="C786" s="184"/>
      <c r="D786" s="184"/>
      <c r="E786" s="184"/>
      <c r="F786" s="184"/>
    </row>
    <row r="787" spans="3:6" ht="12.75" customHeight="1" x14ac:dyDescent="0.25">
      <c r="C787" s="184"/>
      <c r="D787" s="184"/>
      <c r="E787" s="184"/>
      <c r="F787" s="184"/>
    </row>
    <row r="788" spans="3:6" ht="12.75" customHeight="1" x14ac:dyDescent="0.25">
      <c r="C788" s="184"/>
      <c r="D788" s="184"/>
      <c r="E788" s="184"/>
      <c r="F788" s="184"/>
    </row>
    <row r="789" spans="3:6" ht="12.75" customHeight="1" x14ac:dyDescent="0.25">
      <c r="C789" s="184"/>
      <c r="D789" s="184"/>
      <c r="E789" s="184"/>
      <c r="F789" s="184"/>
    </row>
    <row r="790" spans="3:6" ht="12.75" customHeight="1" x14ac:dyDescent="0.25">
      <c r="C790" s="184"/>
      <c r="D790" s="184"/>
      <c r="E790" s="184"/>
      <c r="F790" s="184"/>
    </row>
    <row r="791" spans="3:6" ht="12.75" customHeight="1" x14ac:dyDescent="0.25">
      <c r="C791" s="184"/>
      <c r="D791" s="184"/>
      <c r="E791" s="184"/>
      <c r="F791" s="184"/>
    </row>
    <row r="792" spans="3:6" ht="12.75" customHeight="1" x14ac:dyDescent="0.25">
      <c r="C792" s="184"/>
      <c r="D792" s="184"/>
      <c r="E792" s="184"/>
      <c r="F792" s="184"/>
    </row>
    <row r="793" spans="3:6" ht="12.75" customHeight="1" x14ac:dyDescent="0.25">
      <c r="C793" s="184"/>
      <c r="D793" s="184"/>
      <c r="E793" s="184"/>
      <c r="F793" s="184"/>
    </row>
    <row r="794" spans="3:6" ht="12.75" customHeight="1" x14ac:dyDescent="0.25">
      <c r="C794" s="184"/>
      <c r="D794" s="184"/>
      <c r="E794" s="184"/>
      <c r="F794" s="184"/>
    </row>
    <row r="795" spans="3:6" ht="12.75" customHeight="1" x14ac:dyDescent="0.25">
      <c r="C795" s="184"/>
      <c r="D795" s="184"/>
      <c r="E795" s="184"/>
      <c r="F795" s="184"/>
    </row>
    <row r="796" spans="3:6" ht="12.75" customHeight="1" x14ac:dyDescent="0.25">
      <c r="C796" s="184"/>
      <c r="D796" s="184"/>
      <c r="E796" s="184"/>
      <c r="F796" s="184"/>
    </row>
    <row r="797" spans="3:6" ht="12.75" customHeight="1" x14ac:dyDescent="0.25">
      <c r="C797" s="184"/>
      <c r="D797" s="184"/>
      <c r="E797" s="184"/>
      <c r="F797" s="184"/>
    </row>
    <row r="798" spans="3:6" ht="12.75" customHeight="1" x14ac:dyDescent="0.25">
      <c r="C798" s="184"/>
      <c r="D798" s="184"/>
      <c r="E798" s="184"/>
      <c r="F798" s="184"/>
    </row>
    <row r="799" spans="3:6" ht="12.75" customHeight="1" x14ac:dyDescent="0.25">
      <c r="C799" s="184"/>
      <c r="D799" s="184"/>
      <c r="E799" s="184"/>
      <c r="F799" s="184"/>
    </row>
    <row r="800" spans="3:6" ht="12.75" customHeight="1" x14ac:dyDescent="0.25">
      <c r="C800" s="184"/>
      <c r="D800" s="184"/>
      <c r="E800" s="184"/>
      <c r="F800" s="184"/>
    </row>
    <row r="801" spans="3:6" ht="12.75" customHeight="1" x14ac:dyDescent="0.25">
      <c r="C801" s="184"/>
      <c r="D801" s="184"/>
      <c r="E801" s="184"/>
      <c r="F801" s="184"/>
    </row>
    <row r="802" spans="3:6" ht="12.75" customHeight="1" x14ac:dyDescent="0.25">
      <c r="C802" s="184"/>
      <c r="D802" s="184"/>
      <c r="E802" s="184"/>
      <c r="F802" s="184"/>
    </row>
    <row r="803" spans="3:6" ht="12.75" customHeight="1" x14ac:dyDescent="0.25">
      <c r="C803" s="184"/>
      <c r="D803" s="184"/>
      <c r="E803" s="184"/>
      <c r="F803" s="184"/>
    </row>
    <row r="804" spans="3:6" ht="12.75" customHeight="1" x14ac:dyDescent="0.25">
      <c r="C804" s="184"/>
      <c r="D804" s="184"/>
      <c r="E804" s="184"/>
      <c r="F804" s="184"/>
    </row>
    <row r="805" spans="3:6" ht="12.75" customHeight="1" x14ac:dyDescent="0.25">
      <c r="C805" s="184"/>
      <c r="D805" s="184"/>
      <c r="E805" s="184"/>
      <c r="F805" s="184"/>
    </row>
    <row r="806" spans="3:6" ht="12.75" customHeight="1" x14ac:dyDescent="0.25">
      <c r="C806" s="184"/>
      <c r="D806" s="184"/>
      <c r="E806" s="184"/>
      <c r="F806" s="184"/>
    </row>
    <row r="807" spans="3:6" ht="12.75" customHeight="1" x14ac:dyDescent="0.25">
      <c r="C807" s="184"/>
      <c r="D807" s="184"/>
      <c r="E807" s="184"/>
      <c r="F807" s="184"/>
    </row>
    <row r="808" spans="3:6" ht="12.75" customHeight="1" x14ac:dyDescent="0.25">
      <c r="C808" s="184"/>
      <c r="D808" s="184"/>
      <c r="E808" s="184"/>
      <c r="F808" s="184"/>
    </row>
    <row r="809" spans="3:6" ht="12.75" customHeight="1" x14ac:dyDescent="0.25">
      <c r="C809" s="184"/>
      <c r="D809" s="184"/>
      <c r="E809" s="184"/>
      <c r="F809" s="184"/>
    </row>
    <row r="810" spans="3:6" ht="12.75" customHeight="1" x14ac:dyDescent="0.25">
      <c r="C810" s="184"/>
      <c r="D810" s="184"/>
      <c r="E810" s="184"/>
      <c r="F810" s="184"/>
    </row>
    <row r="811" spans="3:6" ht="12.75" customHeight="1" x14ac:dyDescent="0.25">
      <c r="C811" s="184"/>
      <c r="D811" s="184"/>
      <c r="E811" s="184"/>
      <c r="F811" s="184"/>
    </row>
    <row r="812" spans="3:6" ht="12.75" customHeight="1" x14ac:dyDescent="0.25">
      <c r="C812" s="184"/>
      <c r="D812" s="184"/>
      <c r="E812" s="184"/>
      <c r="F812" s="184"/>
    </row>
    <row r="813" spans="3:6" ht="12.75" customHeight="1" x14ac:dyDescent="0.25">
      <c r="C813" s="184"/>
      <c r="D813" s="184"/>
      <c r="E813" s="184"/>
      <c r="F813" s="184"/>
    </row>
    <row r="814" spans="3:6" ht="12.75" customHeight="1" x14ac:dyDescent="0.25">
      <c r="C814" s="184"/>
      <c r="D814" s="184"/>
      <c r="E814" s="184"/>
      <c r="F814" s="184"/>
    </row>
    <row r="815" spans="3:6" ht="12.75" customHeight="1" x14ac:dyDescent="0.25">
      <c r="C815" s="184"/>
      <c r="D815" s="184"/>
      <c r="E815" s="184"/>
      <c r="F815" s="184"/>
    </row>
    <row r="816" spans="3:6" ht="12.75" customHeight="1" x14ac:dyDescent="0.25">
      <c r="C816" s="184"/>
      <c r="D816" s="184"/>
      <c r="E816" s="184"/>
      <c r="F816" s="184"/>
    </row>
    <row r="817" spans="3:6" ht="12.75" customHeight="1" x14ac:dyDescent="0.25">
      <c r="C817" s="184"/>
      <c r="D817" s="184"/>
      <c r="E817" s="184"/>
      <c r="F817" s="184"/>
    </row>
    <row r="818" spans="3:6" ht="12.75" customHeight="1" x14ac:dyDescent="0.25">
      <c r="C818" s="184"/>
      <c r="D818" s="184"/>
      <c r="E818" s="184"/>
      <c r="F818" s="184"/>
    </row>
    <row r="819" spans="3:6" ht="12.75" customHeight="1" x14ac:dyDescent="0.25">
      <c r="C819" s="184"/>
      <c r="D819" s="184"/>
      <c r="E819" s="184"/>
      <c r="F819" s="184"/>
    </row>
    <row r="820" spans="3:6" ht="12.75" customHeight="1" x14ac:dyDescent="0.25">
      <c r="C820" s="184"/>
      <c r="D820" s="184"/>
      <c r="E820" s="184"/>
      <c r="F820" s="184"/>
    </row>
    <row r="821" spans="3:6" ht="12.75" customHeight="1" x14ac:dyDescent="0.25">
      <c r="C821" s="184"/>
      <c r="D821" s="184"/>
      <c r="E821" s="184"/>
      <c r="F821" s="184"/>
    </row>
    <row r="822" spans="3:6" ht="12.75" customHeight="1" x14ac:dyDescent="0.25">
      <c r="C822" s="184"/>
      <c r="D822" s="184"/>
      <c r="E822" s="184"/>
      <c r="F822" s="184"/>
    </row>
    <row r="823" spans="3:6" ht="12.75" customHeight="1" x14ac:dyDescent="0.25">
      <c r="C823" s="184"/>
      <c r="D823" s="184"/>
      <c r="E823" s="184"/>
      <c r="F823" s="184"/>
    </row>
    <row r="824" spans="3:6" ht="12.75" customHeight="1" x14ac:dyDescent="0.25">
      <c r="C824" s="184"/>
      <c r="D824" s="184"/>
      <c r="E824" s="184"/>
      <c r="F824" s="184"/>
    </row>
    <row r="825" spans="3:6" ht="12.75" customHeight="1" x14ac:dyDescent="0.25">
      <c r="C825" s="184"/>
      <c r="D825" s="184"/>
      <c r="E825" s="184"/>
      <c r="F825" s="184"/>
    </row>
    <row r="826" spans="3:6" ht="12.75" customHeight="1" x14ac:dyDescent="0.25">
      <c r="C826" s="184"/>
      <c r="D826" s="184"/>
      <c r="E826" s="184"/>
      <c r="F826" s="184"/>
    </row>
    <row r="827" spans="3:6" ht="12.75" customHeight="1" x14ac:dyDescent="0.25">
      <c r="C827" s="184"/>
      <c r="D827" s="184"/>
      <c r="E827" s="184"/>
      <c r="F827" s="184"/>
    </row>
    <row r="828" spans="3:6" ht="12.75" customHeight="1" x14ac:dyDescent="0.25">
      <c r="C828" s="184"/>
      <c r="D828" s="184"/>
      <c r="E828" s="184"/>
      <c r="F828" s="184"/>
    </row>
    <row r="829" spans="3:6" ht="12.75" customHeight="1" x14ac:dyDescent="0.25">
      <c r="C829" s="184"/>
      <c r="D829" s="184"/>
      <c r="E829" s="184"/>
      <c r="F829" s="184"/>
    </row>
    <row r="830" spans="3:6" ht="12.75" customHeight="1" x14ac:dyDescent="0.25">
      <c r="C830" s="184"/>
      <c r="D830" s="184"/>
      <c r="E830" s="184"/>
      <c r="F830" s="184"/>
    </row>
    <row r="831" spans="3:6" ht="12.75" customHeight="1" x14ac:dyDescent="0.25">
      <c r="C831" s="184"/>
      <c r="D831" s="184"/>
      <c r="E831" s="184"/>
      <c r="F831" s="184"/>
    </row>
    <row r="832" spans="3:6" ht="12.75" customHeight="1" x14ac:dyDescent="0.25">
      <c r="C832" s="184"/>
      <c r="D832" s="184"/>
      <c r="E832" s="184"/>
      <c r="F832" s="184"/>
    </row>
    <row r="833" spans="3:6" ht="12.75" customHeight="1" x14ac:dyDescent="0.25">
      <c r="C833" s="184"/>
      <c r="D833" s="184"/>
      <c r="E833" s="184"/>
      <c r="F833" s="184"/>
    </row>
    <row r="834" spans="3:6" ht="12.75" customHeight="1" x14ac:dyDescent="0.25">
      <c r="C834" s="184"/>
      <c r="D834" s="184"/>
      <c r="E834" s="184"/>
      <c r="F834" s="184"/>
    </row>
    <row r="835" spans="3:6" ht="12.75" customHeight="1" x14ac:dyDescent="0.25">
      <c r="C835" s="184"/>
      <c r="D835" s="184"/>
      <c r="E835" s="184"/>
      <c r="F835" s="184"/>
    </row>
    <row r="836" spans="3:6" ht="12.75" customHeight="1" x14ac:dyDescent="0.25">
      <c r="C836" s="184"/>
      <c r="D836" s="184"/>
      <c r="E836" s="184"/>
      <c r="F836" s="184"/>
    </row>
    <row r="837" spans="3:6" ht="12.75" customHeight="1" x14ac:dyDescent="0.25">
      <c r="C837" s="184"/>
      <c r="D837" s="184"/>
      <c r="E837" s="184"/>
      <c r="F837" s="184"/>
    </row>
    <row r="838" spans="3:6" ht="12.75" customHeight="1" x14ac:dyDescent="0.25">
      <c r="C838" s="184"/>
      <c r="D838" s="184"/>
      <c r="E838" s="184"/>
      <c r="F838" s="184"/>
    </row>
    <row r="839" spans="3:6" ht="12.75" customHeight="1" x14ac:dyDescent="0.25">
      <c r="C839" s="184"/>
      <c r="D839" s="184"/>
      <c r="E839" s="184"/>
      <c r="F839" s="184"/>
    </row>
    <row r="840" spans="3:6" ht="12.75" customHeight="1" x14ac:dyDescent="0.25">
      <c r="C840" s="184"/>
      <c r="D840" s="184"/>
      <c r="E840" s="184"/>
      <c r="F840" s="184"/>
    </row>
    <row r="841" spans="3:6" ht="12.75" customHeight="1" x14ac:dyDescent="0.25">
      <c r="C841" s="184"/>
      <c r="D841" s="184"/>
      <c r="E841" s="184"/>
      <c r="F841" s="184"/>
    </row>
    <row r="842" spans="3:6" ht="12.75" customHeight="1" x14ac:dyDescent="0.25">
      <c r="C842" s="184"/>
      <c r="D842" s="184"/>
      <c r="E842" s="184"/>
      <c r="F842" s="184"/>
    </row>
    <row r="843" spans="3:6" ht="12.75" customHeight="1" x14ac:dyDescent="0.25">
      <c r="C843" s="184"/>
      <c r="D843" s="184"/>
      <c r="E843" s="184"/>
      <c r="F843" s="184"/>
    </row>
    <row r="844" spans="3:6" ht="12.75" customHeight="1" x14ac:dyDescent="0.25">
      <c r="C844" s="184"/>
      <c r="D844" s="184"/>
      <c r="E844" s="184"/>
      <c r="F844" s="184"/>
    </row>
    <row r="845" spans="3:6" ht="12.75" customHeight="1" x14ac:dyDescent="0.25">
      <c r="C845" s="184"/>
      <c r="D845" s="184"/>
      <c r="E845" s="184"/>
      <c r="F845" s="184"/>
    </row>
    <row r="846" spans="3:6" ht="12.75" customHeight="1" x14ac:dyDescent="0.25">
      <c r="C846" s="184"/>
      <c r="D846" s="184"/>
      <c r="E846" s="184"/>
      <c r="F846" s="184"/>
    </row>
    <row r="847" spans="3:6" ht="12.75" customHeight="1" x14ac:dyDescent="0.25">
      <c r="C847" s="184"/>
      <c r="D847" s="184"/>
      <c r="E847" s="184"/>
      <c r="F847" s="184"/>
    </row>
    <row r="848" spans="3:6" ht="12.75" customHeight="1" x14ac:dyDescent="0.25">
      <c r="C848" s="184"/>
      <c r="D848" s="184"/>
      <c r="E848" s="184"/>
      <c r="F848" s="184"/>
    </row>
    <row r="849" spans="3:6" ht="12.75" customHeight="1" x14ac:dyDescent="0.25">
      <c r="C849" s="184"/>
      <c r="D849" s="184"/>
      <c r="E849" s="184"/>
      <c r="F849" s="184"/>
    </row>
    <row r="850" spans="3:6" ht="12.75" customHeight="1" x14ac:dyDescent="0.25">
      <c r="C850" s="184"/>
      <c r="D850" s="184"/>
      <c r="E850" s="184"/>
      <c r="F850" s="184"/>
    </row>
    <row r="851" spans="3:6" ht="12.75" customHeight="1" x14ac:dyDescent="0.25">
      <c r="C851" s="184"/>
      <c r="D851" s="184"/>
      <c r="E851" s="184"/>
      <c r="F851" s="184"/>
    </row>
    <row r="852" spans="3:6" ht="12.75" customHeight="1" x14ac:dyDescent="0.25">
      <c r="C852" s="184"/>
      <c r="D852" s="184"/>
      <c r="E852" s="184"/>
      <c r="F852" s="184"/>
    </row>
    <row r="853" spans="3:6" ht="12.75" customHeight="1" x14ac:dyDescent="0.25">
      <c r="C853" s="184"/>
      <c r="D853" s="184"/>
      <c r="E853" s="184"/>
      <c r="F853" s="184"/>
    </row>
    <row r="854" spans="3:6" ht="12.75" customHeight="1" x14ac:dyDescent="0.25">
      <c r="C854" s="184"/>
      <c r="D854" s="184"/>
      <c r="E854" s="184"/>
      <c r="F854" s="184"/>
    </row>
    <row r="855" spans="3:6" ht="12.75" customHeight="1" x14ac:dyDescent="0.25">
      <c r="C855" s="184"/>
      <c r="D855" s="184"/>
      <c r="E855" s="184"/>
      <c r="F855" s="184"/>
    </row>
    <row r="856" spans="3:6" ht="12.75" customHeight="1" x14ac:dyDescent="0.25">
      <c r="C856" s="184"/>
      <c r="D856" s="184"/>
      <c r="E856" s="184"/>
      <c r="F856" s="184"/>
    </row>
    <row r="857" spans="3:6" ht="12.75" customHeight="1" x14ac:dyDescent="0.25">
      <c r="C857" s="184"/>
      <c r="D857" s="184"/>
      <c r="E857" s="184"/>
      <c r="F857" s="184"/>
    </row>
    <row r="858" spans="3:6" ht="12.75" customHeight="1" x14ac:dyDescent="0.25">
      <c r="C858" s="184"/>
      <c r="D858" s="184"/>
      <c r="E858" s="184"/>
      <c r="F858" s="184"/>
    </row>
    <row r="859" spans="3:6" ht="12.75" customHeight="1" x14ac:dyDescent="0.25">
      <c r="C859" s="184"/>
      <c r="D859" s="184"/>
      <c r="E859" s="184"/>
      <c r="F859" s="184"/>
    </row>
    <row r="860" spans="3:6" ht="12.75" customHeight="1" x14ac:dyDescent="0.25">
      <c r="C860" s="184"/>
      <c r="D860" s="184"/>
      <c r="E860" s="184"/>
      <c r="F860" s="184"/>
    </row>
    <row r="861" spans="3:6" ht="12.75" customHeight="1" x14ac:dyDescent="0.25">
      <c r="C861" s="184"/>
      <c r="D861" s="184"/>
      <c r="E861" s="184"/>
      <c r="F861" s="184"/>
    </row>
    <row r="862" spans="3:6" ht="12.75" customHeight="1" x14ac:dyDescent="0.25">
      <c r="C862" s="184"/>
      <c r="D862" s="184"/>
      <c r="E862" s="184"/>
      <c r="F862" s="184"/>
    </row>
    <row r="863" spans="3:6" ht="12.75" customHeight="1" x14ac:dyDescent="0.25">
      <c r="C863" s="184"/>
      <c r="D863" s="184"/>
      <c r="E863" s="184"/>
      <c r="F863" s="184"/>
    </row>
    <row r="864" spans="3:6" ht="12.75" customHeight="1" x14ac:dyDescent="0.25">
      <c r="C864" s="184"/>
      <c r="D864" s="184"/>
      <c r="E864" s="184"/>
      <c r="F864" s="184"/>
    </row>
    <row r="865" spans="3:6" ht="12.75" customHeight="1" x14ac:dyDescent="0.25">
      <c r="C865" s="184"/>
      <c r="D865" s="184"/>
      <c r="E865" s="184"/>
      <c r="F865" s="184"/>
    </row>
    <row r="866" spans="3:6" ht="12.75" customHeight="1" x14ac:dyDescent="0.25">
      <c r="C866" s="184"/>
      <c r="D866" s="184"/>
      <c r="E866" s="184"/>
      <c r="F866" s="184"/>
    </row>
    <row r="867" spans="3:6" ht="12.75" customHeight="1" x14ac:dyDescent="0.25">
      <c r="C867" s="184"/>
      <c r="D867" s="184"/>
      <c r="E867" s="184"/>
      <c r="F867" s="184"/>
    </row>
    <row r="868" spans="3:6" ht="12.75" customHeight="1" x14ac:dyDescent="0.25">
      <c r="C868" s="184"/>
      <c r="D868" s="184"/>
      <c r="E868" s="184"/>
      <c r="F868" s="184"/>
    </row>
    <row r="869" spans="3:6" ht="12.75" customHeight="1" x14ac:dyDescent="0.25">
      <c r="C869" s="184"/>
      <c r="D869" s="184"/>
      <c r="E869" s="184"/>
      <c r="F869" s="184"/>
    </row>
    <row r="870" spans="3:6" ht="12.75" customHeight="1" x14ac:dyDescent="0.25">
      <c r="C870" s="184"/>
      <c r="D870" s="184"/>
      <c r="E870" s="184"/>
      <c r="F870" s="184"/>
    </row>
    <row r="871" spans="3:6" ht="12.75" customHeight="1" x14ac:dyDescent="0.25">
      <c r="C871" s="184"/>
      <c r="D871" s="184"/>
      <c r="E871" s="184"/>
      <c r="F871" s="184"/>
    </row>
    <row r="872" spans="3:6" ht="12.75" customHeight="1" x14ac:dyDescent="0.25">
      <c r="C872" s="184"/>
      <c r="D872" s="184"/>
      <c r="E872" s="184"/>
      <c r="F872" s="184"/>
    </row>
    <row r="873" spans="3:6" ht="12.75" customHeight="1" x14ac:dyDescent="0.25">
      <c r="C873" s="184"/>
      <c r="D873" s="184"/>
      <c r="E873" s="184"/>
      <c r="F873" s="184"/>
    </row>
    <row r="874" spans="3:6" ht="12.75" customHeight="1" x14ac:dyDescent="0.25">
      <c r="C874" s="184"/>
      <c r="D874" s="184"/>
      <c r="E874" s="184"/>
      <c r="F874" s="184"/>
    </row>
    <row r="875" spans="3:6" ht="12.75" customHeight="1" x14ac:dyDescent="0.25">
      <c r="C875" s="184"/>
      <c r="D875" s="184"/>
      <c r="E875" s="184"/>
      <c r="F875" s="184"/>
    </row>
    <row r="876" spans="3:6" ht="12.75" customHeight="1" x14ac:dyDescent="0.25">
      <c r="C876" s="184"/>
      <c r="D876" s="184"/>
      <c r="E876" s="184"/>
      <c r="F876" s="184"/>
    </row>
    <row r="877" spans="3:6" ht="12.75" customHeight="1" x14ac:dyDescent="0.25">
      <c r="C877" s="184"/>
      <c r="D877" s="184"/>
      <c r="E877" s="184"/>
      <c r="F877" s="184"/>
    </row>
    <row r="878" spans="3:6" ht="12.75" customHeight="1" x14ac:dyDescent="0.25">
      <c r="C878" s="184"/>
      <c r="D878" s="184"/>
      <c r="E878" s="184"/>
      <c r="F878" s="184"/>
    </row>
    <row r="879" spans="3:6" ht="12.75" customHeight="1" x14ac:dyDescent="0.25">
      <c r="C879" s="184"/>
      <c r="D879" s="184"/>
      <c r="E879" s="184"/>
      <c r="F879" s="184"/>
    </row>
    <row r="880" spans="3:6" ht="12.75" customHeight="1" x14ac:dyDescent="0.25">
      <c r="C880" s="184"/>
      <c r="D880" s="184"/>
      <c r="E880" s="184"/>
      <c r="F880" s="184"/>
    </row>
    <row r="881" spans="3:6" ht="12.75" customHeight="1" x14ac:dyDescent="0.25">
      <c r="C881" s="184"/>
      <c r="D881" s="184"/>
      <c r="E881" s="184"/>
      <c r="F881" s="184"/>
    </row>
    <row r="882" spans="3:6" ht="12.75" customHeight="1" x14ac:dyDescent="0.25">
      <c r="C882" s="184"/>
      <c r="D882" s="184"/>
      <c r="E882" s="184"/>
      <c r="F882" s="184"/>
    </row>
    <row r="883" spans="3:6" ht="12.75" customHeight="1" x14ac:dyDescent="0.25">
      <c r="C883" s="184"/>
      <c r="D883" s="184"/>
      <c r="E883" s="184"/>
      <c r="F883" s="184"/>
    </row>
    <row r="884" spans="3:6" ht="12.75" customHeight="1" x14ac:dyDescent="0.25">
      <c r="C884" s="184"/>
      <c r="D884" s="184"/>
      <c r="E884" s="184"/>
      <c r="F884" s="184"/>
    </row>
    <row r="885" spans="3:6" ht="12.75" customHeight="1" x14ac:dyDescent="0.25">
      <c r="C885" s="184"/>
      <c r="D885" s="184"/>
      <c r="E885" s="184"/>
      <c r="F885" s="184"/>
    </row>
    <row r="886" spans="3:6" ht="12.75" customHeight="1" x14ac:dyDescent="0.25">
      <c r="C886" s="184"/>
      <c r="D886" s="184"/>
      <c r="E886" s="184"/>
      <c r="F886" s="184"/>
    </row>
    <row r="887" spans="3:6" ht="12.75" customHeight="1" x14ac:dyDescent="0.25">
      <c r="C887" s="184"/>
      <c r="D887" s="184"/>
      <c r="E887" s="184"/>
      <c r="F887" s="184"/>
    </row>
    <row r="888" spans="3:6" ht="12.75" customHeight="1" x14ac:dyDescent="0.25">
      <c r="C888" s="184"/>
      <c r="D888" s="184"/>
      <c r="E888" s="184"/>
      <c r="F888" s="184"/>
    </row>
    <row r="889" spans="3:6" ht="12.75" customHeight="1" x14ac:dyDescent="0.25">
      <c r="C889" s="184"/>
      <c r="D889" s="184"/>
      <c r="E889" s="184"/>
      <c r="F889" s="184"/>
    </row>
    <row r="890" spans="3:6" ht="12.75" customHeight="1" x14ac:dyDescent="0.25">
      <c r="C890" s="184"/>
      <c r="D890" s="184"/>
      <c r="E890" s="184"/>
      <c r="F890" s="184"/>
    </row>
    <row r="891" spans="3:6" ht="12.75" customHeight="1" x14ac:dyDescent="0.25">
      <c r="C891" s="184"/>
      <c r="D891" s="184"/>
      <c r="E891" s="184"/>
      <c r="F891" s="184"/>
    </row>
    <row r="892" spans="3:6" ht="12.75" customHeight="1" x14ac:dyDescent="0.25">
      <c r="C892" s="184"/>
      <c r="D892" s="184"/>
      <c r="E892" s="184"/>
      <c r="F892" s="184"/>
    </row>
    <row r="893" spans="3:6" ht="12.75" customHeight="1" x14ac:dyDescent="0.25">
      <c r="C893" s="184"/>
      <c r="D893" s="184"/>
      <c r="E893" s="184"/>
      <c r="F893" s="184"/>
    </row>
    <row r="894" spans="3:6" ht="12.75" customHeight="1" x14ac:dyDescent="0.25">
      <c r="C894" s="184"/>
      <c r="D894" s="184"/>
      <c r="E894" s="184"/>
      <c r="F894" s="184"/>
    </row>
    <row r="895" spans="3:6" ht="12.75" customHeight="1" x14ac:dyDescent="0.25">
      <c r="C895" s="184"/>
      <c r="D895" s="184"/>
      <c r="E895" s="184"/>
      <c r="F895" s="184"/>
    </row>
    <row r="896" spans="3:6" ht="12.75" customHeight="1" x14ac:dyDescent="0.25">
      <c r="C896" s="184"/>
      <c r="D896" s="184"/>
      <c r="E896" s="184"/>
      <c r="F896" s="184"/>
    </row>
    <row r="897" spans="3:6" ht="12.75" customHeight="1" x14ac:dyDescent="0.25">
      <c r="C897" s="184"/>
      <c r="D897" s="184"/>
      <c r="E897" s="184"/>
      <c r="F897" s="184"/>
    </row>
    <row r="898" spans="3:6" ht="12.75" customHeight="1" x14ac:dyDescent="0.25">
      <c r="C898" s="184"/>
      <c r="D898" s="184"/>
      <c r="E898" s="184"/>
      <c r="F898" s="184"/>
    </row>
    <row r="899" spans="3:6" ht="12.75" customHeight="1" x14ac:dyDescent="0.25">
      <c r="C899" s="184"/>
      <c r="D899" s="184"/>
      <c r="E899" s="184"/>
      <c r="F899" s="184"/>
    </row>
    <row r="900" spans="3:6" ht="12.75" customHeight="1" x14ac:dyDescent="0.25">
      <c r="C900" s="184"/>
      <c r="D900" s="184"/>
      <c r="E900" s="184"/>
      <c r="F900" s="184"/>
    </row>
    <row r="901" spans="3:6" ht="12.75" customHeight="1" x14ac:dyDescent="0.25">
      <c r="C901" s="184"/>
      <c r="D901" s="184"/>
      <c r="E901" s="184"/>
      <c r="F901" s="184"/>
    </row>
    <row r="902" spans="3:6" ht="12.75" customHeight="1" x14ac:dyDescent="0.25">
      <c r="C902" s="184"/>
      <c r="D902" s="184"/>
      <c r="E902" s="184"/>
      <c r="F902" s="184"/>
    </row>
    <row r="903" spans="3:6" ht="12.75" customHeight="1" x14ac:dyDescent="0.25">
      <c r="C903" s="184"/>
      <c r="D903" s="184"/>
      <c r="E903" s="184"/>
      <c r="F903" s="184"/>
    </row>
    <row r="904" spans="3:6" ht="12.75" customHeight="1" x14ac:dyDescent="0.25">
      <c r="C904" s="184"/>
      <c r="D904" s="184"/>
      <c r="E904" s="184"/>
      <c r="F904" s="184"/>
    </row>
    <row r="905" spans="3:6" ht="12.75" customHeight="1" x14ac:dyDescent="0.25">
      <c r="C905" s="184"/>
      <c r="D905" s="184"/>
      <c r="E905" s="184"/>
      <c r="F905" s="184"/>
    </row>
    <row r="906" spans="3:6" ht="12.75" customHeight="1" x14ac:dyDescent="0.25">
      <c r="C906" s="184"/>
      <c r="D906" s="184"/>
      <c r="E906" s="184"/>
      <c r="F906" s="184"/>
    </row>
    <row r="907" spans="3:6" ht="12.75" customHeight="1" x14ac:dyDescent="0.25">
      <c r="C907" s="184"/>
      <c r="D907" s="184"/>
      <c r="E907" s="184"/>
      <c r="F907" s="184"/>
    </row>
    <row r="908" spans="3:6" ht="12.75" customHeight="1" x14ac:dyDescent="0.25">
      <c r="C908" s="184"/>
      <c r="D908" s="184"/>
      <c r="E908" s="184"/>
      <c r="F908" s="184"/>
    </row>
    <row r="909" spans="3:6" ht="12.75" customHeight="1" x14ac:dyDescent="0.25">
      <c r="C909" s="184"/>
      <c r="D909" s="184"/>
      <c r="E909" s="184"/>
      <c r="F909" s="184"/>
    </row>
    <row r="910" spans="3:6" ht="12.75" customHeight="1" x14ac:dyDescent="0.25">
      <c r="C910" s="184"/>
      <c r="D910" s="184"/>
      <c r="E910" s="184"/>
      <c r="F910" s="184"/>
    </row>
    <row r="911" spans="3:6" ht="12.75" customHeight="1" x14ac:dyDescent="0.25">
      <c r="C911" s="184"/>
      <c r="D911" s="184"/>
      <c r="E911" s="184"/>
      <c r="F911" s="184"/>
    </row>
    <row r="912" spans="3:6" ht="12.75" customHeight="1" x14ac:dyDescent="0.25">
      <c r="C912" s="184"/>
      <c r="D912" s="184"/>
      <c r="E912" s="184"/>
      <c r="F912" s="184"/>
    </row>
    <row r="913" spans="3:6" ht="12.75" customHeight="1" x14ac:dyDescent="0.25">
      <c r="C913" s="184"/>
      <c r="D913" s="184"/>
      <c r="E913" s="184"/>
      <c r="F913" s="184"/>
    </row>
    <row r="914" spans="3:6" ht="12.75" customHeight="1" x14ac:dyDescent="0.25">
      <c r="C914" s="184"/>
      <c r="D914" s="184"/>
      <c r="E914" s="184"/>
      <c r="F914" s="184"/>
    </row>
    <row r="915" spans="3:6" ht="12.75" customHeight="1" x14ac:dyDescent="0.25">
      <c r="C915" s="184"/>
      <c r="D915" s="184"/>
      <c r="E915" s="184"/>
      <c r="F915" s="184"/>
    </row>
    <row r="916" spans="3:6" ht="12.75" customHeight="1" x14ac:dyDescent="0.25">
      <c r="C916" s="184"/>
      <c r="D916" s="184"/>
      <c r="E916" s="184"/>
      <c r="F916" s="184"/>
    </row>
    <row r="917" spans="3:6" ht="12.75" customHeight="1" x14ac:dyDescent="0.25">
      <c r="C917" s="184"/>
      <c r="D917" s="184"/>
      <c r="E917" s="184"/>
      <c r="F917" s="184"/>
    </row>
    <row r="918" spans="3:6" ht="12.75" customHeight="1" x14ac:dyDescent="0.25">
      <c r="C918" s="184"/>
      <c r="D918" s="184"/>
      <c r="E918" s="184"/>
      <c r="F918" s="184"/>
    </row>
    <row r="919" spans="3:6" ht="12.75" customHeight="1" x14ac:dyDescent="0.25">
      <c r="C919" s="184"/>
      <c r="D919" s="184"/>
      <c r="E919" s="184"/>
      <c r="F919" s="184"/>
    </row>
    <row r="920" spans="3:6" ht="12.75" customHeight="1" x14ac:dyDescent="0.25">
      <c r="C920" s="184"/>
      <c r="D920" s="184"/>
      <c r="E920" s="184"/>
      <c r="F920" s="184"/>
    </row>
    <row r="921" spans="3:6" ht="12.75" customHeight="1" x14ac:dyDescent="0.25">
      <c r="C921" s="184"/>
      <c r="D921" s="184"/>
      <c r="E921" s="184"/>
      <c r="F921" s="184"/>
    </row>
    <row r="922" spans="3:6" ht="12.75" customHeight="1" x14ac:dyDescent="0.25">
      <c r="C922" s="184"/>
      <c r="D922" s="184"/>
      <c r="E922" s="184"/>
      <c r="F922" s="184"/>
    </row>
    <row r="923" spans="3:6" ht="12.75" customHeight="1" x14ac:dyDescent="0.25">
      <c r="C923" s="184"/>
      <c r="D923" s="184"/>
      <c r="E923" s="184"/>
      <c r="F923" s="184"/>
    </row>
    <row r="924" spans="3:6" ht="12.75" customHeight="1" x14ac:dyDescent="0.25">
      <c r="C924" s="184"/>
      <c r="D924" s="184"/>
      <c r="E924" s="184"/>
      <c r="F924" s="184"/>
    </row>
    <row r="925" spans="3:6" ht="12.75" customHeight="1" x14ac:dyDescent="0.25">
      <c r="C925" s="184"/>
      <c r="D925" s="184"/>
      <c r="E925" s="184"/>
      <c r="F925" s="184"/>
    </row>
    <row r="926" spans="3:6" ht="12.75" customHeight="1" x14ac:dyDescent="0.25">
      <c r="C926" s="184"/>
      <c r="D926" s="184"/>
      <c r="E926" s="184"/>
      <c r="F926" s="184"/>
    </row>
    <row r="927" spans="3:6" ht="12.75" customHeight="1" x14ac:dyDescent="0.25">
      <c r="C927" s="184"/>
      <c r="D927" s="184"/>
      <c r="E927" s="184"/>
      <c r="F927" s="184"/>
    </row>
    <row r="928" spans="3:6" ht="12.75" customHeight="1" x14ac:dyDescent="0.25">
      <c r="C928" s="184"/>
      <c r="D928" s="184"/>
      <c r="E928" s="184"/>
      <c r="F928" s="184"/>
    </row>
    <row r="929" spans="3:6" ht="12.75" customHeight="1" x14ac:dyDescent="0.25">
      <c r="C929" s="184"/>
      <c r="D929" s="184"/>
      <c r="E929" s="184"/>
      <c r="F929" s="184"/>
    </row>
    <row r="930" spans="3:6" ht="12.75" customHeight="1" x14ac:dyDescent="0.25">
      <c r="C930" s="184"/>
      <c r="D930" s="184"/>
      <c r="E930" s="184"/>
      <c r="F930" s="184"/>
    </row>
    <row r="931" spans="3:6" ht="12.75" customHeight="1" x14ac:dyDescent="0.25">
      <c r="C931" s="184"/>
      <c r="D931" s="184"/>
      <c r="E931" s="184"/>
      <c r="F931" s="184"/>
    </row>
    <row r="932" spans="3:6" ht="12.75" customHeight="1" x14ac:dyDescent="0.25">
      <c r="C932" s="184"/>
      <c r="D932" s="184"/>
      <c r="E932" s="184"/>
      <c r="F932" s="184"/>
    </row>
    <row r="933" spans="3:6" ht="12.75" customHeight="1" x14ac:dyDescent="0.25">
      <c r="C933" s="184"/>
      <c r="D933" s="184"/>
      <c r="E933" s="184"/>
      <c r="F933" s="184"/>
    </row>
    <row r="934" spans="3:6" ht="12.75" customHeight="1" x14ac:dyDescent="0.25">
      <c r="C934" s="184"/>
      <c r="D934" s="184"/>
      <c r="E934" s="184"/>
      <c r="F934" s="184"/>
    </row>
    <row r="935" spans="3:6" ht="12.75" customHeight="1" x14ac:dyDescent="0.25">
      <c r="C935" s="184"/>
      <c r="D935" s="184"/>
      <c r="E935" s="184"/>
      <c r="F935" s="184"/>
    </row>
    <row r="936" spans="3:6" ht="12.75" customHeight="1" x14ac:dyDescent="0.25">
      <c r="C936" s="184"/>
      <c r="D936" s="184"/>
      <c r="E936" s="184"/>
      <c r="F936" s="184"/>
    </row>
    <row r="937" spans="3:6" ht="12.75" customHeight="1" x14ac:dyDescent="0.25">
      <c r="C937" s="184"/>
      <c r="D937" s="184"/>
      <c r="E937" s="184"/>
      <c r="F937" s="184"/>
    </row>
    <row r="938" spans="3:6" ht="12.75" customHeight="1" x14ac:dyDescent="0.25">
      <c r="C938" s="184"/>
      <c r="D938" s="184"/>
      <c r="E938" s="184"/>
      <c r="F938" s="184"/>
    </row>
    <row r="939" spans="3:6" ht="12.75" customHeight="1" x14ac:dyDescent="0.25">
      <c r="C939" s="184"/>
      <c r="D939" s="184"/>
      <c r="E939" s="184"/>
      <c r="F939" s="184"/>
    </row>
    <row r="940" spans="3:6" ht="12.75" customHeight="1" x14ac:dyDescent="0.25">
      <c r="C940" s="184"/>
      <c r="D940" s="184"/>
      <c r="E940" s="184"/>
      <c r="F940" s="184"/>
    </row>
    <row r="941" spans="3:6" ht="12.75" customHeight="1" x14ac:dyDescent="0.25">
      <c r="C941" s="184"/>
      <c r="D941" s="184"/>
      <c r="E941" s="184"/>
      <c r="F941" s="184"/>
    </row>
    <row r="942" spans="3:6" ht="12.75" customHeight="1" x14ac:dyDescent="0.25">
      <c r="C942" s="184"/>
      <c r="D942" s="184"/>
      <c r="E942" s="184"/>
      <c r="F942" s="184"/>
    </row>
    <row r="943" spans="3:6" ht="12.75" customHeight="1" x14ac:dyDescent="0.25">
      <c r="C943" s="184"/>
      <c r="D943" s="184"/>
      <c r="E943" s="184"/>
      <c r="F943" s="184"/>
    </row>
    <row r="944" spans="3:6" ht="12.75" customHeight="1" x14ac:dyDescent="0.25">
      <c r="C944" s="184"/>
      <c r="D944" s="184"/>
      <c r="E944" s="184"/>
      <c r="F944" s="184"/>
    </row>
    <row r="945" spans="3:6" ht="12.75" customHeight="1" x14ac:dyDescent="0.25">
      <c r="C945" s="184"/>
      <c r="D945" s="184"/>
      <c r="E945" s="184"/>
      <c r="F945" s="184"/>
    </row>
    <row r="946" spans="3:6" ht="12.75" customHeight="1" x14ac:dyDescent="0.25">
      <c r="C946" s="184"/>
      <c r="D946" s="184"/>
      <c r="E946" s="184"/>
      <c r="F946" s="184"/>
    </row>
    <row r="947" spans="3:6" ht="12.75" customHeight="1" x14ac:dyDescent="0.25">
      <c r="C947" s="184"/>
      <c r="D947" s="184"/>
      <c r="E947" s="184"/>
      <c r="F947" s="184"/>
    </row>
    <row r="948" spans="3:6" ht="12.75" customHeight="1" x14ac:dyDescent="0.25">
      <c r="C948" s="184"/>
      <c r="D948" s="184"/>
      <c r="E948" s="184"/>
      <c r="F948" s="184"/>
    </row>
    <row r="949" spans="3:6" ht="12.75" customHeight="1" x14ac:dyDescent="0.25">
      <c r="C949" s="184"/>
      <c r="D949" s="184"/>
      <c r="E949" s="184"/>
      <c r="F949" s="184"/>
    </row>
    <row r="950" spans="3:6" ht="12.75" customHeight="1" x14ac:dyDescent="0.25">
      <c r="C950" s="184"/>
      <c r="D950" s="184"/>
      <c r="E950" s="184"/>
      <c r="F950" s="184"/>
    </row>
    <row r="951" spans="3:6" ht="12.75" customHeight="1" x14ac:dyDescent="0.25">
      <c r="C951" s="184"/>
      <c r="D951" s="184"/>
      <c r="E951" s="184"/>
      <c r="F951" s="184"/>
    </row>
    <row r="952" spans="3:6" ht="12.75" customHeight="1" x14ac:dyDescent="0.25">
      <c r="C952" s="184"/>
      <c r="D952" s="184"/>
      <c r="E952" s="184"/>
      <c r="F952" s="184"/>
    </row>
    <row r="953" spans="3:6" ht="12.75" customHeight="1" x14ac:dyDescent="0.25">
      <c r="C953" s="184"/>
      <c r="D953" s="184"/>
      <c r="E953" s="184"/>
      <c r="F953" s="184"/>
    </row>
    <row r="954" spans="3:6" ht="12.75" customHeight="1" x14ac:dyDescent="0.25">
      <c r="C954" s="184"/>
      <c r="D954" s="184"/>
      <c r="E954" s="184"/>
      <c r="F954" s="184"/>
    </row>
    <row r="955" spans="3:6" ht="12.75" customHeight="1" x14ac:dyDescent="0.25">
      <c r="C955" s="184"/>
      <c r="D955" s="184"/>
      <c r="E955" s="184"/>
      <c r="F955" s="184"/>
    </row>
    <row r="956" spans="3:6" ht="12.75" customHeight="1" x14ac:dyDescent="0.25">
      <c r="C956" s="184"/>
      <c r="D956" s="184"/>
      <c r="E956" s="184"/>
      <c r="F956" s="184"/>
    </row>
    <row r="957" spans="3:6" ht="12.75" customHeight="1" x14ac:dyDescent="0.25">
      <c r="C957" s="184"/>
      <c r="D957" s="184"/>
      <c r="E957" s="184"/>
      <c r="F957" s="184"/>
    </row>
    <row r="958" spans="3:6" ht="12.75" customHeight="1" x14ac:dyDescent="0.25">
      <c r="C958" s="184"/>
      <c r="D958" s="184"/>
      <c r="E958" s="184"/>
      <c r="F958" s="184"/>
    </row>
    <row r="959" spans="3:6" ht="12.75" customHeight="1" x14ac:dyDescent="0.25">
      <c r="C959" s="184"/>
      <c r="D959" s="184"/>
      <c r="E959" s="184"/>
      <c r="F959" s="184"/>
    </row>
    <row r="960" spans="3:6" ht="12.75" customHeight="1" x14ac:dyDescent="0.25">
      <c r="C960" s="184"/>
      <c r="D960" s="184"/>
      <c r="E960" s="184"/>
      <c r="F960" s="184"/>
    </row>
    <row r="961" spans="3:6" ht="12.75" customHeight="1" x14ac:dyDescent="0.25">
      <c r="C961" s="184"/>
      <c r="D961" s="184"/>
      <c r="E961" s="184"/>
      <c r="F961" s="184"/>
    </row>
    <row r="962" spans="3:6" ht="12.75" customHeight="1" x14ac:dyDescent="0.25">
      <c r="C962" s="184"/>
      <c r="D962" s="184"/>
      <c r="E962" s="184"/>
      <c r="F962" s="184"/>
    </row>
    <row r="963" spans="3:6" ht="12.75" customHeight="1" x14ac:dyDescent="0.25">
      <c r="C963" s="184"/>
      <c r="D963" s="184"/>
      <c r="E963" s="184"/>
      <c r="F963" s="184"/>
    </row>
    <row r="964" spans="3:6" ht="12.75" customHeight="1" x14ac:dyDescent="0.25">
      <c r="C964" s="184"/>
      <c r="D964" s="184"/>
      <c r="E964" s="184"/>
      <c r="F964" s="184"/>
    </row>
    <row r="965" spans="3:6" ht="12.75" customHeight="1" x14ac:dyDescent="0.25">
      <c r="C965" s="184"/>
      <c r="D965" s="184"/>
      <c r="E965" s="184"/>
      <c r="F965" s="184"/>
    </row>
    <row r="966" spans="3:6" ht="12.75" customHeight="1" x14ac:dyDescent="0.25">
      <c r="C966" s="184"/>
      <c r="D966" s="184"/>
      <c r="E966" s="184"/>
      <c r="F966" s="184"/>
    </row>
    <row r="967" spans="3:6" ht="12.75" customHeight="1" x14ac:dyDescent="0.25">
      <c r="C967" s="184"/>
      <c r="D967" s="184"/>
      <c r="E967" s="184"/>
      <c r="F967" s="184"/>
    </row>
    <row r="968" spans="3:6" ht="12.75" customHeight="1" x14ac:dyDescent="0.25">
      <c r="C968" s="184"/>
      <c r="D968" s="184"/>
      <c r="E968" s="184"/>
      <c r="F968" s="184"/>
    </row>
    <row r="969" spans="3:6" ht="12.75" customHeight="1" x14ac:dyDescent="0.25">
      <c r="C969" s="184"/>
      <c r="D969" s="184"/>
      <c r="E969" s="184"/>
      <c r="F969" s="184"/>
    </row>
    <row r="970" spans="3:6" ht="12.75" customHeight="1" x14ac:dyDescent="0.25">
      <c r="C970" s="184"/>
      <c r="D970" s="184"/>
      <c r="E970" s="184"/>
      <c r="F970" s="184"/>
    </row>
    <row r="971" spans="3:6" ht="12.75" customHeight="1" x14ac:dyDescent="0.25">
      <c r="C971" s="184"/>
      <c r="D971" s="184"/>
      <c r="E971" s="184"/>
      <c r="F971" s="184"/>
    </row>
    <row r="972" spans="3:6" ht="12.75" customHeight="1" x14ac:dyDescent="0.25">
      <c r="C972" s="184"/>
      <c r="D972" s="184"/>
      <c r="E972" s="184"/>
      <c r="F972" s="184"/>
    </row>
    <row r="973" spans="3:6" ht="12.75" customHeight="1" x14ac:dyDescent="0.25">
      <c r="C973" s="184"/>
      <c r="D973" s="184"/>
      <c r="E973" s="184"/>
      <c r="F973" s="184"/>
    </row>
    <row r="974" spans="3:6" ht="12.75" customHeight="1" x14ac:dyDescent="0.25">
      <c r="C974" s="184"/>
      <c r="D974" s="184"/>
      <c r="E974" s="184"/>
      <c r="F974" s="184"/>
    </row>
    <row r="975" spans="3:6" ht="12.75" customHeight="1" x14ac:dyDescent="0.25">
      <c r="C975" s="184"/>
      <c r="D975" s="184"/>
      <c r="E975" s="184"/>
      <c r="F975" s="184"/>
    </row>
    <row r="976" spans="3:6" ht="12.75" customHeight="1" x14ac:dyDescent="0.25">
      <c r="C976" s="184"/>
      <c r="D976" s="184"/>
      <c r="E976" s="184"/>
      <c r="F976" s="184"/>
    </row>
    <row r="977" spans="3:6" ht="12.75" customHeight="1" x14ac:dyDescent="0.25">
      <c r="C977" s="184"/>
      <c r="D977" s="184"/>
      <c r="E977" s="184"/>
      <c r="F977" s="184"/>
    </row>
    <row r="978" spans="3:6" ht="12.75" customHeight="1" x14ac:dyDescent="0.25">
      <c r="C978" s="184"/>
      <c r="D978" s="184"/>
      <c r="E978" s="184"/>
      <c r="F978" s="184"/>
    </row>
    <row r="979" spans="3:6" ht="12.75" customHeight="1" x14ac:dyDescent="0.25">
      <c r="C979" s="184"/>
      <c r="D979" s="184"/>
      <c r="E979" s="184"/>
      <c r="F979" s="184"/>
    </row>
    <row r="980" spans="3:6" ht="12.75" customHeight="1" x14ac:dyDescent="0.25">
      <c r="C980" s="184"/>
      <c r="D980" s="184"/>
      <c r="E980" s="184"/>
      <c r="F980" s="184"/>
    </row>
    <row r="981" spans="3:6" ht="12.75" customHeight="1" x14ac:dyDescent="0.25">
      <c r="C981" s="184"/>
      <c r="D981" s="184"/>
      <c r="E981" s="184"/>
      <c r="F981" s="184"/>
    </row>
    <row r="982" spans="3:6" ht="12.75" customHeight="1" x14ac:dyDescent="0.25">
      <c r="C982" s="184"/>
      <c r="D982" s="184"/>
      <c r="E982" s="184"/>
      <c r="F982" s="184"/>
    </row>
    <row r="983" spans="3:6" ht="12.75" customHeight="1" x14ac:dyDescent="0.25">
      <c r="C983" s="184"/>
      <c r="D983" s="184"/>
      <c r="E983" s="184"/>
      <c r="F983" s="184"/>
    </row>
    <row r="984" spans="3:6" ht="12.75" customHeight="1" x14ac:dyDescent="0.25">
      <c r="C984" s="184"/>
      <c r="D984" s="184"/>
      <c r="E984" s="184"/>
      <c r="F984" s="184"/>
    </row>
    <row r="985" spans="3:6" ht="12.75" customHeight="1" x14ac:dyDescent="0.25">
      <c r="C985" s="184"/>
      <c r="D985" s="184"/>
      <c r="E985" s="184"/>
      <c r="F985" s="184"/>
    </row>
    <row r="986" spans="3:6" ht="12.75" customHeight="1" x14ac:dyDescent="0.25">
      <c r="C986" s="184"/>
      <c r="D986" s="184"/>
      <c r="E986" s="184"/>
      <c r="F986" s="184"/>
    </row>
    <row r="987" spans="3:6" ht="12.75" customHeight="1" x14ac:dyDescent="0.25">
      <c r="C987" s="184"/>
      <c r="D987" s="184"/>
      <c r="E987" s="184"/>
      <c r="F987" s="184"/>
    </row>
    <row r="988" spans="3:6" ht="12.75" customHeight="1" x14ac:dyDescent="0.25">
      <c r="C988" s="184"/>
      <c r="D988" s="184"/>
      <c r="E988" s="184"/>
      <c r="F988" s="184"/>
    </row>
    <row r="989" spans="3:6" ht="12.75" customHeight="1" x14ac:dyDescent="0.25">
      <c r="C989" s="184"/>
      <c r="D989" s="184"/>
      <c r="E989" s="184"/>
      <c r="F989" s="184"/>
    </row>
    <row r="990" spans="3:6" ht="12.75" customHeight="1" x14ac:dyDescent="0.25">
      <c r="C990" s="184"/>
      <c r="D990" s="184"/>
      <c r="E990" s="184"/>
      <c r="F990" s="184"/>
    </row>
    <row r="991" spans="3:6" ht="12.75" customHeight="1" x14ac:dyDescent="0.25">
      <c r="C991" s="184"/>
      <c r="D991" s="184"/>
      <c r="E991" s="184"/>
      <c r="F991" s="184"/>
    </row>
    <row r="992" spans="3:6" ht="12.75" customHeight="1" x14ac:dyDescent="0.25">
      <c r="C992" s="184"/>
      <c r="D992" s="184"/>
      <c r="E992" s="184"/>
      <c r="F992" s="184"/>
    </row>
    <row r="993" spans="3:6" ht="12.75" customHeight="1" x14ac:dyDescent="0.25">
      <c r="C993" s="184"/>
      <c r="D993" s="184"/>
      <c r="E993" s="184"/>
      <c r="F993" s="184"/>
    </row>
    <row r="994" spans="3:6" ht="12.75" customHeight="1" x14ac:dyDescent="0.25">
      <c r="C994" s="184"/>
      <c r="D994" s="184"/>
      <c r="E994" s="184"/>
      <c r="F994" s="184"/>
    </row>
    <row r="995" spans="3:6" ht="12.75" customHeight="1" x14ac:dyDescent="0.25">
      <c r="C995" s="184"/>
      <c r="D995" s="184"/>
      <c r="E995" s="184"/>
      <c r="F995" s="184"/>
    </row>
    <row r="996" spans="3:6" ht="12.75" customHeight="1" x14ac:dyDescent="0.25">
      <c r="C996" s="184"/>
      <c r="D996" s="184"/>
      <c r="E996" s="184"/>
      <c r="F996" s="184"/>
    </row>
    <row r="997" spans="3:6" ht="12.75" customHeight="1" x14ac:dyDescent="0.25">
      <c r="C997" s="184"/>
      <c r="D997" s="184"/>
      <c r="E997" s="184"/>
      <c r="F997" s="184"/>
    </row>
    <row r="998" spans="3:6" ht="12.75" customHeight="1" x14ac:dyDescent="0.25">
      <c r="C998" s="184"/>
      <c r="D998" s="184"/>
      <c r="E998" s="184"/>
      <c r="F998" s="184"/>
    </row>
    <row r="999" spans="3:6" ht="12.75" customHeight="1" x14ac:dyDescent="0.25">
      <c r="C999" s="184"/>
      <c r="D999" s="184"/>
      <c r="E999" s="184"/>
      <c r="F999" s="184"/>
    </row>
    <row r="1000" spans="3:6" ht="12.75" customHeight="1" x14ac:dyDescent="0.25">
      <c r="C1000" s="184"/>
      <c r="D1000" s="184"/>
      <c r="E1000" s="184"/>
      <c r="F1000" s="184"/>
    </row>
    <row r="1001" spans="3:6" ht="12.75" customHeight="1" x14ac:dyDescent="0.25">
      <c r="C1001" s="184"/>
      <c r="D1001" s="184"/>
      <c r="E1001" s="184"/>
      <c r="F1001" s="184"/>
    </row>
    <row r="1002" spans="3:6" ht="12.75" customHeight="1" x14ac:dyDescent="0.25">
      <c r="C1002" s="184"/>
      <c r="D1002" s="184"/>
      <c r="E1002" s="184"/>
      <c r="F1002" s="184"/>
    </row>
    <row r="1003" spans="3:6" ht="12.75" customHeight="1" x14ac:dyDescent="0.25">
      <c r="C1003" s="184"/>
      <c r="D1003" s="184"/>
      <c r="E1003" s="184"/>
      <c r="F1003" s="184"/>
    </row>
    <row r="1004" spans="3:6" ht="12.75" customHeight="1" x14ac:dyDescent="0.25">
      <c r="C1004" s="184"/>
      <c r="D1004" s="184"/>
      <c r="E1004" s="184"/>
      <c r="F1004" s="184"/>
    </row>
    <row r="1005" spans="3:6" ht="12.75" customHeight="1" x14ac:dyDescent="0.25">
      <c r="C1005" s="184"/>
      <c r="D1005" s="184"/>
      <c r="E1005" s="184"/>
      <c r="F1005" s="184"/>
    </row>
    <row r="1006" spans="3:6" ht="12.75" customHeight="1" x14ac:dyDescent="0.25">
      <c r="C1006" s="184"/>
      <c r="D1006" s="184"/>
      <c r="E1006" s="184"/>
      <c r="F1006" s="184"/>
    </row>
    <row r="1007" spans="3:6" ht="12.75" customHeight="1" x14ac:dyDescent="0.25">
      <c r="C1007" s="184"/>
      <c r="D1007" s="184"/>
      <c r="E1007" s="184"/>
      <c r="F1007" s="184"/>
    </row>
    <row r="1008" spans="3:6" ht="12.75" customHeight="1" x14ac:dyDescent="0.25">
      <c r="C1008" s="184"/>
      <c r="D1008" s="184"/>
      <c r="E1008" s="184"/>
      <c r="F1008" s="184"/>
    </row>
    <row r="1009" spans="3:6" ht="12.75" customHeight="1" x14ac:dyDescent="0.25">
      <c r="C1009" s="184"/>
      <c r="D1009" s="184"/>
      <c r="E1009" s="184"/>
      <c r="F1009" s="184"/>
    </row>
    <row r="1010" spans="3:6" ht="12.75" customHeight="1" x14ac:dyDescent="0.25">
      <c r="C1010" s="184"/>
      <c r="D1010" s="184"/>
      <c r="E1010" s="184"/>
      <c r="F1010" s="184"/>
    </row>
    <row r="1011" spans="3:6" ht="12.75" customHeight="1" x14ac:dyDescent="0.25">
      <c r="C1011" s="184"/>
      <c r="D1011" s="184"/>
      <c r="E1011" s="184"/>
      <c r="F1011" s="184"/>
    </row>
    <row r="1012" spans="3:6" ht="12.75" customHeight="1" x14ac:dyDescent="0.25">
      <c r="C1012" s="184"/>
      <c r="D1012" s="184"/>
      <c r="E1012" s="184"/>
      <c r="F1012" s="184"/>
    </row>
    <row r="1013" spans="3:6" ht="12.75" customHeight="1" x14ac:dyDescent="0.25">
      <c r="C1013" s="184"/>
      <c r="D1013" s="184"/>
      <c r="E1013" s="184"/>
      <c r="F1013" s="184"/>
    </row>
    <row r="1014" spans="3:6" ht="12.75" customHeight="1" x14ac:dyDescent="0.25">
      <c r="C1014" s="184"/>
      <c r="D1014" s="184"/>
      <c r="E1014" s="184"/>
      <c r="F1014" s="184"/>
    </row>
    <row r="1015" spans="3:6" ht="12.75" customHeight="1" x14ac:dyDescent="0.25">
      <c r="C1015" s="184"/>
      <c r="D1015" s="184"/>
      <c r="E1015" s="184"/>
      <c r="F1015" s="184"/>
    </row>
    <row r="1016" spans="3:6" ht="12.75" customHeight="1" x14ac:dyDescent="0.25">
      <c r="C1016" s="184"/>
      <c r="D1016" s="184"/>
      <c r="E1016" s="184"/>
      <c r="F1016" s="184"/>
    </row>
    <row r="1017" spans="3:6" ht="12.75" customHeight="1" x14ac:dyDescent="0.25">
      <c r="C1017" s="184"/>
      <c r="D1017" s="184"/>
      <c r="E1017" s="184"/>
      <c r="F1017" s="184"/>
    </row>
    <row r="1018" spans="3:6" ht="12.75" customHeight="1" x14ac:dyDescent="0.25">
      <c r="C1018" s="184"/>
      <c r="D1018" s="184"/>
      <c r="E1018" s="184"/>
      <c r="F1018" s="184"/>
    </row>
    <row r="1019" spans="3:6" ht="12.75" customHeight="1" x14ac:dyDescent="0.25">
      <c r="C1019" s="184"/>
      <c r="D1019" s="184"/>
      <c r="E1019" s="184"/>
      <c r="F1019" s="184"/>
    </row>
    <row r="1020" spans="3:6" ht="12.75" customHeight="1" x14ac:dyDescent="0.25">
      <c r="C1020" s="184"/>
      <c r="D1020" s="184"/>
      <c r="E1020" s="184"/>
      <c r="F1020" s="184"/>
    </row>
    <row r="1021" spans="3:6" ht="12.75" customHeight="1" x14ac:dyDescent="0.25">
      <c r="C1021" s="184"/>
      <c r="D1021" s="184"/>
      <c r="E1021" s="184"/>
      <c r="F1021" s="184"/>
    </row>
    <row r="1022" spans="3:6" ht="12.75" customHeight="1" x14ac:dyDescent="0.25">
      <c r="C1022" s="184"/>
      <c r="D1022" s="184"/>
      <c r="E1022" s="184"/>
      <c r="F1022" s="184"/>
    </row>
    <row r="1023" spans="3:6" ht="12.75" customHeight="1" x14ac:dyDescent="0.25">
      <c r="C1023" s="184"/>
      <c r="D1023" s="184"/>
      <c r="E1023" s="184"/>
      <c r="F1023" s="184"/>
    </row>
    <row r="1024" spans="3:6" ht="12.75" customHeight="1" x14ac:dyDescent="0.25">
      <c r="C1024" s="184"/>
      <c r="D1024" s="184"/>
      <c r="E1024" s="184"/>
      <c r="F1024" s="184"/>
    </row>
    <row r="1025" spans="3:6" ht="12.75" customHeight="1" x14ac:dyDescent="0.25">
      <c r="C1025" s="184"/>
      <c r="D1025" s="184"/>
      <c r="E1025" s="184"/>
      <c r="F1025" s="184"/>
    </row>
    <row r="1026" spans="3:6" ht="12.75" customHeight="1" x14ac:dyDescent="0.25">
      <c r="C1026" s="184"/>
      <c r="D1026" s="184"/>
      <c r="E1026" s="184"/>
      <c r="F1026" s="184"/>
    </row>
    <row r="1027" spans="3:6" ht="12.75" customHeight="1" x14ac:dyDescent="0.25">
      <c r="C1027" s="184"/>
      <c r="D1027" s="184"/>
      <c r="E1027" s="184"/>
      <c r="F1027" s="184"/>
    </row>
    <row r="1028" spans="3:6" ht="12.75" customHeight="1" x14ac:dyDescent="0.25">
      <c r="C1028" s="184"/>
      <c r="D1028" s="184"/>
      <c r="E1028" s="184"/>
      <c r="F1028" s="184"/>
    </row>
    <row r="1029" spans="3:6" ht="12.75" customHeight="1" x14ac:dyDescent="0.25">
      <c r="C1029" s="184"/>
      <c r="D1029" s="184"/>
      <c r="E1029" s="184"/>
      <c r="F1029" s="184"/>
    </row>
    <row r="1030" spans="3:6" ht="12.75" customHeight="1" x14ac:dyDescent="0.25">
      <c r="C1030" s="184"/>
      <c r="D1030" s="184"/>
      <c r="E1030" s="184"/>
      <c r="F1030" s="184"/>
    </row>
    <row r="1031" spans="3:6" ht="12.75" customHeight="1" x14ac:dyDescent="0.25">
      <c r="C1031" s="184"/>
      <c r="D1031" s="184"/>
      <c r="E1031" s="184"/>
      <c r="F1031" s="184"/>
    </row>
    <row r="1032" spans="3:6" ht="12.75" customHeight="1" x14ac:dyDescent="0.25">
      <c r="C1032" s="184"/>
      <c r="D1032" s="184"/>
      <c r="E1032" s="184"/>
      <c r="F1032" s="184"/>
    </row>
    <row r="1033" spans="3:6" ht="12.75" customHeight="1" x14ac:dyDescent="0.25">
      <c r="C1033" s="184"/>
      <c r="D1033" s="184"/>
      <c r="E1033" s="184"/>
      <c r="F1033" s="184"/>
    </row>
    <row r="1034" spans="3:6" ht="12.75" customHeight="1" x14ac:dyDescent="0.25">
      <c r="C1034" s="184"/>
      <c r="D1034" s="184"/>
      <c r="E1034" s="184"/>
      <c r="F1034" s="184"/>
    </row>
    <row r="1035" spans="3:6" ht="12.75" customHeight="1" x14ac:dyDescent="0.25">
      <c r="C1035" s="184"/>
      <c r="D1035" s="184"/>
      <c r="E1035" s="184"/>
      <c r="F1035" s="184"/>
    </row>
    <row r="1036" spans="3:6" ht="12.75" customHeight="1" x14ac:dyDescent="0.25">
      <c r="C1036" s="184"/>
      <c r="D1036" s="184"/>
      <c r="E1036" s="184"/>
      <c r="F1036" s="184"/>
    </row>
    <row r="1037" spans="3:6" ht="12.75" customHeight="1" x14ac:dyDescent="0.25">
      <c r="C1037" s="184"/>
      <c r="D1037" s="184"/>
      <c r="E1037" s="184"/>
      <c r="F1037" s="184"/>
    </row>
    <row r="1038" spans="3:6" ht="12.75" customHeight="1" x14ac:dyDescent="0.25">
      <c r="C1038" s="184"/>
      <c r="D1038" s="184"/>
      <c r="E1038" s="184"/>
      <c r="F1038" s="184"/>
    </row>
    <row r="1039" spans="3:6" ht="12.75" customHeight="1" x14ac:dyDescent="0.25">
      <c r="C1039" s="184"/>
      <c r="D1039" s="184"/>
      <c r="E1039" s="184"/>
      <c r="F1039" s="184"/>
    </row>
    <row r="1040" spans="3:6" ht="12.75" customHeight="1" x14ac:dyDescent="0.25">
      <c r="C1040" s="184"/>
      <c r="D1040" s="184"/>
      <c r="E1040" s="184"/>
      <c r="F1040" s="184"/>
    </row>
    <row r="1041" spans="3:6" ht="12.75" customHeight="1" x14ac:dyDescent="0.25">
      <c r="C1041" s="184"/>
      <c r="D1041" s="184"/>
      <c r="E1041" s="184"/>
      <c r="F1041" s="184"/>
    </row>
    <row r="1042" spans="3:6" ht="12.75" customHeight="1" x14ac:dyDescent="0.25">
      <c r="C1042" s="184"/>
      <c r="D1042" s="184"/>
      <c r="E1042" s="184"/>
      <c r="F1042" s="184"/>
    </row>
    <row r="1043" spans="3:6" ht="12.75" customHeight="1" x14ac:dyDescent="0.25">
      <c r="C1043" s="184"/>
      <c r="D1043" s="184"/>
      <c r="E1043" s="184"/>
      <c r="F1043" s="184"/>
    </row>
    <row r="1044" spans="3:6" ht="12.75" customHeight="1" x14ac:dyDescent="0.25">
      <c r="C1044" s="184"/>
      <c r="D1044" s="184"/>
      <c r="E1044" s="184"/>
      <c r="F1044" s="184"/>
    </row>
    <row r="1045" spans="3:6" ht="12.75" customHeight="1" x14ac:dyDescent="0.25">
      <c r="C1045" s="184"/>
      <c r="D1045" s="184"/>
      <c r="E1045" s="184"/>
      <c r="F1045" s="184"/>
    </row>
    <row r="1046" spans="3:6" ht="12.75" customHeight="1" x14ac:dyDescent="0.25">
      <c r="C1046" s="184"/>
      <c r="D1046" s="184"/>
      <c r="E1046" s="184"/>
      <c r="F1046" s="184"/>
    </row>
    <row r="1047" spans="3:6" ht="12.75" customHeight="1" x14ac:dyDescent="0.25">
      <c r="C1047" s="184"/>
      <c r="D1047" s="184"/>
      <c r="E1047" s="184"/>
      <c r="F1047" s="184"/>
    </row>
    <row r="1048" spans="3:6" ht="12.75" customHeight="1" x14ac:dyDescent="0.25">
      <c r="C1048" s="184"/>
      <c r="D1048" s="184"/>
      <c r="E1048" s="184"/>
      <c r="F1048" s="184"/>
    </row>
    <row r="1049" spans="3:6" ht="12.75" customHeight="1" x14ac:dyDescent="0.25">
      <c r="C1049" s="184"/>
      <c r="D1049" s="184"/>
      <c r="E1049" s="184"/>
      <c r="F1049" s="184"/>
    </row>
    <row r="1050" spans="3:6" ht="12.75" customHeight="1" x14ac:dyDescent="0.25">
      <c r="C1050" s="184"/>
      <c r="D1050" s="184"/>
      <c r="E1050" s="184"/>
      <c r="F1050" s="184"/>
    </row>
    <row r="1051" spans="3:6" ht="12.75" customHeight="1" x14ac:dyDescent="0.25">
      <c r="C1051" s="184"/>
      <c r="D1051" s="184"/>
      <c r="E1051" s="184"/>
      <c r="F1051" s="184"/>
    </row>
    <row r="1052" spans="3:6" ht="12.75" customHeight="1" x14ac:dyDescent="0.25">
      <c r="C1052" s="184"/>
      <c r="D1052" s="184"/>
      <c r="E1052" s="184"/>
      <c r="F1052" s="184"/>
    </row>
    <row r="1053" spans="3:6" ht="12.75" customHeight="1" x14ac:dyDescent="0.25">
      <c r="C1053" s="184"/>
      <c r="D1053" s="184"/>
      <c r="E1053" s="184"/>
      <c r="F1053" s="184"/>
    </row>
    <row r="1054" spans="3:6" ht="12.75" customHeight="1" x14ac:dyDescent="0.25">
      <c r="C1054" s="184"/>
      <c r="D1054" s="184"/>
      <c r="E1054" s="184"/>
      <c r="F1054" s="184"/>
    </row>
    <row r="1055" spans="3:6" ht="12.75" customHeight="1" x14ac:dyDescent="0.25">
      <c r="C1055" s="184"/>
      <c r="D1055" s="184"/>
      <c r="E1055" s="184"/>
      <c r="F1055" s="184"/>
    </row>
    <row r="1056" spans="3:6" ht="12.75" customHeight="1" x14ac:dyDescent="0.25">
      <c r="C1056" s="184"/>
      <c r="D1056" s="184"/>
      <c r="E1056" s="184"/>
      <c r="F1056" s="184"/>
    </row>
    <row r="1057" spans="3:6" ht="12.75" customHeight="1" x14ac:dyDescent="0.25">
      <c r="C1057" s="184"/>
      <c r="D1057" s="184"/>
      <c r="E1057" s="184"/>
      <c r="F1057" s="184"/>
    </row>
    <row r="1058" spans="3:6" ht="12.75" customHeight="1" x14ac:dyDescent="0.25">
      <c r="C1058" s="184"/>
      <c r="D1058" s="184"/>
      <c r="E1058" s="184"/>
      <c r="F1058" s="184"/>
    </row>
    <row r="1059" spans="3:6" ht="12.75" customHeight="1" x14ac:dyDescent="0.25">
      <c r="C1059" s="184"/>
      <c r="D1059" s="184"/>
      <c r="E1059" s="184"/>
      <c r="F1059" s="184"/>
    </row>
    <row r="1060" spans="3:6" ht="12.75" customHeight="1" x14ac:dyDescent="0.25">
      <c r="C1060" s="184"/>
      <c r="D1060" s="184"/>
      <c r="E1060" s="184"/>
      <c r="F1060" s="184"/>
    </row>
    <row r="1061" spans="3:6" ht="12.75" customHeight="1" x14ac:dyDescent="0.25">
      <c r="C1061" s="184"/>
      <c r="D1061" s="184"/>
      <c r="E1061" s="184"/>
      <c r="F1061" s="184"/>
    </row>
    <row r="1062" spans="3:6" ht="12.75" customHeight="1" x14ac:dyDescent="0.25">
      <c r="C1062" s="184"/>
      <c r="D1062" s="184"/>
      <c r="E1062" s="184"/>
      <c r="F1062" s="184"/>
    </row>
    <row r="1063" spans="3:6" ht="12.75" customHeight="1" x14ac:dyDescent="0.25">
      <c r="C1063" s="184"/>
      <c r="D1063" s="184"/>
      <c r="E1063" s="184"/>
      <c r="F1063" s="184"/>
    </row>
    <row r="1064" spans="3:6" ht="12.75" customHeight="1" x14ac:dyDescent="0.25">
      <c r="C1064" s="184"/>
      <c r="D1064" s="184"/>
      <c r="E1064" s="184"/>
      <c r="F1064" s="184"/>
    </row>
    <row r="1065" spans="3:6" ht="12.75" customHeight="1" x14ac:dyDescent="0.25">
      <c r="C1065" s="184"/>
      <c r="D1065" s="184"/>
      <c r="E1065" s="184"/>
      <c r="F1065" s="184"/>
    </row>
    <row r="1066" spans="3:6" ht="12.75" customHeight="1" x14ac:dyDescent="0.25">
      <c r="C1066" s="184"/>
      <c r="D1066" s="184"/>
      <c r="E1066" s="184"/>
      <c r="F1066" s="184"/>
    </row>
    <row r="1067" spans="3:6" ht="12.75" customHeight="1" x14ac:dyDescent="0.25">
      <c r="C1067" s="184"/>
      <c r="D1067" s="184"/>
      <c r="E1067" s="184"/>
      <c r="F1067" s="184"/>
    </row>
    <row r="1068" spans="3:6" ht="12.75" customHeight="1" x14ac:dyDescent="0.25">
      <c r="C1068" s="184"/>
      <c r="D1068" s="184"/>
      <c r="E1068" s="184"/>
      <c r="F1068" s="184"/>
    </row>
    <row r="1069" spans="3:6" ht="12.75" customHeight="1" x14ac:dyDescent="0.25">
      <c r="C1069" s="184"/>
      <c r="D1069" s="184"/>
      <c r="E1069" s="184"/>
      <c r="F1069" s="184"/>
    </row>
    <row r="1070" spans="3:6" ht="12.75" customHeight="1" x14ac:dyDescent="0.25">
      <c r="C1070" s="184"/>
      <c r="D1070" s="184"/>
      <c r="E1070" s="184"/>
      <c r="F1070" s="184"/>
    </row>
    <row r="1071" spans="3:6" ht="12.75" customHeight="1" x14ac:dyDescent="0.25">
      <c r="C1071" s="184"/>
      <c r="D1071" s="184"/>
      <c r="E1071" s="184"/>
      <c r="F1071" s="184"/>
    </row>
    <row r="1072" spans="3:6" ht="12.75" customHeight="1" x14ac:dyDescent="0.25">
      <c r="C1072" s="184"/>
      <c r="D1072" s="184"/>
      <c r="E1072" s="184"/>
      <c r="F1072" s="184"/>
    </row>
    <row r="1073" spans="3:6" ht="12.75" customHeight="1" x14ac:dyDescent="0.25">
      <c r="C1073" s="184"/>
      <c r="D1073" s="184"/>
      <c r="E1073" s="184"/>
      <c r="F1073" s="184"/>
    </row>
    <row r="1074" spans="3:6" ht="12.75" customHeight="1" x14ac:dyDescent="0.25">
      <c r="C1074" s="184"/>
      <c r="D1074" s="184"/>
      <c r="E1074" s="184"/>
      <c r="F1074" s="184"/>
    </row>
    <row r="1075" spans="3:6" ht="12.75" customHeight="1" x14ac:dyDescent="0.25">
      <c r="C1075" s="184"/>
      <c r="D1075" s="184"/>
      <c r="E1075" s="184"/>
      <c r="F1075" s="184"/>
    </row>
    <row r="1076" spans="3:6" ht="12.75" customHeight="1" x14ac:dyDescent="0.25">
      <c r="C1076" s="184"/>
      <c r="D1076" s="184"/>
      <c r="E1076" s="184"/>
      <c r="F1076" s="184"/>
    </row>
    <row r="1077" spans="3:6" ht="12.75" customHeight="1" x14ac:dyDescent="0.25">
      <c r="C1077" s="184"/>
      <c r="D1077" s="184"/>
      <c r="E1077" s="184"/>
      <c r="F1077" s="184"/>
    </row>
    <row r="1078" spans="3:6" ht="12.75" customHeight="1" x14ac:dyDescent="0.25">
      <c r="C1078" s="184"/>
      <c r="D1078" s="184"/>
      <c r="E1078" s="184"/>
      <c r="F1078" s="184"/>
    </row>
    <row r="1079" spans="3:6" ht="12.75" customHeight="1" x14ac:dyDescent="0.25">
      <c r="C1079" s="184"/>
      <c r="D1079" s="184"/>
      <c r="E1079" s="184"/>
      <c r="F1079" s="184"/>
    </row>
    <row r="1080" spans="3:6" ht="12.75" customHeight="1" x14ac:dyDescent="0.25">
      <c r="C1080" s="184"/>
      <c r="D1080" s="184"/>
      <c r="E1080" s="184"/>
      <c r="F1080" s="184"/>
    </row>
    <row r="1081" spans="3:6" ht="12.75" customHeight="1" x14ac:dyDescent="0.25">
      <c r="C1081" s="184"/>
      <c r="D1081" s="184"/>
      <c r="E1081" s="184"/>
      <c r="F1081" s="184"/>
    </row>
    <row r="1082" spans="3:6" ht="12.75" customHeight="1" x14ac:dyDescent="0.25">
      <c r="C1082" s="184"/>
      <c r="D1082" s="184"/>
      <c r="E1082" s="184"/>
      <c r="F1082" s="184"/>
    </row>
    <row r="1083" spans="3:6" ht="12.75" customHeight="1" x14ac:dyDescent="0.25">
      <c r="C1083" s="184"/>
      <c r="D1083" s="184"/>
      <c r="E1083" s="184"/>
      <c r="F1083" s="184"/>
    </row>
    <row r="1084" spans="3:6" ht="12.75" customHeight="1" x14ac:dyDescent="0.25">
      <c r="C1084" s="184"/>
      <c r="D1084" s="184"/>
      <c r="E1084" s="184"/>
      <c r="F1084" s="184"/>
    </row>
    <row r="1085" spans="3:6" ht="12.75" customHeight="1" x14ac:dyDescent="0.25">
      <c r="C1085" s="184"/>
      <c r="D1085" s="184"/>
      <c r="E1085" s="184"/>
      <c r="F1085" s="184"/>
    </row>
    <row r="1086" spans="3:6" ht="12.75" customHeight="1" x14ac:dyDescent="0.25">
      <c r="C1086" s="184"/>
      <c r="D1086" s="184"/>
      <c r="E1086" s="184"/>
      <c r="F1086" s="184"/>
    </row>
    <row r="1087" spans="3:6" ht="12.75" customHeight="1" x14ac:dyDescent="0.25">
      <c r="C1087" s="184"/>
      <c r="D1087" s="184"/>
      <c r="E1087" s="184"/>
      <c r="F1087" s="184"/>
    </row>
    <row r="1088" spans="3:6" ht="12.75" customHeight="1" x14ac:dyDescent="0.25">
      <c r="C1088" s="184"/>
      <c r="D1088" s="184"/>
      <c r="E1088" s="184"/>
      <c r="F1088" s="184"/>
    </row>
    <row r="1089" spans="3:6" ht="12.75" customHeight="1" x14ac:dyDescent="0.25">
      <c r="C1089" s="184"/>
      <c r="D1089" s="184"/>
      <c r="E1089" s="184"/>
      <c r="F1089" s="184"/>
    </row>
    <row r="1090" spans="3:6" ht="12.75" customHeight="1" x14ac:dyDescent="0.25">
      <c r="C1090" s="184"/>
      <c r="D1090" s="184"/>
      <c r="E1090" s="184"/>
      <c r="F1090" s="184"/>
    </row>
    <row r="1091" spans="3:6" ht="12.75" customHeight="1" x14ac:dyDescent="0.25">
      <c r="C1091" s="184"/>
      <c r="D1091" s="184"/>
      <c r="E1091" s="184"/>
      <c r="F1091" s="184"/>
    </row>
    <row r="1092" spans="3:6" ht="12.75" customHeight="1" x14ac:dyDescent="0.25">
      <c r="C1092" s="184"/>
      <c r="D1092" s="184"/>
      <c r="E1092" s="184"/>
      <c r="F1092" s="184"/>
    </row>
    <row r="1093" spans="3:6" ht="12.75" customHeight="1" x14ac:dyDescent="0.25">
      <c r="C1093" s="184"/>
      <c r="D1093" s="184"/>
      <c r="E1093" s="184"/>
      <c r="F1093" s="184"/>
    </row>
    <row r="1094" spans="3:6" ht="12.75" customHeight="1" x14ac:dyDescent="0.25">
      <c r="C1094" s="184"/>
      <c r="D1094" s="184"/>
      <c r="E1094" s="184"/>
      <c r="F1094" s="184"/>
    </row>
    <row r="1095" spans="3:6" ht="12.75" customHeight="1" x14ac:dyDescent="0.25">
      <c r="C1095" s="184"/>
      <c r="D1095" s="184"/>
      <c r="E1095" s="184"/>
      <c r="F1095" s="184"/>
    </row>
    <row r="1096" spans="3:6" ht="12.75" customHeight="1" x14ac:dyDescent="0.25">
      <c r="C1096" s="184"/>
      <c r="D1096" s="184"/>
      <c r="E1096" s="184"/>
      <c r="F1096" s="184"/>
    </row>
    <row r="1097" spans="3:6" ht="12.75" customHeight="1" x14ac:dyDescent="0.25">
      <c r="C1097" s="184"/>
      <c r="D1097" s="184"/>
      <c r="E1097" s="184"/>
      <c r="F1097" s="184"/>
    </row>
    <row r="1098" spans="3:6" ht="12.75" customHeight="1" x14ac:dyDescent="0.25">
      <c r="C1098" s="184"/>
      <c r="D1098" s="184"/>
      <c r="E1098" s="184"/>
      <c r="F1098" s="184"/>
    </row>
    <row r="1099" spans="3:6" ht="12.75" customHeight="1" x14ac:dyDescent="0.25">
      <c r="C1099" s="184"/>
      <c r="D1099" s="184"/>
      <c r="E1099" s="184"/>
      <c r="F1099" s="184"/>
    </row>
    <row r="1100" spans="3:6" ht="12.75" customHeight="1" x14ac:dyDescent="0.25">
      <c r="C1100" s="184"/>
      <c r="D1100" s="184"/>
      <c r="E1100" s="184"/>
      <c r="F1100" s="184"/>
    </row>
    <row r="1101" spans="3:6" ht="12.75" customHeight="1" x14ac:dyDescent="0.25">
      <c r="C1101" s="184"/>
      <c r="D1101" s="184"/>
      <c r="E1101" s="184"/>
      <c r="F1101" s="184"/>
    </row>
    <row r="1102" spans="3:6" ht="12.75" customHeight="1" x14ac:dyDescent="0.25">
      <c r="C1102" s="184"/>
      <c r="D1102" s="184"/>
      <c r="E1102" s="184"/>
      <c r="F1102" s="184"/>
    </row>
    <row r="1103" spans="3:6" ht="12.75" customHeight="1" x14ac:dyDescent="0.25">
      <c r="C1103" s="184"/>
      <c r="D1103" s="184"/>
      <c r="E1103" s="184"/>
      <c r="F1103" s="184"/>
    </row>
    <row r="1104" spans="3:6" ht="12.75" customHeight="1" x14ac:dyDescent="0.25">
      <c r="C1104" s="184"/>
      <c r="D1104" s="184"/>
      <c r="E1104" s="184"/>
      <c r="F1104" s="184"/>
    </row>
    <row r="1105" spans="3:6" ht="12.75" customHeight="1" x14ac:dyDescent="0.25">
      <c r="C1105" s="184"/>
      <c r="D1105" s="184"/>
      <c r="E1105" s="184"/>
      <c r="F1105" s="184"/>
    </row>
    <row r="1106" spans="3:6" ht="12.75" customHeight="1" x14ac:dyDescent="0.25">
      <c r="C1106" s="184"/>
      <c r="D1106" s="184"/>
      <c r="E1106" s="184"/>
      <c r="F1106" s="184"/>
    </row>
    <row r="1107" spans="3:6" ht="12.75" customHeight="1" x14ac:dyDescent="0.25">
      <c r="C1107" s="184"/>
      <c r="D1107" s="184"/>
      <c r="E1107" s="184"/>
      <c r="F1107" s="184"/>
    </row>
    <row r="1108" spans="3:6" ht="12.75" customHeight="1" x14ac:dyDescent="0.25">
      <c r="C1108" s="184"/>
      <c r="D1108" s="184"/>
      <c r="E1108" s="184"/>
      <c r="F1108" s="184"/>
    </row>
    <row r="1109" spans="3:6" ht="12.75" customHeight="1" x14ac:dyDescent="0.25">
      <c r="C1109" s="184"/>
      <c r="D1109" s="184"/>
      <c r="E1109" s="184"/>
      <c r="F1109" s="184"/>
    </row>
    <row r="1110" spans="3:6" ht="12.75" customHeight="1" x14ac:dyDescent="0.25">
      <c r="C1110" s="184"/>
      <c r="D1110" s="184"/>
      <c r="E1110" s="184"/>
      <c r="F1110" s="184"/>
    </row>
    <row r="1111" spans="3:6" ht="12.75" customHeight="1" x14ac:dyDescent="0.25">
      <c r="C1111" s="184"/>
      <c r="D1111" s="184"/>
      <c r="E1111" s="184"/>
      <c r="F1111" s="184"/>
    </row>
    <row r="1112" spans="3:6" ht="12.75" customHeight="1" x14ac:dyDescent="0.25">
      <c r="C1112" s="184"/>
      <c r="D1112" s="184"/>
      <c r="E1112" s="184"/>
      <c r="F1112" s="184"/>
    </row>
    <row r="1113" spans="3:6" ht="12.75" customHeight="1" x14ac:dyDescent="0.25">
      <c r="C1113" s="184"/>
      <c r="D1113" s="184"/>
      <c r="E1113" s="184"/>
      <c r="F1113" s="184"/>
    </row>
    <row r="1114" spans="3:6" ht="12.75" customHeight="1" x14ac:dyDescent="0.25">
      <c r="C1114" s="184"/>
      <c r="D1114" s="184"/>
      <c r="E1114" s="184"/>
      <c r="F1114" s="184"/>
    </row>
    <row r="1115" spans="3:6" ht="12.75" customHeight="1" x14ac:dyDescent="0.25">
      <c r="C1115" s="184"/>
      <c r="D1115" s="184"/>
      <c r="E1115" s="184"/>
      <c r="F1115" s="184"/>
    </row>
    <row r="1116" spans="3:6" ht="12.75" customHeight="1" x14ac:dyDescent="0.25">
      <c r="C1116" s="184"/>
      <c r="D1116" s="184"/>
      <c r="E1116" s="184"/>
      <c r="F1116" s="184"/>
    </row>
    <row r="1117" spans="3:6" ht="12.75" customHeight="1" x14ac:dyDescent="0.25">
      <c r="C1117" s="184"/>
      <c r="D1117" s="184"/>
      <c r="E1117" s="184"/>
      <c r="F1117" s="184"/>
    </row>
  </sheetData>
  <dataValidations count="1">
    <dataValidation type="list" allowBlank="1" showInputMessage="1" showErrorMessage="1" sqref="C8:C10 C12:C14 C16:C17 C19" xr:uid="{00000000-0002-0000-0200-000000000000}">
      <formula1>" ,Ja, Nein"</formula1>
    </dataValidation>
  </dataValidations>
  <pageMargins left="0.70866141732283472" right="0.70866141732283472" top="0.78740157480314965" bottom="0.78740157480314965" header="0.31496062992125984" footer="0.31496062992125984"/>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1">
    <tabColor rgb="FFD4ECF9"/>
    <pageSetUpPr fitToPage="1"/>
  </sheetPr>
  <dimension ref="A1:P38"/>
  <sheetViews>
    <sheetView showGridLines="0" zoomScale="90" zoomScaleNormal="90" workbookViewId="0"/>
  </sheetViews>
  <sheetFormatPr baseColWidth="10" defaultColWidth="8.5703125" defaultRowHeight="12.75" customHeight="1" x14ac:dyDescent="0.25"/>
  <cols>
    <col min="1" max="1" width="5.5703125" style="206" customWidth="1"/>
    <col min="2" max="2" width="56.42578125" style="206" customWidth="1"/>
    <col min="3" max="3" width="58.42578125" style="206" customWidth="1"/>
    <col min="4" max="4" width="18.5703125" style="206" customWidth="1"/>
    <col min="5" max="5" width="45.5703125" style="206" customWidth="1"/>
    <col min="6" max="6" width="17.5703125" style="206" customWidth="1"/>
    <col min="7" max="7" width="49" style="206" customWidth="1"/>
    <col min="8" max="8" width="38.42578125" style="206" customWidth="1"/>
    <col min="9" max="16384" width="8.5703125" style="206"/>
  </cols>
  <sheetData>
    <row r="1" spans="1:16" ht="20.100000000000001" customHeight="1" x14ac:dyDescent="0.25">
      <c r="A1" s="21">
        <v>4</v>
      </c>
      <c r="B1" s="680" t="str">
        <f>VLOOKUP("T.04.01",Translation,LanguageNo+1,FALSE)</f>
        <v>Verwendetes Modell</v>
      </c>
      <c r="C1" s="204"/>
      <c r="D1" s="204"/>
      <c r="E1" s="204"/>
      <c r="F1" s="204"/>
      <c r="G1" s="204"/>
      <c r="H1" s="204"/>
      <c r="I1" s="204"/>
      <c r="J1" s="204"/>
      <c r="K1" s="204"/>
      <c r="L1" s="204"/>
      <c r="M1" s="205"/>
      <c r="N1" s="204"/>
      <c r="O1" s="204"/>
    </row>
    <row r="2" spans="1:16" ht="14.25" customHeight="1" x14ac:dyDescent="0.25"/>
    <row r="3" spans="1:16" ht="14.25" customHeight="1" x14ac:dyDescent="0.25"/>
    <row r="4" spans="1:16" ht="14.25" customHeight="1" x14ac:dyDescent="0.25">
      <c r="B4" s="207"/>
      <c r="H4" s="208"/>
      <c r="I4" s="208"/>
      <c r="J4" s="208"/>
      <c r="K4" s="208"/>
      <c r="L4" s="208"/>
      <c r="M4" s="208"/>
      <c r="N4" s="208"/>
      <c r="O4" s="208"/>
      <c r="P4" s="209"/>
    </row>
    <row r="5" spans="1:16" ht="60.75" customHeight="1" x14ac:dyDescent="0.25">
      <c r="B5" s="210" t="str">
        <f>VLOOKUP("T.04.02",Translation,LanguageNo+1,FALSE)</f>
        <v>Name des Moduls / Submoduls</v>
      </c>
      <c r="C5" s="210" t="str">
        <f>VLOOKUP("T.04.04",Translation,LanguageNo+1,FALSE)</f>
        <v xml:space="preserve">Bezeichnung der verwendeten Modelldokumentation </v>
      </c>
      <c r="D5" s="210" t="str">
        <f>VLOOKUP("T.04.06",Translation,LanguageNo+1,FALSE)</f>
        <v>Referenz letzter FINMA-Entscheid</v>
      </c>
      <c r="E5" s="210" t="str">
        <f>VLOOKUP("T.04.08",Translation,LanguageNo+1,FALSE)</f>
        <v>Bezeichnung der Modelldokumentation worauf der letzte FINMA-Entscheid beruht.</v>
      </c>
      <c r="F5" s="210" t="str">
        <f>VLOOKUP("T.04.10",Translation,LanguageNo+1,FALSE)</f>
        <v>Abweichungen vom letzten FINMA-Entscheid</v>
      </c>
      <c r="G5" s="210" t="str">
        <f>VLOOKUP("T.04.12",Translation,LanguageNo+1,FALSE)</f>
        <v>Kurzbeschreibung  der Modelländerung(-en) und weitere Kommentare</v>
      </c>
      <c r="H5" s="210" t="str">
        <f>VLOOKUP("T.04.14",Translation,LanguageNo+1,FALSE)</f>
        <v xml:space="preserve">Referenz zur verwendeten Modelldokumentation </v>
      </c>
      <c r="I5" s="211"/>
      <c r="J5" s="211"/>
      <c r="K5" s="211"/>
      <c r="L5" s="211"/>
      <c r="M5" s="211"/>
      <c r="N5" s="211"/>
      <c r="O5" s="211"/>
    </row>
    <row r="6" spans="1:16" s="212" customFormat="1" ht="178.5" x14ac:dyDescent="0.2">
      <c r="B6" s="1006" t="str">
        <f>VLOOKUP("T.04.03",Translation,LanguageNo+1,FALSE)</f>
        <v>Die Liste der Module umfasst das ganze SST-Modell des Versicherungsunternehmens, inkl. Module aus Standardmodellen. Bei Verwendung eines (teilweise) internen Modells sind die Bezeichnungen aus dem Standardmodell gemäss der Benennung des Versicherungsunternehmens in der Modelldokumentation anzupassen. Es können auch Zeilen hinzugefügt oder gelöscht werden. 
Beispiele für Module: Bewertung, Marktrisiko, Kreditrisiko, Versicherungstechnisches Risiko (Leben, Schaden, Nat-Cat, Kranken), Mindestbetrag, Aggregation, Szenarien.</v>
      </c>
      <c r="C6" s="1006" t="str">
        <f>VLOOKUP("T.04.05",Translation,LanguageNo+1,FALSE)</f>
        <v xml:space="preserve">Hier sind eindeutige Bezeichnungen für die Modelldokumentation zu verwenden, inkl. Datum und/oder Versionsnummer. Je nach Struktur der Modelldokumentation genügt ein Verweis auf ein Hauptdokument, aus welchem auf weitere Detaildokumente verwiesen wird. Falls mehrere Einzeldokumente aufgeführt werden, ist pro Einzeldokument eine neue Zeile zu verwenden. 
Bei FINMA-Standardmodellen ist das massgebende Dokument der FINMA (technische Beschreibung) anzugeben. Allfällige weitere unternehmesindividuelle Dokumente sind ebenfalls aufzuführen. </v>
      </c>
      <c r="D6" s="1006" t="str">
        <f>VLOOKUP("T.04.07",Translation,LanguageNo+1,FALSE)</f>
        <v>Art (bei internen Modellen in der Regel eine Verfügung, bei Standardmodellen ein Brief) und Datum.</v>
      </c>
      <c r="E6" s="1006" t="str">
        <f>VLOOKUP("T.04.09",Translation,LanguageNo+1,FALSE)</f>
        <v>Auszufüllen, falls abweichend von den Angaben in Spalte C ("Bezeichnung der verwendeten Modelldokumentation").</v>
      </c>
      <c r="F6" s="1006" t="str">
        <f>VLOOKUP("T.04.11",Translation,LanguageNo+1,FALSE)</f>
        <v>Ja/Nein</v>
      </c>
      <c r="G6" s="1006" t="str">
        <f>VLOOKUP("T.04.13",Translation,LanguageNo+1,FALSE)</f>
        <v xml:space="preserve">Im SST-Bericht sind wie bisher Änderungen der Risikosituation sowie Modelländerungen aufzuführen und zu erläutern. 
Die Angaben in Spalte G und H sollen einen raschen Überblick über Modelländerungen ermöglichen, zusammen mit Verweisen auf die relevanten Stellen in der Modelldokumentation. Die Modelländerungen sind hierbei kumulativ, bezogen auf den letzten FINMA-Entscheid aufzuführen. Pro Modelländerung ist eine separate Zeile zu verwenden. </v>
      </c>
      <c r="H6" s="1006" t="str">
        <f>VLOOKUP("T.04.15",Translation,LanguageNo+1,FALSE)</f>
        <v xml:space="preserve">Angabe der Kapitel- oder Seitennummer aus dem in Spalte C angegebenen Dokument, wo die Modelländerung beschrieben wird.
Alternativ kann auch auf ein Detaildokument verwiesen werden. </v>
      </c>
      <c r="I6" s="213"/>
      <c r="J6" s="213"/>
      <c r="K6" s="213"/>
      <c r="L6" s="213"/>
      <c r="M6" s="213"/>
      <c r="N6" s="213"/>
      <c r="O6" s="213"/>
    </row>
    <row r="7" spans="1:16" ht="14.25" customHeight="1" x14ac:dyDescent="0.25">
      <c r="B7" s="1004" t="str">
        <f>VLOOKUP("T.04.02",Translation,LanguageNo+1,FALSE)</f>
        <v>Name des Moduls / Submoduls</v>
      </c>
      <c r="C7" s="1005"/>
      <c r="D7" s="1005"/>
      <c r="E7" s="1005"/>
      <c r="F7" s="1005"/>
      <c r="G7" s="1005"/>
      <c r="H7" s="1005"/>
      <c r="I7" s="211"/>
      <c r="J7" s="211"/>
      <c r="K7" s="211"/>
      <c r="L7" s="211"/>
      <c r="M7" s="211"/>
      <c r="N7" s="211"/>
      <c r="O7" s="211"/>
    </row>
    <row r="8" spans="1:16" ht="14.25" customHeight="1" x14ac:dyDescent="0.25">
      <c r="B8" s="662" t="str">
        <f>VLOOKUP("T.04.16",Translation,LanguageNo+1,FALSE)</f>
        <v>Bewertung (z.B. Zinskurve)</v>
      </c>
      <c r="C8" s="663"/>
      <c r="D8" s="663"/>
      <c r="E8" s="663"/>
      <c r="F8" s="663"/>
      <c r="G8" s="663"/>
      <c r="H8" s="663"/>
      <c r="I8" s="211"/>
      <c r="J8" s="211"/>
      <c r="K8" s="211"/>
      <c r="L8" s="211"/>
      <c r="M8" s="211"/>
      <c r="N8" s="211"/>
      <c r="O8" s="211"/>
    </row>
    <row r="9" spans="1:16" ht="14.25" customHeight="1" x14ac:dyDescent="0.25">
      <c r="B9" s="662" t="str">
        <f>VLOOKUP("T.04.17",Translation,LanguageNo+1,FALSE)</f>
        <v>Marktrisiko</v>
      </c>
      <c r="C9" s="663"/>
      <c r="D9" s="663"/>
      <c r="E9" s="663"/>
      <c r="F9" s="663"/>
      <c r="G9" s="663"/>
      <c r="H9" s="663"/>
      <c r="I9" s="211"/>
      <c r="J9" s="211"/>
      <c r="K9" s="211"/>
      <c r="L9" s="211"/>
      <c r="M9" s="211"/>
      <c r="N9" s="211"/>
      <c r="O9" s="211"/>
    </row>
    <row r="10" spans="1:16" ht="14.25" customHeight="1" x14ac:dyDescent="0.25">
      <c r="B10" s="662" t="str">
        <f>VLOOKUP("T.04.18",Translation,LanguageNo+1,FALSE)</f>
        <v>Kreditrisiko</v>
      </c>
      <c r="C10" s="663"/>
      <c r="D10" s="663"/>
      <c r="E10" s="663"/>
      <c r="F10" s="663"/>
      <c r="G10" s="663"/>
      <c r="H10" s="663"/>
      <c r="I10" s="211"/>
      <c r="J10" s="211"/>
      <c r="K10" s="211"/>
      <c r="L10" s="211"/>
      <c r="M10" s="211"/>
      <c r="N10" s="211"/>
      <c r="O10" s="211"/>
    </row>
    <row r="11" spans="1:16" ht="14.25" customHeight="1" x14ac:dyDescent="0.25">
      <c r="B11" s="662" t="str">
        <f>VLOOKUP("T.04.19",Translation,LanguageNo+1,FALSE)</f>
        <v>Versicherungsrisiko - Leben</v>
      </c>
      <c r="C11" s="663"/>
      <c r="D11" s="663"/>
      <c r="E11" s="663"/>
      <c r="F11" s="663"/>
      <c r="G11" s="663"/>
      <c r="H11" s="663"/>
      <c r="I11" s="211"/>
      <c r="J11" s="211"/>
      <c r="K11" s="211"/>
      <c r="L11" s="211"/>
      <c r="M11" s="211"/>
      <c r="N11" s="211"/>
      <c r="O11" s="211"/>
    </row>
    <row r="12" spans="1:16" ht="14.25" customHeight="1" x14ac:dyDescent="0.25">
      <c r="B12" s="662" t="str">
        <f>VLOOKUP("T.04.20",Translation,LanguageNo+1,FALSE)</f>
        <v>Versicherungsrisiko - Schaden</v>
      </c>
      <c r="C12" s="663"/>
      <c r="D12" s="663"/>
      <c r="E12" s="663"/>
      <c r="F12" s="663"/>
      <c r="G12" s="663"/>
      <c r="H12" s="663"/>
      <c r="I12" s="211"/>
      <c r="J12" s="211"/>
      <c r="K12" s="211"/>
      <c r="L12" s="211"/>
      <c r="M12" s="211"/>
      <c r="N12" s="211"/>
      <c r="O12" s="211"/>
    </row>
    <row r="13" spans="1:16" ht="14.25" customHeight="1" x14ac:dyDescent="0.25">
      <c r="B13" s="662" t="str">
        <f>VLOOKUP("T.04.21",Translation,LanguageNo+1,FALSE)</f>
        <v>Versicherungsrisiko - Kranken</v>
      </c>
      <c r="C13" s="663"/>
      <c r="D13" s="663"/>
      <c r="E13" s="663"/>
      <c r="F13" s="663"/>
      <c r="G13" s="663"/>
      <c r="H13" s="663"/>
      <c r="I13" s="211"/>
      <c r="J13" s="211"/>
      <c r="K13" s="211"/>
      <c r="L13" s="211"/>
      <c r="M13" s="211"/>
      <c r="N13" s="211"/>
      <c r="O13" s="211"/>
    </row>
    <row r="14" spans="1:16" ht="14.25" customHeight="1" x14ac:dyDescent="0.25">
      <c r="B14" s="662" t="str">
        <f>VLOOKUP("T.04.22",Translation,LanguageNo+1,FALSE)</f>
        <v>Versicherungsrisiko - Rückversicherung</v>
      </c>
      <c r="C14" s="663"/>
      <c r="D14" s="663"/>
      <c r="E14" s="663"/>
      <c r="F14" s="663"/>
      <c r="G14" s="663"/>
      <c r="H14" s="663"/>
      <c r="I14" s="211"/>
      <c r="J14" s="211"/>
      <c r="K14" s="211"/>
      <c r="L14" s="211"/>
      <c r="M14" s="211"/>
      <c r="N14" s="211"/>
      <c r="O14" s="211"/>
    </row>
    <row r="15" spans="1:16" ht="14.25" customHeight="1" x14ac:dyDescent="0.25">
      <c r="B15" s="662" t="str">
        <f>VLOOKUP("T.04.23",Translation,LanguageNo+1,FALSE)</f>
        <v>Versicherungsrisiko - Rückversicherungscaptives</v>
      </c>
      <c r="C15" s="663"/>
      <c r="D15" s="663"/>
      <c r="E15" s="663"/>
      <c r="F15" s="663"/>
      <c r="G15" s="663"/>
      <c r="H15" s="663"/>
      <c r="I15" s="211"/>
      <c r="J15" s="211"/>
      <c r="K15" s="211"/>
      <c r="L15" s="211"/>
      <c r="M15" s="211"/>
      <c r="N15" s="211"/>
      <c r="O15" s="211"/>
    </row>
    <row r="16" spans="1:16" ht="14.25" customHeight="1" x14ac:dyDescent="0.25">
      <c r="B16" s="662" t="str">
        <f>VLOOKUP("T.04.24",Translation,LanguageNo+1,FALSE)</f>
        <v>Versicherungsrisiko - Naturkatastrophenrisiken</v>
      </c>
      <c r="C16" s="663"/>
      <c r="D16" s="663"/>
      <c r="E16" s="663"/>
      <c r="F16" s="663"/>
      <c r="G16" s="663"/>
      <c r="H16" s="663"/>
      <c r="I16" s="211"/>
      <c r="J16" s="211"/>
      <c r="K16" s="211"/>
      <c r="L16" s="211"/>
      <c r="M16" s="211"/>
      <c r="N16" s="211"/>
      <c r="O16" s="211"/>
    </row>
    <row r="17" spans="2:15" ht="14.25" customHeight="1" x14ac:dyDescent="0.25">
      <c r="B17" s="662" t="str">
        <f>VLOOKUP("T.04.25",Translation,LanguageNo+1,FALSE)</f>
        <v>Mindestbetrag</v>
      </c>
      <c r="C17" s="663"/>
      <c r="D17" s="663"/>
      <c r="E17" s="663"/>
      <c r="F17" s="663"/>
      <c r="G17" s="663"/>
      <c r="H17" s="663"/>
      <c r="I17" s="211"/>
      <c r="J17" s="211"/>
      <c r="K17" s="211"/>
      <c r="L17" s="211"/>
      <c r="M17" s="211"/>
      <c r="N17" s="211"/>
      <c r="O17" s="211"/>
    </row>
    <row r="18" spans="2:15" ht="14.25" customHeight="1" x14ac:dyDescent="0.25">
      <c r="B18" s="662" t="str">
        <f>VLOOKUP("T.04.26",Translation,LanguageNo+1,FALSE)</f>
        <v>Aggregation</v>
      </c>
      <c r="C18" s="663"/>
      <c r="D18" s="663"/>
      <c r="E18" s="663"/>
      <c r="F18" s="663"/>
      <c r="G18" s="663"/>
      <c r="H18" s="663"/>
      <c r="I18" s="211"/>
      <c r="J18" s="211"/>
      <c r="K18" s="211"/>
      <c r="L18" s="211"/>
      <c r="M18" s="211"/>
      <c r="N18" s="211"/>
      <c r="O18" s="211"/>
    </row>
    <row r="19" spans="2:15" ht="14.25" customHeight="1" x14ac:dyDescent="0.25">
      <c r="B19" s="662" t="str">
        <f>VLOOKUP("T.04.27",Translation,LanguageNo+1,FALSE)</f>
        <v>Szenarien</v>
      </c>
      <c r="C19" s="663"/>
      <c r="D19" s="663"/>
      <c r="E19" s="663"/>
      <c r="F19" s="663"/>
      <c r="G19" s="663"/>
      <c r="H19" s="663"/>
      <c r="I19" s="211"/>
      <c r="J19" s="211"/>
      <c r="K19" s="211"/>
      <c r="L19" s="211"/>
      <c r="M19" s="211"/>
      <c r="N19" s="211"/>
      <c r="O19" s="211"/>
    </row>
    <row r="20" spans="2:15" ht="14.25" customHeight="1" x14ac:dyDescent="0.25">
      <c r="B20" s="662" t="str">
        <f>VLOOKUP("T.04.28",Translation,LanguageNo+1,FALSE)</f>
        <v>Gruppenmodellierung</v>
      </c>
      <c r="C20" s="663"/>
      <c r="D20" s="663"/>
      <c r="E20" s="663"/>
      <c r="F20" s="663"/>
      <c r="G20" s="663"/>
      <c r="H20" s="663"/>
      <c r="I20" s="211"/>
      <c r="J20" s="211"/>
      <c r="K20" s="211"/>
      <c r="L20" s="211"/>
      <c r="M20" s="211"/>
      <c r="N20" s="211"/>
      <c r="O20" s="211"/>
    </row>
    <row r="21" spans="2:15" ht="14.25" customHeight="1" x14ac:dyDescent="0.25">
      <c r="B21" s="662" t="str">
        <f>VLOOKUP("T.04.29",Translation,LanguageNo+1,FALSE)</f>
        <v>Konzerninterne Garantien</v>
      </c>
      <c r="C21" s="663"/>
      <c r="D21" s="663"/>
      <c r="E21" s="663"/>
      <c r="F21" s="663"/>
      <c r="G21" s="663"/>
      <c r="H21" s="663"/>
      <c r="I21" s="211"/>
      <c r="J21" s="211"/>
      <c r="K21" s="211"/>
      <c r="L21" s="211"/>
      <c r="M21" s="211"/>
      <c r="N21" s="211"/>
      <c r="O21" s="211"/>
    </row>
    <row r="22" spans="2:15" ht="14.25" customHeight="1" x14ac:dyDescent="0.25">
      <c r="B22" s="663"/>
      <c r="C22" s="663"/>
      <c r="D22" s="663"/>
      <c r="E22" s="663"/>
      <c r="F22" s="663"/>
      <c r="G22" s="663"/>
      <c r="H22" s="663"/>
      <c r="I22" s="211"/>
      <c r="J22" s="211"/>
      <c r="K22" s="211"/>
      <c r="L22" s="211"/>
      <c r="M22" s="211"/>
      <c r="N22" s="211"/>
      <c r="O22" s="211"/>
    </row>
    <row r="23" spans="2:15" ht="14.25" customHeight="1" x14ac:dyDescent="0.25">
      <c r="B23" s="663"/>
      <c r="C23" s="663"/>
      <c r="D23" s="663"/>
      <c r="E23" s="663"/>
      <c r="F23" s="663"/>
      <c r="G23" s="663"/>
      <c r="H23" s="663"/>
      <c r="I23" s="211"/>
      <c r="J23" s="211"/>
      <c r="K23" s="211"/>
      <c r="L23" s="211"/>
      <c r="M23" s="211"/>
      <c r="N23" s="211"/>
      <c r="O23" s="211"/>
    </row>
    <row r="24" spans="2:15" ht="14.25" customHeight="1" x14ac:dyDescent="0.25">
      <c r="B24" s="663"/>
      <c r="C24" s="663"/>
      <c r="D24" s="663"/>
      <c r="E24" s="663"/>
      <c r="F24" s="663"/>
      <c r="G24" s="663"/>
      <c r="H24" s="663"/>
      <c r="I24" s="211"/>
      <c r="J24" s="211"/>
      <c r="K24" s="211"/>
      <c r="L24" s="211"/>
      <c r="M24" s="211"/>
      <c r="N24" s="211"/>
      <c r="O24" s="211"/>
    </row>
    <row r="25" spans="2:15" ht="14.25" customHeight="1" x14ac:dyDescent="0.25">
      <c r="B25" s="663"/>
      <c r="C25" s="663"/>
      <c r="D25" s="663"/>
      <c r="E25" s="663"/>
      <c r="F25" s="663"/>
      <c r="G25" s="663"/>
      <c r="H25" s="663"/>
      <c r="I25" s="211"/>
      <c r="J25" s="211"/>
      <c r="K25" s="211"/>
      <c r="L25" s="211"/>
      <c r="M25" s="211"/>
      <c r="N25" s="211"/>
      <c r="O25" s="211"/>
    </row>
    <row r="26" spans="2:15" ht="14.25" customHeight="1" x14ac:dyDescent="0.25">
      <c r="B26" s="663"/>
      <c r="C26" s="663"/>
      <c r="D26" s="663"/>
      <c r="E26" s="663"/>
      <c r="F26" s="663"/>
      <c r="G26" s="663"/>
      <c r="H26" s="663"/>
      <c r="I26" s="211"/>
      <c r="J26" s="211"/>
      <c r="K26" s="211"/>
      <c r="L26" s="211"/>
      <c r="M26" s="211"/>
      <c r="N26" s="211"/>
      <c r="O26" s="211"/>
    </row>
    <row r="27" spans="2:15" ht="14.25" customHeight="1" x14ac:dyDescent="0.25">
      <c r="B27" s="663"/>
      <c r="C27" s="663"/>
      <c r="D27" s="663"/>
      <c r="E27" s="663"/>
      <c r="F27" s="663"/>
      <c r="G27" s="663"/>
      <c r="H27" s="663"/>
      <c r="I27" s="211"/>
      <c r="J27" s="211"/>
      <c r="K27" s="211"/>
      <c r="L27" s="211"/>
      <c r="M27" s="211"/>
      <c r="N27" s="211"/>
      <c r="O27" s="211"/>
    </row>
    <row r="28" spans="2:15" ht="14.25" customHeight="1" x14ac:dyDescent="0.25">
      <c r="B28" s="663"/>
      <c r="C28" s="663"/>
      <c r="D28" s="663"/>
      <c r="E28" s="663"/>
      <c r="F28" s="663"/>
      <c r="G28" s="663"/>
      <c r="H28" s="663"/>
      <c r="I28" s="211"/>
      <c r="J28" s="211"/>
      <c r="K28" s="211"/>
      <c r="L28" s="211"/>
      <c r="M28" s="211"/>
      <c r="N28" s="211"/>
      <c r="O28" s="211"/>
    </row>
    <row r="29" spans="2:15" ht="14.25" customHeight="1" x14ac:dyDescent="0.25">
      <c r="B29" s="663"/>
      <c r="C29" s="663"/>
      <c r="D29" s="663"/>
      <c r="E29" s="663"/>
      <c r="F29" s="663"/>
      <c r="G29" s="663"/>
      <c r="H29" s="663"/>
      <c r="I29" s="211"/>
      <c r="J29" s="211"/>
      <c r="K29" s="211"/>
      <c r="L29" s="211"/>
      <c r="M29" s="211"/>
      <c r="N29" s="211"/>
      <c r="O29" s="211"/>
    </row>
    <row r="30" spans="2:15" ht="14.25" customHeight="1" x14ac:dyDescent="0.25">
      <c r="B30" s="663"/>
      <c r="C30" s="663"/>
      <c r="D30" s="663"/>
      <c r="E30" s="663"/>
      <c r="F30" s="663"/>
      <c r="G30" s="663"/>
      <c r="H30" s="663"/>
      <c r="I30" s="211"/>
      <c r="J30" s="211"/>
      <c r="K30" s="211"/>
      <c r="L30" s="211"/>
      <c r="M30" s="211"/>
      <c r="N30" s="211"/>
      <c r="O30" s="211"/>
    </row>
    <row r="31" spans="2:15" ht="14.25" customHeight="1" x14ac:dyDescent="0.25">
      <c r="B31" s="663"/>
      <c r="C31" s="663"/>
      <c r="D31" s="663"/>
      <c r="E31" s="663"/>
      <c r="F31" s="663"/>
      <c r="G31" s="663"/>
      <c r="H31" s="663"/>
      <c r="I31" s="211"/>
      <c r="J31" s="211"/>
      <c r="K31" s="211"/>
      <c r="L31" s="211"/>
      <c r="M31" s="211"/>
      <c r="N31" s="211"/>
      <c r="O31" s="211"/>
    </row>
    <row r="32" spans="2:15" ht="14.25" customHeight="1" x14ac:dyDescent="0.25">
      <c r="B32" s="664"/>
      <c r="C32" s="664"/>
      <c r="D32" s="664"/>
      <c r="E32" s="664"/>
      <c r="F32" s="664"/>
      <c r="G32" s="664"/>
      <c r="H32" s="664"/>
      <c r="I32" s="211"/>
      <c r="J32" s="211"/>
      <c r="K32" s="211"/>
      <c r="L32" s="211"/>
      <c r="M32" s="211"/>
      <c r="N32" s="211"/>
      <c r="O32" s="211"/>
    </row>
    <row r="33" spans="2:15" ht="12.75" customHeight="1" x14ac:dyDescent="0.25">
      <c r="B33" s="211"/>
      <c r="C33" s="211"/>
      <c r="D33" s="211"/>
      <c r="E33" s="211"/>
      <c r="F33" s="211"/>
      <c r="G33" s="211"/>
      <c r="H33" s="211"/>
      <c r="I33" s="211"/>
      <c r="J33" s="211"/>
      <c r="K33" s="211"/>
      <c r="L33" s="211"/>
      <c r="M33" s="211"/>
      <c r="N33" s="211"/>
      <c r="O33" s="211"/>
    </row>
    <row r="34" spans="2:15" ht="12.75" customHeight="1" x14ac:dyDescent="0.25">
      <c r="B34" s="1268"/>
      <c r="C34" s="1268"/>
      <c r="D34" s="1268"/>
      <c r="E34" s="211"/>
      <c r="F34" s="211"/>
      <c r="G34" s="211"/>
      <c r="H34" s="211"/>
      <c r="I34" s="211"/>
      <c r="J34" s="211"/>
      <c r="K34" s="211"/>
      <c r="L34" s="211"/>
      <c r="M34" s="211"/>
      <c r="N34" s="211"/>
      <c r="O34" s="211"/>
    </row>
    <row r="35" spans="2:15" ht="12.75" customHeight="1" x14ac:dyDescent="0.25">
      <c r="B35" s="211"/>
      <c r="C35" s="211"/>
      <c r="D35" s="211"/>
      <c r="E35" s="211"/>
      <c r="F35" s="211"/>
      <c r="G35" s="211"/>
      <c r="H35" s="211"/>
      <c r="I35" s="211"/>
      <c r="J35" s="211"/>
      <c r="K35" s="211"/>
      <c r="L35" s="211"/>
      <c r="M35" s="211"/>
      <c r="N35" s="211"/>
      <c r="O35" s="211"/>
    </row>
    <row r="36" spans="2:15" ht="12.75" customHeight="1" x14ac:dyDescent="0.25">
      <c r="B36" s="211"/>
      <c r="C36" s="211"/>
      <c r="D36" s="211"/>
      <c r="E36" s="211"/>
      <c r="F36" s="211"/>
      <c r="G36" s="211"/>
      <c r="H36" s="211"/>
      <c r="I36" s="211"/>
      <c r="J36" s="211"/>
      <c r="K36" s="211"/>
      <c r="L36" s="211"/>
      <c r="M36" s="211"/>
      <c r="N36" s="211"/>
      <c r="O36" s="211"/>
    </row>
    <row r="37" spans="2:15" ht="12.75" customHeight="1" x14ac:dyDescent="0.25">
      <c r="B37" s="211"/>
      <c r="C37" s="211"/>
      <c r="D37" s="211"/>
      <c r="E37" s="211"/>
      <c r="F37" s="211"/>
      <c r="G37" s="211"/>
      <c r="H37" s="211"/>
      <c r="I37" s="211"/>
      <c r="J37" s="211"/>
      <c r="K37" s="211"/>
      <c r="L37" s="211"/>
      <c r="M37" s="211"/>
      <c r="N37" s="211"/>
      <c r="O37" s="211"/>
    </row>
    <row r="38" spans="2:15" ht="12.75" customHeight="1" x14ac:dyDescent="0.25">
      <c r="B38" s="211"/>
      <c r="C38" s="211"/>
      <c r="D38" s="211"/>
      <c r="E38" s="211"/>
      <c r="F38" s="211"/>
      <c r="G38" s="211"/>
      <c r="H38" s="211"/>
      <c r="I38" s="211"/>
      <c r="J38" s="211"/>
      <c r="K38" s="211"/>
      <c r="L38" s="211"/>
      <c r="M38" s="211"/>
      <c r="N38" s="211"/>
      <c r="O38" s="211"/>
    </row>
  </sheetData>
  <mergeCells count="1">
    <mergeCell ref="B34:D34"/>
  </mergeCells>
  <pageMargins left="0.23622047244094491" right="0.23622047244094491" top="0.19685039370078741" bottom="0.15748031496062992" header="0.31496062992125984" footer="0.31496062992125984"/>
  <pageSetup paperSize="9" scale="5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D4ECF9"/>
  </sheetPr>
  <dimension ref="A1:F31"/>
  <sheetViews>
    <sheetView showGridLines="0" zoomScale="90" zoomScaleNormal="90" workbookViewId="0"/>
  </sheetViews>
  <sheetFormatPr baseColWidth="10" defaultColWidth="8.5703125" defaultRowHeight="12.75" customHeight="1" x14ac:dyDescent="0.25"/>
  <cols>
    <col min="1" max="1" width="5.5703125" customWidth="1"/>
    <col min="2" max="2" width="55.5703125" style="172" customWidth="1"/>
    <col min="3" max="3" width="84.5703125" customWidth="1"/>
    <col min="4" max="4" width="16" customWidth="1"/>
    <col min="5" max="5" width="8.5703125" customWidth="1"/>
    <col min="6" max="6" width="29.5703125" customWidth="1"/>
  </cols>
  <sheetData>
    <row r="1" spans="1:6" ht="20.100000000000001" customHeight="1" x14ac:dyDescent="0.25">
      <c r="A1" s="21">
        <v>5</v>
      </c>
      <c r="B1" s="680" t="str">
        <f>VLOOKUP("T.05.01",Translation,LanguageNo+1,FALSE)</f>
        <v>Allgemeine Eingaben</v>
      </c>
      <c r="C1" s="1"/>
    </row>
    <row r="2" spans="1:6" ht="14.25" customHeight="1" x14ac:dyDescent="0.25">
      <c r="A2" s="140"/>
      <c r="B2" s="933"/>
      <c r="C2" s="138"/>
      <c r="D2" s="67"/>
      <c r="E2" s="67"/>
      <c r="F2" s="67"/>
    </row>
    <row r="3" spans="1:6" ht="14.25" customHeight="1" x14ac:dyDescent="0.25">
      <c r="A3" s="140"/>
      <c r="B3" s="933"/>
      <c r="C3" s="138"/>
      <c r="D3" s="67"/>
      <c r="E3" s="67"/>
      <c r="F3" s="67"/>
    </row>
    <row r="4" spans="1:6" ht="14.25" customHeight="1" x14ac:dyDescent="0.25">
      <c r="A4" s="67"/>
      <c r="B4" s="170"/>
      <c r="C4" s="67"/>
      <c r="D4" s="67"/>
      <c r="E4" s="67"/>
      <c r="F4" s="67"/>
    </row>
    <row r="5" spans="1:6" ht="14.25" customHeight="1" x14ac:dyDescent="0.25">
      <c r="A5" s="67"/>
      <c r="B5" s="170"/>
      <c r="C5" s="67"/>
      <c r="D5" s="67"/>
      <c r="E5" s="67"/>
      <c r="F5" s="67"/>
    </row>
    <row r="6" spans="1:6" s="11" customFormat="1" ht="51" customHeight="1" x14ac:dyDescent="0.25">
      <c r="A6" s="128"/>
      <c r="B6" s="939" t="str">
        <f>B1</f>
        <v>Allgemeine Eingaben</v>
      </c>
      <c r="C6" s="940" t="s">
        <v>585</v>
      </c>
      <c r="D6" s="939" t="str">
        <f>VLOOKUP("T.06.05",Translation,LanguageNo+1,FALSE) &amp;Unit</f>
        <v xml:space="preserve">Marktkonformer Wert bzw. Best Estimate  in Mio. </v>
      </c>
      <c r="E6" s="156"/>
      <c r="F6" s="128"/>
    </row>
    <row r="7" spans="1:6" s="11" customFormat="1" ht="27" customHeight="1" x14ac:dyDescent="0.25">
      <c r="A7" s="128"/>
      <c r="B7" s="934" t="str">
        <f>VLOOKUP("T.05.02",Translation,LanguageNo+1,FALSE)</f>
        <v>SST-Währung</v>
      </c>
      <c r="C7" s="92"/>
      <c r="D7" s="912" t="s">
        <v>30</v>
      </c>
      <c r="E7" s="156"/>
      <c r="F7"/>
    </row>
    <row r="8" spans="1:6" s="189" customFormat="1" ht="42.6" customHeight="1" x14ac:dyDescent="0.25">
      <c r="A8" s="128"/>
      <c r="B8" s="935" t="str">
        <f>VLOOKUP("T.05.03",Translation,LanguageNo+1,FALSE)</f>
        <v>Diskontierter Nominalwert der an das risikotragende Kapital (RTK) angerechneten risikoabsorbierenden Kapitalinstrumente (RAK) - mit verbleibender Laufzeit =&lt; 12 Monate</v>
      </c>
      <c r="C8" s="626" t="str">
        <f>VLOOKUP("T.05.21",Translation,LanguageNo+1,FALSE)</f>
        <v>Der abdiskontierte Nominalwert dieser Instrumente ist im Zielkapital als Rückzahlung zu berücksichtigen. In SST-Währung. Alternativ kann auf die Anrechnung dieser RAK im RTK verzichtet werden. In diesem Fall ist Zelle D8 leer zu lassen.</v>
      </c>
      <c r="D8" s="769"/>
      <c r="E8" s="426"/>
      <c r="F8" s="726"/>
    </row>
    <row r="9" spans="1:6" s="189" customFormat="1" ht="42.6" customHeight="1" x14ac:dyDescent="0.25">
      <c r="A9" s="128"/>
      <c r="B9" s="935" t="str">
        <f>VLOOKUP("T.05.04",Translation,LanguageNo+1,FALSE)</f>
        <v>Barwert (diskontiert auf t = 0) der Kapitalkosten im aktuellen Jahr</v>
      </c>
      <c r="C9" s="626" t="str">
        <f>VLOOKUP("T.05.22",Translation,LanguageNo+1,FALSE)</f>
        <v>Zur Berücksichtigung der Kapitalkosten im aktuellen Jahr im Mindestbetrag (MVM) gemäss Dokument Technische Beschreibung für das SST-Standardmodell Aggregation und Mindestbetrag, Abschnitt 3.1</v>
      </c>
      <c r="D9" s="769"/>
      <c r="E9" s="426"/>
      <c r="F9" s="726"/>
    </row>
    <row r="10" spans="1:6" s="11" customFormat="1" ht="42.6" customHeight="1" x14ac:dyDescent="0.25">
      <c r="A10" s="128"/>
      <c r="B10" s="935" t="str">
        <f>VLOOKUP("T.05.05",Translation,LanguageNo+1,FALSE)</f>
        <v>Zusätzliche Effekte auf das Zielkapital</v>
      </c>
      <c r="C10" s="626" t="str">
        <f>VLOOKUP("T.05.23",Translation,LanguageNo+1,FALSE)</f>
        <v>Alle zusätzlichen Effekte auf das Zielkapital, ausgenommen die Differenz zwischen dem RTK unter Runoff und unter Going Concern Bedingungen. Diese Differenz wird direkt im R-Tool berechnet und in der Solvenzberechnung berücksichtigt. Sie muss deshalb nicht hier berücksichtigt werden.</v>
      </c>
      <c r="D10" s="769"/>
      <c r="E10" s="156"/>
    </row>
    <row r="11" spans="1:6" s="11" customFormat="1" ht="42.6" customHeight="1" x14ac:dyDescent="0.25">
      <c r="A11" s="128"/>
      <c r="B11" s="935" t="str">
        <f>VLOOKUP("T.05.06",Translation,LanguageNo+1,FALSE)</f>
        <v>Erwartetes versicherungstechnisches Ergebnis</v>
      </c>
      <c r="C11" s="626" t="str">
        <f>VLOOKUP("T.05.24",Translation,LanguageNo+1,FALSE)</f>
        <v>Gemäss der Technischen Beschreibung des SST-Standardmodells der jeweiligen Sparten. Für Lebensversicherungen ist das erwartete versicherungstechnische Ergebnis = 0.</v>
      </c>
      <c r="D11" s="769"/>
      <c r="E11" s="156"/>
    </row>
    <row r="12" spans="1:6" s="11" customFormat="1" ht="42.6" customHeight="1" x14ac:dyDescent="0.25">
      <c r="A12" s="128"/>
      <c r="B12" s="935" t="str">
        <f>VLOOKUP("T.05.07",Translation,LanguageNo+1,FALSE)</f>
        <v>BE Tilde Leben</v>
      </c>
      <c r="C12" s="626" t="str">
        <f>VLOOKUP("T.05.25",Translation,LanguageNo+1,FALSE)</f>
        <v>Gemäss Dokument Technische Beschreibung für das SST-Standardmodell Lebenversicherung, Abschnitt 6.2.3</v>
      </c>
      <c r="D12" s="769"/>
      <c r="E12" s="128"/>
      <c r="F12" s="1017"/>
    </row>
    <row r="13" spans="1:6" s="11" customFormat="1" ht="42.6" customHeight="1" x14ac:dyDescent="0.25">
      <c r="A13" s="128"/>
      <c r="B13" s="935" t="str">
        <f>VLOOKUP("T.05.08",Translation,LanguageNo+1,FALSE)</f>
        <v>BE Tilde Schaden</v>
      </c>
      <c r="C13" s="626" t="str">
        <f>VLOOKUP("T.05.26",Translation,LanguageNo+1,FALSE)</f>
        <v>Gemäss Dokument Technische Beschreibung für das SST-Standardmodell Schadenversicherung / Technical description StandRe Abschnitt 8.3/ SST-Captives-Template Blatt CA_input_SST-Template</v>
      </c>
      <c r="D13" s="769"/>
      <c r="E13" s="128"/>
    </row>
    <row r="14" spans="1:6" s="11" customFormat="1" ht="42.6" customHeight="1" x14ac:dyDescent="0.25">
      <c r="A14" s="128"/>
      <c r="B14" s="935" t="str">
        <f>VLOOKUP("T.05.09",Translation,LanguageNo+1,FALSE)</f>
        <v>Chi Schaden</v>
      </c>
      <c r="C14" s="626" t="str">
        <f>VLOOKUP("T.05.27",Translation,LanguageNo+1,FALSE)</f>
        <v>Gemäss Dokument Technische Beschreibung für das SST-Standardmodell Aggregation und Mindestbetrag, Abschnitt 6.3</v>
      </c>
      <c r="D14" s="1023"/>
      <c r="E14" s="1014" t="str">
        <f>IF(AND(ISBLANK(D14),D13&gt;0),"&lt;&lt;&lt; Remark: A value is required for " &amp;B14&amp;" since an exposure is provided","")</f>
        <v/>
      </c>
      <c r="F14" s="128"/>
    </row>
    <row r="15" spans="1:6" s="11" customFormat="1" ht="42.6" customHeight="1" x14ac:dyDescent="0.25">
      <c r="A15" s="128"/>
      <c r="B15" s="935" t="str">
        <f>VLOOKUP("T.05.10",Translation,LanguageNo+1,FALSE)</f>
        <v>BE Tilde Kranken</v>
      </c>
      <c r="C15" s="626" t="str">
        <f>VLOOKUP("T.05.28",Translation,LanguageNo+1,FALSE)</f>
        <v>Gemäss Dokument Technische Beschreibung für das SST-Standardmodell Krankenversicherung, Abschnitt 11.6.</v>
      </c>
      <c r="D15" s="769"/>
      <c r="E15" s="156"/>
      <c r="F15" s="128"/>
    </row>
    <row r="16" spans="1:6" s="11" customFormat="1" ht="42.6" customHeight="1" x14ac:dyDescent="0.25">
      <c r="A16" s="128"/>
      <c r="B16" s="935" t="str">
        <f>VLOOKUP("T.05.11",Translation,LanguageNo+1,FALSE)</f>
        <v>MVM Schaden</v>
      </c>
      <c r="C16" s="626" t="str">
        <f>VLOOKUP("T.05.29",Translation,LanguageNo+1,FALSE)</f>
        <v>Gemäss Dokument Technische Beschreibung für das SST-Standardmodell Schadenversicherung / Technical description StandRe Abschnitt 8.3 / SST-Captives-Template Blatt CA_input_SST-Template</v>
      </c>
      <c r="D16" s="769"/>
      <c r="E16" s="156"/>
      <c r="F16" s="128"/>
    </row>
    <row r="17" spans="1:6" s="11" customFormat="1" ht="42.6" customHeight="1" x14ac:dyDescent="0.25">
      <c r="A17" s="128"/>
      <c r="B17" s="935" t="str">
        <f>VLOOKUP("T.05.12",Translation,LanguageNo+1,FALSE)</f>
        <v>MVM Kranken</v>
      </c>
      <c r="C17" s="626" t="str">
        <f>VLOOKUP("T.05.28",Translation,LanguageNo+1,FALSE)</f>
        <v>Gemäss Dokument Technische Beschreibung für das SST-Standardmodell Krankenversicherung, Abschnitt 11.6.</v>
      </c>
      <c r="D17" s="769"/>
      <c r="E17" s="156"/>
      <c r="F17" s="128"/>
    </row>
    <row r="18" spans="1:6" s="11" customFormat="1" ht="42.6" customHeight="1" x14ac:dyDescent="0.25">
      <c r="A18" s="128"/>
      <c r="B18" s="935" t="str">
        <f>VLOOKUP("T.05.13",Translation,LanguageNo+1,FALSE)</f>
        <v>Marktwert festverzinsliche Kapitalanlagen</v>
      </c>
      <c r="C18" s="626" t="str">
        <f>VLOOKUP("T.05.30",Translation,LanguageNo+1,FALSE)</f>
        <v>Gemäss Dokument Technische Beschreibung SST-Bilanz, risikolose Zinskurven und Fundamental Data Sheet, Abschnitt 4.2.7.</v>
      </c>
      <c r="D18" s="769"/>
      <c r="E18" s="156"/>
      <c r="F18" s="128"/>
    </row>
    <row r="19" spans="1:6" ht="42.6" customHeight="1" x14ac:dyDescent="0.25">
      <c r="A19" s="67"/>
      <c r="B19" s="935" t="str">
        <f>VLOOKUP("T.05.14",Translation,LanguageNo+1,FALSE)</f>
        <v>Duration festverzinsliche Kapitalanlagen [Jahre]</v>
      </c>
      <c r="C19" s="1208" t="str">
        <f>VLOOKUP("T.05.30",Translation,LanguageNo+1,FALSE)</f>
        <v>Gemäss Dokument Technische Beschreibung SST-Bilanz, risikolose Zinskurven und Fundamental Data Sheet, Abschnitt 4.2.7.</v>
      </c>
      <c r="D19" s="769"/>
      <c r="E19" s="67"/>
      <c r="F19" s="67"/>
    </row>
    <row r="20" spans="1:6" ht="42.6" customHeight="1" x14ac:dyDescent="0.25">
      <c r="B20" s="935" t="str">
        <f>VLOOKUP("T.05.15",Translation,LanguageNo+1,FALSE)</f>
        <v>Best Estimate Wert der versicherungstechnischen Verpflichtungen</v>
      </c>
      <c r="C20" s="626" t="str">
        <f>VLOOKUP("T.05.30",Translation,LanguageNo+1,FALSE)</f>
        <v>Gemäss Dokument Technische Beschreibung SST-Bilanz, risikolose Zinskurven und Fundamental Data Sheet, Abschnitt 4.2.7.</v>
      </c>
      <c r="D20" s="769"/>
    </row>
    <row r="21" spans="1:6" ht="42.6" customHeight="1" x14ac:dyDescent="0.25">
      <c r="B21" s="936" t="str">
        <f>VLOOKUP("T.05.16",Translation,LanguageNo+1,FALSE)</f>
        <v>Duration versicherungstechnische Verpflichtungen [Jahre]</v>
      </c>
      <c r="C21" s="1209" t="str">
        <f>VLOOKUP("T.05.30",Translation,LanguageNo+1,FALSE)</f>
        <v>Gemäss Dokument Technische Beschreibung SST-Bilanz, risikolose Zinskurven und Fundamental Data Sheet, Abschnitt 4.2.7.</v>
      </c>
      <c r="D21" s="770"/>
    </row>
    <row r="22" spans="1:6" ht="42.6" customHeight="1" x14ac:dyDescent="0.25">
      <c r="B22" s="1027" t="str">
        <f>VLOOKUP("T.05.17",Translation,LanguageNo+1,FALSE)</f>
        <v>Beteiligungswert</v>
      </c>
      <c r="C22" s="1210" t="str">
        <f>VLOOKUP("T.05.31",Translation,LanguageNo+1,FALSE)</f>
        <v>Gemäss Dokument Technische Beschreibung für das Standardmodell Beteiligungen</v>
      </c>
      <c r="D22" s="769"/>
    </row>
    <row r="23" spans="1:6" ht="42.6" customHeight="1" x14ac:dyDescent="0.25">
      <c r="B23" s="1028" t="str">
        <f>VLOOKUP("T.05.18",Translation,LanguageNo+1,FALSE)</f>
        <v>Skalierungsfaktor</v>
      </c>
      <c r="C23" s="626" t="str">
        <f>VLOOKUP("T.05.31",Translation,LanguageNo+1,FALSE)</f>
        <v>Gemäss Dokument Technische Beschreibung für das Standardmodell Beteiligungen</v>
      </c>
      <c r="D23" s="769"/>
    </row>
    <row r="24" spans="1:6" ht="42.6" customHeight="1" x14ac:dyDescent="0.25">
      <c r="B24" s="1028" t="str">
        <f>VLOOKUP("T.05.19",Translation,LanguageNo+1,FALSE)</f>
        <v>LLPO anwenden</v>
      </c>
      <c r="C24" s="626" t="str">
        <f>VLOOKUP("T.05.31",Translation,LanguageNo+1,FALSE)</f>
        <v>Gemäss Dokument Technische Beschreibung für das Standardmodell Beteiligungen</v>
      </c>
      <c r="D24" s="769"/>
    </row>
    <row r="25" spans="1:6" ht="42.6" customHeight="1" x14ac:dyDescent="0.25">
      <c r="B25" s="1035" t="str">
        <f>VLOOKUP("T.05.20",Translation,LanguageNo+1,FALSE)</f>
        <v>Simulationen der Tochter unter Marktrisiko der Beteiligungen ausweisen</v>
      </c>
      <c r="C25" s="1211" t="str">
        <f>VLOOKUP("T.05.31",Translation,LanguageNo+1,FALSE)</f>
        <v>Gemäss Dokument Technische Beschreibung für das Standardmodell Beteiligungen</v>
      </c>
      <c r="D25" s="770"/>
      <c r="E25" s="726"/>
    </row>
    <row r="26" spans="1:6" ht="12.75" customHeight="1" x14ac:dyDescent="0.25">
      <c r="E26" s="726"/>
    </row>
    <row r="27" spans="1:6" ht="12.75" customHeight="1" x14ac:dyDescent="0.25">
      <c r="E27" s="726"/>
    </row>
    <row r="28" spans="1:6" ht="12.75" customHeight="1" x14ac:dyDescent="0.25">
      <c r="E28" s="726"/>
    </row>
    <row r="29" spans="1:6" ht="12.75" customHeight="1" x14ac:dyDescent="0.25">
      <c r="E29" s="726"/>
    </row>
    <row r="30" spans="1:6" ht="28.5" customHeight="1" x14ac:dyDescent="0.25">
      <c r="E30" s="726"/>
    </row>
    <row r="31" spans="1:6" ht="12.75" customHeight="1" x14ac:dyDescent="0.25">
      <c r="E31" s="726"/>
    </row>
  </sheetData>
  <dataValidations count="2">
    <dataValidation type="list" allowBlank="1" showInputMessage="1" showErrorMessage="1" sqref="D7" xr:uid="{00000000-0002-0000-0400-000000000000}">
      <formula1>"CHF, EUR, USD, GBP, JPY"</formula1>
    </dataValidation>
    <dataValidation type="list" allowBlank="1" showInputMessage="1" showErrorMessage="1" sqref="D14" xr:uid="{00000000-0002-0000-0400-000001000000}">
      <formula1>"0, 1"</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4">
    <tabColor rgb="FFD4ECF9"/>
    <pageSetUpPr fitToPage="1"/>
  </sheetPr>
  <dimension ref="A1:W299"/>
  <sheetViews>
    <sheetView showGridLines="0" zoomScale="90" zoomScaleNormal="90" workbookViewId="0"/>
  </sheetViews>
  <sheetFormatPr baseColWidth="10" defaultColWidth="8.5703125" defaultRowHeight="12.75" x14ac:dyDescent="0.25"/>
  <cols>
    <col min="1" max="1" width="5.5703125" style="248" customWidth="1"/>
    <col min="2" max="2" width="5.5703125" style="223" customWidth="1"/>
    <col min="3" max="3" width="14.5703125" style="219" customWidth="1"/>
    <col min="4" max="4" width="95.5703125" style="224" customWidth="1"/>
    <col min="5" max="5" width="12.5703125" style="225" customWidth="1"/>
    <col min="6" max="6" width="12.5703125" style="226" customWidth="1"/>
    <col min="7" max="7" width="12.5703125" style="225" customWidth="1"/>
    <col min="8" max="8" width="12.5703125" style="873" customWidth="1"/>
    <col min="9" max="9" width="8.5703125" style="248" customWidth="1"/>
    <col min="10" max="10" width="45" style="248" customWidth="1"/>
    <col min="11" max="17" width="15.5703125" style="248" customWidth="1"/>
    <col min="18" max="19" width="8.5703125" style="248" customWidth="1"/>
    <col min="20" max="16384" width="8.5703125" style="248"/>
  </cols>
  <sheetData>
    <row r="1" spans="1:21" ht="20.100000000000001" customHeight="1" x14ac:dyDescent="0.25">
      <c r="A1" s="679">
        <v>6</v>
      </c>
      <c r="B1" s="680" t="str">
        <f>VLOOKUP("T.06.01",Translation,LanguageNo+1,FALSE)</f>
        <v>SST-Bilanz</v>
      </c>
      <c r="D1" s="329"/>
      <c r="E1" s="221"/>
      <c r="F1" s="221"/>
      <c r="G1" s="221"/>
      <c r="H1" s="872"/>
      <c r="I1" s="329"/>
    </row>
    <row r="2" spans="1:21" ht="14.25" customHeight="1" x14ac:dyDescent="0.25"/>
    <row r="3" spans="1:21" ht="14.25" customHeight="1" x14ac:dyDescent="0.25"/>
    <row r="4" spans="1:21" ht="14.25" customHeight="1" x14ac:dyDescent="0.25">
      <c r="C4" s="227"/>
      <c r="E4" s="228"/>
      <c r="F4" s="229"/>
      <c r="G4" s="228"/>
      <c r="H4" s="874"/>
    </row>
    <row r="5" spans="1:21" ht="78.75" customHeight="1" x14ac:dyDescent="0.25">
      <c r="B5" s="230" t="str">
        <f>VLOOKUP("T.06.03",Translation,LanguageNo+1,FALSE)</f>
        <v>Staffelrechnung</v>
      </c>
      <c r="C5" s="231"/>
      <c r="D5" s="232" t="str">
        <f>VLOOKUP("T.06.02",Translation,LanguageNo+1,FALSE)</f>
        <v>SST-Bilanz</v>
      </c>
      <c r="E5" s="233" t="str">
        <f>VLOOKUP("T.06.05",Translation,LanguageNo+1,FALSE)
&amp;Unit &amp;SST_Currency</f>
        <v>Marktkonformer Wert bzw. Best Estimate  in Mio. CHF</v>
      </c>
      <c r="F5" s="233" t="str">
        <f>VLOOKUP("T.06.06",Translation,LanguageNo+1,FALSE)
&amp;" "&amp;Unit &amp;SST_Currency</f>
        <v>Differenzen aufgrund des veränderten Stichtages in Mio. CHF</v>
      </c>
      <c r="G5" s="233" t="str">
        <f>VLOOKUP("T.06.05",Translation,LanguageNo+1,FALSE)
&amp;Unit &amp;SST_Currency</f>
        <v>Marktkonformer Wert bzw. Best Estimate  in Mio. CHF</v>
      </c>
      <c r="H5" s="875"/>
    </row>
    <row r="6" spans="1:21" ht="30" customHeight="1" x14ac:dyDescent="0.25">
      <c r="B6" s="234" t="s">
        <v>259</v>
      </c>
      <c r="C6" s="235" t="str">
        <f>VLOOKUP("T.06.04",Translation,LanguageNo+1,FALSE)</f>
        <v>Kontonummer</v>
      </c>
      <c r="D6" s="236"/>
      <c r="E6" s="237" t="str">
        <f>"31.12."&amp;Year-1</f>
        <v>31.12.2023</v>
      </c>
      <c r="F6" s="233"/>
      <c r="G6" s="238" t="str">
        <f>"01.01."&amp;Year</f>
        <v>01.01.2024</v>
      </c>
      <c r="H6" s="876" t="str">
        <f>VLOOKUP("T.06.07",Translation,LanguageNo+1,FALSE)</f>
        <v>in % der Total Aktiven</v>
      </c>
    </row>
    <row r="7" spans="1:21" ht="14.25" customHeight="1" x14ac:dyDescent="0.2">
      <c r="B7" s="239"/>
      <c r="D7" s="240" t="str">
        <f>VLOOKUP("T.06.08",Translation,LanguageNo+1,FALSE)</f>
        <v>1.1 Kapitalanlagen</v>
      </c>
      <c r="E7" s="241"/>
      <c r="F7" s="242"/>
      <c r="G7" s="241"/>
      <c r="H7" s="877"/>
      <c r="T7" s="907"/>
      <c r="U7" s="908"/>
    </row>
    <row r="8" spans="1:21" ht="14.25" customHeight="1" x14ac:dyDescent="0.25">
      <c r="B8" s="239" t="s">
        <v>849</v>
      </c>
      <c r="C8" s="303" t="s">
        <v>2791</v>
      </c>
      <c r="D8" s="245" t="str">
        <f>VLOOKUP("T.06.09",Translation,LanguageNo+1,FALSE)</f>
        <v>1.1.1 Immobilien</v>
      </c>
      <c r="E8" s="246">
        <f>SUM(E9:E17)</f>
        <v>0</v>
      </c>
      <c r="F8" s="246">
        <f>SUM(F9:F17)</f>
        <v>0</v>
      </c>
      <c r="G8" s="247">
        <f>E8+F8</f>
        <v>0</v>
      </c>
      <c r="H8" s="878">
        <f>IF($G$169=0,0,G8/$G$169)</f>
        <v>0</v>
      </c>
    </row>
    <row r="9" spans="1:21" ht="14.25" customHeight="1" x14ac:dyDescent="0.25">
      <c r="B9" s="385" t="s">
        <v>852</v>
      </c>
      <c r="C9" s="214"/>
      <c r="D9" s="385" t="str">
        <f>VLOOKUP("T.06.10",Translation,LanguageNo+1,FALSE)</f>
        <v>Wohnimmobilien: Inland</v>
      </c>
      <c r="E9" s="249"/>
      <c r="F9" s="250"/>
      <c r="G9" s="251">
        <f t="shared" ref="G9:G72" si="0">E9+F9</f>
        <v>0</v>
      </c>
      <c r="H9" s="879"/>
      <c r="T9" s="909"/>
      <c r="U9" s="253"/>
    </row>
    <row r="10" spans="1:21" ht="14.25" customHeight="1" x14ac:dyDescent="0.25">
      <c r="B10" s="385" t="s">
        <v>855</v>
      </c>
      <c r="C10" s="214"/>
      <c r="D10" s="385" t="str">
        <f>VLOOKUP("T.06.11",Translation,LanguageNo+1,FALSE)</f>
        <v>Wohnimmobilien Ausland</v>
      </c>
      <c r="E10" s="249"/>
      <c r="F10" s="250"/>
      <c r="G10" s="251">
        <f t="shared" si="0"/>
        <v>0</v>
      </c>
      <c r="H10" s="879"/>
      <c r="T10" s="909"/>
      <c r="U10" s="253"/>
    </row>
    <row r="11" spans="1:21" ht="14.25" customHeight="1" x14ac:dyDescent="0.25">
      <c r="B11" s="385" t="s">
        <v>859</v>
      </c>
      <c r="C11" s="214"/>
      <c r="D11" s="385" t="str">
        <f>VLOOKUP("T.06.12",Translation,LanguageNo+1,FALSE)</f>
        <v>Büro- und Verwaltungsbauten: Inland</v>
      </c>
      <c r="E11" s="249"/>
      <c r="F11" s="250"/>
      <c r="G11" s="251">
        <f t="shared" si="0"/>
        <v>0</v>
      </c>
      <c r="H11" s="879"/>
      <c r="T11" s="909"/>
      <c r="U11" s="254"/>
    </row>
    <row r="12" spans="1:21" ht="14.25" customHeight="1" x14ac:dyDescent="0.25">
      <c r="B12" s="385" t="s">
        <v>863</v>
      </c>
      <c r="C12" s="214"/>
      <c r="D12" s="385" t="str">
        <f>VLOOKUP("T.06.13",Translation,LanguageNo+1,FALSE)</f>
        <v>Büro- und Verwaltungsbauten: Ausland</v>
      </c>
      <c r="E12" s="249"/>
      <c r="F12" s="250"/>
      <c r="G12" s="251">
        <f t="shared" si="0"/>
        <v>0</v>
      </c>
      <c r="H12" s="879"/>
      <c r="T12" s="909"/>
      <c r="U12" s="254"/>
    </row>
    <row r="13" spans="1:21" ht="14.25" customHeight="1" x14ac:dyDescent="0.25">
      <c r="B13" s="385" t="s">
        <v>867</v>
      </c>
      <c r="C13" s="214"/>
      <c r="D13" s="385" t="str">
        <f>VLOOKUP("T.06.14",Translation,LanguageNo+1,FALSE)</f>
        <v>Gemischtgenutzte Immobilien: Inland</v>
      </c>
      <c r="E13" s="249"/>
      <c r="F13" s="250"/>
      <c r="G13" s="251">
        <f t="shared" si="0"/>
        <v>0</v>
      </c>
      <c r="H13" s="879"/>
      <c r="T13" s="909"/>
      <c r="U13" s="253"/>
    </row>
    <row r="14" spans="1:21" ht="14.25" customHeight="1" x14ac:dyDescent="0.25">
      <c r="B14" s="385" t="s">
        <v>871</v>
      </c>
      <c r="C14" s="214"/>
      <c r="D14" s="694" t="str">
        <f>VLOOKUP("T.06.15",Translation,LanguageNo+1,FALSE)</f>
        <v>Angefangene Bauten: Inland</v>
      </c>
      <c r="E14" s="249"/>
      <c r="F14" s="250"/>
      <c r="G14" s="251">
        <f t="shared" si="0"/>
        <v>0</v>
      </c>
      <c r="H14" s="879"/>
      <c r="T14" s="909"/>
      <c r="U14" s="254"/>
    </row>
    <row r="15" spans="1:21" ht="14.25" customHeight="1" x14ac:dyDescent="0.25">
      <c r="B15" s="385" t="s">
        <v>874</v>
      </c>
      <c r="C15" s="214"/>
      <c r="D15" s="694" t="str">
        <f>VLOOKUP("T.06.16",Translation,LanguageNo+1,FALSE)</f>
        <v>Bauland: Inland</v>
      </c>
      <c r="E15" s="249"/>
      <c r="F15" s="250"/>
      <c r="G15" s="251">
        <f t="shared" si="0"/>
        <v>0</v>
      </c>
      <c r="H15" s="879"/>
      <c r="T15" s="909"/>
      <c r="U15" s="254"/>
    </row>
    <row r="16" spans="1:21" ht="14.25" customHeight="1" x14ac:dyDescent="0.25">
      <c r="B16" s="385" t="s">
        <v>878</v>
      </c>
      <c r="C16" s="214" t="s">
        <v>883</v>
      </c>
      <c r="D16" s="385" t="str">
        <f>VLOOKUP("T.06.17",Translation,LanguageNo+1,FALSE)</f>
        <v>Übrige Immobilien: Inland</v>
      </c>
      <c r="E16" s="249"/>
      <c r="F16" s="250"/>
      <c r="G16" s="251">
        <f t="shared" si="0"/>
        <v>0</v>
      </c>
      <c r="H16" s="879"/>
    </row>
    <row r="17" spans="2:21" ht="14.25" customHeight="1" x14ac:dyDescent="0.25">
      <c r="B17" s="385" t="s">
        <v>882</v>
      </c>
      <c r="C17" s="214" t="s">
        <v>883</v>
      </c>
      <c r="D17" s="385" t="str">
        <f>VLOOKUP("T.06.18",Translation,LanguageNo+1,FALSE)</f>
        <v>Übrige Immobilien: Ausland</v>
      </c>
      <c r="E17" s="295"/>
      <c r="F17" s="635"/>
      <c r="G17" s="251">
        <f t="shared" si="0"/>
        <v>0</v>
      </c>
      <c r="H17" s="879"/>
    </row>
    <row r="18" spans="2:21" ht="14.25" customHeight="1" x14ac:dyDescent="0.25">
      <c r="B18" s="390"/>
      <c r="C18" s="258"/>
      <c r="D18" s="323"/>
      <c r="E18" s="260"/>
      <c r="F18" s="260"/>
      <c r="G18" s="260"/>
      <c r="H18" s="880"/>
    </row>
    <row r="19" spans="2:21" ht="14.25" customHeight="1" x14ac:dyDescent="0.25">
      <c r="B19" s="694" t="s">
        <v>887</v>
      </c>
      <c r="C19" s="303" t="s">
        <v>2792</v>
      </c>
      <c r="D19" s="245" t="str">
        <f>VLOOKUP("T.06.19",Translation,LanguageNo+1,FALSE)</f>
        <v>1.1.2 Beteiligungen</v>
      </c>
      <c r="E19" s="636">
        <f>E20+E24</f>
        <v>0</v>
      </c>
      <c r="F19" s="636">
        <f>F20+F24</f>
        <v>0</v>
      </c>
      <c r="G19" s="261">
        <f t="shared" si="0"/>
        <v>0</v>
      </c>
      <c r="H19" s="878">
        <f>IF($G$169=0,0,G19/$G$169)</f>
        <v>0</v>
      </c>
    </row>
    <row r="20" spans="2:21" ht="14.25" customHeight="1" x14ac:dyDescent="0.25">
      <c r="B20" s="694" t="s">
        <v>891</v>
      </c>
      <c r="C20" s="303" t="s">
        <v>2793</v>
      </c>
      <c r="D20" s="262" t="str">
        <f>VLOOKUP("T.06.20",Translation,LanguageNo+1,FALSE)</f>
        <v>Beteiligungen: Quote &gt; 50 %</v>
      </c>
      <c r="E20" s="263">
        <f>SUM(E21:E22)</f>
        <v>0</v>
      </c>
      <c r="F20" s="263">
        <f>SUM(F21:F22)</f>
        <v>0</v>
      </c>
      <c r="G20" s="264">
        <f t="shared" si="0"/>
        <v>0</v>
      </c>
      <c r="H20" s="879"/>
      <c r="T20" s="909"/>
      <c r="U20" s="254"/>
    </row>
    <row r="21" spans="2:21" ht="14.25" customHeight="1" x14ac:dyDescent="0.25">
      <c r="B21" s="385" t="s">
        <v>895</v>
      </c>
      <c r="C21" s="694"/>
      <c r="D21" s="310" t="str">
        <f>VLOOKUP("T.06.21",Translation,LanguageNo+1,FALSE)</f>
        <v>Beteiligungen an Versicherungsgesellschaften</v>
      </c>
      <c r="E21" s="249"/>
      <c r="F21" s="250"/>
      <c r="G21" s="264">
        <f t="shared" si="0"/>
        <v>0</v>
      </c>
      <c r="H21" s="879"/>
      <c r="U21" s="254"/>
    </row>
    <row r="22" spans="2:21" ht="14.25" customHeight="1" x14ac:dyDescent="0.25">
      <c r="B22" s="694" t="s">
        <v>897</v>
      </c>
      <c r="C22" s="214"/>
      <c r="D22" s="310" t="str">
        <f>VLOOKUP("T.06.22",Translation,LanguageNo+1,FALSE)</f>
        <v>Übrige Beteiligungen</v>
      </c>
      <c r="E22" s="295"/>
      <c r="F22" s="635"/>
      <c r="G22" s="264">
        <f t="shared" si="0"/>
        <v>0</v>
      </c>
      <c r="H22" s="879"/>
    </row>
    <row r="23" spans="2:21" ht="14.25" customHeight="1" x14ac:dyDescent="0.25">
      <c r="B23" s="265"/>
      <c r="C23" s="265"/>
      <c r="D23" s="323"/>
      <c r="E23" s="260"/>
      <c r="F23" s="260"/>
      <c r="G23" s="260"/>
      <c r="H23" s="880"/>
    </row>
    <row r="24" spans="2:21" ht="14.25" customHeight="1" x14ac:dyDescent="0.25">
      <c r="B24" s="385" t="s">
        <v>900</v>
      </c>
      <c r="C24" s="303" t="s">
        <v>2794</v>
      </c>
      <c r="D24" s="262" t="str">
        <f>VLOOKUP("T.06.23",Translation,LanguageNo+1,FALSE)</f>
        <v>Beteiligungen: Quote 20 % bis 50 %</v>
      </c>
      <c r="E24" s="291">
        <f>SUM(E25:E26)</f>
        <v>0</v>
      </c>
      <c r="F24" s="291">
        <f>SUM(F25:F26)</f>
        <v>0</v>
      </c>
      <c r="G24" s="264">
        <f t="shared" si="0"/>
        <v>0</v>
      </c>
      <c r="H24" s="879"/>
      <c r="T24" s="909"/>
      <c r="U24" s="254"/>
    </row>
    <row r="25" spans="2:21" ht="14.25" customHeight="1" x14ac:dyDescent="0.25">
      <c r="B25" s="385" t="s">
        <v>903</v>
      </c>
      <c r="C25" s="694"/>
      <c r="D25" s="310" t="str">
        <f>VLOOKUP("T.06.24",Translation,LanguageNo+1,FALSE)</f>
        <v>Beteiligungen an Versicherungsgesellschaften</v>
      </c>
      <c r="E25" s="249"/>
      <c r="F25" s="250"/>
      <c r="G25" s="264">
        <f t="shared" si="0"/>
        <v>0</v>
      </c>
      <c r="H25" s="879"/>
      <c r="U25" s="254"/>
    </row>
    <row r="26" spans="2:21" ht="14.25" customHeight="1" x14ac:dyDescent="0.25">
      <c r="B26" s="694" t="s">
        <v>904</v>
      </c>
      <c r="C26" s="214"/>
      <c r="D26" s="310" t="str">
        <f>VLOOKUP("T.06.25",Translation,LanguageNo+1,FALSE)</f>
        <v>Übrige Beteiligungen</v>
      </c>
      <c r="E26" s="295"/>
      <c r="F26" s="635"/>
      <c r="G26" s="264">
        <f t="shared" si="0"/>
        <v>0</v>
      </c>
      <c r="H26" s="879"/>
    </row>
    <row r="27" spans="2:21" ht="14.25" customHeight="1" x14ac:dyDescent="0.25">
      <c r="B27" s="323"/>
      <c r="C27" s="266"/>
      <c r="D27" s="323"/>
      <c r="E27" s="260"/>
      <c r="F27" s="260"/>
      <c r="G27" s="260"/>
      <c r="H27" s="880"/>
      <c r="J27" s="267"/>
      <c r="K27" s="1272" t="str">
        <f>"Aufriss nach Rating "&amp;Unit &amp; SST_Currency</f>
        <v>Aufriss nach Rating in Mio. CHF</v>
      </c>
      <c r="L27" s="1273" t="s">
        <v>906</v>
      </c>
      <c r="M27" s="1273" t="s">
        <v>907</v>
      </c>
      <c r="N27" s="1269" t="s">
        <v>908</v>
      </c>
      <c r="O27" s="1269" t="s">
        <v>909</v>
      </c>
    </row>
    <row r="28" spans="2:21" ht="14.25" customHeight="1" x14ac:dyDescent="0.25">
      <c r="B28" s="385" t="s">
        <v>905</v>
      </c>
      <c r="C28" s="303" t="s">
        <v>2795</v>
      </c>
      <c r="D28" s="245" t="str">
        <f>VLOOKUP("T.06.26",Translation,LanguageNo+1,FALSE)</f>
        <v>1.1.3 Festverzinsliche Wertpapiere</v>
      </c>
      <c r="E28" s="638">
        <f>E29+E32+SUM(E34:E36)</f>
        <v>0</v>
      </c>
      <c r="F28" s="638">
        <f>F29+F32+SUM(F34:F36)</f>
        <v>0</v>
      </c>
      <c r="G28" s="261">
        <f t="shared" si="0"/>
        <v>0</v>
      </c>
      <c r="H28" s="878">
        <f>IF($G$169=0,0,G28/$G$169)</f>
        <v>0</v>
      </c>
      <c r="J28" s="267"/>
      <c r="K28" s="1272"/>
      <c r="L28" s="1273"/>
      <c r="M28" s="1273"/>
      <c r="N28" s="1269"/>
      <c r="O28" s="1269"/>
    </row>
    <row r="29" spans="2:21" ht="14.25" customHeight="1" x14ac:dyDescent="0.25">
      <c r="B29" s="385" t="s">
        <v>910</v>
      </c>
      <c r="C29" s="303" t="s">
        <v>2796</v>
      </c>
      <c r="D29" s="385" t="str">
        <f>VLOOKUP("T.06.27",Translation,LanguageNo+1,FALSE)</f>
        <v>Staats- und Zentralbankenanleihen</v>
      </c>
      <c r="E29" s="249"/>
      <c r="F29" s="268"/>
      <c r="G29" s="264">
        <f t="shared" si="0"/>
        <v>0</v>
      </c>
      <c r="H29" s="879"/>
      <c r="J29" s="269" t="str">
        <f>VLOOKUP("T.06.27",Translation,LanguageNo+1,FALSE)</f>
        <v>Staats- und Zentralbankenanleihen</v>
      </c>
      <c r="K29" s="243" t="str">
        <f>IF(ABS(G29-SUM(L29:O29)) &lt; 0.01,"OK","Korrektur")</f>
        <v>OK</v>
      </c>
      <c r="L29" s="270"/>
      <c r="M29" s="271"/>
      <c r="N29" s="271"/>
      <c r="O29" s="271"/>
      <c r="T29" s="909"/>
      <c r="U29" s="254"/>
    </row>
    <row r="30" spans="2:21" ht="14.25" customHeight="1" x14ac:dyDescent="0.25">
      <c r="B30" s="310" t="s">
        <v>913</v>
      </c>
      <c r="C30" s="289"/>
      <c r="D30" s="272" t="str">
        <f>VLOOKUP("T.06.28",Translation,LanguageNo+1,FALSE)</f>
        <v>davon Schweizer Kantone und Gemeinden</v>
      </c>
      <c r="E30" s="273"/>
      <c r="F30" s="274"/>
      <c r="G30" s="275">
        <f t="shared" si="0"/>
        <v>0</v>
      </c>
      <c r="H30" s="879"/>
      <c r="J30" s="276"/>
      <c r="K30" s="276"/>
      <c r="L30" s="277"/>
      <c r="M30" s="278"/>
      <c r="N30" s="278"/>
      <c r="O30" s="278"/>
    </row>
    <row r="31" spans="2:21" ht="14.25" customHeight="1" x14ac:dyDescent="0.25">
      <c r="B31" s="310" t="s">
        <v>915</v>
      </c>
      <c r="C31" s="289"/>
      <c r="D31" s="272" t="str">
        <f>VLOOKUP("T.06.29",Translation,LanguageNo+1,FALSE)</f>
        <v>davon andere öffentliche Körperschaften</v>
      </c>
      <c r="E31" s="273"/>
      <c r="F31" s="274"/>
      <c r="G31" s="275">
        <f t="shared" si="0"/>
        <v>0</v>
      </c>
      <c r="H31" s="879"/>
      <c r="J31" s="243"/>
      <c r="K31" s="243"/>
      <c r="L31" s="279"/>
      <c r="M31" s="280"/>
      <c r="N31" s="280"/>
      <c r="O31" s="280"/>
    </row>
    <row r="32" spans="2:21" ht="14.25" customHeight="1" x14ac:dyDescent="0.25">
      <c r="B32" s="310" t="s">
        <v>916</v>
      </c>
      <c r="C32" s="303" t="s">
        <v>2797</v>
      </c>
      <c r="D32" s="385" t="str">
        <f>VLOOKUP("T.06.30",Translation,LanguageNo+1,FALSE)</f>
        <v>Unternehmensanleihen</v>
      </c>
      <c r="E32" s="249"/>
      <c r="F32" s="268"/>
      <c r="G32" s="264">
        <f t="shared" si="0"/>
        <v>0</v>
      </c>
      <c r="H32" s="879"/>
      <c r="J32" s="323" t="str">
        <f>VLOOKUP("T.06.30",Translation,LanguageNo+1,FALSE)</f>
        <v>Unternehmensanleihen</v>
      </c>
      <c r="K32" s="310" t="str">
        <f>IF(ABS(G32-SUM(L32:O32)) &lt; 0.01,"OK","Korrektur")</f>
        <v>OK</v>
      </c>
      <c r="L32" s="216"/>
      <c r="M32" s="215"/>
      <c r="N32" s="215"/>
      <c r="O32" s="215"/>
      <c r="T32" s="909"/>
      <c r="U32" s="254"/>
    </row>
    <row r="33" spans="2:21" ht="14.25" customHeight="1" x14ac:dyDescent="0.25">
      <c r="B33" s="385" t="s">
        <v>920</v>
      </c>
      <c r="C33" s="214"/>
      <c r="D33" s="272" t="str">
        <f>VLOOKUP("T.06.31",Translation,LanguageNo+1,FALSE)</f>
        <v>davon Banken und Effektenhändler</v>
      </c>
      <c r="E33" s="273"/>
      <c r="F33" s="274"/>
      <c r="G33" s="275">
        <f t="shared" si="0"/>
        <v>0</v>
      </c>
      <c r="H33" s="879"/>
      <c r="J33" s="310"/>
      <c r="K33" s="310"/>
      <c r="L33" s="217"/>
      <c r="M33" s="281"/>
      <c r="N33" s="281"/>
      <c r="O33" s="281"/>
    </row>
    <row r="34" spans="2:21" ht="14.25" customHeight="1" x14ac:dyDescent="0.25">
      <c r="B34" s="385" t="s">
        <v>924</v>
      </c>
      <c r="C34" s="303" t="s">
        <v>2798</v>
      </c>
      <c r="D34" s="214" t="str">
        <f>VLOOKUP("T.06.32",Translation,LanguageNo+1,FALSE)</f>
        <v>Pfandbriefanleihen / Covered Bonds</v>
      </c>
      <c r="E34" s="249"/>
      <c r="F34" s="268"/>
      <c r="G34" s="264">
        <f t="shared" si="0"/>
        <v>0</v>
      </c>
      <c r="H34" s="879"/>
      <c r="J34" s="1270" t="str">
        <f>VLOOKUP("T.06.210",Translation,LanguageNo+1,FALSE)</f>
        <v>Alle anderen Anleihen (Pfandbriefanleihen, Wandelanleihen, sonstige Anleihen)</v>
      </c>
      <c r="K34" s="276" t="str">
        <f>IF(ABS(SUM(G34:G36)-SUM(L34:O34)) &lt; 0.01,"OK","Korrektur")</f>
        <v>OK</v>
      </c>
      <c r="L34" s="282"/>
      <c r="M34" s="283"/>
      <c r="N34" s="283"/>
      <c r="O34" s="283"/>
      <c r="U34" s="254"/>
    </row>
    <row r="35" spans="2:21" ht="14.25" customHeight="1" x14ac:dyDescent="0.25">
      <c r="B35" s="385" t="s">
        <v>928</v>
      </c>
      <c r="C35" s="303" t="s">
        <v>2799</v>
      </c>
      <c r="D35" s="214" t="str">
        <f>VLOOKUP("T.06.33",Translation,LanguageNo+1,FALSE)</f>
        <v>Wandelanleihen</v>
      </c>
      <c r="E35" s="249"/>
      <c r="F35" s="268"/>
      <c r="G35" s="264">
        <f t="shared" si="0"/>
        <v>0</v>
      </c>
      <c r="H35" s="879"/>
      <c r="J35" s="1271"/>
      <c r="K35" s="284"/>
      <c r="L35" s="284"/>
      <c r="M35" s="284"/>
      <c r="N35" s="284"/>
      <c r="O35" s="284"/>
      <c r="T35" s="909"/>
      <c r="U35" s="254"/>
    </row>
    <row r="36" spans="2:21" ht="14.25" customHeight="1" x14ac:dyDescent="0.25">
      <c r="B36" s="385" t="s">
        <v>933</v>
      </c>
      <c r="C36" s="214" t="s">
        <v>2800</v>
      </c>
      <c r="D36" s="385" t="str">
        <f>VLOOKUP("T.06.34",Translation,LanguageNo+1,FALSE)</f>
        <v>Sonstige Anleihen (inkl. Optionsanleihen, supranationale Anleihen)</v>
      </c>
      <c r="E36" s="295"/>
      <c r="F36" s="635"/>
      <c r="G36" s="264">
        <f t="shared" si="0"/>
        <v>0</v>
      </c>
      <c r="H36" s="879"/>
    </row>
    <row r="37" spans="2:21" ht="14.25" customHeight="1" x14ac:dyDescent="0.25">
      <c r="B37" s="323"/>
      <c r="C37" s="266"/>
      <c r="D37" s="323"/>
      <c r="E37" s="637"/>
      <c r="F37" s="637"/>
      <c r="G37" s="260"/>
      <c r="H37" s="880"/>
    </row>
    <row r="38" spans="2:21" ht="14.25" customHeight="1" x14ac:dyDescent="0.25">
      <c r="B38" s="385" t="s">
        <v>937</v>
      </c>
      <c r="C38" s="303" t="s">
        <v>2801</v>
      </c>
      <c r="D38" s="286" t="str">
        <f>VLOOKUP("T.06.35",Translation,LanguageNo+1,FALSE)</f>
        <v>1.1.4 Darlehen</v>
      </c>
      <c r="E38" s="639">
        <f>SUM(E39:E41)</f>
        <v>0</v>
      </c>
      <c r="F38" s="639">
        <f>SUM(F39:F41)</f>
        <v>0</v>
      </c>
      <c r="G38" s="261">
        <f t="shared" si="0"/>
        <v>0</v>
      </c>
      <c r="H38" s="878">
        <f>IF($G$169=0,0,G38/$G$169)</f>
        <v>0</v>
      </c>
    </row>
    <row r="39" spans="2:21" ht="14.25" customHeight="1" x14ac:dyDescent="0.25">
      <c r="B39" s="310" t="s">
        <v>940</v>
      </c>
      <c r="C39" s="289"/>
      <c r="D39" s="385" t="str">
        <f>VLOOKUP("T.06.36",Translation,LanguageNo+1,FALSE)</f>
        <v>Nachrangige Darlehen</v>
      </c>
      <c r="E39" s="249"/>
      <c r="F39" s="249"/>
      <c r="G39" s="264">
        <f t="shared" si="0"/>
        <v>0</v>
      </c>
      <c r="H39" s="879"/>
    </row>
    <row r="40" spans="2:21" ht="14.25" customHeight="1" x14ac:dyDescent="0.25">
      <c r="B40" s="310" t="s">
        <v>944</v>
      </c>
      <c r="C40" s="303" t="s">
        <v>2802</v>
      </c>
      <c r="D40" s="385" t="str">
        <f>VLOOKUP("T.06.37",Translation,LanguageNo+1,FALSE)</f>
        <v>Policendarlehen</v>
      </c>
      <c r="E40" s="249"/>
      <c r="F40" s="249"/>
      <c r="G40" s="264">
        <f t="shared" si="0"/>
        <v>0</v>
      </c>
      <c r="H40" s="879"/>
    </row>
    <row r="41" spans="2:21" ht="14.25" customHeight="1" x14ac:dyDescent="0.25">
      <c r="B41" s="310" t="s">
        <v>948</v>
      </c>
      <c r="C41" s="214"/>
      <c r="D41" s="385" t="str">
        <f>VLOOKUP("T.06.38",Translation,LanguageNo+1,FALSE)</f>
        <v>Sonstige Darlehen</v>
      </c>
      <c r="E41" s="295"/>
      <c r="F41" s="635"/>
      <c r="G41" s="264">
        <f t="shared" si="0"/>
        <v>0</v>
      </c>
      <c r="H41" s="879"/>
    </row>
    <row r="42" spans="2:21" ht="14.25" customHeight="1" x14ac:dyDescent="0.25">
      <c r="B42" s="323"/>
      <c r="C42" s="266"/>
      <c r="D42" s="288"/>
      <c r="E42" s="260"/>
      <c r="F42" s="260"/>
      <c r="G42" s="260"/>
      <c r="H42" s="880"/>
    </row>
    <row r="43" spans="2:21" ht="14.25" customHeight="1" x14ac:dyDescent="0.25">
      <c r="B43" s="214" t="s">
        <v>951</v>
      </c>
      <c r="C43" s="303" t="s">
        <v>2803</v>
      </c>
      <c r="D43" s="286" t="str">
        <f>VLOOKUP("T.06.39",Translation,LanguageNo+1,FALSE)</f>
        <v>1.1.5 Hypotheken</v>
      </c>
      <c r="E43" s="636">
        <f>E44+E47</f>
        <v>0</v>
      </c>
      <c r="F43" s="636">
        <f>F44+F47</f>
        <v>0</v>
      </c>
      <c r="G43" s="261">
        <f t="shared" si="0"/>
        <v>0</v>
      </c>
      <c r="H43" s="878">
        <f>IF($G$169=0,0,G43/$G$169)</f>
        <v>0</v>
      </c>
      <c r="T43" s="909"/>
      <c r="U43" s="253"/>
    </row>
    <row r="44" spans="2:21" ht="14.25" customHeight="1" x14ac:dyDescent="0.25">
      <c r="B44" s="310" t="s">
        <v>955</v>
      </c>
      <c r="C44" s="694"/>
      <c r="D44" s="694" t="str">
        <f>VLOOKUP("T.06.40",Translation,LanguageNo+1,FALSE)</f>
        <v>Hypotheken bis 80 % des Verkehrswertes</v>
      </c>
      <c r="E44" s="263">
        <f>E45+E46</f>
        <v>0</v>
      </c>
      <c r="F44" s="263">
        <f>F45+F46</f>
        <v>0</v>
      </c>
      <c r="G44" s="264">
        <f t="shared" si="0"/>
        <v>0</v>
      </c>
      <c r="H44" s="879"/>
    </row>
    <row r="45" spans="2:21" ht="14.25" customHeight="1" x14ac:dyDescent="0.25">
      <c r="B45" s="310" t="s">
        <v>959</v>
      </c>
      <c r="C45" s="289"/>
      <c r="D45" s="272" t="str">
        <f>VLOOKUP("T.06.41",Translation,LanguageNo+1,FALSE)</f>
        <v>mit festen Zinssätzen</v>
      </c>
      <c r="E45" s="273"/>
      <c r="F45" s="274"/>
      <c r="G45" s="275">
        <f t="shared" si="0"/>
        <v>0</v>
      </c>
      <c r="H45" s="879"/>
    </row>
    <row r="46" spans="2:21" ht="14.25" customHeight="1" x14ac:dyDescent="0.25">
      <c r="B46" s="310" t="s">
        <v>963</v>
      </c>
      <c r="C46" s="289"/>
      <c r="D46" s="290" t="str">
        <f>VLOOKUP("T.06.42",Translation,LanguageNo+1,FALSE)</f>
        <v>mit variablen Zinssätzen</v>
      </c>
      <c r="E46" s="273"/>
      <c r="F46" s="274"/>
      <c r="G46" s="275">
        <f t="shared" si="0"/>
        <v>0</v>
      </c>
      <c r="H46" s="879"/>
    </row>
    <row r="47" spans="2:21" ht="14.25" customHeight="1" x14ac:dyDescent="0.25">
      <c r="B47" s="694" t="s">
        <v>964</v>
      </c>
      <c r="C47" s="289"/>
      <c r="D47" s="694" t="str">
        <f>VLOOKUP("T.06.43",Translation,LanguageNo+1,FALSE)</f>
        <v>Hypotheken mehr als 80 % des Verkehrswertes</v>
      </c>
      <c r="E47" s="291">
        <f>E48+E49</f>
        <v>0</v>
      </c>
      <c r="F47" s="291">
        <f>F48+F49</f>
        <v>0</v>
      </c>
      <c r="G47" s="264">
        <f t="shared" si="0"/>
        <v>0</v>
      </c>
      <c r="H47" s="879"/>
    </row>
    <row r="48" spans="2:21" ht="14.25" customHeight="1" x14ac:dyDescent="0.25">
      <c r="B48" s="310" t="s">
        <v>965</v>
      </c>
      <c r="C48" s="694"/>
      <c r="D48" s="272" t="str">
        <f>VLOOKUP("T.06.44",Translation,LanguageNo+1,FALSE)</f>
        <v>mit festen Zinssätzen</v>
      </c>
      <c r="E48" s="273"/>
      <c r="F48" s="273"/>
      <c r="G48" s="275">
        <f t="shared" si="0"/>
        <v>0</v>
      </c>
      <c r="H48" s="879"/>
    </row>
    <row r="49" spans="2:21" ht="14.25" customHeight="1" x14ac:dyDescent="0.25">
      <c r="B49" s="694" t="s">
        <v>969</v>
      </c>
      <c r="C49" s="289"/>
      <c r="D49" s="272" t="str">
        <f>VLOOKUP("T.06.45",Translation,LanguageNo+1,FALSE)</f>
        <v>mit variablen Zinssätzen</v>
      </c>
      <c r="E49" s="640"/>
      <c r="F49" s="641"/>
      <c r="G49" s="275">
        <f t="shared" si="0"/>
        <v>0</v>
      </c>
      <c r="H49" s="879"/>
    </row>
    <row r="50" spans="2:21" ht="14.25" customHeight="1" x14ac:dyDescent="0.25">
      <c r="B50" s="258"/>
      <c r="C50" s="258"/>
      <c r="D50" s="292"/>
      <c r="E50" s="293"/>
      <c r="F50" s="293"/>
      <c r="G50" s="260"/>
      <c r="H50" s="880"/>
      <c r="T50" s="909"/>
      <c r="U50" s="253"/>
    </row>
    <row r="51" spans="2:21" ht="14.25" customHeight="1" x14ac:dyDescent="0.25">
      <c r="B51" s="694" t="s">
        <v>970</v>
      </c>
      <c r="C51" s="303" t="s">
        <v>2804</v>
      </c>
      <c r="D51" s="304" t="str">
        <f>VLOOKUP("T.06.46",Translation,LanguageNo+1,FALSE)</f>
        <v>1.1.6 Aktien</v>
      </c>
      <c r="E51" s="638">
        <f>SUM(E52:E54)</f>
        <v>0</v>
      </c>
      <c r="F51" s="638">
        <f>SUM(F52:F54)</f>
        <v>0</v>
      </c>
      <c r="G51" s="261">
        <f t="shared" si="0"/>
        <v>0</v>
      </c>
      <c r="H51" s="878">
        <f>IF($G$169=0,0,G51/$G$169)</f>
        <v>0</v>
      </c>
    </row>
    <row r="52" spans="2:21" ht="14.25" customHeight="1" x14ac:dyDescent="0.25">
      <c r="B52" s="214" t="s">
        <v>971</v>
      </c>
      <c r="C52" s="303" t="s">
        <v>2805</v>
      </c>
      <c r="D52" s="694" t="str">
        <f>VLOOKUP("T.06.47",Translation,LanguageNo+1,FALSE)</f>
        <v>Aktien und ähnliche Wertschriften</v>
      </c>
      <c r="E52" s="249"/>
      <c r="F52" s="268"/>
      <c r="G52" s="264">
        <f t="shared" si="0"/>
        <v>0</v>
      </c>
      <c r="H52" s="879"/>
    </row>
    <row r="53" spans="2:21" ht="14.25" customHeight="1" x14ac:dyDescent="0.25">
      <c r="B53" s="214" t="s">
        <v>974</v>
      </c>
      <c r="C53" s="303" t="s">
        <v>2806</v>
      </c>
      <c r="D53" s="694" t="str">
        <f>VLOOKUP("T.06.48",Translation,LanguageNo+1,FALSE)</f>
        <v>Aktien von Gruppengesellschaften</v>
      </c>
      <c r="E53" s="249"/>
      <c r="F53" s="268"/>
      <c r="G53" s="264">
        <f t="shared" si="0"/>
        <v>0</v>
      </c>
      <c r="H53" s="879"/>
    </row>
    <row r="54" spans="2:21" ht="14.25" customHeight="1" x14ac:dyDescent="0.25">
      <c r="B54" s="214" t="s">
        <v>978</v>
      </c>
      <c r="C54" s="303" t="s">
        <v>2807</v>
      </c>
      <c r="D54" s="214" t="str">
        <f>VLOOKUP("T.06.49",Translation,LanguageNo+1,FALSE)</f>
        <v>Anlagen an Immobiliengesellschaften</v>
      </c>
      <c r="E54" s="249"/>
      <c r="F54" s="268"/>
      <c r="G54" s="264">
        <f t="shared" si="0"/>
        <v>0</v>
      </c>
      <c r="H54" s="879"/>
    </row>
    <row r="55" spans="2:21" ht="14.25" customHeight="1" x14ac:dyDescent="0.25">
      <c r="B55" s="390"/>
      <c r="C55" s="258"/>
      <c r="D55" s="323"/>
      <c r="E55" s="260"/>
      <c r="F55" s="260"/>
      <c r="G55" s="260"/>
      <c r="H55" s="880"/>
    </row>
    <row r="56" spans="2:21" ht="14.25" customHeight="1" x14ac:dyDescent="0.25">
      <c r="B56" s="385" t="s">
        <v>982</v>
      </c>
      <c r="C56" s="303" t="s">
        <v>2809</v>
      </c>
      <c r="D56" s="296" t="str">
        <f>VLOOKUP("T.06.50",Translation,LanguageNo+1,FALSE)</f>
        <v>1.1.7 Übrige Kapitalanlagen</v>
      </c>
      <c r="E56" s="636">
        <f>E57+E65+E75+E79</f>
        <v>0</v>
      </c>
      <c r="F56" s="636">
        <f>F57+F65+F70+F75+F79</f>
        <v>0</v>
      </c>
      <c r="G56" s="261">
        <f t="shared" si="0"/>
        <v>0</v>
      </c>
      <c r="H56" s="878">
        <f>IF($G$169=0,0,G56/$G$169)</f>
        <v>0</v>
      </c>
    </row>
    <row r="57" spans="2:21" ht="14.25" customHeight="1" x14ac:dyDescent="0.25">
      <c r="B57" s="385" t="s">
        <v>983</v>
      </c>
      <c r="C57" s="303" t="s">
        <v>2810</v>
      </c>
      <c r="D57" s="304" t="str">
        <f>VLOOKUP("T.06.51",Translation,LanguageNo+1,FALSE)</f>
        <v>Kollektive Kapitalanlagen</v>
      </c>
      <c r="E57" s="263">
        <f>SUM(E58:E63)</f>
        <v>0</v>
      </c>
      <c r="F57" s="263">
        <f>SUM(F58:F63)</f>
        <v>0</v>
      </c>
      <c r="G57" s="264">
        <f t="shared" si="0"/>
        <v>0</v>
      </c>
      <c r="H57" s="879"/>
      <c r="T57" s="909"/>
      <c r="U57" s="253"/>
    </row>
    <row r="58" spans="2:21" ht="14.25" customHeight="1" x14ac:dyDescent="0.25">
      <c r="B58" s="385" t="s">
        <v>986</v>
      </c>
      <c r="C58" s="303" t="s">
        <v>2811</v>
      </c>
      <c r="D58" s="385" t="str">
        <f>VLOOKUP("T.06.52",Translation,LanguageNo+1,FALSE)</f>
        <v>Anlagefonds: Immobilien</v>
      </c>
      <c r="E58" s="249"/>
      <c r="F58" s="268"/>
      <c r="G58" s="264">
        <f t="shared" si="0"/>
        <v>0</v>
      </c>
      <c r="H58" s="879"/>
    </row>
    <row r="59" spans="2:21" ht="14.25" customHeight="1" x14ac:dyDescent="0.25">
      <c r="B59" s="385" t="s">
        <v>987</v>
      </c>
      <c r="C59" s="303" t="s">
        <v>2812</v>
      </c>
      <c r="D59" s="385" t="str">
        <f>VLOOKUP("T.06.53",Translation,LanguageNo+1,FALSE)</f>
        <v>Anlagefonds: Aktien</v>
      </c>
      <c r="E59" s="249"/>
      <c r="F59" s="268"/>
      <c r="G59" s="264">
        <f t="shared" si="0"/>
        <v>0</v>
      </c>
      <c r="H59" s="879"/>
    </row>
    <row r="60" spans="2:21" ht="14.25" customHeight="1" x14ac:dyDescent="0.25">
      <c r="B60" s="214" t="s">
        <v>990</v>
      </c>
      <c r="C60" s="303" t="s">
        <v>2813</v>
      </c>
      <c r="D60" s="385" t="str">
        <f>VLOOKUP("T.06.54",Translation,LanguageNo+1,FALSE)</f>
        <v>Anlagefonds: festverzinsliche Wertpapiere</v>
      </c>
      <c r="E60" s="249"/>
      <c r="F60" s="268"/>
      <c r="G60" s="264">
        <f t="shared" si="0"/>
        <v>0</v>
      </c>
      <c r="H60" s="879"/>
    </row>
    <row r="61" spans="2:21" ht="14.25" customHeight="1" x14ac:dyDescent="0.25">
      <c r="B61" s="385" t="s">
        <v>993</v>
      </c>
      <c r="C61" s="303" t="s">
        <v>2824</v>
      </c>
      <c r="D61" s="385" t="str">
        <f>VLOOKUP("T.06.55",Translation,LanguageNo+1,FALSE)</f>
        <v>Anlagefonds: Geldmarkt</v>
      </c>
      <c r="E61" s="249"/>
      <c r="F61" s="268"/>
      <c r="G61" s="264">
        <f t="shared" si="0"/>
        <v>0</v>
      </c>
      <c r="H61" s="879"/>
    </row>
    <row r="62" spans="2:21" ht="14.25" customHeight="1" x14ac:dyDescent="0.25">
      <c r="B62" s="310" t="s">
        <v>996</v>
      </c>
      <c r="C62" s="303" t="s">
        <v>2825</v>
      </c>
      <c r="D62" s="385" t="str">
        <f>VLOOKUP("T.06.56",Translation,LanguageNo+1,FALSE)</f>
        <v>Anlagefonds: Übrige</v>
      </c>
      <c r="E62" s="249"/>
      <c r="F62" s="268"/>
      <c r="G62" s="264">
        <f t="shared" si="0"/>
        <v>0</v>
      </c>
      <c r="H62" s="879"/>
    </row>
    <row r="63" spans="2:21" ht="14.25" customHeight="1" x14ac:dyDescent="0.25">
      <c r="B63" s="214" t="s">
        <v>999</v>
      </c>
      <c r="C63" s="303" t="s">
        <v>2826</v>
      </c>
      <c r="D63" s="385" t="str">
        <f>VLOOKUP("T.06.57",Translation,LanguageNo+1,FALSE)</f>
        <v>Anlagefonds: Gemischt</v>
      </c>
      <c r="E63" s="295"/>
      <c r="F63" s="635"/>
      <c r="G63" s="264">
        <f t="shared" si="0"/>
        <v>0</v>
      </c>
      <c r="H63" s="879"/>
    </row>
    <row r="64" spans="2:21" ht="14.25" customHeight="1" x14ac:dyDescent="0.25">
      <c r="B64" s="258"/>
      <c r="C64" s="258"/>
      <c r="D64" s="323"/>
      <c r="E64" s="260"/>
      <c r="F64" s="260"/>
      <c r="G64" s="260"/>
      <c r="H64" s="880"/>
    </row>
    <row r="65" spans="2:21" ht="14.25" customHeight="1" x14ac:dyDescent="0.25">
      <c r="B65" s="214" t="s">
        <v>1002</v>
      </c>
      <c r="C65" s="303" t="s">
        <v>2829</v>
      </c>
      <c r="D65" s="286" t="str">
        <f>VLOOKUP("T.06.58",Translation,LanguageNo+1,FALSE)</f>
        <v>Alternative Kapitalanlagen</v>
      </c>
      <c r="E65" s="291">
        <f>SUM(E66:E67)+E70</f>
        <v>0</v>
      </c>
      <c r="F65" s="291">
        <f>SUM(F66:F67)+F70</f>
        <v>0</v>
      </c>
      <c r="G65" s="264">
        <f t="shared" si="0"/>
        <v>0</v>
      </c>
      <c r="H65" s="879"/>
      <c r="T65" s="909"/>
      <c r="U65" s="253"/>
    </row>
    <row r="66" spans="2:21" ht="14.25" customHeight="1" x14ac:dyDescent="0.25">
      <c r="B66" s="385" t="s">
        <v>1005</v>
      </c>
      <c r="C66" s="303" t="s">
        <v>2830</v>
      </c>
      <c r="D66" s="385" t="str">
        <f>VLOOKUP("T.06.59",Translation,LanguageNo+1,FALSE)</f>
        <v>Hedgefonds</v>
      </c>
      <c r="E66" s="194"/>
      <c r="F66" s="268"/>
      <c r="G66" s="264">
        <f t="shared" si="0"/>
        <v>0</v>
      </c>
      <c r="H66" s="879"/>
    </row>
    <row r="67" spans="2:21" ht="14.25" customHeight="1" x14ac:dyDescent="0.25">
      <c r="B67" s="385" t="s">
        <v>1008</v>
      </c>
      <c r="C67" s="303" t="s">
        <v>2831</v>
      </c>
      <c r="D67" s="310" t="str">
        <f>VLOOKUP("T.06.60",Translation,LanguageNo+1,FALSE)</f>
        <v>Private Equity</v>
      </c>
      <c r="E67" s="194"/>
      <c r="F67" s="268"/>
      <c r="G67" s="264">
        <f t="shared" si="0"/>
        <v>0</v>
      </c>
      <c r="H67" s="879"/>
    </row>
    <row r="68" spans="2:21" ht="14.25" customHeight="1" x14ac:dyDescent="0.25">
      <c r="B68" s="385" t="s">
        <v>1009</v>
      </c>
      <c r="C68" s="214" t="s">
        <v>2959</v>
      </c>
      <c r="D68" s="297" t="str">
        <f>VLOOKUP("T.06.61",Translation,LanguageNo+1,FALSE)</f>
        <v>davon Partizipationen (Anteil &lt; 20%)</v>
      </c>
      <c r="E68" s="640"/>
      <c r="F68" s="641"/>
      <c r="G68" s="275">
        <f t="shared" si="0"/>
        <v>0</v>
      </c>
      <c r="H68" s="879"/>
    </row>
    <row r="69" spans="2:21" ht="14.25" customHeight="1" x14ac:dyDescent="0.25">
      <c r="B69" s="390"/>
      <c r="C69" s="258"/>
      <c r="D69" s="298"/>
      <c r="E69" s="293"/>
      <c r="F69" s="293"/>
      <c r="G69" s="260"/>
      <c r="H69" s="880"/>
    </row>
    <row r="70" spans="2:21" ht="14.25" customHeight="1" x14ac:dyDescent="0.25">
      <c r="B70" s="310" t="s">
        <v>1010</v>
      </c>
      <c r="C70" s="303" t="s">
        <v>2958</v>
      </c>
      <c r="D70" s="214" t="str">
        <f>VLOOKUP("T.06.62",Translation,LanguageNo+1,FALSE)</f>
        <v>Andere Alternative Kapitalanlagen</v>
      </c>
      <c r="E70" s="203">
        <f>SUM(E71:E73)</f>
        <v>0</v>
      </c>
      <c r="F70" s="203">
        <f>SUM(F71:F73)</f>
        <v>0</v>
      </c>
      <c r="G70" s="264">
        <f t="shared" si="0"/>
        <v>0</v>
      </c>
      <c r="H70" s="879"/>
    </row>
    <row r="71" spans="2:21" ht="14.25" customHeight="1" x14ac:dyDescent="0.25">
      <c r="B71" s="310" t="s">
        <v>1014</v>
      </c>
      <c r="C71" s="303" t="s">
        <v>2832</v>
      </c>
      <c r="D71" s="297" t="str">
        <f>VLOOKUP("T.06.63",Translation,LanguageNo+1,FALSE)</f>
        <v>Private Debt</v>
      </c>
      <c r="E71" s="896"/>
      <c r="F71" s="897"/>
      <c r="G71" s="275">
        <f t="shared" si="0"/>
        <v>0</v>
      </c>
      <c r="H71" s="879"/>
      <c r="T71" s="909"/>
      <c r="U71" s="254"/>
    </row>
    <row r="72" spans="2:21" ht="14.25" customHeight="1" x14ac:dyDescent="0.25">
      <c r="B72" s="214" t="s">
        <v>1016</v>
      </c>
      <c r="C72" s="303" t="s">
        <v>2833</v>
      </c>
      <c r="D72" s="297" t="str">
        <f>VLOOKUP("T.06.64",Translation,LanguageNo+1,FALSE)</f>
        <v>Senior Secured Loans</v>
      </c>
      <c r="E72" s="302"/>
      <c r="F72" s="274"/>
      <c r="G72" s="275">
        <f t="shared" si="0"/>
        <v>0</v>
      </c>
      <c r="H72" s="879"/>
    </row>
    <row r="73" spans="2:21" ht="14.25" customHeight="1" x14ac:dyDescent="0.25">
      <c r="B73" s="214" t="s">
        <v>1017</v>
      </c>
      <c r="C73" s="303" t="s">
        <v>2834</v>
      </c>
      <c r="D73" s="297" t="str">
        <f>VLOOKUP("T.06.65",Translation,LanguageNo+1,FALSE)</f>
        <v>Rohstoffe</v>
      </c>
      <c r="E73" s="640"/>
      <c r="F73" s="641"/>
      <c r="G73" s="275">
        <f t="shared" ref="G73:G140" si="1">E73+F73</f>
        <v>0</v>
      </c>
      <c r="H73" s="879"/>
    </row>
    <row r="74" spans="2:21" ht="14.25" customHeight="1" x14ac:dyDescent="0.25">
      <c r="B74" s="390"/>
      <c r="C74" s="258"/>
      <c r="D74" s="323"/>
      <c r="E74" s="260"/>
      <c r="F74" s="260"/>
      <c r="G74" s="260"/>
      <c r="H74" s="880"/>
    </row>
    <row r="75" spans="2:21" ht="14.25" customHeight="1" x14ac:dyDescent="0.25">
      <c r="B75" s="214" t="s">
        <v>1018</v>
      </c>
      <c r="C75" s="303" t="s">
        <v>2835</v>
      </c>
      <c r="D75" s="286" t="str">
        <f>VLOOKUP("T.06.66",Translation,LanguageNo+1,FALSE)</f>
        <v>Strukturierte Produkte</v>
      </c>
      <c r="E75" s="550">
        <f>SUM(E76:E77)</f>
        <v>0</v>
      </c>
      <c r="F75" s="550">
        <f>SUM(F76:F77)</f>
        <v>0</v>
      </c>
      <c r="G75" s="264">
        <f t="shared" si="1"/>
        <v>0</v>
      </c>
      <c r="H75" s="879"/>
    </row>
    <row r="76" spans="2:21" ht="14.25" customHeight="1" x14ac:dyDescent="0.25">
      <c r="B76" s="214" t="s">
        <v>1019</v>
      </c>
      <c r="C76" s="303" t="s">
        <v>2960</v>
      </c>
      <c r="D76" s="385" t="str">
        <f>VLOOKUP("T.06.67",Translation,LanguageNo+1,FALSE)</f>
        <v>Insurance-Linked Securities (z.B. Cat Bonds)</v>
      </c>
      <c r="E76" s="300"/>
      <c r="F76" s="301"/>
      <c r="G76" s="264">
        <f t="shared" si="1"/>
        <v>0</v>
      </c>
      <c r="H76" s="879"/>
    </row>
    <row r="77" spans="2:21" ht="14.25" customHeight="1" x14ac:dyDescent="0.25">
      <c r="B77" s="214" t="s">
        <v>1022</v>
      </c>
      <c r="C77" s="214" t="s">
        <v>2961</v>
      </c>
      <c r="D77" s="385" t="str">
        <f>VLOOKUP("T.06.68",Translation,LanguageNo+1,FALSE)</f>
        <v>Andere strukturierte Produkte</v>
      </c>
      <c r="E77" s="295"/>
      <c r="F77" s="635"/>
      <c r="G77" s="264">
        <f t="shared" si="1"/>
        <v>0</v>
      </c>
      <c r="H77" s="879"/>
    </row>
    <row r="78" spans="2:21" ht="14.25" customHeight="1" x14ac:dyDescent="0.25">
      <c r="B78" s="258"/>
      <c r="C78" s="258"/>
      <c r="D78" s="390"/>
      <c r="E78" s="260"/>
      <c r="F78" s="260"/>
      <c r="G78" s="260"/>
      <c r="H78" s="880"/>
    </row>
    <row r="79" spans="2:21" ht="14.25" customHeight="1" x14ac:dyDescent="0.25">
      <c r="B79" s="214" t="s">
        <v>1025</v>
      </c>
      <c r="C79" s="303" t="s">
        <v>2839</v>
      </c>
      <c r="D79" s="304" t="str">
        <f>VLOOKUP("T.06.69",Translation,LanguageNo+1,FALSE)</f>
        <v>Sonstige Kapitalanlagen</v>
      </c>
      <c r="E79" s="241">
        <f>E80+E85</f>
        <v>0</v>
      </c>
      <c r="F79" s="241">
        <f>F80+F85</f>
        <v>0</v>
      </c>
      <c r="G79" s="264">
        <f t="shared" si="1"/>
        <v>0</v>
      </c>
      <c r="H79" s="879"/>
    </row>
    <row r="80" spans="2:21" ht="14.25" customHeight="1" x14ac:dyDescent="0.25">
      <c r="B80" s="214" t="s">
        <v>1026</v>
      </c>
      <c r="C80" s="303" t="s">
        <v>2840</v>
      </c>
      <c r="D80" s="385" t="str">
        <f>VLOOKUP("T.06.70",Translation,LanguageNo+1,FALSE)</f>
        <v>Verbriefte Forderungen</v>
      </c>
      <c r="E80" s="299">
        <f>SUM(E81:E84)</f>
        <v>0</v>
      </c>
      <c r="F80" s="299">
        <f>SUM(F81:F84)</f>
        <v>0</v>
      </c>
      <c r="G80" s="264">
        <f t="shared" si="1"/>
        <v>0</v>
      </c>
      <c r="H80" s="879"/>
    </row>
    <row r="81" spans="2:8" ht="14.25" customHeight="1" x14ac:dyDescent="0.25">
      <c r="B81" s="310" t="s">
        <v>1028</v>
      </c>
      <c r="C81" s="303" t="s">
        <v>2841</v>
      </c>
      <c r="D81" s="272" t="str">
        <f>VLOOKUP("T.06.71",Translation,LanguageNo+1,FALSE)</f>
        <v>Asset Backed Securities (ABS)</v>
      </c>
      <c r="E81" s="273"/>
      <c r="F81" s="274"/>
      <c r="G81" s="275">
        <f t="shared" si="1"/>
        <v>0</v>
      </c>
      <c r="H81" s="879"/>
    </row>
    <row r="82" spans="2:8" ht="14.25" customHeight="1" x14ac:dyDescent="0.25">
      <c r="B82" s="214" t="s">
        <v>1032</v>
      </c>
      <c r="C82" s="303" t="s">
        <v>2842</v>
      </c>
      <c r="D82" s="272" t="str">
        <f>VLOOKUP("T.06.72",Translation,LanguageNo+1,FALSE)</f>
        <v>Mortgage Backed Securities (MBS)</v>
      </c>
      <c r="E82" s="273"/>
      <c r="F82" s="274"/>
      <c r="G82" s="275">
        <f t="shared" si="1"/>
        <v>0</v>
      </c>
      <c r="H82" s="879"/>
    </row>
    <row r="83" spans="2:8" ht="14.25" customHeight="1" x14ac:dyDescent="0.25">
      <c r="B83" s="214" t="s">
        <v>1033</v>
      </c>
      <c r="C83" s="303" t="s">
        <v>2843</v>
      </c>
      <c r="D83" s="272" t="str">
        <f>VLOOKUP("T.06.73",Translation,LanguageNo+1,FALSE)</f>
        <v>Collateralized Debt Obligations (CDO) und Collateralized Loan Obligations (CLO)</v>
      </c>
      <c r="E83" s="273"/>
      <c r="F83" s="274"/>
      <c r="G83" s="275">
        <f t="shared" si="1"/>
        <v>0</v>
      </c>
      <c r="H83" s="879"/>
    </row>
    <row r="84" spans="2:8" ht="14.25" customHeight="1" x14ac:dyDescent="0.25">
      <c r="B84" s="310" t="s">
        <v>1034</v>
      </c>
      <c r="C84" s="303" t="s">
        <v>2844</v>
      </c>
      <c r="D84" s="272" t="str">
        <f>VLOOKUP("T.06.74",Translation,LanguageNo+1,FALSE)</f>
        <v>Sonstige verbriefte Forderungen</v>
      </c>
      <c r="E84" s="273"/>
      <c r="F84" s="274"/>
      <c r="G84" s="275">
        <f t="shared" si="1"/>
        <v>0</v>
      </c>
      <c r="H84" s="879"/>
    </row>
    <row r="85" spans="2:8" ht="14.25" customHeight="1" x14ac:dyDescent="0.25">
      <c r="B85" s="214" t="s">
        <v>1035</v>
      </c>
      <c r="C85" s="303" t="s">
        <v>2845</v>
      </c>
      <c r="D85" s="214" t="str">
        <f>VLOOKUP("T.06.75",Translation,LanguageNo+1,FALSE)</f>
        <v>Andere Kapitalanlagen (Infrastrukturanlagen, Currency Overlay, u.a.)</v>
      </c>
      <c r="E85" s="295"/>
      <c r="F85" s="635"/>
      <c r="G85" s="264">
        <f t="shared" si="1"/>
        <v>0</v>
      </c>
      <c r="H85" s="879"/>
    </row>
    <row r="86" spans="2:8" ht="14.25" customHeight="1" x14ac:dyDescent="0.25">
      <c r="B86" s="390"/>
      <c r="C86" s="258"/>
      <c r="D86" s="323"/>
      <c r="E86" s="260"/>
      <c r="F86" s="260"/>
      <c r="G86" s="260"/>
      <c r="H86" s="880"/>
    </row>
    <row r="87" spans="2:8" ht="14.25" customHeight="1" x14ac:dyDescent="0.25">
      <c r="B87" s="214" t="s">
        <v>1036</v>
      </c>
      <c r="C87" s="303" t="s">
        <v>3051</v>
      </c>
      <c r="D87" s="214" t="str">
        <f>VLOOKUP("T.06.76",Translation,LanguageNo+1,FALSE)</f>
        <v>Schwankungsreserven Kapitalanlagen (ohne anteilgebundene Lebensversicherung)</v>
      </c>
      <c r="E87" s="846"/>
      <c r="F87" s="846"/>
      <c r="G87" s="847">
        <f t="shared" si="1"/>
        <v>0</v>
      </c>
      <c r="H87" s="879"/>
    </row>
    <row r="88" spans="2:8" ht="14.25" customHeight="1" x14ac:dyDescent="0.25">
      <c r="B88" s="390"/>
      <c r="C88" s="258"/>
      <c r="D88" s="323"/>
      <c r="E88" s="260"/>
      <c r="F88" s="260"/>
      <c r="G88" s="260"/>
      <c r="H88" s="880"/>
    </row>
    <row r="89" spans="2:8" ht="14.25" customHeight="1" x14ac:dyDescent="0.25">
      <c r="B89" s="214" t="s">
        <v>1039</v>
      </c>
      <c r="C89" s="239" t="s">
        <v>2790</v>
      </c>
      <c r="D89" s="860" t="str">
        <f>VLOOKUP("T.06.77",Translation,LanguageNo+1,FALSE)</f>
        <v>Total Kapitalanlagen</v>
      </c>
      <c r="E89" s="638">
        <f>E8+E19+E28+E38+E43+E51+E56+E87</f>
        <v>0</v>
      </c>
      <c r="F89" s="638">
        <f>F8+F19+F28+F38+F43+F51+F56+F87</f>
        <v>0</v>
      </c>
      <c r="G89" s="261">
        <f t="shared" ref="G89" si="2">E89+F89</f>
        <v>0</v>
      </c>
      <c r="H89" s="878">
        <f>IF($G$169=0,0,G89/$G$169)</f>
        <v>0</v>
      </c>
    </row>
    <row r="90" spans="2:8" ht="14.25" customHeight="1" x14ac:dyDescent="0.25">
      <c r="B90" s="390"/>
      <c r="C90" s="258"/>
      <c r="D90" s="323"/>
      <c r="E90" s="260"/>
      <c r="F90" s="260"/>
      <c r="G90" s="260"/>
      <c r="H90" s="880"/>
    </row>
    <row r="91" spans="2:8" ht="14.25" customHeight="1" x14ac:dyDescent="0.25">
      <c r="B91" s="214" t="s">
        <v>1042</v>
      </c>
      <c r="C91" s="214"/>
      <c r="D91" s="307" t="str">
        <f>VLOOKUP("T.06.78",Translation,LanguageNo+1,FALSE)</f>
        <v>Übrige Aktiven</v>
      </c>
      <c r="E91" s="291"/>
      <c r="F91" s="291"/>
      <c r="G91" s="264"/>
      <c r="H91" s="879"/>
    </row>
    <row r="92" spans="2:8" ht="14.25" customHeight="1" x14ac:dyDescent="0.25">
      <c r="B92" s="390"/>
      <c r="C92" s="258"/>
      <c r="D92" s="323"/>
      <c r="E92" s="260"/>
      <c r="F92" s="260"/>
      <c r="G92" s="260"/>
      <c r="H92" s="880"/>
    </row>
    <row r="93" spans="2:8" ht="14.25" customHeight="1" x14ac:dyDescent="0.25">
      <c r="B93" s="214" t="s">
        <v>1045</v>
      </c>
      <c r="C93" s="303" t="s">
        <v>2849</v>
      </c>
      <c r="D93" s="304" t="str">
        <f>VLOOKUP("T.06.79",Translation,LanguageNo+1,FALSE)</f>
        <v>1.2 Kapitalanlagen aus anteilgebundener Lebensversicherung</v>
      </c>
      <c r="E93" s="638">
        <f>E94+E96+E104</f>
        <v>0</v>
      </c>
      <c r="F93" s="638">
        <f>F94+F96+F104</f>
        <v>0</v>
      </c>
      <c r="G93" s="261">
        <f t="shared" si="1"/>
        <v>0</v>
      </c>
      <c r="H93" s="878">
        <f>IF($G$169=0,0,G93/$G$169)</f>
        <v>0</v>
      </c>
    </row>
    <row r="94" spans="2:8" ht="14.25" customHeight="1" x14ac:dyDescent="0.25">
      <c r="B94" s="214" t="s">
        <v>1048</v>
      </c>
      <c r="C94" s="303" t="s">
        <v>2850</v>
      </c>
      <c r="D94" s="304" t="str">
        <f>VLOOKUP("T.06.80",Translation,LanguageNo+1,FALSE)</f>
        <v>Fondsanteilgebundene Lebensversicherung</v>
      </c>
      <c r="E94" s="295"/>
      <c r="F94" s="635"/>
      <c r="G94" s="264">
        <f t="shared" si="1"/>
        <v>0</v>
      </c>
      <c r="H94" s="879"/>
    </row>
    <row r="95" spans="2:8" ht="14.25" customHeight="1" x14ac:dyDescent="0.25">
      <c r="B95" s="258"/>
      <c r="C95" s="258"/>
      <c r="D95" s="298"/>
      <c r="E95" s="260"/>
      <c r="F95" s="260"/>
      <c r="G95" s="260"/>
      <c r="H95" s="880"/>
    </row>
    <row r="96" spans="2:8" ht="14.25" customHeight="1" x14ac:dyDescent="0.25">
      <c r="B96" s="214" t="s">
        <v>1050</v>
      </c>
      <c r="C96" s="303" t="s">
        <v>2851</v>
      </c>
      <c r="D96" s="262" t="str">
        <f>VLOOKUP("T.06.81",Translation,LanguageNo+1,FALSE)</f>
        <v>An interne Anlagebestände oder andere Bezugswerte gebundene Lebensversicherung</v>
      </c>
      <c r="E96" s="291">
        <f>SUM(E97:E102)</f>
        <v>0</v>
      </c>
      <c r="F96" s="291">
        <f>SUM(F97:F102)</f>
        <v>0</v>
      </c>
      <c r="G96" s="264">
        <f t="shared" si="1"/>
        <v>0</v>
      </c>
      <c r="H96" s="879"/>
    </row>
    <row r="97" spans="2:8" ht="14.25" customHeight="1" x14ac:dyDescent="0.25">
      <c r="B97" s="214" t="s">
        <v>1054</v>
      </c>
      <c r="C97" s="303" t="s">
        <v>2962</v>
      </c>
      <c r="D97" s="214" t="str">
        <f>VLOOKUP("T.06.82",Translation,LanguageNo+1,FALSE)</f>
        <v>Immobilien</v>
      </c>
      <c r="E97" s="249"/>
      <c r="F97" s="268"/>
      <c r="G97" s="264">
        <f t="shared" si="1"/>
        <v>0</v>
      </c>
      <c r="H97" s="879"/>
    </row>
    <row r="98" spans="2:8" ht="14.25" customHeight="1" x14ac:dyDescent="0.25">
      <c r="B98" s="214" t="s">
        <v>1055</v>
      </c>
      <c r="C98" s="303" t="s">
        <v>2963</v>
      </c>
      <c r="D98" s="214" t="str">
        <f>VLOOKUP("T.06.83",Translation,LanguageNo+1,FALSE)</f>
        <v>Festverzinsliche Wertpapiere, Darlehen</v>
      </c>
      <c r="E98" s="249"/>
      <c r="F98" s="268"/>
      <c r="G98" s="264">
        <f t="shared" si="1"/>
        <v>0</v>
      </c>
      <c r="H98" s="879"/>
    </row>
    <row r="99" spans="2:8" ht="14.25" customHeight="1" x14ac:dyDescent="0.25">
      <c r="B99" s="214" t="s">
        <v>1056</v>
      </c>
      <c r="C99" s="303" t="s">
        <v>2964</v>
      </c>
      <c r="D99" s="214" t="str">
        <f>VLOOKUP("T.06.84",Translation,LanguageNo+1,FALSE)</f>
        <v>Hypotheken</v>
      </c>
      <c r="E99" s="249"/>
      <c r="F99" s="268"/>
      <c r="G99" s="264">
        <f t="shared" si="1"/>
        <v>0</v>
      </c>
      <c r="H99" s="879"/>
    </row>
    <row r="100" spans="2:8" ht="14.25" customHeight="1" x14ac:dyDescent="0.25">
      <c r="B100" s="214" t="s">
        <v>1057</v>
      </c>
      <c r="C100" s="303" t="s">
        <v>2965</v>
      </c>
      <c r="D100" s="214" t="str">
        <f>VLOOKUP("T.06.85",Translation,LanguageNo+1,FALSE)</f>
        <v>Aktien und ähnliche Wertschriften</v>
      </c>
      <c r="E100" s="249"/>
      <c r="F100" s="268"/>
      <c r="G100" s="264">
        <f t="shared" si="1"/>
        <v>0</v>
      </c>
      <c r="H100" s="879"/>
    </row>
    <row r="101" spans="2:8" ht="14.25" customHeight="1" x14ac:dyDescent="0.25">
      <c r="B101" s="214" t="s">
        <v>1060</v>
      </c>
      <c r="C101" s="303" t="s">
        <v>2966</v>
      </c>
      <c r="D101" s="214" t="str">
        <f>VLOOKUP("T.06.86",Translation,LanguageNo+1,FALSE)</f>
        <v>Alternative Anlagen</v>
      </c>
      <c r="E101" s="249"/>
      <c r="F101" s="268"/>
      <c r="G101" s="264">
        <f t="shared" si="1"/>
        <v>0</v>
      </c>
      <c r="H101" s="879"/>
    </row>
    <row r="102" spans="2:8" ht="14.25" customHeight="1" x14ac:dyDescent="0.25">
      <c r="B102" s="305" t="s">
        <v>1064</v>
      </c>
      <c r="C102" s="214" t="s">
        <v>883</v>
      </c>
      <c r="D102" s="214" t="str">
        <f>VLOOKUP("T.06.87",Translation,LanguageNo+1,FALSE)</f>
        <v>Übrige Anlagen</v>
      </c>
      <c r="E102" s="295"/>
      <c r="F102" s="635"/>
      <c r="G102" s="264">
        <f t="shared" si="1"/>
        <v>0</v>
      </c>
      <c r="H102" s="879"/>
    </row>
    <row r="103" spans="2:8" ht="14.25" customHeight="1" x14ac:dyDescent="0.25">
      <c r="B103" s="258"/>
      <c r="C103" s="258"/>
      <c r="D103" s="298"/>
      <c r="E103" s="260"/>
      <c r="F103" s="260"/>
      <c r="G103" s="260"/>
      <c r="H103" s="880"/>
    </row>
    <row r="104" spans="2:8" ht="14.25" customHeight="1" x14ac:dyDescent="0.25">
      <c r="B104" s="214" t="s">
        <v>1068</v>
      </c>
      <c r="C104" s="214" t="s">
        <v>3056</v>
      </c>
      <c r="D104" s="214" t="str">
        <f>VLOOKUP("T.06.88",Translation,LanguageNo+1,FALSE)</f>
        <v>Schwankungsreserven Kapitalanlagen aus anteilgebundener Lebensversicherung</v>
      </c>
      <c r="E104" s="846"/>
      <c r="F104" s="846"/>
      <c r="G104" s="847">
        <f t="shared" si="1"/>
        <v>0</v>
      </c>
      <c r="H104" s="879"/>
    </row>
    <row r="105" spans="2:8" ht="14.25" customHeight="1" x14ac:dyDescent="0.25">
      <c r="B105" s="258"/>
      <c r="C105" s="258"/>
      <c r="D105" s="298"/>
      <c r="E105" s="260"/>
      <c r="F105" s="260"/>
      <c r="G105" s="260"/>
      <c r="H105" s="880"/>
    </row>
    <row r="106" spans="2:8" ht="14.25" customHeight="1" x14ac:dyDescent="0.25">
      <c r="B106" s="214" t="s">
        <v>1072</v>
      </c>
      <c r="C106" s="303" t="s">
        <v>2852</v>
      </c>
      <c r="D106" s="262" t="str">
        <f>VLOOKUP("T.06.89",Translation,LanguageNo+1,FALSE)</f>
        <v>1.3 Forderungen aus derivativen Finanzinstrumenten</v>
      </c>
      <c r="E106" s="638">
        <f>SUM(E107:E112)</f>
        <v>0</v>
      </c>
      <c r="F106" s="638">
        <f>SUM(F107:F112)</f>
        <v>0</v>
      </c>
      <c r="G106" s="261">
        <f t="shared" si="1"/>
        <v>0</v>
      </c>
      <c r="H106" s="878">
        <f>IF($G$169=0,0,G106/$G$169)</f>
        <v>0</v>
      </c>
    </row>
    <row r="107" spans="2:8" ht="14.25" customHeight="1" x14ac:dyDescent="0.25">
      <c r="B107" s="305" t="s">
        <v>1076</v>
      </c>
      <c r="C107" s="303" t="s">
        <v>2853</v>
      </c>
      <c r="D107" s="214" t="str">
        <f>VLOOKUP("T.06.90",Translation,LanguageNo+1,FALSE)</f>
        <v>Zinsrisikobezogene Instrumente</v>
      </c>
      <c r="E107" s="249"/>
      <c r="F107" s="268"/>
      <c r="G107" s="264">
        <f t="shared" si="1"/>
        <v>0</v>
      </c>
      <c r="H107" s="879"/>
    </row>
    <row r="108" spans="2:8" ht="14.25" customHeight="1" x14ac:dyDescent="0.25">
      <c r="B108" s="214" t="s">
        <v>1080</v>
      </c>
      <c r="C108" s="303" t="s">
        <v>2854</v>
      </c>
      <c r="D108" s="214" t="str">
        <f>VLOOKUP("T.06.91",Translation,LanguageNo+1,FALSE)</f>
        <v>Währungsrisikobezogene Instrumente</v>
      </c>
      <c r="E108" s="249"/>
      <c r="F108" s="268"/>
      <c r="G108" s="264">
        <f t="shared" si="1"/>
        <v>0</v>
      </c>
      <c r="H108" s="879"/>
    </row>
    <row r="109" spans="2:8" ht="14.25" customHeight="1" x14ac:dyDescent="0.25">
      <c r="B109" s="305" t="s">
        <v>1084</v>
      </c>
      <c r="C109" s="303" t="s">
        <v>2855</v>
      </c>
      <c r="D109" s="214" t="str">
        <f>VLOOKUP("T.06.92",Translation,LanguageNo+1,FALSE)</f>
        <v>(Aktien-)Marktrisikobezogene Instrumente</v>
      </c>
      <c r="E109" s="249"/>
      <c r="F109" s="268"/>
      <c r="G109" s="264">
        <f t="shared" si="1"/>
        <v>0</v>
      </c>
      <c r="H109" s="879"/>
    </row>
    <row r="110" spans="2:8" ht="14.25" customHeight="1" x14ac:dyDescent="0.25">
      <c r="B110" s="310" t="s">
        <v>1085</v>
      </c>
      <c r="C110" s="303" t="s">
        <v>2856</v>
      </c>
      <c r="D110" s="214" t="str">
        <f>VLOOKUP("T.06.93",Translation,LanguageNo+1,FALSE)</f>
        <v>Kreditrisikobezogene Instrumente</v>
      </c>
      <c r="E110" s="249"/>
      <c r="F110" s="268"/>
      <c r="G110" s="264">
        <f t="shared" si="1"/>
        <v>0</v>
      </c>
      <c r="H110" s="879"/>
    </row>
    <row r="111" spans="2:8" ht="14.25" customHeight="1" x14ac:dyDescent="0.25">
      <c r="B111" s="214" t="s">
        <v>1089</v>
      </c>
      <c r="C111" s="214" t="s">
        <v>2857</v>
      </c>
      <c r="D111" s="214" t="str">
        <f>VLOOKUP("T.06.94",Translation,LanguageNo+1,FALSE)</f>
        <v>Versicherungsrisikobezogene Instrumente (z.B. Cat Derivate)</v>
      </c>
      <c r="E111" s="249"/>
      <c r="F111" s="268"/>
      <c r="G111" s="264">
        <f t="shared" si="1"/>
        <v>0</v>
      </c>
      <c r="H111" s="879"/>
    </row>
    <row r="112" spans="2:8" ht="14.25" customHeight="1" x14ac:dyDescent="0.25">
      <c r="B112" s="214" t="s">
        <v>1092</v>
      </c>
      <c r="C112" s="214" t="s">
        <v>2858</v>
      </c>
      <c r="D112" s="694" t="str">
        <f>VLOOKUP("T.06.95",Translation,LanguageNo+1,FALSE)</f>
        <v>Übrige derivative Instrumente</v>
      </c>
      <c r="E112" s="295"/>
      <c r="F112" s="635"/>
      <c r="G112" s="264">
        <f t="shared" si="1"/>
        <v>0</v>
      </c>
      <c r="H112" s="879"/>
    </row>
    <row r="113" spans="2:8" ht="14.25" customHeight="1" x14ac:dyDescent="0.25">
      <c r="B113" s="258"/>
      <c r="C113" s="258"/>
      <c r="D113" s="323"/>
      <c r="E113" s="260"/>
      <c r="F113" s="260"/>
      <c r="G113" s="260"/>
      <c r="H113" s="880"/>
    </row>
    <row r="114" spans="2:8" ht="14.25" customHeight="1" x14ac:dyDescent="0.25">
      <c r="B114" s="214" t="s">
        <v>1096</v>
      </c>
      <c r="C114" s="303" t="s">
        <v>2859</v>
      </c>
      <c r="D114" s="304" t="str">
        <f>VLOOKUP("T.06.96",Translation,LanguageNo+1,FALSE)</f>
        <v>1.4 Depotforderungen aus übernommener Rückversicherung</v>
      </c>
      <c r="E114" s="642"/>
      <c r="F114" s="643"/>
      <c r="G114" s="261">
        <f t="shared" si="1"/>
        <v>0</v>
      </c>
      <c r="H114" s="878">
        <f>IF($G$169=0,0,G114/$G$169)</f>
        <v>0</v>
      </c>
    </row>
    <row r="115" spans="2:8" ht="14.25" customHeight="1" x14ac:dyDescent="0.25">
      <c r="B115" s="265"/>
      <c r="C115" s="265"/>
      <c r="D115" s="323"/>
      <c r="E115" s="260"/>
      <c r="F115" s="260"/>
      <c r="G115" s="260"/>
      <c r="H115" s="880"/>
    </row>
    <row r="116" spans="2:8" ht="14.25" customHeight="1" x14ac:dyDescent="0.25">
      <c r="B116" s="214" t="s">
        <v>1100</v>
      </c>
      <c r="C116" s="303" t="s">
        <v>2860</v>
      </c>
      <c r="D116" s="304" t="str">
        <f>VLOOKUP("T.06.97",Translation,LanguageNo+1,FALSE)</f>
        <v>1.5 Flüssige Mittel</v>
      </c>
      <c r="E116" s="638">
        <f>SUM(E117:E119)</f>
        <v>0</v>
      </c>
      <c r="F116" s="638">
        <f>SUM(F117:F119)</f>
        <v>0</v>
      </c>
      <c r="G116" s="261">
        <f t="shared" si="1"/>
        <v>0</v>
      </c>
      <c r="H116" s="878">
        <f>IF($G$169=0,0,G116/$G$169)</f>
        <v>0</v>
      </c>
    </row>
    <row r="117" spans="2:8" ht="14.25" customHeight="1" x14ac:dyDescent="0.25">
      <c r="B117" s="214" t="s">
        <v>1104</v>
      </c>
      <c r="C117" s="303" t="s">
        <v>2861</v>
      </c>
      <c r="D117" s="214" t="str">
        <f>VLOOKUP("T.06.98",Translation,LanguageNo+1,FALSE)</f>
        <v>Bargeld</v>
      </c>
      <c r="E117" s="249"/>
      <c r="F117" s="268"/>
      <c r="G117" s="264">
        <f t="shared" si="1"/>
        <v>0</v>
      </c>
      <c r="H117" s="879"/>
    </row>
    <row r="118" spans="2:8" ht="14.25" customHeight="1" x14ac:dyDescent="0.25">
      <c r="B118" s="214" t="s">
        <v>1108</v>
      </c>
      <c r="C118" s="303" t="s">
        <v>2862</v>
      </c>
      <c r="D118" s="214" t="str">
        <f>VLOOKUP("T.06.99",Translation,LanguageNo+1,FALSE)</f>
        <v>Bankguthaben</v>
      </c>
      <c r="E118" s="249"/>
      <c r="F118" s="268"/>
      <c r="G118" s="264">
        <f t="shared" si="1"/>
        <v>0</v>
      </c>
      <c r="H118" s="879"/>
    </row>
    <row r="119" spans="2:8" ht="14.25" customHeight="1" x14ac:dyDescent="0.25">
      <c r="B119" s="214" t="s">
        <v>1112</v>
      </c>
      <c r="C119" s="303" t="s">
        <v>2863</v>
      </c>
      <c r="D119" s="214" t="str">
        <f>VLOOKUP("T.06.100",Translation,LanguageNo+1,FALSE)</f>
        <v>Forderungen aus Geldmarktanlagen</v>
      </c>
      <c r="E119" s="295"/>
      <c r="F119" s="635"/>
      <c r="G119" s="264">
        <f t="shared" si="1"/>
        <v>0</v>
      </c>
      <c r="H119" s="879"/>
    </row>
    <row r="120" spans="2:8" ht="14.25" customHeight="1" x14ac:dyDescent="0.25">
      <c r="B120" s="258"/>
      <c r="C120" s="258"/>
      <c r="D120" s="323"/>
      <c r="E120" s="260"/>
      <c r="F120" s="260"/>
      <c r="G120" s="260"/>
      <c r="H120" s="880"/>
    </row>
    <row r="121" spans="2:8" ht="14.25" customHeight="1" x14ac:dyDescent="0.25">
      <c r="B121" s="214" t="s">
        <v>1116</v>
      </c>
      <c r="C121" s="303" t="s">
        <v>2967</v>
      </c>
      <c r="D121" s="304" t="str">
        <f>VLOOKUP("T.06.101",Translation,LanguageNo+1,FALSE)</f>
        <v>1.6 Anteil versicherungstechnische Rückstellungen aus Rückversicherung</v>
      </c>
      <c r="E121" s="638">
        <f>E122+E124+E125+E127+SUM(E129:E134)</f>
        <v>0</v>
      </c>
      <c r="F121" s="638">
        <f>F122+F124+F125+F127+SUM(F129:F134)</f>
        <v>0</v>
      </c>
      <c r="G121" s="261">
        <f t="shared" si="1"/>
        <v>0</v>
      </c>
      <c r="H121" s="878">
        <f>IF($G$169=0,0,G121/$G$169)</f>
        <v>0</v>
      </c>
    </row>
    <row r="122" spans="2:8" ht="14.25" customHeight="1" x14ac:dyDescent="0.25">
      <c r="B122" s="214" t="s">
        <v>1117</v>
      </c>
      <c r="C122" s="303" t="s">
        <v>2888</v>
      </c>
      <c r="D122" s="214" t="str">
        <f>VLOOKUP("T.06.102",Translation,LanguageNo+1,FALSE)</f>
        <v>Direktversicherung: Lebensversicherungsgeschäft (ohne ALV)</v>
      </c>
      <c r="E122" s="194"/>
      <c r="F122" s="268"/>
      <c r="G122" s="264">
        <f t="shared" si="1"/>
        <v>0</v>
      </c>
      <c r="H122" s="879"/>
    </row>
    <row r="123" spans="2:8" ht="14.25" customHeight="1" x14ac:dyDescent="0.25">
      <c r="B123" s="214" t="s">
        <v>1121</v>
      </c>
      <c r="C123" s="303" t="s">
        <v>2968</v>
      </c>
      <c r="D123" s="290" t="str">
        <f>VLOOKUP("T.06.103",Translation,LanguageNo+1,FALSE)</f>
        <v>davon Anteil Rückversicherer (Leben) am Überschussfonds</v>
      </c>
      <c r="E123" s="302"/>
      <c r="F123" s="274"/>
      <c r="G123" s="275">
        <f t="shared" si="1"/>
        <v>0</v>
      </c>
      <c r="H123" s="879"/>
    </row>
    <row r="124" spans="2:8" ht="14.25" customHeight="1" x14ac:dyDescent="0.25">
      <c r="B124" s="214" t="s">
        <v>1122</v>
      </c>
      <c r="C124" s="303" t="s">
        <v>2889</v>
      </c>
      <c r="D124" s="214" t="str">
        <f>VLOOKUP("T.06.104",Translation,LanguageNo+1,FALSE)</f>
        <v>Aktive Rückversicherung: Lebensversicherungsgeschäft (ohne ALV)</v>
      </c>
      <c r="E124" s="194"/>
      <c r="F124" s="268"/>
      <c r="G124" s="264">
        <f>E124+F124</f>
        <v>0</v>
      </c>
      <c r="H124" s="879"/>
    </row>
    <row r="125" spans="2:8" ht="14.25" customHeight="1" x14ac:dyDescent="0.25">
      <c r="B125" s="214" t="s">
        <v>1126</v>
      </c>
      <c r="C125" s="303" t="s">
        <v>2890</v>
      </c>
      <c r="D125" s="214" t="str">
        <f>VLOOKUP("T.06.105",Translation,LanguageNo+1,FALSE)</f>
        <v>Direktversicherung: Schadenversicherungsgeschäft</v>
      </c>
      <c r="E125" s="194"/>
      <c r="F125" s="268"/>
      <c r="G125" s="264">
        <f t="shared" si="1"/>
        <v>0</v>
      </c>
      <c r="H125" s="879"/>
    </row>
    <row r="126" spans="2:8" ht="14.25" customHeight="1" x14ac:dyDescent="0.25">
      <c r="B126" s="214" t="s">
        <v>1127</v>
      </c>
      <c r="C126" s="214"/>
      <c r="D126" s="290" t="str">
        <f>VLOOKUP("T.06.106",Translation,LanguageNo+1,FALSE)</f>
        <v>davon Anteil Rückversicherer (Schaden) am Überschussfonds</v>
      </c>
      <c r="E126" s="302"/>
      <c r="F126" s="274"/>
      <c r="G126" s="275">
        <f t="shared" si="1"/>
        <v>0</v>
      </c>
      <c r="H126" s="879"/>
    </row>
    <row r="127" spans="2:8" ht="14.25" customHeight="1" x14ac:dyDescent="0.25">
      <c r="B127" s="214" t="s">
        <v>1131</v>
      </c>
      <c r="C127" s="303" t="s">
        <v>2891</v>
      </c>
      <c r="D127" s="214" t="str">
        <f>VLOOKUP("T.06.107",Translation,LanguageNo+1,FALSE)</f>
        <v>Direktversicherung: Krankenversicherungsgeschäft</v>
      </c>
      <c r="E127" s="194"/>
      <c r="F127" s="268"/>
      <c r="G127" s="264">
        <f t="shared" si="1"/>
        <v>0</v>
      </c>
      <c r="H127" s="879"/>
    </row>
    <row r="128" spans="2:8" ht="14.25" customHeight="1" x14ac:dyDescent="0.25">
      <c r="B128" s="310" t="s">
        <v>1132</v>
      </c>
      <c r="C128" s="214"/>
      <c r="D128" s="290" t="str">
        <f>VLOOKUP("T.06.108",Translation,LanguageNo+1,FALSE)</f>
        <v>davon Anteil Rückversicherer (Kranken) am Überschussfonds</v>
      </c>
      <c r="E128" s="302"/>
      <c r="F128" s="274"/>
      <c r="G128" s="275">
        <f t="shared" si="1"/>
        <v>0</v>
      </c>
      <c r="H128" s="879"/>
    </row>
    <row r="129" spans="2:8" ht="14.25" customHeight="1" x14ac:dyDescent="0.25">
      <c r="B129" s="214" t="s">
        <v>1133</v>
      </c>
      <c r="C129" s="303" t="s">
        <v>2892</v>
      </c>
      <c r="D129" s="214" t="str">
        <f>VLOOKUP("T.06.109",Translation,LanguageNo+1,FALSE)</f>
        <v>Aktive Rückversicherung: Schadenversicherungsgeschäft</v>
      </c>
      <c r="E129" s="194"/>
      <c r="F129" s="268"/>
      <c r="G129" s="264">
        <f t="shared" si="1"/>
        <v>0</v>
      </c>
      <c r="H129" s="879"/>
    </row>
    <row r="130" spans="2:8" ht="14.25" customHeight="1" x14ac:dyDescent="0.25">
      <c r="B130" s="214" t="s">
        <v>1134</v>
      </c>
      <c r="C130" s="303" t="s">
        <v>2893</v>
      </c>
      <c r="D130" s="214" t="str">
        <f>VLOOKUP("T.06.110",Translation,LanguageNo+1,FALSE)</f>
        <v>Aktive Rückversicherung: Krankenversicherungsgeschäft</v>
      </c>
      <c r="E130" s="194"/>
      <c r="F130" s="268"/>
      <c r="G130" s="264">
        <f t="shared" si="1"/>
        <v>0</v>
      </c>
      <c r="H130" s="879"/>
    </row>
    <row r="131" spans="2:8" ht="14.25" customHeight="1" x14ac:dyDescent="0.25">
      <c r="B131" s="214" t="s">
        <v>1135</v>
      </c>
      <c r="C131" s="214"/>
      <c r="D131" s="214" t="str">
        <f>VLOOKUP("T.06.111",Translation,LanguageNo+1,FALSE)</f>
        <v>Direktversicherung: Sonstiges Geschäft</v>
      </c>
      <c r="E131" s="194"/>
      <c r="F131" s="268"/>
      <c r="G131" s="264">
        <f>E131+F131</f>
        <v>0</v>
      </c>
      <c r="H131" s="879"/>
    </row>
    <row r="132" spans="2:8" ht="14.25" customHeight="1" x14ac:dyDescent="0.25">
      <c r="B132" s="214" t="s">
        <v>1136</v>
      </c>
      <c r="C132" s="214"/>
      <c r="D132" s="214" t="str">
        <f>VLOOKUP("T.06.112",Translation,LanguageNo+1,FALSE)</f>
        <v>Aktive Rückversicherung: Sonstiges Geschäft</v>
      </c>
      <c r="E132" s="861"/>
      <c r="F132" s="635"/>
      <c r="G132" s="264">
        <f>E132+F132</f>
        <v>0</v>
      </c>
      <c r="H132" s="879"/>
    </row>
    <row r="133" spans="2:8" ht="14.25" customHeight="1" x14ac:dyDescent="0.25">
      <c r="B133" s="214" t="s">
        <v>1137</v>
      </c>
      <c r="C133" s="303" t="s">
        <v>2894</v>
      </c>
      <c r="D133" s="214" t="str">
        <f>VLOOKUP("T.06.113",Translation,LanguageNo+1,FALSE)</f>
        <v>Direktversicherung: Anteilgebundenes Lebensversicherungsgeschäft</v>
      </c>
      <c r="E133" s="194"/>
      <c r="F133" s="268"/>
      <c r="G133" s="264">
        <f>E133+F133</f>
        <v>0</v>
      </c>
      <c r="H133" s="879"/>
    </row>
    <row r="134" spans="2:8" ht="14.25" customHeight="1" x14ac:dyDescent="0.25">
      <c r="B134" s="214" t="s">
        <v>1138</v>
      </c>
      <c r="C134" s="303" t="s">
        <v>2895</v>
      </c>
      <c r="D134" s="214" t="str">
        <f>VLOOKUP("T.06.114",Translation,LanguageNo+1,FALSE)</f>
        <v>Aktive Rückversicherung: Anteilgebundenes Lebensversicherungsgeschäft</v>
      </c>
      <c r="E134" s="194"/>
      <c r="F134" s="268"/>
      <c r="G134" s="264">
        <f t="shared" si="1"/>
        <v>0</v>
      </c>
      <c r="H134" s="879"/>
    </row>
    <row r="135" spans="2:8" ht="14.25" customHeight="1" x14ac:dyDescent="0.25">
      <c r="B135" s="258"/>
      <c r="C135" s="258"/>
      <c r="D135" s="323"/>
      <c r="E135" s="260"/>
      <c r="F135" s="260"/>
      <c r="G135" s="260"/>
      <c r="H135" s="880"/>
    </row>
    <row r="136" spans="2:8" ht="14.25" customHeight="1" x14ac:dyDescent="0.25">
      <c r="B136" s="214" t="s">
        <v>1141</v>
      </c>
      <c r="C136" s="303" t="s">
        <v>2896</v>
      </c>
      <c r="D136" s="304" t="str">
        <f>VLOOKUP("T.06.115",Translation,LanguageNo+1,FALSE)</f>
        <v>1.7 Sachanlagen</v>
      </c>
      <c r="E136" s="638">
        <f>SUM(E137:E138)</f>
        <v>0</v>
      </c>
      <c r="F136" s="638">
        <f>SUM(F137:F138)</f>
        <v>0</v>
      </c>
      <c r="G136" s="261">
        <f t="shared" si="1"/>
        <v>0</v>
      </c>
      <c r="H136" s="878">
        <f>IF($G$169=0,0,G136/$G$169)</f>
        <v>0</v>
      </c>
    </row>
    <row r="137" spans="2:8" ht="14.25" customHeight="1" x14ac:dyDescent="0.25">
      <c r="B137" s="214" t="s">
        <v>1145</v>
      </c>
      <c r="C137" s="303" t="s">
        <v>2969</v>
      </c>
      <c r="D137" s="214" t="str">
        <f>VLOOKUP("T.06.116",Translation,LanguageNo+1,FALSE)</f>
        <v>Betriebsliegenschaften</v>
      </c>
      <c r="E137" s="249"/>
      <c r="F137" s="268"/>
      <c r="G137" s="264">
        <f t="shared" si="1"/>
        <v>0</v>
      </c>
      <c r="H137" s="879"/>
    </row>
    <row r="138" spans="2:8" ht="14.25" customHeight="1" x14ac:dyDescent="0.25">
      <c r="B138" s="214" t="s">
        <v>1148</v>
      </c>
      <c r="C138" s="214" t="s">
        <v>883</v>
      </c>
      <c r="D138" s="214" t="str">
        <f>VLOOKUP("T.06.117",Translation,LanguageNo+1,FALSE)</f>
        <v>Sonstige Sachanlagen</v>
      </c>
      <c r="E138" s="295"/>
      <c r="F138" s="635"/>
      <c r="G138" s="264">
        <f t="shared" si="1"/>
        <v>0</v>
      </c>
      <c r="H138" s="879"/>
    </row>
    <row r="139" spans="2:8" ht="14.25" customHeight="1" x14ac:dyDescent="0.25">
      <c r="B139" s="258"/>
      <c r="C139" s="258"/>
      <c r="D139" s="323"/>
      <c r="E139" s="260"/>
      <c r="F139" s="260"/>
      <c r="G139" s="260"/>
      <c r="H139" s="880"/>
    </row>
    <row r="140" spans="2:8" ht="14.25" customHeight="1" x14ac:dyDescent="0.25">
      <c r="B140" s="214" t="s">
        <v>1152</v>
      </c>
      <c r="C140" s="303" t="s">
        <v>2897</v>
      </c>
      <c r="D140" s="304" t="str">
        <f>VLOOKUP("T.06.118",Translation,LanguageNo+1,FALSE)</f>
        <v>1.8 Aktivierte Abschlusskosten</v>
      </c>
      <c r="E140" s="848"/>
      <c r="F140" s="849"/>
      <c r="G140" s="850">
        <f t="shared" si="1"/>
        <v>0</v>
      </c>
      <c r="H140" s="879">
        <f>IF($G$169=0,0,G140/$G$169)</f>
        <v>0</v>
      </c>
    </row>
    <row r="141" spans="2:8" ht="14.25" customHeight="1" x14ac:dyDescent="0.25">
      <c r="B141" s="258"/>
      <c r="C141" s="258"/>
      <c r="D141" s="323"/>
      <c r="E141" s="260"/>
      <c r="F141" s="260"/>
      <c r="G141" s="260"/>
      <c r="H141" s="880"/>
    </row>
    <row r="142" spans="2:8" ht="14.25" customHeight="1" x14ac:dyDescent="0.25">
      <c r="B142" s="214" t="s">
        <v>1155</v>
      </c>
      <c r="C142" s="303" t="s">
        <v>2898</v>
      </c>
      <c r="D142" s="262" t="str">
        <f>VLOOKUP("T.06.119",Translation,LanguageNo+1,FALSE)</f>
        <v>1.9 Immaterielle Vermögenswerte</v>
      </c>
      <c r="E142" s="644"/>
      <c r="F142" s="645"/>
      <c r="G142" s="261">
        <f t="shared" ref="G142:G205" si="3">E142+F142</f>
        <v>0</v>
      </c>
      <c r="H142" s="878"/>
    </row>
    <row r="143" spans="2:8" ht="14.25" customHeight="1" x14ac:dyDescent="0.25">
      <c r="B143" s="258"/>
      <c r="C143" s="258"/>
      <c r="D143" s="390"/>
      <c r="E143" s="260"/>
      <c r="F143" s="260"/>
      <c r="G143" s="260"/>
      <c r="H143" s="880"/>
    </row>
    <row r="144" spans="2:8" ht="14.25" customHeight="1" x14ac:dyDescent="0.25">
      <c r="B144" s="214" t="s">
        <v>1158</v>
      </c>
      <c r="C144" s="303" t="s">
        <v>2899</v>
      </c>
      <c r="D144" s="286" t="str">
        <f>VLOOKUP("T.06.120",Translation,LanguageNo+1,FALSE)</f>
        <v>1.10 Forderungen aus dem Versicherungsgeschäft</v>
      </c>
      <c r="E144" s="638">
        <f>E145+E146+E150</f>
        <v>0</v>
      </c>
      <c r="F144" s="638">
        <f>F145+F146+F150</f>
        <v>0</v>
      </c>
      <c r="G144" s="261">
        <f t="shared" si="3"/>
        <v>0</v>
      </c>
      <c r="H144" s="878">
        <f>IF($G$169=0,0,G144/$G$169)</f>
        <v>0</v>
      </c>
    </row>
    <row r="145" spans="2:8" ht="14.25" customHeight="1" x14ac:dyDescent="0.25">
      <c r="B145" s="214" t="s">
        <v>1161</v>
      </c>
      <c r="C145" s="303" t="s">
        <v>2970</v>
      </c>
      <c r="D145" s="214" t="str">
        <f>VLOOKUP("T.06.121",Translation,LanguageNo+1,FALSE)</f>
        <v>Forderungen gegenüber Versicherungsnehmern und Agenten</v>
      </c>
      <c r="E145" s="311"/>
      <c r="F145" s="312"/>
      <c r="G145" s="264">
        <f t="shared" si="3"/>
        <v>0</v>
      </c>
      <c r="H145" s="879"/>
    </row>
    <row r="146" spans="2:8" ht="14.25" customHeight="1" x14ac:dyDescent="0.25">
      <c r="B146" s="214" t="s">
        <v>1162</v>
      </c>
      <c r="C146" s="303" t="s">
        <v>2971</v>
      </c>
      <c r="D146" s="214" t="str">
        <f>VLOOKUP("T.06.122",Translation,LanguageNo+1,FALSE)</f>
        <v>Forderungen gegenüber Versicherungs- und Rückversicherungsgesellschaften</v>
      </c>
      <c r="E146" s="203">
        <f>SUM(E147:E149)</f>
        <v>0</v>
      </c>
      <c r="F146" s="203">
        <f>SUM(F147:F149)</f>
        <v>0</v>
      </c>
      <c r="G146" s="264">
        <f t="shared" si="3"/>
        <v>0</v>
      </c>
      <c r="H146" s="879"/>
    </row>
    <row r="147" spans="2:8" ht="14.25" customHeight="1" x14ac:dyDescent="0.25">
      <c r="B147" s="214" t="s">
        <v>1163</v>
      </c>
      <c r="C147" s="303" t="s">
        <v>2976</v>
      </c>
      <c r="D147" s="290" t="str">
        <f>VLOOKUP("T.06.123",Translation,LanguageNo+1,FALSE)</f>
        <v>Forderungen gegenüber Versicherungsgesellschaften: abgegebene</v>
      </c>
      <c r="E147" s="273"/>
      <c r="F147" s="274"/>
      <c r="G147" s="275">
        <f t="shared" si="3"/>
        <v>0</v>
      </c>
      <c r="H147" s="879"/>
    </row>
    <row r="148" spans="2:8" ht="14.25" customHeight="1" x14ac:dyDescent="0.25">
      <c r="B148" s="310" t="s">
        <v>1164</v>
      </c>
      <c r="C148" s="303" t="s">
        <v>2977</v>
      </c>
      <c r="D148" s="297" t="str">
        <f>VLOOKUP("T.06.124",Translation,LanguageNo+1,FALSE)</f>
        <v>Forderungen gegenüber Versicherungsgesellschaften: übernommene</v>
      </c>
      <c r="E148" s="273"/>
      <c r="F148" s="274"/>
      <c r="G148" s="275">
        <f t="shared" si="3"/>
        <v>0</v>
      </c>
      <c r="H148" s="879"/>
    </row>
    <row r="149" spans="2:8" ht="14.25" customHeight="1" x14ac:dyDescent="0.25">
      <c r="B149" s="310" t="s">
        <v>1165</v>
      </c>
      <c r="C149" s="303" t="s">
        <v>2978</v>
      </c>
      <c r="D149" s="297" t="str">
        <f>VLOOKUP("T.06.125",Translation,LanguageNo+1,FALSE)</f>
        <v>Forderungen gegenüber Versicherungsgesellschaften: übrige</v>
      </c>
      <c r="E149" s="273"/>
      <c r="F149" s="274"/>
      <c r="G149" s="275">
        <f t="shared" si="3"/>
        <v>0</v>
      </c>
      <c r="H149" s="879"/>
    </row>
    <row r="150" spans="2:8" ht="14.25" customHeight="1" x14ac:dyDescent="0.25">
      <c r="B150" s="214" t="s">
        <v>1169</v>
      </c>
      <c r="C150" s="214" t="s">
        <v>3161</v>
      </c>
      <c r="D150" s="214" t="str">
        <f>VLOOKUP("T.06.126",Translation,LanguageNo+1,FALSE)</f>
        <v>Sonstige Depotforderungen und sonstige Forderungen aus dem Versicherungsgeschäft</v>
      </c>
      <c r="E150" s="249"/>
      <c r="F150" s="268"/>
      <c r="G150" s="264">
        <f t="shared" si="3"/>
        <v>0</v>
      </c>
      <c r="H150" s="879"/>
    </row>
    <row r="151" spans="2:8" ht="14.25" customHeight="1" x14ac:dyDescent="0.25">
      <c r="B151" s="310" t="s">
        <v>1173</v>
      </c>
      <c r="C151" s="214"/>
      <c r="D151" s="297" t="str">
        <f>VLOOKUP("T.06.127",Translation,LanguageNo+1,FALSE)</f>
        <v>davon Forderungen gegenüber Beteiligungen</v>
      </c>
      <c r="E151" s="640"/>
      <c r="F151" s="641"/>
      <c r="G151" s="275">
        <f t="shared" si="3"/>
        <v>0</v>
      </c>
      <c r="H151" s="879"/>
    </row>
    <row r="152" spans="2:8" ht="14.25" customHeight="1" x14ac:dyDescent="0.25">
      <c r="B152" s="258"/>
      <c r="C152" s="258"/>
      <c r="D152" s="258"/>
      <c r="E152" s="260"/>
      <c r="F152" s="260"/>
      <c r="G152" s="260"/>
      <c r="H152" s="880"/>
    </row>
    <row r="153" spans="2:8" ht="14.25" customHeight="1" x14ac:dyDescent="0.25">
      <c r="B153" s="214" t="s">
        <v>1177</v>
      </c>
      <c r="C153" s="303" t="s">
        <v>2904</v>
      </c>
      <c r="D153" s="262" t="str">
        <f>VLOOKUP("T.06.128",Translation,LanguageNo+1,FALSE)</f>
        <v>1.11 Übrige Forderungen</v>
      </c>
      <c r="E153" s="642"/>
      <c r="F153" s="643"/>
      <c r="G153" s="261">
        <f t="shared" si="3"/>
        <v>0</v>
      </c>
      <c r="H153" s="878">
        <f>IF($G$169=0,0,G153/$G$169)</f>
        <v>0</v>
      </c>
    </row>
    <row r="154" spans="2:8" ht="14.25" customHeight="1" x14ac:dyDescent="0.25">
      <c r="B154" s="258"/>
      <c r="C154" s="258"/>
      <c r="D154" s="258"/>
      <c r="E154" s="260"/>
      <c r="F154" s="260"/>
      <c r="G154" s="260"/>
      <c r="H154" s="880"/>
    </row>
    <row r="155" spans="2:8" ht="14.25" customHeight="1" x14ac:dyDescent="0.25">
      <c r="B155" s="214" t="s">
        <v>1181</v>
      </c>
      <c r="C155" s="303" t="s">
        <v>2905</v>
      </c>
      <c r="D155" s="304" t="str">
        <f>VLOOKUP("T.06.129",Translation,LanguageNo+1,FALSE)</f>
        <v>1.12 Sonstige Aktiven</v>
      </c>
      <c r="E155" s="638">
        <f>SUM(E156:E157)</f>
        <v>0</v>
      </c>
      <c r="F155" s="638">
        <f>SUM(F156:F157)</f>
        <v>0</v>
      </c>
      <c r="G155" s="261">
        <f t="shared" si="3"/>
        <v>0</v>
      </c>
      <c r="H155" s="878">
        <f>IF($G$169=0,0,G155/$G$169)</f>
        <v>0</v>
      </c>
    </row>
    <row r="156" spans="2:8" ht="14.25" customHeight="1" x14ac:dyDescent="0.25">
      <c r="B156" s="214" t="s">
        <v>1183</v>
      </c>
      <c r="C156" s="214"/>
      <c r="D156" s="214" t="str">
        <f>VLOOKUP("T.06.130",Translation,LanguageNo+1,FALSE)</f>
        <v>Erhaltene Garantien</v>
      </c>
      <c r="E156" s="249"/>
      <c r="F156" s="268"/>
      <c r="G156" s="264">
        <f t="shared" si="3"/>
        <v>0</v>
      </c>
      <c r="H156" s="879"/>
    </row>
    <row r="157" spans="2:8" ht="14.25" customHeight="1" x14ac:dyDescent="0.25">
      <c r="B157" s="214" t="s">
        <v>1187</v>
      </c>
      <c r="C157" s="289"/>
      <c r="D157" s="214" t="str">
        <f>VLOOKUP("T.06.131",Translation,LanguageNo+1,FALSE)</f>
        <v>Sonstige Vermögenswerte</v>
      </c>
      <c r="E157" s="311"/>
      <c r="F157" s="312"/>
      <c r="G157" s="264">
        <f t="shared" si="3"/>
        <v>0</v>
      </c>
      <c r="H157" s="879"/>
    </row>
    <row r="158" spans="2:8" ht="14.25" customHeight="1" x14ac:dyDescent="0.25">
      <c r="B158" s="258"/>
      <c r="C158" s="258"/>
      <c r="D158" s="258"/>
      <c r="E158" s="260"/>
      <c r="F158" s="260"/>
      <c r="G158" s="260"/>
      <c r="H158" s="880"/>
    </row>
    <row r="159" spans="2:8" ht="14.25" customHeight="1" x14ac:dyDescent="0.25">
      <c r="B159" s="214" t="s">
        <v>1190</v>
      </c>
      <c r="C159" s="303" t="s">
        <v>2906</v>
      </c>
      <c r="D159" s="262" t="str">
        <f>VLOOKUP("T.06.132",Translation,LanguageNo+1,FALSE)</f>
        <v>1.13 Nicht einbezahltes Grundkapital</v>
      </c>
      <c r="E159" s="642"/>
      <c r="F159" s="643"/>
      <c r="G159" s="261">
        <f t="shared" si="3"/>
        <v>0</v>
      </c>
      <c r="H159" s="878">
        <f>IF($G$169=0,0,G159/$G$169)</f>
        <v>0</v>
      </c>
    </row>
    <row r="160" spans="2:8" ht="14.25" customHeight="1" x14ac:dyDescent="0.25">
      <c r="B160" s="258"/>
      <c r="C160" s="258"/>
      <c r="D160" s="258"/>
      <c r="E160" s="260"/>
      <c r="F160" s="260"/>
      <c r="G160" s="260"/>
      <c r="H160" s="880"/>
    </row>
    <row r="161" spans="2:23" ht="14.25" customHeight="1" x14ac:dyDescent="0.25">
      <c r="B161" s="214" t="s">
        <v>1194</v>
      </c>
      <c r="C161" s="303" t="s">
        <v>2907</v>
      </c>
      <c r="D161" s="262" t="str">
        <f>VLOOKUP("T.06.133",Translation,LanguageNo+1,FALSE)</f>
        <v>1.14 Aktive Rechnungsabgrenzungen</v>
      </c>
      <c r="E161" s="638">
        <f>SUM(E162:E165)</f>
        <v>0</v>
      </c>
      <c r="F161" s="638">
        <f>SUM(F162:F165)</f>
        <v>0</v>
      </c>
      <c r="G161" s="261">
        <f t="shared" si="3"/>
        <v>0</v>
      </c>
      <c r="H161" s="878">
        <f>IF($G$169=0,0,G161/$G$169)</f>
        <v>0</v>
      </c>
    </row>
    <row r="162" spans="2:23" ht="14.25" customHeight="1" x14ac:dyDescent="0.25">
      <c r="B162" s="214" t="s">
        <v>1198</v>
      </c>
      <c r="C162" s="303" t="s">
        <v>2979</v>
      </c>
      <c r="D162" s="320" t="str">
        <f>VLOOKUP("T.06.134",Translation,LanguageNo+1,FALSE)</f>
        <v>Vorausbezahlte Versicherungsleistungen</v>
      </c>
      <c r="E162" s="249"/>
      <c r="F162" s="268"/>
      <c r="G162" s="264">
        <f t="shared" si="3"/>
        <v>0</v>
      </c>
      <c r="H162" s="879"/>
    </row>
    <row r="163" spans="2:23" ht="14.25" customHeight="1" x14ac:dyDescent="0.25">
      <c r="B163" s="214" t="s">
        <v>1202</v>
      </c>
      <c r="C163" s="303" t="s">
        <v>2980</v>
      </c>
      <c r="D163" s="214" t="str">
        <f>VLOOKUP("T.06.135",Translation,LanguageNo+1,FALSE)</f>
        <v>Abgegrenzte Zinsen und Mieten</v>
      </c>
      <c r="E163" s="249"/>
      <c r="F163" s="268"/>
      <c r="G163" s="264">
        <f t="shared" si="3"/>
        <v>0</v>
      </c>
      <c r="H163" s="879"/>
    </row>
    <row r="164" spans="2:23" ht="14.25" customHeight="1" x14ac:dyDescent="0.25">
      <c r="B164" s="214" t="s">
        <v>1206</v>
      </c>
      <c r="C164" s="303" t="s">
        <v>2981</v>
      </c>
      <c r="D164" s="214" t="str">
        <f>VLOOKUP("T.06.136",Translation,LanguageNo+1,FALSE)</f>
        <v>Latente Steuerforderungen</v>
      </c>
      <c r="E164" s="851"/>
      <c r="F164" s="852"/>
      <c r="G164" s="850">
        <f t="shared" si="3"/>
        <v>0</v>
      </c>
      <c r="H164" s="879"/>
    </row>
    <row r="165" spans="2:23" ht="14.25" customHeight="1" x14ac:dyDescent="0.25">
      <c r="B165" s="310" t="s">
        <v>1207</v>
      </c>
      <c r="C165" s="303" t="s">
        <v>2982</v>
      </c>
      <c r="D165" s="214" t="str">
        <f>VLOOKUP("T.06.137",Translation,LanguageNo+1,FALSE)</f>
        <v>Sonstige Rechnungsabgrenzungsposten</v>
      </c>
      <c r="E165" s="311"/>
      <c r="F165" s="312"/>
      <c r="G165" s="264">
        <f t="shared" si="3"/>
        <v>0</v>
      </c>
      <c r="H165" s="879"/>
    </row>
    <row r="166" spans="2:23" ht="14.25" customHeight="1" x14ac:dyDescent="0.25">
      <c r="B166" s="258"/>
      <c r="C166" s="258"/>
      <c r="D166" s="314"/>
      <c r="E166" s="260"/>
      <c r="F166" s="260"/>
      <c r="G166" s="260"/>
      <c r="H166" s="880"/>
    </row>
    <row r="167" spans="2:23" ht="14.25" customHeight="1" x14ac:dyDescent="0.25">
      <c r="B167" s="214" t="s">
        <v>1210</v>
      </c>
      <c r="C167" s="214"/>
      <c r="D167" s="286" t="str">
        <f>VLOOKUP("T.06.138",Translation,LanguageNo+1,FALSE)</f>
        <v>Total übrige Aktiven</v>
      </c>
      <c r="E167" s="638">
        <f>E93+E106+E114+E116+E121+E136+E140+E142+E144+E153+E155+E159+E161</f>
        <v>0</v>
      </c>
      <c r="F167" s="638">
        <f>F93+F106+F114+F116+F121+F136+F140+F142+F144+F153+F155+F159+F161</f>
        <v>0</v>
      </c>
      <c r="G167" s="261">
        <f t="shared" si="3"/>
        <v>0</v>
      </c>
      <c r="H167" s="878">
        <f>IF($G$169=0,0,G167/$G$169)</f>
        <v>0</v>
      </c>
      <c r="J167" s="904" t="str">
        <f>VLOOKUP("T.06.211",Translation,LanguageNo+1,FALSE) &amp;" "&amp;Unit &amp; SST_Currency</f>
        <v>Aufriss nach Währungen in Mio. CHF</v>
      </c>
      <c r="K167" s="904"/>
      <c r="L167" s="904"/>
      <c r="M167" s="267"/>
      <c r="N167" s="267"/>
      <c r="O167" s="267"/>
      <c r="P167" s="267"/>
    </row>
    <row r="168" spans="2:23" ht="14.25" customHeight="1" x14ac:dyDescent="0.2">
      <c r="B168" s="258"/>
      <c r="C168" s="258"/>
      <c r="D168" s="323"/>
      <c r="E168" s="260"/>
      <c r="F168" s="260"/>
      <c r="G168" s="260"/>
      <c r="H168" s="880"/>
      <c r="J168" s="269"/>
      <c r="K168" s="315" t="s">
        <v>30</v>
      </c>
      <c r="L168" s="315" t="s">
        <v>31</v>
      </c>
      <c r="M168" s="315" t="s">
        <v>33</v>
      </c>
      <c r="N168" s="315" t="s">
        <v>32</v>
      </c>
      <c r="O168" s="315" t="s">
        <v>87</v>
      </c>
      <c r="P168" s="315" t="s">
        <v>2091</v>
      </c>
      <c r="T168" s="316"/>
      <c r="U168" s="316"/>
      <c r="W168" s="316"/>
    </row>
    <row r="169" spans="2:23" ht="14.25" customHeight="1" x14ac:dyDescent="0.25">
      <c r="B169" s="214" t="s">
        <v>1213</v>
      </c>
      <c r="C169" s="303" t="s">
        <v>2909</v>
      </c>
      <c r="D169" s="286" t="str">
        <f>VLOOKUP("T.06.139",Translation,LanguageNo+1,FALSE)</f>
        <v>1.15 Total Aktiven</v>
      </c>
      <c r="E169" s="638">
        <f>E89+E167</f>
        <v>0</v>
      </c>
      <c r="F169" s="638">
        <f>F89+F167</f>
        <v>0</v>
      </c>
      <c r="G169" s="261">
        <f t="shared" si="3"/>
        <v>0</v>
      </c>
      <c r="H169" s="878">
        <f>IF($G$169=0,0,G169/$G$169)</f>
        <v>0</v>
      </c>
      <c r="J169" s="317" t="str">
        <f>IF(ABS(G169-SUM(K169:P169))&lt;0.01,"OK","Korrektur")</f>
        <v>OK</v>
      </c>
      <c r="K169" s="218"/>
      <c r="L169" s="318"/>
      <c r="M169" s="318"/>
      <c r="N169" s="318"/>
      <c r="O169" s="318"/>
      <c r="P169" s="318"/>
    </row>
    <row r="170" spans="2:23" ht="14.25" customHeight="1" x14ac:dyDescent="0.25">
      <c r="B170" s="265"/>
      <c r="C170" s="265"/>
      <c r="D170" s="323"/>
      <c r="E170" s="260"/>
      <c r="F170" s="260"/>
      <c r="G170" s="260"/>
      <c r="H170" s="880"/>
    </row>
    <row r="171" spans="2:23" ht="14.25" customHeight="1" x14ac:dyDescent="0.25">
      <c r="B171" s="214"/>
      <c r="C171" s="214"/>
      <c r="D171" s="307" t="str">
        <f>VLOOKUP("T.06.140",Translation,LanguageNo+1,FALSE)</f>
        <v>Fremdkapital</v>
      </c>
      <c r="E171" s="291"/>
      <c r="F171" s="291"/>
      <c r="G171" s="264"/>
      <c r="H171" s="879"/>
    </row>
    <row r="172" spans="2:23" ht="14.25" customHeight="1" x14ac:dyDescent="0.25">
      <c r="B172" s="258"/>
      <c r="C172" s="258"/>
      <c r="D172" s="319"/>
      <c r="E172" s="260"/>
      <c r="F172" s="260"/>
      <c r="G172" s="260"/>
      <c r="H172" s="880"/>
    </row>
    <row r="173" spans="2:23" ht="14.25" customHeight="1" x14ac:dyDescent="0.25">
      <c r="B173" s="214" t="s">
        <v>1217</v>
      </c>
      <c r="C173" s="303"/>
      <c r="D173" s="286" t="str">
        <f>VLOOKUP("T.06.141",Translation,LanguageNo+1,FALSE)</f>
        <v>2.1 Versicherungstechnische Rückstellungen: Brutto</v>
      </c>
      <c r="E173" s="636">
        <f>E174+E183+E185+E192+E194+E203+E205+E206</f>
        <v>0</v>
      </c>
      <c r="F173" s="636">
        <f>F174+F183+F185+F192+F194+F203+F205+F206</f>
        <v>0</v>
      </c>
      <c r="G173" s="261">
        <f t="shared" si="3"/>
        <v>0</v>
      </c>
      <c r="H173" s="878">
        <f>IF($G$169=0,0,G173/$G$169)</f>
        <v>0</v>
      </c>
    </row>
    <row r="174" spans="2:23" ht="14.25" customHeight="1" x14ac:dyDescent="0.25">
      <c r="B174" s="214" t="s">
        <v>1218</v>
      </c>
      <c r="C174" s="303" t="s">
        <v>2912</v>
      </c>
      <c r="D174" s="286" t="str">
        <f>VLOOKUP("T.06.142",Translation,LanguageNo+1,FALSE)</f>
        <v>Direktversicherung: Lebensversicherungsgeschäft (ohne ALV)</v>
      </c>
      <c r="E174" s="263">
        <f>E175+SUM(E178:E179)+SUM(E181:E182)</f>
        <v>0</v>
      </c>
      <c r="F174" s="263">
        <f>F175+SUM(F178:F179)+SUM(F181:F182)</f>
        <v>0</v>
      </c>
      <c r="G174" s="264">
        <f t="shared" si="3"/>
        <v>0</v>
      </c>
      <c r="H174" s="879"/>
    </row>
    <row r="175" spans="2:23" ht="14.25" customHeight="1" x14ac:dyDescent="0.25">
      <c r="B175" s="214" t="s">
        <v>1219</v>
      </c>
      <c r="C175" s="303" t="s">
        <v>2988</v>
      </c>
      <c r="D175" s="214" t="str">
        <f>VLOOKUP("T.06.143",Translation,LanguageNo+1,FALSE)</f>
        <v>Best Estimate der Versicherungsverpflichtungen (Leben): Brutto</v>
      </c>
      <c r="E175" s="263">
        <f>SUM(E176:E177)</f>
        <v>0</v>
      </c>
      <c r="F175" s="263">
        <f>SUM(F176:F177)</f>
        <v>0</v>
      </c>
      <c r="G175" s="264">
        <f t="shared" si="3"/>
        <v>0</v>
      </c>
      <c r="H175" s="879"/>
    </row>
    <row r="176" spans="2:23" ht="14.25" customHeight="1" x14ac:dyDescent="0.25">
      <c r="B176" s="214" t="s">
        <v>1222</v>
      </c>
      <c r="C176" s="214"/>
      <c r="D176" s="297" t="str">
        <f>VLOOKUP("T.06.144",Translation,LanguageNo+1,FALSE)</f>
        <v>Einzelgeschäft</v>
      </c>
      <c r="E176" s="273"/>
      <c r="F176" s="274"/>
      <c r="G176" s="275">
        <f t="shared" si="3"/>
        <v>0</v>
      </c>
      <c r="H176" s="879"/>
    </row>
    <row r="177" spans="2:21" ht="14.25" customHeight="1" x14ac:dyDescent="0.25">
      <c r="B177" s="214" t="s">
        <v>1225</v>
      </c>
      <c r="C177" s="214"/>
      <c r="D177" s="297" t="str">
        <f>VLOOKUP("T.06.145",Translation,LanguageNo+1,FALSE)</f>
        <v>Kollektivgeschäft</v>
      </c>
      <c r="E177" s="273"/>
      <c r="F177" s="274"/>
      <c r="G177" s="275">
        <f t="shared" si="3"/>
        <v>0</v>
      </c>
      <c r="H177" s="879"/>
    </row>
    <row r="178" spans="2:21" ht="14.25" customHeight="1" x14ac:dyDescent="0.25">
      <c r="B178" s="214" t="s">
        <v>1228</v>
      </c>
      <c r="C178" s="303" t="s">
        <v>2989</v>
      </c>
      <c r="D178" s="214" t="str">
        <f>VLOOKUP("T.06.146",Translation,LanguageNo+1,FALSE)</f>
        <v>Schwankungsrückstellungen und weitere statutarische Reserven (Leben): Brutto</v>
      </c>
      <c r="E178" s="853"/>
      <c r="F178" s="854"/>
      <c r="G178" s="850">
        <f t="shared" si="3"/>
        <v>0</v>
      </c>
      <c r="H178" s="879"/>
    </row>
    <row r="179" spans="2:21" ht="14.25" customHeight="1" x14ac:dyDescent="0.25">
      <c r="B179" s="214" t="s">
        <v>1229</v>
      </c>
      <c r="C179" s="214"/>
      <c r="D179" s="214" t="str">
        <f>VLOOKUP("T.06.147",Translation,LanguageNo+1,FALSE)</f>
        <v>Best Estimate der sonstigen Versicherungsverpflichtungen (Leben): Brutto</v>
      </c>
      <c r="E179" s="249"/>
      <c r="F179" s="268"/>
      <c r="G179" s="841">
        <f t="shared" si="3"/>
        <v>0</v>
      </c>
      <c r="H179" s="879"/>
    </row>
    <row r="180" spans="2:21" ht="14.25" customHeight="1" x14ac:dyDescent="0.25">
      <c r="B180" s="214" t="s">
        <v>1233</v>
      </c>
      <c r="C180" s="303" t="s">
        <v>2990</v>
      </c>
      <c r="D180" s="297" t="str">
        <f>VLOOKUP("T.06.148",Translation,LanguageNo+1,FALSE)</f>
        <v>davon Zillmerabschlag (Leben): Brutto</v>
      </c>
      <c r="E180" s="855"/>
      <c r="F180" s="856"/>
      <c r="G180" s="857">
        <f t="shared" si="3"/>
        <v>0</v>
      </c>
      <c r="H180" s="879"/>
      <c r="T180" s="909"/>
      <c r="U180" s="254"/>
    </row>
    <row r="181" spans="2:21" ht="14.25" customHeight="1" x14ac:dyDescent="0.25">
      <c r="B181" s="310" t="s">
        <v>1236</v>
      </c>
      <c r="C181" s="303" t="s">
        <v>2991</v>
      </c>
      <c r="D181" s="214" t="str">
        <f>VLOOKUP("T.06.149",Translation,LanguageNo+1,FALSE)</f>
        <v>Rückstellungen für vertragliche Überschussbeteiligungen (Leben): Brutto</v>
      </c>
      <c r="E181" s="249"/>
      <c r="F181" s="268"/>
      <c r="G181" s="841">
        <f t="shared" si="3"/>
        <v>0</v>
      </c>
      <c r="H181" s="879"/>
    </row>
    <row r="182" spans="2:21" ht="14.25" customHeight="1" x14ac:dyDescent="0.25">
      <c r="B182" s="310" t="s">
        <v>1240</v>
      </c>
      <c r="C182" s="303" t="s">
        <v>2992</v>
      </c>
      <c r="D182" s="320" t="str">
        <f>VLOOKUP("T.06.150",Translation,LanguageNo+1,FALSE)</f>
        <v>Rückstellungen für Überschussfonds (Leben): Brutto</v>
      </c>
      <c r="E182" s="311"/>
      <c r="F182" s="312"/>
      <c r="G182" s="264">
        <f t="shared" si="3"/>
        <v>0</v>
      </c>
      <c r="H182" s="879"/>
    </row>
    <row r="183" spans="2:21" ht="14.25" customHeight="1" x14ac:dyDescent="0.25">
      <c r="B183" s="310" t="s">
        <v>1241</v>
      </c>
      <c r="C183" s="303" t="s">
        <v>2910</v>
      </c>
      <c r="D183" s="262" t="str">
        <f>VLOOKUP("T.06.151",Translation,LanguageNo+1,FALSE)</f>
        <v>Aktive Rückversicherung: Lebensversicherungsgeschäft (ohne ALV)</v>
      </c>
      <c r="E183" s="249"/>
      <c r="F183" s="268"/>
      <c r="G183" s="264">
        <f>E183+F183</f>
        <v>0</v>
      </c>
      <c r="H183" s="879"/>
    </row>
    <row r="184" spans="2:21" ht="14.25" customHeight="1" x14ac:dyDescent="0.25">
      <c r="B184" s="258"/>
      <c r="C184" s="258"/>
      <c r="D184" s="258"/>
      <c r="E184" s="260"/>
      <c r="F184" s="260"/>
      <c r="G184" s="260"/>
      <c r="H184" s="880"/>
    </row>
    <row r="185" spans="2:21" ht="14.25" customHeight="1" x14ac:dyDescent="0.25">
      <c r="B185" s="310" t="s">
        <v>1243</v>
      </c>
      <c r="C185" s="303" t="s">
        <v>2911</v>
      </c>
      <c r="D185" s="262" t="str">
        <f>VLOOKUP("T.06.152",Translation,LanguageNo+1,FALSE)</f>
        <v>Direktversicherung: Schadenversicherungsgeschäft</v>
      </c>
      <c r="E185" s="291">
        <f>E186+SUM(E188:E191)</f>
        <v>0</v>
      </c>
      <c r="F185" s="291">
        <f>F186+SUM(F188:F191)</f>
        <v>0</v>
      </c>
      <c r="G185" s="264">
        <f t="shared" si="3"/>
        <v>0</v>
      </c>
      <c r="H185" s="879"/>
    </row>
    <row r="186" spans="2:21" ht="14.25" customHeight="1" x14ac:dyDescent="0.25">
      <c r="B186" s="310" t="s">
        <v>1245</v>
      </c>
      <c r="C186" s="303"/>
      <c r="D186" s="214" t="str">
        <f>VLOOKUP("T.06.153",Translation,LanguageNo+1,FALSE)</f>
        <v>Best Estimate der Versicherungsverpflichtungen (Schaden): Brutto</v>
      </c>
      <c r="E186" s="249"/>
      <c r="F186" s="268"/>
      <c r="G186" s="264">
        <f t="shared" si="3"/>
        <v>0</v>
      </c>
      <c r="H186" s="879"/>
    </row>
    <row r="187" spans="2:21" ht="14.25" customHeight="1" x14ac:dyDescent="0.25">
      <c r="B187" s="214" t="s">
        <v>1248</v>
      </c>
      <c r="C187" s="214"/>
      <c r="D187" s="297" t="str">
        <f>VLOOKUP("T.06.154",Translation,LanguageNo+1,FALSE)</f>
        <v>davon Best Estimate der Verpflichtungen des UVG-Bestandes: Brutto</v>
      </c>
      <c r="E187" s="273"/>
      <c r="F187" s="274"/>
      <c r="G187" s="275">
        <f t="shared" si="3"/>
        <v>0</v>
      </c>
      <c r="H187" s="879"/>
    </row>
    <row r="188" spans="2:21" ht="14.25" customHeight="1" x14ac:dyDescent="0.25">
      <c r="B188" s="214" t="s">
        <v>1249</v>
      </c>
      <c r="C188" s="303"/>
      <c r="D188" s="214" t="str">
        <f>VLOOKUP("T.06.155",Translation,LanguageNo+1,FALSE)</f>
        <v>Schwankungsrückstellungen und weitere statutarische Reserven (Schaden): Brutto</v>
      </c>
      <c r="E188" s="853"/>
      <c r="F188" s="854"/>
      <c r="G188" s="850">
        <f t="shared" si="3"/>
        <v>0</v>
      </c>
      <c r="H188" s="879"/>
    </row>
    <row r="189" spans="2:21" ht="14.25" customHeight="1" x14ac:dyDescent="0.25">
      <c r="B189" s="310" t="s">
        <v>2983</v>
      </c>
      <c r="C189" s="289"/>
      <c r="D189" s="214" t="str">
        <f>VLOOKUP("T.06.156",Translation,LanguageNo+1,FALSE)</f>
        <v>Best Estimate der sonstigen Versicherungsverpflichtungen (Schaden): Brutto</v>
      </c>
      <c r="E189" s="249"/>
      <c r="F189" s="268"/>
      <c r="G189" s="264">
        <f t="shared" si="3"/>
        <v>0</v>
      </c>
      <c r="H189" s="879"/>
    </row>
    <row r="190" spans="2:21" ht="14.25" customHeight="1" x14ac:dyDescent="0.25">
      <c r="B190" s="214" t="s">
        <v>1255</v>
      </c>
      <c r="C190" s="303"/>
      <c r="D190" s="214" t="str">
        <f>VLOOKUP("T.06.157",Translation,LanguageNo+1,FALSE)</f>
        <v>Rückstellungen für vertragliche Überschussbeteiligungen (Schaden): Brutto</v>
      </c>
      <c r="E190" s="249"/>
      <c r="F190" s="268"/>
      <c r="G190" s="264">
        <f t="shared" si="3"/>
        <v>0</v>
      </c>
      <c r="H190" s="879"/>
    </row>
    <row r="191" spans="2:21" ht="14.25" customHeight="1" x14ac:dyDescent="0.25">
      <c r="B191" s="214" t="s">
        <v>1256</v>
      </c>
      <c r="C191" s="303"/>
      <c r="D191" s="214" t="str">
        <f>VLOOKUP("T.06.158",Translation,LanguageNo+1,FALSE)</f>
        <v>Rückstellungen für Überschussfonds (Schaden): Brutto</v>
      </c>
      <c r="E191" s="295"/>
      <c r="F191" s="635"/>
      <c r="G191" s="264">
        <f t="shared" si="3"/>
        <v>0</v>
      </c>
      <c r="H191" s="879"/>
    </row>
    <row r="192" spans="2:21" ht="14.25" customHeight="1" x14ac:dyDescent="0.25">
      <c r="B192" s="214" t="s">
        <v>1258</v>
      </c>
      <c r="C192" s="303" t="s">
        <v>2913</v>
      </c>
      <c r="D192" s="262" t="str">
        <f>VLOOKUP("T.06.159",Translation,LanguageNo+1,FALSE)</f>
        <v>Aktive Rückversicherung: Schadenversicherungsgeschäft</v>
      </c>
      <c r="E192" s="249"/>
      <c r="F192" s="268"/>
      <c r="G192" s="264">
        <f>E192+F192</f>
        <v>0</v>
      </c>
      <c r="H192" s="879"/>
    </row>
    <row r="193" spans="2:8" ht="14.25" customHeight="1" x14ac:dyDescent="0.25">
      <c r="B193" s="258"/>
      <c r="C193" s="258"/>
      <c r="D193" s="323"/>
      <c r="E193" s="260"/>
      <c r="F193" s="260"/>
      <c r="G193" s="260"/>
      <c r="H193" s="880"/>
    </row>
    <row r="194" spans="2:8" ht="14.25" customHeight="1" x14ac:dyDescent="0.25">
      <c r="B194" s="214" t="s">
        <v>1259</v>
      </c>
      <c r="C194" s="303" t="s">
        <v>2993</v>
      </c>
      <c r="D194" s="286" t="str">
        <f>VLOOKUP("T.06.160",Translation,LanguageNo+1,FALSE)</f>
        <v>Direktversicherung: Krankenversicherungsgeschäft</v>
      </c>
      <c r="E194" s="291">
        <f>E195+SUM(E198:E202)</f>
        <v>0</v>
      </c>
      <c r="F194" s="291">
        <f>F195+SUM(F198:F202)</f>
        <v>0</v>
      </c>
      <c r="G194" s="264">
        <f t="shared" si="3"/>
        <v>0</v>
      </c>
      <c r="H194" s="879"/>
    </row>
    <row r="195" spans="2:8" ht="14.25" customHeight="1" x14ac:dyDescent="0.25">
      <c r="B195" s="214" t="s">
        <v>1261</v>
      </c>
      <c r="C195" s="214"/>
      <c r="D195" s="310" t="str">
        <f>VLOOKUP("T.06.161",Translation,LanguageNo+1,FALSE)</f>
        <v>Best Estimate der Versicherungsverpflichtungen (Kranken): Brutto</v>
      </c>
      <c r="E195" s="249"/>
      <c r="F195" s="268"/>
      <c r="G195" s="264">
        <f t="shared" si="3"/>
        <v>0</v>
      </c>
      <c r="H195" s="879"/>
    </row>
    <row r="196" spans="2:8" ht="14.25" customHeight="1" x14ac:dyDescent="0.25">
      <c r="B196" s="214" t="s">
        <v>1262</v>
      </c>
      <c r="C196" s="214"/>
      <c r="D196" s="290" t="str">
        <f>VLOOKUP("T.06.162",Translation,LanguageNo+1,FALSE)</f>
        <v>davon Best Estimate der Versicherungsverpflichtungen Einzelkranken: Brutto</v>
      </c>
      <c r="E196" s="273"/>
      <c r="F196" s="274"/>
      <c r="G196" s="275">
        <f t="shared" si="3"/>
        <v>0</v>
      </c>
      <c r="H196" s="879"/>
    </row>
    <row r="197" spans="2:8" ht="14.25" customHeight="1" x14ac:dyDescent="0.25">
      <c r="B197" s="214" t="s">
        <v>1265</v>
      </c>
      <c r="C197" s="214"/>
      <c r="D197" s="290" t="str">
        <f>VLOOKUP("T.06.163",Translation,LanguageNo+1,FALSE)</f>
        <v>davon Best Estimate der Versicherungsverpflichtungen Kollektivtaggeld: Brutto</v>
      </c>
      <c r="E197" s="273"/>
      <c r="F197" s="274"/>
      <c r="G197" s="275">
        <f t="shared" si="3"/>
        <v>0</v>
      </c>
      <c r="H197" s="879"/>
    </row>
    <row r="198" spans="2:8" ht="14.25" customHeight="1" x14ac:dyDescent="0.25">
      <c r="B198" s="214" t="s">
        <v>1269</v>
      </c>
      <c r="C198" s="303"/>
      <c r="D198" s="214" t="str">
        <f>VLOOKUP("T.06.164",Translation,LanguageNo+1,FALSE)</f>
        <v>Best Estimate der Langzeitverpflichtungen (Kranken): Brutto</v>
      </c>
      <c r="E198" s="249"/>
      <c r="F198" s="268"/>
      <c r="G198" s="264">
        <f t="shared" si="3"/>
        <v>0</v>
      </c>
      <c r="H198" s="879"/>
    </row>
    <row r="199" spans="2:8" ht="14.25" customHeight="1" x14ac:dyDescent="0.25">
      <c r="B199" s="214" t="s">
        <v>1271</v>
      </c>
      <c r="C199" s="303" t="s">
        <v>2994</v>
      </c>
      <c r="D199" s="385" t="str">
        <f>VLOOKUP("T.06.165",Translation,LanguageNo+1,FALSE)</f>
        <v>Schwankungsrückstellungen und weitere statutarische Reserven (Kranken): Brutto</v>
      </c>
      <c r="E199" s="853"/>
      <c r="F199" s="854"/>
      <c r="G199" s="850">
        <f t="shared" si="3"/>
        <v>0</v>
      </c>
      <c r="H199" s="879"/>
    </row>
    <row r="200" spans="2:8" ht="14.25" customHeight="1" x14ac:dyDescent="0.25">
      <c r="B200" s="214" t="s">
        <v>1274</v>
      </c>
      <c r="C200" s="214"/>
      <c r="D200" s="310" t="str">
        <f>VLOOKUP("T.06.166",Translation,LanguageNo+1,FALSE)</f>
        <v>Best Estimate der sonstigen Versicherungsverpflichtungen (Kranken): Brutto</v>
      </c>
      <c r="E200" s="249"/>
      <c r="F200" s="268"/>
      <c r="G200" s="264">
        <f t="shared" si="3"/>
        <v>0</v>
      </c>
      <c r="H200" s="879"/>
    </row>
    <row r="201" spans="2:8" ht="14.25" customHeight="1" x14ac:dyDescent="0.25">
      <c r="B201" s="310" t="s">
        <v>2914</v>
      </c>
      <c r="C201" s="214"/>
      <c r="D201" s="214" t="str">
        <f>VLOOKUP("T.06.167",Translation,LanguageNo+1,FALSE)</f>
        <v>Rückstellungen für vertragliche Überschussbeteiligungen (Kranken): Brutto</v>
      </c>
      <c r="E201" s="249"/>
      <c r="F201" s="268"/>
      <c r="G201" s="264">
        <f t="shared" si="3"/>
        <v>0</v>
      </c>
      <c r="H201" s="879"/>
    </row>
    <row r="202" spans="2:8" ht="14.25" customHeight="1" x14ac:dyDescent="0.25">
      <c r="B202" s="214" t="s">
        <v>1278</v>
      </c>
      <c r="C202" s="214"/>
      <c r="D202" s="385" t="str">
        <f>VLOOKUP("T.06.168",Translation,LanguageNo+1,FALSE)</f>
        <v>Rückstellungen für Überschussfonds (Kranken): Brutto</v>
      </c>
      <c r="E202" s="295"/>
      <c r="F202" s="635"/>
      <c r="G202" s="264">
        <f t="shared" si="3"/>
        <v>0</v>
      </c>
      <c r="H202" s="879"/>
    </row>
    <row r="203" spans="2:8" ht="14.25" customHeight="1" x14ac:dyDescent="0.25">
      <c r="B203" s="214" t="s">
        <v>1281</v>
      </c>
      <c r="C203" s="303" t="s">
        <v>2916</v>
      </c>
      <c r="D203" s="304" t="str">
        <f>VLOOKUP("T.06.169",Translation,LanguageNo+1,FALSE)</f>
        <v>Aktive Rückversicherung: Krankenversicherungsgeschäft</v>
      </c>
      <c r="E203" s="249"/>
      <c r="F203" s="268"/>
      <c r="G203" s="841">
        <f>E203+F203</f>
        <v>0</v>
      </c>
      <c r="H203" s="879"/>
    </row>
    <row r="204" spans="2:8" ht="14.25" customHeight="1" x14ac:dyDescent="0.25">
      <c r="B204" s="258"/>
      <c r="C204" s="258"/>
      <c r="D204" s="390"/>
      <c r="E204" s="260"/>
      <c r="F204" s="260"/>
      <c r="G204" s="260"/>
      <c r="H204" s="880"/>
    </row>
    <row r="205" spans="2:8" ht="14.25" customHeight="1" x14ac:dyDescent="0.25">
      <c r="B205" s="214" t="s">
        <v>1284</v>
      </c>
      <c r="C205" s="214"/>
      <c r="D205" s="306" t="str">
        <f>VLOOKUP("T.06.170",Translation,LanguageNo+1,FALSE)</f>
        <v>Direktversicherung: Sonstiges Geschäft</v>
      </c>
      <c r="E205" s="311"/>
      <c r="F205" s="312"/>
      <c r="G205" s="264">
        <f t="shared" si="3"/>
        <v>0</v>
      </c>
      <c r="H205" s="879"/>
    </row>
    <row r="206" spans="2:8" ht="14.25" customHeight="1" x14ac:dyDescent="0.25">
      <c r="B206" s="214" t="s">
        <v>1287</v>
      </c>
      <c r="C206" s="214"/>
      <c r="D206" s="262" t="str">
        <f>VLOOKUP("T.06.171",Translation,LanguageNo+1,FALSE)</f>
        <v>Aktive Rückversicherung: Sonstiges Geschäft</v>
      </c>
      <c r="E206" s="295"/>
      <c r="F206" s="635"/>
      <c r="G206" s="264">
        <f>E206+F206</f>
        <v>0</v>
      </c>
      <c r="H206" s="879"/>
    </row>
    <row r="207" spans="2:8" ht="14.25" customHeight="1" x14ac:dyDescent="0.25">
      <c r="B207" s="258"/>
      <c r="C207" s="258"/>
      <c r="D207" s="323"/>
      <c r="E207" s="260"/>
      <c r="F207" s="260"/>
      <c r="G207" s="260"/>
      <c r="H207" s="880"/>
    </row>
    <row r="208" spans="2:8" ht="14.25" customHeight="1" x14ac:dyDescent="0.25">
      <c r="B208" s="214" t="s">
        <v>1291</v>
      </c>
      <c r="C208" s="303" t="s">
        <v>2995</v>
      </c>
      <c r="D208" s="306" t="str">
        <f>VLOOKUP("T.06.172",Translation,LanguageNo+1,FALSE)</f>
        <v>2.2 Versicherungstechnische Rückstellungen für anteilgebundene Lebensversicherung: Brutto</v>
      </c>
      <c r="E208" s="638">
        <f>E209+E211+E213+E214</f>
        <v>0</v>
      </c>
      <c r="F208" s="638">
        <f>F209+F211+F213+F214</f>
        <v>0</v>
      </c>
      <c r="G208" s="261">
        <f t="shared" ref="G208:G256" si="4">E208+F208</f>
        <v>0</v>
      </c>
      <c r="H208" s="878">
        <f>IF($G$169=0,0,G208/$G$169)</f>
        <v>0</v>
      </c>
    </row>
    <row r="209" spans="2:8" ht="14.25" customHeight="1" x14ac:dyDescent="0.25">
      <c r="B209" s="214" t="s">
        <v>1295</v>
      </c>
      <c r="C209" s="214"/>
      <c r="D209" s="214" t="str">
        <f>VLOOKUP("T.06.173",Translation,LanguageNo+1,FALSE)</f>
        <v>Fondsanteilgebundene Lebensversicherung (A 2.1 - A 2.3 &amp; A 6.1)</v>
      </c>
      <c r="E209" s="249"/>
      <c r="F209" s="268"/>
      <c r="G209" s="264">
        <f t="shared" si="4"/>
        <v>0</v>
      </c>
      <c r="H209" s="879"/>
    </row>
    <row r="210" spans="2:8" ht="14.25" customHeight="1" x14ac:dyDescent="0.25">
      <c r="B210" s="214" t="s">
        <v>1299</v>
      </c>
      <c r="C210" s="214"/>
      <c r="D210" s="297" t="str">
        <f>VLOOKUP("T.06.174",Translation,LanguageNo+1,FALSE)</f>
        <v>davon Optionen und Garantien</v>
      </c>
      <c r="E210" s="273"/>
      <c r="F210" s="274"/>
      <c r="G210" s="275">
        <f t="shared" si="4"/>
        <v>0</v>
      </c>
      <c r="H210" s="879"/>
    </row>
    <row r="211" spans="2:8" ht="14.25" customHeight="1" x14ac:dyDescent="0.25">
      <c r="B211" s="214" t="s">
        <v>1300</v>
      </c>
      <c r="C211" s="214"/>
      <c r="D211" s="214" t="str">
        <f>VLOOKUP("T.06.175",Translation,LanguageNo+1,FALSE)</f>
        <v>An interne Anlagebestände oder andere Bezugswerte gebundene Lebensversicherung: Brutto (A 2.4 - A 2.6 &amp; A 6.2)</v>
      </c>
      <c r="E211" s="249"/>
      <c r="F211" s="268"/>
      <c r="G211" s="264">
        <f t="shared" si="4"/>
        <v>0</v>
      </c>
      <c r="H211" s="879"/>
    </row>
    <row r="212" spans="2:8" ht="14.25" customHeight="1" x14ac:dyDescent="0.25">
      <c r="B212" s="694" t="s">
        <v>1303</v>
      </c>
      <c r="C212" s="214"/>
      <c r="D212" s="297" t="str">
        <f>VLOOKUP("T.06.176",Translation,LanguageNo+1,FALSE)</f>
        <v>davon Optionen und Garantien</v>
      </c>
      <c r="E212" s="273"/>
      <c r="F212" s="274"/>
      <c r="G212" s="275">
        <f t="shared" si="4"/>
        <v>0</v>
      </c>
      <c r="H212" s="879"/>
    </row>
    <row r="213" spans="2:8" ht="14.25" customHeight="1" x14ac:dyDescent="0.25">
      <c r="B213" s="694" t="s">
        <v>1307</v>
      </c>
      <c r="C213" s="214" t="s">
        <v>3064</v>
      </c>
      <c r="D213" s="214" t="str">
        <f>VLOOKUP("T.06.177",Translation,LanguageNo+1,FALSE)</f>
        <v>Schwankungsrückstellungen für anteilgebundene Lebensversicherungen direktes Geschäft: Brutto</v>
      </c>
      <c r="E213" s="858"/>
      <c r="F213" s="859"/>
      <c r="G213" s="850">
        <f t="shared" si="4"/>
        <v>0</v>
      </c>
      <c r="H213" s="879"/>
    </row>
    <row r="214" spans="2:8" ht="14.25" customHeight="1" x14ac:dyDescent="0.25">
      <c r="B214" s="214" t="s">
        <v>1311</v>
      </c>
      <c r="C214" s="303" t="s">
        <v>2915</v>
      </c>
      <c r="D214" s="214" t="str">
        <f>VLOOKUP("T.06.178",Translation,LanguageNo+1,FALSE)</f>
        <v>Aktive Rückversicherung: Anteilgebundenes Lebensversicherungsgeschäft</v>
      </c>
      <c r="E214" s="295"/>
      <c r="F214" s="635"/>
      <c r="G214" s="264">
        <f t="shared" si="4"/>
        <v>0</v>
      </c>
      <c r="H214" s="879"/>
    </row>
    <row r="215" spans="2:8" ht="14.25" customHeight="1" x14ac:dyDescent="0.25">
      <c r="B215" s="258"/>
      <c r="C215" s="258"/>
      <c r="D215" s="323"/>
      <c r="E215" s="260"/>
      <c r="F215" s="260"/>
      <c r="G215" s="260"/>
      <c r="H215" s="880"/>
    </row>
    <row r="216" spans="2:8" ht="14.25" customHeight="1" x14ac:dyDescent="0.25">
      <c r="B216" s="214"/>
      <c r="C216" s="303"/>
      <c r="D216" s="304" t="str">
        <f>VLOOKUP("T.06.179",Translation,LanguageNo+1,FALSE)</f>
        <v>Mindestbetrag</v>
      </c>
      <c r="E216" s="400"/>
      <c r="F216" s="400"/>
      <c r="G216" s="264">
        <f t="shared" si="4"/>
        <v>0</v>
      </c>
      <c r="H216" s="879">
        <f>IF($G$169=0,0,G216/$G$169)</f>
        <v>0</v>
      </c>
    </row>
    <row r="217" spans="2:8" ht="14.25" customHeight="1" x14ac:dyDescent="0.25">
      <c r="B217" s="258"/>
      <c r="C217" s="258"/>
      <c r="D217" s="323"/>
      <c r="E217" s="260"/>
      <c r="F217" s="260"/>
      <c r="G217" s="260"/>
      <c r="H217" s="880"/>
    </row>
    <row r="218" spans="2:8" ht="14.25" customHeight="1" x14ac:dyDescent="0.25">
      <c r="B218" s="214" t="s">
        <v>1315</v>
      </c>
      <c r="C218" s="303" t="s">
        <v>2917</v>
      </c>
      <c r="D218" s="304" t="str">
        <f>VLOOKUP("T.06.180",Translation,LanguageNo+1,FALSE)</f>
        <v>2.3 Nichtversicherungstechnische Rückstellungen</v>
      </c>
      <c r="E218" s="638">
        <f>SUM(E219:E221)</f>
        <v>0</v>
      </c>
      <c r="F218" s="638">
        <f>SUM(F219:F221)</f>
        <v>0</v>
      </c>
      <c r="G218" s="261">
        <f t="shared" si="4"/>
        <v>0</v>
      </c>
      <c r="H218" s="878">
        <f>IF($G$169=0,0,G218/$G$169)</f>
        <v>0</v>
      </c>
    </row>
    <row r="219" spans="2:8" ht="14.25" customHeight="1" x14ac:dyDescent="0.25">
      <c r="B219" s="214" t="s">
        <v>1319</v>
      </c>
      <c r="C219" s="303" t="s">
        <v>2996</v>
      </c>
      <c r="D219" s="214" t="str">
        <f>VLOOKUP("T.06.181",Translation,LanguageNo+1,FALSE)</f>
        <v>Rückstellungen für Personalvorsorge</v>
      </c>
      <c r="E219" s="249"/>
      <c r="F219" s="268"/>
      <c r="G219" s="264">
        <f t="shared" si="4"/>
        <v>0</v>
      </c>
      <c r="H219" s="879"/>
    </row>
    <row r="220" spans="2:8" ht="14.25" customHeight="1" x14ac:dyDescent="0.25">
      <c r="B220" s="214" t="s">
        <v>1323</v>
      </c>
      <c r="C220" s="303" t="s">
        <v>2997</v>
      </c>
      <c r="D220" s="214" t="str">
        <f>VLOOKUP("T.06.182",Translation,LanguageNo+1,FALSE)</f>
        <v xml:space="preserve">Finanzielle Rückstellungen </v>
      </c>
      <c r="E220" s="853"/>
      <c r="F220" s="854"/>
      <c r="G220" s="850">
        <f t="shared" si="4"/>
        <v>0</v>
      </c>
      <c r="H220" s="879"/>
    </row>
    <row r="221" spans="2:8" ht="14.25" customHeight="1" x14ac:dyDescent="0.25">
      <c r="B221" s="214" t="s">
        <v>1326</v>
      </c>
      <c r="C221" s="694" t="s">
        <v>883</v>
      </c>
      <c r="D221" s="214" t="str">
        <f>VLOOKUP("T.06.183",Translation,LanguageNo+1,FALSE)</f>
        <v xml:space="preserve">Sonstige Rückstellungen </v>
      </c>
      <c r="E221" s="295"/>
      <c r="F221" s="635"/>
      <c r="G221" s="264">
        <f t="shared" si="4"/>
        <v>0</v>
      </c>
      <c r="H221" s="879"/>
    </row>
    <row r="222" spans="2:8" ht="14.25" customHeight="1" x14ac:dyDescent="0.25">
      <c r="B222" s="258"/>
      <c r="C222" s="258"/>
      <c r="D222" s="258"/>
      <c r="E222" s="260"/>
      <c r="F222" s="260"/>
      <c r="G222" s="260"/>
      <c r="H222" s="880"/>
    </row>
    <row r="223" spans="2:8" ht="14.25" customHeight="1" x14ac:dyDescent="0.25">
      <c r="B223" s="214" t="s">
        <v>1327</v>
      </c>
      <c r="C223" s="303" t="s">
        <v>2918</v>
      </c>
      <c r="D223" s="262" t="str">
        <f>VLOOKUP("T.06.184",Translation,LanguageNo+1,FALSE)</f>
        <v>2.4 Verzinsliche Verbindlichkeiten</v>
      </c>
      <c r="E223" s="642"/>
      <c r="F223" s="643"/>
      <c r="G223" s="261">
        <f t="shared" si="4"/>
        <v>0</v>
      </c>
      <c r="H223" s="878">
        <f>IF($G$169=0,0,G223/$G$169)</f>
        <v>0</v>
      </c>
    </row>
    <row r="224" spans="2:8" ht="14.25" customHeight="1" x14ac:dyDescent="0.25">
      <c r="B224" s="258"/>
      <c r="C224" s="258"/>
      <c r="D224" s="265"/>
      <c r="E224" s="260"/>
      <c r="F224" s="260"/>
      <c r="G224" s="260"/>
      <c r="H224" s="880"/>
    </row>
    <row r="225" spans="2:8" ht="14.25" customHeight="1" x14ac:dyDescent="0.25">
      <c r="B225" s="214" t="s">
        <v>1328</v>
      </c>
      <c r="C225" s="303" t="s">
        <v>2919</v>
      </c>
      <c r="D225" s="262" t="str">
        <f>VLOOKUP("T.06.185",Translation,LanguageNo+1,FALSE)</f>
        <v>2.5. Verbindlichkeiten aus derivativen Finanzinstrumenten</v>
      </c>
      <c r="E225" s="638">
        <f>SUM(E226:E231)</f>
        <v>0</v>
      </c>
      <c r="F225" s="638">
        <f>SUM(F226:F231)</f>
        <v>0</v>
      </c>
      <c r="G225" s="261">
        <f t="shared" si="4"/>
        <v>0</v>
      </c>
      <c r="H225" s="878">
        <f>IF($G$169=0,0,G225/$G$169)</f>
        <v>0</v>
      </c>
    </row>
    <row r="226" spans="2:8" ht="14.25" customHeight="1" x14ac:dyDescent="0.25">
      <c r="B226" s="214" t="s">
        <v>1329</v>
      </c>
      <c r="C226" s="303" t="s">
        <v>2920</v>
      </c>
      <c r="D226" s="214" t="str">
        <f>VLOOKUP("T.06.186",Translation,LanguageNo+1,FALSE)</f>
        <v>Zinsrisikobezogene Instrumente</v>
      </c>
      <c r="E226" s="249"/>
      <c r="F226" s="268"/>
      <c r="G226" s="264">
        <f t="shared" si="4"/>
        <v>0</v>
      </c>
      <c r="H226" s="879"/>
    </row>
    <row r="227" spans="2:8" ht="14.25" customHeight="1" x14ac:dyDescent="0.25">
      <c r="B227" s="214" t="s">
        <v>1330</v>
      </c>
      <c r="C227" s="303" t="s">
        <v>2921</v>
      </c>
      <c r="D227" s="214" t="str">
        <f>VLOOKUP("T.06.187",Translation,LanguageNo+1,FALSE)</f>
        <v>Währungsrisikobezogene Instrumente</v>
      </c>
      <c r="E227" s="249"/>
      <c r="F227" s="268"/>
      <c r="G227" s="264">
        <f t="shared" si="4"/>
        <v>0</v>
      </c>
      <c r="H227" s="879"/>
    </row>
    <row r="228" spans="2:8" ht="14.25" customHeight="1" x14ac:dyDescent="0.25">
      <c r="B228" s="694" t="s">
        <v>1333</v>
      </c>
      <c r="C228" s="303" t="s">
        <v>2922</v>
      </c>
      <c r="D228" s="214" t="str">
        <f>VLOOKUP("T.06.188",Translation,LanguageNo+1,FALSE)</f>
        <v>(Aktien-)Marktrisikobezogene Instrumente</v>
      </c>
      <c r="E228" s="249"/>
      <c r="F228" s="268"/>
      <c r="G228" s="264">
        <f t="shared" si="4"/>
        <v>0</v>
      </c>
      <c r="H228" s="879"/>
    </row>
    <row r="229" spans="2:8" ht="14.25" customHeight="1" x14ac:dyDescent="0.25">
      <c r="B229" s="310" t="s">
        <v>1334</v>
      </c>
      <c r="C229" s="303" t="s">
        <v>2923</v>
      </c>
      <c r="D229" s="214" t="str">
        <f>VLOOKUP("T.06.189",Translation,LanguageNo+1,FALSE)</f>
        <v>Kreditrisikobezogene Instrumente</v>
      </c>
      <c r="E229" s="249"/>
      <c r="F229" s="268"/>
      <c r="G229" s="264">
        <f t="shared" si="4"/>
        <v>0</v>
      </c>
      <c r="H229" s="879"/>
    </row>
    <row r="230" spans="2:8" ht="14.25" customHeight="1" x14ac:dyDescent="0.25">
      <c r="B230" s="310" t="s">
        <v>1337</v>
      </c>
      <c r="C230" s="214" t="s">
        <v>2924</v>
      </c>
      <c r="D230" s="214" t="str">
        <f>VLOOKUP("T.06.190",Translation,LanguageNo+1,FALSE)</f>
        <v>Versicherungsbezogene Instrumente (z.B. Cat Derivate)</v>
      </c>
      <c r="E230" s="249"/>
      <c r="F230" s="268"/>
      <c r="G230" s="264">
        <f t="shared" si="4"/>
        <v>0</v>
      </c>
      <c r="H230" s="879"/>
    </row>
    <row r="231" spans="2:8" ht="14.25" customHeight="1" x14ac:dyDescent="0.25">
      <c r="B231" s="385" t="s">
        <v>1341</v>
      </c>
      <c r="C231" s="214" t="s">
        <v>2925</v>
      </c>
      <c r="D231" s="694" t="str">
        <f>VLOOKUP("T.06.191",Translation,LanguageNo+1,FALSE)</f>
        <v>Übrige derivative Instrumente</v>
      </c>
      <c r="E231" s="295"/>
      <c r="F231" s="635"/>
      <c r="G231" s="264">
        <f t="shared" si="4"/>
        <v>0</v>
      </c>
      <c r="H231" s="879"/>
    </row>
    <row r="232" spans="2:8" ht="14.25" customHeight="1" x14ac:dyDescent="0.25">
      <c r="B232" s="258"/>
      <c r="C232" s="258"/>
      <c r="D232" s="265"/>
      <c r="E232" s="260"/>
      <c r="F232" s="260"/>
      <c r="G232" s="260"/>
      <c r="H232" s="880"/>
    </row>
    <row r="233" spans="2:8" ht="14.25" customHeight="1" x14ac:dyDescent="0.25">
      <c r="B233" s="214" t="s">
        <v>1342</v>
      </c>
      <c r="C233" s="303" t="s">
        <v>2926</v>
      </c>
      <c r="D233" s="321" t="str">
        <f>VLOOKUP("T.06.192",Translation,LanguageNo+1,FALSE)</f>
        <v>2.6 Depotverbindlichkeiten aus abgegebener Rückversicherung</v>
      </c>
      <c r="E233" s="642"/>
      <c r="F233" s="643"/>
      <c r="G233" s="261">
        <f t="shared" si="4"/>
        <v>0</v>
      </c>
      <c r="H233" s="878">
        <f>IF($G$169=0,0,G233/$G$169)</f>
        <v>0</v>
      </c>
    </row>
    <row r="234" spans="2:8" ht="14.25" customHeight="1" x14ac:dyDescent="0.25">
      <c r="B234" s="258"/>
      <c r="C234" s="258"/>
      <c r="D234" s="323"/>
      <c r="E234" s="260"/>
      <c r="F234" s="260"/>
      <c r="G234" s="260"/>
      <c r="H234" s="880"/>
    </row>
    <row r="235" spans="2:8" ht="14.25" customHeight="1" x14ac:dyDescent="0.25">
      <c r="B235" s="214" t="s">
        <v>1346</v>
      </c>
      <c r="C235" s="303" t="s">
        <v>2927</v>
      </c>
      <c r="D235" s="304" t="str">
        <f>VLOOKUP("T.06.193",Translation,LanguageNo+1,FALSE)</f>
        <v>2.7 Verbindlichkeiten aus dem Versicherungsgeschäft</v>
      </c>
      <c r="E235" s="639">
        <f>SUM(E236:E237)</f>
        <v>0</v>
      </c>
      <c r="F235" s="639">
        <f>SUM(F236:F237)</f>
        <v>0</v>
      </c>
      <c r="G235" s="261">
        <f t="shared" si="4"/>
        <v>0</v>
      </c>
      <c r="H235" s="878">
        <f>IF($G$169=0,0,G235/$G$169)</f>
        <v>0</v>
      </c>
    </row>
    <row r="236" spans="2:8" ht="14.25" customHeight="1" x14ac:dyDescent="0.25">
      <c r="B236" s="214" t="s">
        <v>1350</v>
      </c>
      <c r="C236" s="303" t="s">
        <v>2998</v>
      </c>
      <c r="D236" s="385" t="str">
        <f>VLOOKUP("T.06.194",Translation,LanguageNo+1,FALSE)</f>
        <v>Sonstige Depotverbindlichkeiten</v>
      </c>
      <c r="E236" s="249"/>
      <c r="F236" s="268"/>
      <c r="G236" s="264">
        <f t="shared" si="4"/>
        <v>0</v>
      </c>
      <c r="H236" s="879"/>
    </row>
    <row r="237" spans="2:8" ht="14.25" customHeight="1" x14ac:dyDescent="0.25">
      <c r="B237" s="214" t="s">
        <v>1354</v>
      </c>
      <c r="C237" s="214" t="s">
        <v>883</v>
      </c>
      <c r="D237" s="385" t="str">
        <f>VLOOKUP("T.06.195",Translation,LanguageNo+1,FALSE)</f>
        <v>Sonstige Verbindlichkeiten aus dem Versicherungsgeschäft</v>
      </c>
      <c r="E237" s="295"/>
      <c r="F237" s="635"/>
      <c r="G237" s="264">
        <f t="shared" si="4"/>
        <v>0</v>
      </c>
      <c r="H237" s="879"/>
    </row>
    <row r="238" spans="2:8" ht="14.25" customHeight="1" x14ac:dyDescent="0.25">
      <c r="B238" s="258"/>
      <c r="C238" s="258"/>
      <c r="D238" s="322"/>
      <c r="E238" s="260"/>
      <c r="F238" s="260"/>
      <c r="G238" s="260"/>
      <c r="H238" s="880"/>
    </row>
    <row r="239" spans="2:8" ht="14.25" customHeight="1" x14ac:dyDescent="0.25">
      <c r="B239" s="214" t="s">
        <v>1358</v>
      </c>
      <c r="C239" s="303" t="s">
        <v>2928</v>
      </c>
      <c r="D239" s="304" t="str">
        <f>VLOOKUP("T.06.196",Translation,LanguageNo+1,FALSE)</f>
        <v>2.8 Sonstige Passiven</v>
      </c>
      <c r="E239" s="638">
        <f>SUM(E240:E241)</f>
        <v>0</v>
      </c>
      <c r="F239" s="638">
        <f>SUM(F240:F241)</f>
        <v>0</v>
      </c>
      <c r="G239" s="261">
        <f t="shared" si="4"/>
        <v>0</v>
      </c>
      <c r="H239" s="878">
        <f>IF($G$169=0,0,G239/$G$169)</f>
        <v>0</v>
      </c>
    </row>
    <row r="240" spans="2:8" ht="14.25" customHeight="1" x14ac:dyDescent="0.25">
      <c r="B240" s="214" t="s">
        <v>1362</v>
      </c>
      <c r="C240" s="214"/>
      <c r="D240" s="214" t="str">
        <f>VLOOKUP("T.06.197",Translation,LanguageNo+1,FALSE)</f>
        <v>Gegebene Garantien, Bürgschaften</v>
      </c>
      <c r="E240" s="249"/>
      <c r="F240" s="268"/>
      <c r="G240" s="264">
        <f t="shared" si="4"/>
        <v>0</v>
      </c>
      <c r="H240" s="879"/>
    </row>
    <row r="241" spans="2:16" ht="14.25" customHeight="1" x14ac:dyDescent="0.25">
      <c r="B241" s="310" t="s">
        <v>1363</v>
      </c>
      <c r="C241" s="303" t="s">
        <v>883</v>
      </c>
      <c r="D241" s="214" t="str">
        <f>VLOOKUP("T.06.198",Translation,LanguageNo+1,FALSE)</f>
        <v>Sonstige Verbindlichkeiten</v>
      </c>
      <c r="E241" s="295"/>
      <c r="F241" s="635"/>
      <c r="G241" s="264">
        <f t="shared" si="4"/>
        <v>0</v>
      </c>
      <c r="H241" s="879"/>
    </row>
    <row r="242" spans="2:16" ht="14.25" customHeight="1" x14ac:dyDescent="0.25">
      <c r="B242" s="258"/>
      <c r="C242" s="258"/>
      <c r="D242" s="323"/>
      <c r="E242" s="260"/>
      <c r="F242" s="260"/>
      <c r="G242" s="260"/>
      <c r="H242" s="880"/>
    </row>
    <row r="243" spans="2:16" ht="14.25" customHeight="1" x14ac:dyDescent="0.25">
      <c r="B243" s="248" t="s">
        <v>1365</v>
      </c>
      <c r="C243" s="303" t="s">
        <v>2929</v>
      </c>
      <c r="D243" s="304" t="str">
        <f>VLOOKUP("T.06.199",Translation,LanguageNo+1,FALSE)</f>
        <v>2.9. Passive Rechnungsabgrenzungen</v>
      </c>
      <c r="E243" s="638">
        <f>SUM(E244:E245)</f>
        <v>0</v>
      </c>
      <c r="F243" s="638">
        <f>SUM(F244:F245)</f>
        <v>0</v>
      </c>
      <c r="G243" s="261">
        <f t="shared" si="4"/>
        <v>0</v>
      </c>
      <c r="H243" s="878">
        <f>IF($G$169=0,0,G243/$G$169)</f>
        <v>0</v>
      </c>
    </row>
    <row r="244" spans="2:16" ht="14.25" customHeight="1" x14ac:dyDescent="0.25">
      <c r="B244" s="310" t="s">
        <v>1368</v>
      </c>
      <c r="C244" s="303" t="s">
        <v>2999</v>
      </c>
      <c r="D244" s="214" t="str">
        <f>VLOOKUP("T.06.200",Translation,LanguageNo+1,FALSE)</f>
        <v>Latente Steuerverpflichtungen</v>
      </c>
      <c r="E244" s="858"/>
      <c r="F244" s="859"/>
      <c r="G244" s="850">
        <f t="shared" si="4"/>
        <v>0</v>
      </c>
      <c r="H244" s="878"/>
    </row>
    <row r="245" spans="2:16" ht="14.25" customHeight="1" x14ac:dyDescent="0.25">
      <c r="B245" s="310" t="s">
        <v>1371</v>
      </c>
      <c r="C245" s="214" t="s">
        <v>883</v>
      </c>
      <c r="D245" s="214" t="str">
        <f>VLOOKUP("T.06.201",Translation,LanguageNo+1,FALSE)</f>
        <v>Sonstige Rechnungsabgrenzungsposten</v>
      </c>
      <c r="E245" s="295"/>
      <c r="F245" s="635"/>
      <c r="G245" s="264">
        <f t="shared" si="4"/>
        <v>0</v>
      </c>
      <c r="H245" s="879"/>
    </row>
    <row r="246" spans="2:16" ht="14.25" customHeight="1" x14ac:dyDescent="0.25">
      <c r="B246" s="258"/>
      <c r="C246" s="258"/>
      <c r="D246" s="323"/>
      <c r="E246" s="260"/>
      <c r="F246" s="260"/>
      <c r="G246" s="260"/>
      <c r="H246" s="880"/>
    </row>
    <row r="247" spans="2:16" ht="14.25" customHeight="1" x14ac:dyDescent="0.25">
      <c r="B247" s="310" t="s">
        <v>1373</v>
      </c>
      <c r="C247" s="303" t="s">
        <v>3000</v>
      </c>
      <c r="D247" s="304" t="str">
        <f>VLOOKUP("T.06.202",Translation,LanguageNo+1,FALSE)</f>
        <v>2.10 Nachrangige Verbindlichkeiten</v>
      </c>
      <c r="E247" s="638">
        <f>SUM(E248:E252)</f>
        <v>0</v>
      </c>
      <c r="F247" s="638">
        <f>SUM(F248:F252)</f>
        <v>0</v>
      </c>
      <c r="G247" s="261">
        <f t="shared" si="4"/>
        <v>0</v>
      </c>
      <c r="H247" s="878">
        <f>IF($G$169=0,0,G247/$G$169)</f>
        <v>0</v>
      </c>
    </row>
    <row r="248" spans="2:16" ht="14.25" customHeight="1" x14ac:dyDescent="0.25">
      <c r="B248" s="310" t="s">
        <v>1377</v>
      </c>
      <c r="C248" s="303" t="s">
        <v>3001</v>
      </c>
      <c r="D248" s="214" t="str">
        <f>VLOOKUP("T.06.203",Translation,LanguageNo+1,FALSE)</f>
        <v>Unbefristete Anleihen und Darlehen mit Eigenkapitalcharakter</v>
      </c>
      <c r="E248" s="249"/>
      <c r="F248" s="268"/>
      <c r="G248" s="264">
        <f t="shared" si="4"/>
        <v>0</v>
      </c>
      <c r="H248" s="879"/>
    </row>
    <row r="249" spans="2:16" ht="14.25" customHeight="1" x14ac:dyDescent="0.25">
      <c r="B249" s="694" t="s">
        <v>1381</v>
      </c>
      <c r="C249" s="303" t="s">
        <v>3002</v>
      </c>
      <c r="D249" s="694" t="str">
        <f>VLOOKUP("T.06.204",Translation,LanguageNo+1,FALSE)</f>
        <v>Unbefristete sonstige Verbindlichkeiten mit Eigenkapitalcharakter</v>
      </c>
      <c r="E249" s="249"/>
      <c r="F249" s="268"/>
      <c r="G249" s="264">
        <f t="shared" si="4"/>
        <v>0</v>
      </c>
      <c r="H249" s="879"/>
    </row>
    <row r="250" spans="2:16" ht="14.25" customHeight="1" x14ac:dyDescent="0.25">
      <c r="B250" s="310" t="s">
        <v>1385</v>
      </c>
      <c r="C250" s="303" t="s">
        <v>3003</v>
      </c>
      <c r="D250" s="694" t="str">
        <f>VLOOKUP("T.06.205",Translation,LanguageNo+1,FALSE)</f>
        <v>Anleihen, Darlehen und sonstige Verbindlichkeiten, die zwingend in Eigenkapital gewandelt werden müssen</v>
      </c>
      <c r="E250" s="249"/>
      <c r="F250" s="268"/>
      <c r="G250" s="264">
        <f t="shared" si="4"/>
        <v>0</v>
      </c>
      <c r="H250" s="879"/>
    </row>
    <row r="251" spans="2:16" ht="14.25" customHeight="1" x14ac:dyDescent="0.25">
      <c r="B251" s="310" t="s">
        <v>1388</v>
      </c>
      <c r="C251" s="303" t="s">
        <v>3004</v>
      </c>
      <c r="D251" s="694" t="str">
        <f>VLOOKUP("T.06.206",Translation,LanguageNo+1,FALSE)</f>
        <v>Anleihen und Darlehen mit Eigenkapitalcharakter mit fester Laufzeit</v>
      </c>
      <c r="E251" s="249"/>
      <c r="F251" s="268"/>
      <c r="G251" s="264">
        <f t="shared" si="4"/>
        <v>0</v>
      </c>
      <c r="H251" s="879"/>
    </row>
    <row r="252" spans="2:16" ht="14.25" customHeight="1" x14ac:dyDescent="0.25">
      <c r="B252" s="694" t="s">
        <v>3059</v>
      </c>
      <c r="C252" s="303" t="s">
        <v>3005</v>
      </c>
      <c r="D252" s="694" t="str">
        <f>VLOOKUP("T.06.207",Translation,LanguageNo+1,FALSE)</f>
        <v>Sonstige Verbindlichkeiten mit Eigenkapitalcharakter mit fester Laufzeit</v>
      </c>
      <c r="E252" s="295"/>
      <c r="F252" s="635"/>
      <c r="G252" s="264">
        <f t="shared" si="4"/>
        <v>0</v>
      </c>
      <c r="H252" s="879"/>
      <c r="J252" s="902" t="str">
        <f>VLOOKUP("T.06.211",Translation,LanguageNo+1,FALSE)&amp;" " &amp;Unit &amp; SST_Currency</f>
        <v>Aufriss nach Währungen in Mio. CHF</v>
      </c>
      <c r="K252" s="902"/>
      <c r="L252" s="902"/>
      <c r="M252" s="267"/>
      <c r="N252" s="267"/>
      <c r="O252" s="267"/>
      <c r="P252" s="267"/>
    </row>
    <row r="253" spans="2:16" ht="14.25" customHeight="1" x14ac:dyDescent="0.25">
      <c r="B253" s="323"/>
      <c r="C253" s="266"/>
      <c r="D253" s="265"/>
      <c r="E253" s="260"/>
      <c r="F253" s="260"/>
      <c r="G253" s="260"/>
      <c r="H253" s="880"/>
      <c r="J253" s="269"/>
      <c r="K253" s="315" t="s">
        <v>30</v>
      </c>
      <c r="L253" s="315" t="s">
        <v>31</v>
      </c>
      <c r="M253" s="315" t="s">
        <v>33</v>
      </c>
      <c r="N253" s="315" t="s">
        <v>32</v>
      </c>
      <c r="O253" s="315" t="s">
        <v>87</v>
      </c>
      <c r="P253" s="315" t="s">
        <v>2091</v>
      </c>
    </row>
    <row r="254" spans="2:16" ht="14.25" customHeight="1" x14ac:dyDescent="0.25">
      <c r="B254" s="694" t="s">
        <v>3060</v>
      </c>
      <c r="C254" s="694" t="s">
        <v>2908</v>
      </c>
      <c r="D254" s="307" t="str">
        <f>VLOOKUP("T.06.208",Translation,LanguageNo+1,FALSE)</f>
        <v>Total Fremdkapital</v>
      </c>
      <c r="E254" s="638">
        <f>E173+E208+E216+E218+E223+E225+E233+E235+E239+E243+E247</f>
        <v>0</v>
      </c>
      <c r="F254" s="638">
        <f>F173+F208+F216+F218+F223+F225+F233+F235+F239+F243+F247</f>
        <v>0</v>
      </c>
      <c r="G254" s="261">
        <f t="shared" si="4"/>
        <v>0</v>
      </c>
      <c r="H254" s="878">
        <f>IF($G$169=0,0,G254/$G$169)</f>
        <v>0</v>
      </c>
      <c r="J254" s="317" t="str">
        <f>IF(ABS(G254-SUM(K254:P254))&lt;0.01,"OK","Korrektur")</f>
        <v>OK</v>
      </c>
      <c r="K254" s="218"/>
      <c r="L254" s="318"/>
      <c r="M254" s="318"/>
      <c r="N254" s="318"/>
      <c r="O254" s="318"/>
      <c r="P254" s="318"/>
    </row>
    <row r="255" spans="2:16" ht="14.25" customHeight="1" x14ac:dyDescent="0.25">
      <c r="B255" s="265"/>
      <c r="C255" s="265"/>
      <c r="D255" s="319"/>
      <c r="E255" s="260"/>
      <c r="F255" s="260"/>
      <c r="G255" s="260"/>
      <c r="H255" s="880"/>
    </row>
    <row r="256" spans="2:16" ht="14.25" customHeight="1" x14ac:dyDescent="0.25">
      <c r="B256" s="324" t="s">
        <v>3794</v>
      </c>
      <c r="C256" s="324"/>
      <c r="D256" s="325" t="str">
        <f>VLOOKUP("T.06.209",Translation,LanguageNo+1,FALSE)</f>
        <v>Differenz</v>
      </c>
      <c r="E256" s="646">
        <f>E169-E254</f>
        <v>0</v>
      </c>
      <c r="F256" s="646">
        <f>F169-F254</f>
        <v>0</v>
      </c>
      <c r="G256" s="326">
        <f t="shared" si="4"/>
        <v>0</v>
      </c>
      <c r="H256" s="881"/>
    </row>
    <row r="257" spans="2:3" x14ac:dyDescent="0.25">
      <c r="B257" s="410"/>
      <c r="C257" s="408"/>
    </row>
    <row r="258" spans="2:3" x14ac:dyDescent="0.25">
      <c r="B258" s="410"/>
      <c r="C258" s="410"/>
    </row>
    <row r="259" spans="2:3" x14ac:dyDescent="0.25">
      <c r="B259" s="410"/>
      <c r="C259" s="327"/>
    </row>
    <row r="260" spans="2:3" x14ac:dyDescent="0.25">
      <c r="B260" s="410"/>
      <c r="C260" s="327"/>
    </row>
    <row r="261" spans="2:3" x14ac:dyDescent="0.25">
      <c r="B261" s="410"/>
    </row>
    <row r="262" spans="2:3" x14ac:dyDescent="0.25">
      <c r="B262" s="410"/>
    </row>
    <row r="263" spans="2:3" x14ac:dyDescent="0.25">
      <c r="B263" s="410"/>
    </row>
    <row r="264" spans="2:3" x14ac:dyDescent="0.25">
      <c r="B264" s="410"/>
    </row>
    <row r="265" spans="2:3" x14ac:dyDescent="0.25">
      <c r="B265" s="410"/>
    </row>
    <row r="266" spans="2:3" x14ac:dyDescent="0.25">
      <c r="B266" s="410"/>
    </row>
    <row r="267" spans="2:3" x14ac:dyDescent="0.25">
      <c r="B267" s="410"/>
    </row>
    <row r="268" spans="2:3" x14ac:dyDescent="0.25">
      <c r="B268" s="410"/>
    </row>
    <row r="269" spans="2:3" x14ac:dyDescent="0.25">
      <c r="B269" s="410"/>
    </row>
    <row r="270" spans="2:3" x14ac:dyDescent="0.25">
      <c r="B270" s="410"/>
    </row>
    <row r="271" spans="2:3" x14ac:dyDescent="0.25">
      <c r="B271" s="410"/>
    </row>
    <row r="272" spans="2:3" x14ac:dyDescent="0.25">
      <c r="B272" s="410"/>
    </row>
    <row r="273" spans="2:2" x14ac:dyDescent="0.25">
      <c r="B273" s="410"/>
    </row>
    <row r="274" spans="2:2" x14ac:dyDescent="0.25">
      <c r="B274" s="410"/>
    </row>
    <row r="275" spans="2:2" x14ac:dyDescent="0.25">
      <c r="B275" s="410"/>
    </row>
    <row r="276" spans="2:2" x14ac:dyDescent="0.25">
      <c r="B276" s="410"/>
    </row>
    <row r="277" spans="2:2" x14ac:dyDescent="0.25">
      <c r="B277" s="410"/>
    </row>
    <row r="278" spans="2:2" x14ac:dyDescent="0.25">
      <c r="B278" s="410"/>
    </row>
    <row r="279" spans="2:2" x14ac:dyDescent="0.25">
      <c r="B279" s="410"/>
    </row>
    <row r="280" spans="2:2" x14ac:dyDescent="0.25">
      <c r="B280" s="410"/>
    </row>
    <row r="281" spans="2:2" x14ac:dyDescent="0.25">
      <c r="B281" s="410"/>
    </row>
    <row r="282" spans="2:2" x14ac:dyDescent="0.25">
      <c r="B282" s="410"/>
    </row>
    <row r="283" spans="2:2" x14ac:dyDescent="0.25">
      <c r="B283" s="410"/>
    </row>
    <row r="284" spans="2:2" x14ac:dyDescent="0.25">
      <c r="B284" s="410"/>
    </row>
    <row r="285" spans="2:2" x14ac:dyDescent="0.25">
      <c r="B285" s="410"/>
    </row>
    <row r="286" spans="2:2" x14ac:dyDescent="0.25">
      <c r="B286" s="410"/>
    </row>
    <row r="287" spans="2:2" x14ac:dyDescent="0.25">
      <c r="B287" s="410"/>
    </row>
    <row r="288" spans="2:2" x14ac:dyDescent="0.25">
      <c r="B288" s="410"/>
    </row>
    <row r="289" spans="2:2" x14ac:dyDescent="0.25">
      <c r="B289" s="410"/>
    </row>
    <row r="290" spans="2:2" x14ac:dyDescent="0.25">
      <c r="B290" s="410"/>
    </row>
    <row r="291" spans="2:2" x14ac:dyDescent="0.25">
      <c r="B291" s="410"/>
    </row>
    <row r="292" spans="2:2" x14ac:dyDescent="0.25">
      <c r="B292" s="410"/>
    </row>
    <row r="293" spans="2:2" x14ac:dyDescent="0.25">
      <c r="B293" s="410"/>
    </row>
    <row r="294" spans="2:2" x14ac:dyDescent="0.25">
      <c r="B294" s="410"/>
    </row>
    <row r="295" spans="2:2" x14ac:dyDescent="0.25">
      <c r="B295" s="410"/>
    </row>
    <row r="296" spans="2:2" x14ac:dyDescent="0.25">
      <c r="B296" s="410"/>
    </row>
    <row r="297" spans="2:2" x14ac:dyDescent="0.25">
      <c r="B297" s="410"/>
    </row>
    <row r="298" spans="2:2" x14ac:dyDescent="0.25">
      <c r="B298" s="410"/>
    </row>
    <row r="299" spans="2:2" x14ac:dyDescent="0.25">
      <c r="B299" s="410"/>
    </row>
  </sheetData>
  <mergeCells count="6">
    <mergeCell ref="N27:N28"/>
    <mergeCell ref="O27:O28"/>
    <mergeCell ref="J34:J35"/>
    <mergeCell ref="K27:K28"/>
    <mergeCell ref="L27:L28"/>
    <mergeCell ref="M27:M28"/>
  </mergeCells>
  <pageMargins left="0.70866141732283472" right="0.70866141732283472" top="0.78740157480314965" bottom="0.78740157480314965" header="0.31496062992125984" footer="0.31496062992125984"/>
  <pageSetup paperSize="8" scale="22" fitToHeight="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
    <tabColor rgb="FFD4ECF9"/>
    <pageSetUpPr fitToPage="1"/>
  </sheetPr>
  <dimension ref="A1:J46"/>
  <sheetViews>
    <sheetView showGridLines="0" zoomScale="90" zoomScaleNormal="90" workbookViewId="0"/>
  </sheetViews>
  <sheetFormatPr baseColWidth="10" defaultColWidth="8.5703125" defaultRowHeight="12.75" customHeight="1" x14ac:dyDescent="0.2"/>
  <cols>
    <col min="1" max="2" width="5.5703125" style="328" customWidth="1"/>
    <col min="3" max="3" width="19.5703125" style="328" customWidth="1"/>
    <col min="4" max="4" width="135.85546875" style="329" customWidth="1"/>
    <col min="5" max="5" width="21.42578125" style="329" customWidth="1"/>
    <col min="6" max="8" width="8.5703125" style="329"/>
    <col min="9" max="9" width="8.5703125" style="330"/>
    <col min="10" max="10" width="8.5703125" style="328" collapsed="1"/>
    <col min="11" max="16384" width="8.5703125" style="328"/>
  </cols>
  <sheetData>
    <row r="1" spans="1:9" ht="20.100000000000001" customHeight="1" x14ac:dyDescent="0.2">
      <c r="A1" s="679">
        <v>7</v>
      </c>
      <c r="B1" s="680" t="str">
        <f>VLOOKUP("T.07.01",Translation,LanguageNo+1,FALSE)</f>
        <v>Berechnung des risikotragenden Kapitals (RTK)</v>
      </c>
    </row>
    <row r="2" spans="1:9" ht="14.25" customHeight="1" x14ac:dyDescent="0.2">
      <c r="D2" s="686"/>
    </row>
    <row r="3" spans="1:9" s="407" customFormat="1" ht="20.100000000000001" customHeight="1" x14ac:dyDescent="0.25">
      <c r="B3" s="409" t="s">
        <v>1472</v>
      </c>
      <c r="C3" s="412" t="str">
        <f>VLOOKUP("T.07.02",Translation,LanguageNo+1,FALSE)</f>
        <v>Risikotragendes Kapital unter Going Concern Bedingungen</v>
      </c>
      <c r="D3" s="687"/>
      <c r="E3" s="408"/>
      <c r="F3" s="413"/>
      <c r="G3" s="408"/>
      <c r="H3" s="408"/>
      <c r="I3" s="410"/>
    </row>
    <row r="4" spans="1:9" ht="14.25" customHeight="1" x14ac:dyDescent="0.2">
      <c r="D4" s="688"/>
      <c r="F4" s="332"/>
    </row>
    <row r="5" spans="1:9" ht="14.25" customHeight="1" x14ac:dyDescent="0.2">
      <c r="D5" s="689"/>
      <c r="E5" s="690" t="str">
        <f>Unit &amp; SST_Currency</f>
        <v>in Mio. CHF</v>
      </c>
      <c r="F5" s="332"/>
    </row>
    <row r="6" spans="1:9" s="407" customFormat="1" ht="14.25" customHeight="1" x14ac:dyDescent="0.25">
      <c r="C6" s="691" t="str">
        <f>VLOOKUP("T.07.03",Translation,LanguageNo+1,FALSE)</f>
        <v>Kernkapital</v>
      </c>
      <c r="D6" s="692"/>
      <c r="E6" s="408"/>
      <c r="F6" s="408"/>
      <c r="G6" s="408"/>
      <c r="H6" s="408"/>
      <c r="I6" s="693"/>
    </row>
    <row r="7" spans="1:9" s="407" customFormat="1" ht="14.25" customHeight="1" x14ac:dyDescent="0.25">
      <c r="C7" s="694" t="str">
        <f>VLOOKUP("T.07.04",Translation,LanguageNo+1,FALSE)</f>
        <v>Marktkonformer Wert der Aktiven minus marktkonformer Wert der Verbindlichkeiten</v>
      </c>
      <c r="D7" s="695"/>
      <c r="E7" s="696">
        <f>'SST Balance Sheet'!G256</f>
        <v>0</v>
      </c>
      <c r="F7" s="408"/>
      <c r="G7" s="408"/>
      <c r="H7" s="408"/>
    </row>
    <row r="8" spans="1:9" ht="14.25" customHeight="1" x14ac:dyDescent="0.2">
      <c r="C8" s="697"/>
      <c r="D8" s="698"/>
      <c r="E8" s="698"/>
    </row>
    <row r="9" spans="1:9" ht="14.25" customHeight="1" x14ac:dyDescent="0.2">
      <c r="C9" s="699" t="str">
        <f>VLOOKUP("T.07.05",Translation,LanguageNo+1,FALSE)</f>
        <v>Abzüge</v>
      </c>
      <c r="D9" s="700"/>
      <c r="E9" s="700"/>
    </row>
    <row r="10" spans="1:9" ht="14.25" customHeight="1" x14ac:dyDescent="0.2">
      <c r="D10" s="701"/>
      <c r="E10" s="700"/>
    </row>
    <row r="11" spans="1:9" ht="14.25" customHeight="1" x14ac:dyDescent="0.2">
      <c r="D11" s="701" t="str">
        <f>VLOOKUP("T.07.06",Translation,LanguageNo+1,FALSE)</f>
        <v xml:space="preserve">Bilanzwert eigener Aktien auf eigenes Risiko (-) </v>
      </c>
      <c r="E11" s="702"/>
    </row>
    <row r="12" spans="1:9" ht="14.25" customHeight="1" x14ac:dyDescent="0.2">
      <c r="D12" s="701" t="str">
        <f>VLOOKUP("T.07.07",Translation,LanguageNo+1,FALSE)</f>
        <v>Bilanzwert immaterielle Vermögenswerte (-)</v>
      </c>
      <c r="E12" s="760">
        <f>'SST Balance Sheet'!G142*-1</f>
        <v>0</v>
      </c>
    </row>
    <row r="13" spans="1:9" ht="14.25" customHeight="1" x14ac:dyDescent="0.2">
      <c r="D13" s="701" t="str">
        <f>VLOOKUP("T.07.08",Translation,LanguageNo+1,FALSE)</f>
        <v>latente Grundstück- und Handänderungssteuern, im Umfang, in dem keine Verrechnung möglich ist (-)</v>
      </c>
      <c r="E13" s="702"/>
    </row>
    <row r="14" spans="1:9" ht="14.25" customHeight="1" x14ac:dyDescent="0.25">
      <c r="A14" s="333"/>
      <c r="B14" s="333"/>
      <c r="C14" s="333"/>
      <c r="D14" s="701" t="str">
        <f>VLOOKUP("T.07.09",Translation,LanguageNo+1,FALSE)</f>
        <v>vorgesehene Dividenden und Kapitalrückzahlungen (-)</v>
      </c>
      <c r="E14" s="702"/>
      <c r="G14"/>
    </row>
    <row r="15" spans="1:9" ht="14.25" customHeight="1" x14ac:dyDescent="0.2">
      <c r="A15" s="333"/>
      <c r="B15" s="333"/>
      <c r="C15" s="333"/>
      <c r="D15" s="703" t="str">
        <f>VLOOKUP("T.07.10",Translation,LanguageNo+1,FALSE)</f>
        <v>sonstige Abzüge (z.B. nicht anrechenbare konzernintene Darlehen) (-)</v>
      </c>
      <c r="E15" s="702"/>
      <c r="G15" s="704"/>
    </row>
    <row r="16" spans="1:9" ht="14.25" customHeight="1" x14ac:dyDescent="0.2">
      <c r="A16" s="333"/>
      <c r="B16" s="333"/>
      <c r="C16" s="699" t="str">
        <f>VLOOKUP("T.07.11",Translation,LanguageNo+1,FALSE)</f>
        <v>Total Abzüge</v>
      </c>
      <c r="D16" s="700"/>
      <c r="E16" s="705">
        <f>SUM(E11:E15)</f>
        <v>0</v>
      </c>
      <c r="G16" s="704"/>
    </row>
    <row r="17" spans="1:9" s="333" customFormat="1" ht="14.25" customHeight="1" x14ac:dyDescent="0.2">
      <c r="D17" s="329"/>
      <c r="E17" s="706"/>
      <c r="F17" s="329"/>
      <c r="G17" s="329"/>
      <c r="H17" s="329"/>
      <c r="I17" s="330"/>
    </row>
    <row r="18" spans="1:9" s="410" customFormat="1" ht="14.25" customHeight="1" x14ac:dyDescent="0.25">
      <c r="A18" s="407"/>
      <c r="B18" s="407"/>
      <c r="C18" s="707" t="str">
        <f>VLOOKUP("T.07.12",Translation,LanguageNo+1,FALSE)</f>
        <v>SST-Nettoaktiven</v>
      </c>
      <c r="D18" s="707"/>
      <c r="E18" s="708">
        <f>E7+E16</f>
        <v>0</v>
      </c>
      <c r="F18" s="408"/>
      <c r="G18" s="408"/>
      <c r="H18" s="408"/>
    </row>
    <row r="19" spans="1:9" s="333" customFormat="1" ht="14.25" customHeight="1" x14ac:dyDescent="0.2">
      <c r="D19" s="709"/>
      <c r="E19" s="710"/>
      <c r="F19" s="329"/>
      <c r="G19" s="329"/>
      <c r="H19" s="329"/>
      <c r="I19" s="330"/>
    </row>
    <row r="20" spans="1:9" s="333" customFormat="1" ht="14.25" customHeight="1" x14ac:dyDescent="0.2">
      <c r="D20" s="1199" t="str">
        <f>VLOOKUP("T.07.13",Translation,LanguageNo+1,FALSE)</f>
        <v>Tier 1- risikoabsorbierende Kapitalinstrumente (RAK) an das Kernkapital angerechnet</v>
      </c>
      <c r="E20" s="711">
        <f>SUM(E21:E22)</f>
        <v>0</v>
      </c>
      <c r="F20" s="329"/>
      <c r="G20" s="329"/>
      <c r="H20" s="329"/>
      <c r="I20" s="330"/>
    </row>
    <row r="21" spans="1:9" ht="14.25" customHeight="1" x14ac:dyDescent="0.2">
      <c r="D21" s="1200" t="str">
        <f>VLOOKUP("T.07.14",Translation,LanguageNo+1,FALSE)</f>
        <v>Tier 1 -RAK ohne Rückzahlungsoption in den 12 Monaten ab Stichtag</v>
      </c>
      <c r="E21" s="702"/>
    </row>
    <row r="22" spans="1:9" ht="14.25" customHeight="1" x14ac:dyDescent="0.2">
      <c r="D22" s="1201" t="str">
        <f>VLOOKUP("T.07.15",Translation,LanguageNo+1,FALSE)</f>
        <v>Tier 1 -RAK mit Rückzahlungsoption in den 12 Monaten ab Stichtag</v>
      </c>
      <c r="E22" s="702"/>
    </row>
    <row r="23" spans="1:9" ht="14.25" customHeight="1" x14ac:dyDescent="0.2">
      <c r="D23" s="1201"/>
      <c r="E23" s="714"/>
    </row>
    <row r="24" spans="1:9" ht="14.25" customHeight="1" x14ac:dyDescent="0.2">
      <c r="C24" s="707" t="str">
        <f>VLOOKUP("T.07.16",Translation,LanguageNo+1,FALSE)</f>
        <v>Total Kernkapital</v>
      </c>
      <c r="D24" s="707"/>
      <c r="E24" s="719">
        <f>E18+E20</f>
        <v>0</v>
      </c>
    </row>
    <row r="25" spans="1:9" ht="14.25" customHeight="1" x14ac:dyDescent="0.2">
      <c r="D25" s="709"/>
      <c r="E25" s="712"/>
    </row>
    <row r="26" spans="1:9" ht="14.25" customHeight="1" x14ac:dyDescent="0.2">
      <c r="C26" s="715" t="str">
        <f>VLOOKUP("T.07.17",Translation,LanguageNo+1,FALSE)</f>
        <v>Ergänzendes Kapital</v>
      </c>
      <c r="D26" s="700"/>
      <c r="E26" s="713"/>
    </row>
    <row r="27" spans="1:9" ht="14.25" customHeight="1" x14ac:dyDescent="0.2">
      <c r="C27" s="1202"/>
      <c r="D27" s="1199" t="str">
        <f>VLOOKUP("T.07.18",Translation,LanguageNo+1,FALSE)</f>
        <v>Tier 1 -risikoabsorbierende Kapitalinstrumente (RAK) an das ergänzende Kapital angerechnet</v>
      </c>
      <c r="E27" s="711">
        <f>SUM(E28:E29)</f>
        <v>0</v>
      </c>
    </row>
    <row r="28" spans="1:9" ht="14.25" customHeight="1" x14ac:dyDescent="0.2">
      <c r="C28" s="1202"/>
      <c r="D28" s="1200" t="str">
        <f>VLOOKUP("T.07.19",Translation,LanguageNo+1,FALSE)</f>
        <v>Tier 1 -RAK ohne Rückzahlungsoption in den 12 Monaten ab Stichtag</v>
      </c>
      <c r="E28" s="702"/>
    </row>
    <row r="29" spans="1:9" ht="14.25" customHeight="1" x14ac:dyDescent="0.2">
      <c r="C29" s="1202"/>
      <c r="D29" s="1201" t="str">
        <f>VLOOKUP("T.07.20",Translation,LanguageNo+1,FALSE)</f>
        <v>Tier 1 -RAK mit Rückzahlungsoption in den 12 Monaten ab Stichtag</v>
      </c>
      <c r="E29" s="702"/>
    </row>
    <row r="30" spans="1:9" ht="14.25" customHeight="1" x14ac:dyDescent="0.2">
      <c r="C30" s="1202"/>
      <c r="D30" s="701" t="str">
        <f>VLOOKUP("T.07.21",Translation,LanguageNo+1,FALSE)</f>
        <v>Tier 2 -risikoabsorbierende Kapitalinstrumente (RAK) an das ergänzende Kapital angerechnet</v>
      </c>
      <c r="E30" s="713">
        <f>SUM(E31:E33)</f>
        <v>0</v>
      </c>
    </row>
    <row r="31" spans="1:9" ht="14.25" customHeight="1" x14ac:dyDescent="0.2">
      <c r="D31" s="1201" t="str">
        <f>VLOOKUP("T.07.22",Translation,LanguageNo+1,FALSE)</f>
        <v>Tier 2 -RAK ohne Rückzahlungsoption in den 12 Monaten ab Stichtag</v>
      </c>
      <c r="E31" s="702"/>
    </row>
    <row r="32" spans="1:9" ht="14.25" customHeight="1" x14ac:dyDescent="0.2">
      <c r="D32" s="1201" t="str">
        <f>VLOOKUP("T.07.23",Translation,LanguageNo+1,FALSE)</f>
        <v>Tier 2 -RAK mit Rückzahlungsoption in den 12 Monaten ab Stichtag</v>
      </c>
      <c r="E32" s="702"/>
    </row>
    <row r="33" spans="2:9" ht="14.25" customHeight="1" x14ac:dyDescent="0.2">
      <c r="D33" s="1201" t="str">
        <f>VLOOKUP("T.07.24",Translation,LanguageNo+1,FALSE)</f>
        <v>Risikoabsorbierende Kapitalinstrumente (RAK) nach Art 216c AVO an den SST angerechnet</v>
      </c>
      <c r="E33" s="702"/>
    </row>
    <row r="34" spans="2:9" ht="14.25" customHeight="1" x14ac:dyDescent="0.2">
      <c r="D34" s="709"/>
      <c r="E34" s="716"/>
    </row>
    <row r="35" spans="2:9" s="407" customFormat="1" ht="14.25" customHeight="1" x14ac:dyDescent="0.25">
      <c r="C35" s="717" t="str">
        <f>VLOOKUP("T.07.25",Translation,LanguageNo+1,FALSE)</f>
        <v>Total ergänzendes Kapital</v>
      </c>
      <c r="D35" s="718"/>
      <c r="E35" s="708">
        <f>E27+E30</f>
        <v>0</v>
      </c>
      <c r="F35" s="408"/>
      <c r="G35" s="408"/>
      <c r="H35" s="408"/>
      <c r="I35" s="410"/>
    </row>
    <row r="36" spans="2:9" ht="14.25" customHeight="1" x14ac:dyDescent="0.2">
      <c r="E36" s="698"/>
    </row>
    <row r="37" spans="2:9" ht="14.25" customHeight="1" x14ac:dyDescent="0.2">
      <c r="C37" s="717" t="str">
        <f>VLOOKUP("T.07.26",Translation,LanguageNo+1,FALSE)</f>
        <v>Risikotragendes Kapital</v>
      </c>
      <c r="D37" s="718"/>
      <c r="E37" s="719">
        <f>E24+E35</f>
        <v>0</v>
      </c>
      <c r="I37" s="328"/>
    </row>
    <row r="38" spans="2:9" ht="14.25" customHeight="1" x14ac:dyDescent="0.2">
      <c r="C38" s="720"/>
      <c r="D38" s="332"/>
      <c r="E38" s="721"/>
      <c r="I38" s="328"/>
    </row>
    <row r="39" spans="2:9" ht="14.25" customHeight="1" x14ac:dyDescent="0.2">
      <c r="C39" s="720"/>
      <c r="D39" s="332"/>
      <c r="E39" s="721"/>
      <c r="I39" s="328"/>
    </row>
    <row r="40" spans="2:9" ht="14.25" customHeight="1" x14ac:dyDescent="0.2">
      <c r="D40" s="709"/>
      <c r="E40" s="722"/>
    </row>
    <row r="41" spans="2:9" ht="14.25" customHeight="1" x14ac:dyDescent="0.2"/>
    <row r="42" spans="2:9" s="411" customFormat="1" ht="20.100000000000001" customHeight="1" x14ac:dyDescent="0.25">
      <c r="B42" s="409" t="s">
        <v>852</v>
      </c>
      <c r="C42" s="411" t="str">
        <f>VLOOKUP("T.07.27",Translation,LanguageNo+1,FALSE)</f>
        <v>Risikotragendes Kapital unter Runoff Bedingungen</v>
      </c>
      <c r="D42" s="414"/>
      <c r="E42" s="415"/>
      <c r="F42" s="414"/>
      <c r="G42" s="414"/>
      <c r="H42" s="414"/>
      <c r="I42" s="416"/>
    </row>
    <row r="43" spans="2:9" ht="37.5" customHeight="1" x14ac:dyDescent="0.2">
      <c r="C43" s="1274" t="str">
        <f>VLOOKUP("T.07.28",Translation,LanguageNo+1,FALSE)</f>
        <v>Der folgende Wert ist lediglich für die Sparte Leben zu bestimmen und zwar gemäss Dokument Technische Beschreibung Standardmodell für die Lebensversicherung.
Für alle anderen Sparten ist diese Zelle leer zu lassen.</v>
      </c>
      <c r="D43" s="1274" t="e">
        <f>VLOOKUP("T.09.25",Translation,LanguageNo+1,FALSE)</f>
        <v>#N/A</v>
      </c>
    </row>
    <row r="44" spans="2:9" s="407" customFormat="1" ht="22.5" customHeight="1" x14ac:dyDescent="0.25">
      <c r="C44" s="717" t="str">
        <f>VLOOKUP("T.07.29",Translation,LanguageNo+1,FALSE)</f>
        <v>Risikotragendes Kapital unter Runoff Bedingungen (nur für die Sparte Leben relevant)</v>
      </c>
      <c r="D44" s="723"/>
      <c r="E44" s="702"/>
      <c r="F44" s="408"/>
      <c r="G44"/>
      <c r="H44" s="408"/>
      <c r="I44" s="410"/>
    </row>
    <row r="46" spans="2:9" ht="22.5" customHeight="1" x14ac:dyDescent="0.2">
      <c r="C46" s="717" t="str">
        <f>VLOOKUP("T.07.27",Translation,LanguageNo+1,FALSE)</f>
        <v>Risikotragendes Kapital unter Runoff Bedingungen</v>
      </c>
      <c r="D46" s="719"/>
      <c r="E46" s="719">
        <f>IF(ISBLANK(E44),E37,E44)</f>
        <v>0</v>
      </c>
    </row>
  </sheetData>
  <sheetProtection formatCells="0" formatColumns="0" formatRows="0" insertColumns="0" insertRows="0"/>
  <mergeCells count="1">
    <mergeCell ref="C43:D43"/>
  </mergeCells>
  <pageMargins left="0.47244094488188981" right="0.47244094488188981" top="0.59055118110236227" bottom="0.59055118110236227" header="0.35433070866141736" footer="0.35433070866141736"/>
  <pageSetup paperSize="9" scale="72" fitToHeight="2" orientation="landscape" r:id="rId1"/>
  <headerFooter alignWithMargins="0">
    <oddHeader>&amp;R&amp;"Arial,Fett"&amp;12SST</oddHeader>
    <oddFooter>&amp;L&amp;F / &amp;A&amp;C&amp;P / &amp;N&amp;R&amp;D</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tabColor rgb="FFD4ECF9"/>
    <pageSetUpPr fitToPage="1"/>
  </sheetPr>
  <dimension ref="A1:R299"/>
  <sheetViews>
    <sheetView showGridLines="0" zoomScale="90" zoomScaleNormal="90" workbookViewId="0"/>
  </sheetViews>
  <sheetFormatPr baseColWidth="10" defaultColWidth="8.5703125" defaultRowHeight="12.75" customHeight="1" x14ac:dyDescent="0.25"/>
  <cols>
    <col min="1" max="1" width="5.5703125" style="222" customWidth="1"/>
    <col min="2" max="2" width="5.5703125" style="223" customWidth="1"/>
    <col min="3" max="3" width="5.5703125" style="375" customWidth="1"/>
    <col min="4" max="4" width="14.5703125" style="219" customWidth="1"/>
    <col min="5" max="5" width="95.5703125" style="224" customWidth="1"/>
    <col min="6" max="6" width="16.5703125" style="376" customWidth="1"/>
    <col min="7" max="13" width="16.5703125" style="222" customWidth="1"/>
    <col min="14" max="16384" width="8.5703125" style="222"/>
  </cols>
  <sheetData>
    <row r="1" spans="1:13" ht="20.100000000000001" customHeight="1" x14ac:dyDescent="0.25">
      <c r="A1" s="21">
        <v>8</v>
      </c>
      <c r="B1" s="680" t="str">
        <f>VLOOKUP("T.08.01",Translation,LanguageNo+1,FALSE)</f>
        <v>Differenzen zwischen statutarischer und marktkonformer Bewertung (SST-Bilanz)</v>
      </c>
      <c r="D1" s="329"/>
      <c r="E1" s="220"/>
      <c r="F1" s="220"/>
      <c r="G1" s="220"/>
      <c r="H1" s="220"/>
      <c r="I1" s="220"/>
      <c r="J1" s="220"/>
      <c r="K1" s="220"/>
      <c r="L1" s="220"/>
      <c r="M1" s="220"/>
    </row>
    <row r="2" spans="1:13" ht="14.25" customHeight="1" x14ac:dyDescent="0.25">
      <c r="G2" s="377"/>
      <c r="H2" s="377"/>
      <c r="I2" s="220"/>
      <c r="J2" s="378"/>
      <c r="K2" s="220"/>
      <c r="L2" s="220"/>
      <c r="M2" s="220"/>
    </row>
    <row r="3" spans="1:13" ht="14.25" customHeight="1" x14ac:dyDescent="0.25">
      <c r="J3" s="379"/>
    </row>
    <row r="4" spans="1:13" ht="140.1" customHeight="1" x14ac:dyDescent="0.25">
      <c r="B4" s="380" t="str">
        <f>VLOOKUP("T.06.03",Translation,LanguageNo+1,FALSE)</f>
        <v>Staffelrechnung</v>
      </c>
      <c r="C4" s="381"/>
      <c r="D4" s="382"/>
      <c r="E4" s="383" t="str">
        <f>VLOOKUP("T.06.02",Translation,LanguageNo+1,FALSE)</f>
        <v>SST-Bilanz</v>
      </c>
      <c r="F4" s="417" t="str">
        <f>VLOOKUP("T.08.03",Translation,LanguageNo+1,FALSE)
&amp;Unit &amp;SST_Currency</f>
        <v>Statutarischer Wert  in Mio. CHF</v>
      </c>
      <c r="G4" s="667" t="str">
        <f>VLOOKUP("T.08.04",Translation,LanguageNo+1,FALSE)</f>
        <v>Allokation REF (Hier Zeilenref angeben, auf die alloziert werden soll.)</v>
      </c>
      <c r="H4" s="418" t="str">
        <f>VLOOKUP("T.08.05",Translation,LanguageNo+1,FALSE)</f>
        <v>Allokation WERT (Umzulegender Wert)</v>
      </c>
      <c r="I4" s="418" t="str">
        <f>VLOOKUP("T.08.06",Translation,LanguageNo+1,FALSE)</f>
        <v>Zwischenergebnis</v>
      </c>
      <c r="J4" s="667" t="str">
        <f>VLOOKUP("T.08.07",Translation,LanguageNo+1,FALSE)</f>
        <v>Weitere Allokationen Müssen sich gegenseitig kompensieren. Zu benützen, wenn Spalten G und H nicht genügen. Bitte im SST-Bericht begründen.</v>
      </c>
      <c r="K4" s="418" t="str">
        <f>VLOOKUP("T.08.08",Translation,LanguageNo+1,FALSE)</f>
        <v xml:space="preserve">Statutarischer Bilanzwert nach Allokation </v>
      </c>
      <c r="L4" s="419" t="str">
        <f>VLOOKUP("T.08.09",Translation,LanguageNo+1,FALSE)</f>
        <v>Bewertungsdifferenzen zw. statutarischem und marktkonformem Wert</v>
      </c>
      <c r="M4" s="666" t="str">
        <f>VLOOKUP("T.06.05",Translation,LanguageNo+1,FALSE)</f>
        <v xml:space="preserve">Marktkonformer Wert bzw. Best Estimate  </v>
      </c>
    </row>
    <row r="5" spans="1:13" ht="40.35" customHeight="1" x14ac:dyDescent="0.25">
      <c r="B5" s="974" t="s">
        <v>1420</v>
      </c>
      <c r="C5" s="975" t="str">
        <f>VLOOKUP("T.08.02",Translation,LanguageNo+1,FALSE)</f>
        <v>Vorzeichen</v>
      </c>
      <c r="D5" s="976" t="str">
        <f>VLOOKUP("T.06.04",Translation,LanguageNo+1,FALSE)</f>
        <v>Kontonummer</v>
      </c>
      <c r="E5" s="977"/>
      <c r="F5" s="978" t="str">
        <f>"31.12."&amp;Year-1</f>
        <v>31.12.2023</v>
      </c>
      <c r="G5" s="979"/>
      <c r="H5" s="979"/>
      <c r="I5" s="980" t="str">
        <f>"31.12."&amp;Year-1</f>
        <v>31.12.2023</v>
      </c>
      <c r="J5" s="979"/>
      <c r="K5" s="980" t="str">
        <f>"31.12."&amp;Year-1</f>
        <v>31.12.2023</v>
      </c>
      <c r="L5" s="979"/>
      <c r="M5" s="981" t="str">
        <f>"31.12."&amp;Year-1</f>
        <v>31.12.2023</v>
      </c>
    </row>
    <row r="6" spans="1:13" ht="14.25" customHeight="1" x14ac:dyDescent="0.25">
      <c r="B6" s="970">
        <f>ROW(B$256)-ROW(B$6)</f>
        <v>250</v>
      </c>
      <c r="C6" s="971"/>
      <c r="D6" s="972"/>
      <c r="E6" s="973"/>
      <c r="F6" s="222"/>
    </row>
    <row r="7" spans="1:13" ht="14.25" customHeight="1" x14ac:dyDescent="0.25">
      <c r="B7" s="214">
        <f>ROW(B7)</f>
        <v>7</v>
      </c>
      <c r="C7" s="384"/>
      <c r="D7" s="214"/>
      <c r="E7" s="307" t="str">
        <f>VLOOKUP("T.06.08",Translation,LanguageNo+1,FALSE)</f>
        <v>1.1 Kapitalanlagen</v>
      </c>
      <c r="F7" s="264"/>
      <c r="G7" s="264"/>
      <c r="H7" s="264"/>
      <c r="I7" s="385"/>
      <c r="J7" s="263"/>
      <c r="K7" s="385"/>
      <c r="L7" s="385"/>
      <c r="M7" s="385"/>
    </row>
    <row r="8" spans="1:13" ht="14.25" customHeight="1" x14ac:dyDescent="0.25">
      <c r="B8" s="214">
        <f t="shared" ref="B8:B71" si="0">ROW(B8)</f>
        <v>8</v>
      </c>
      <c r="C8" s="384"/>
      <c r="D8" s="863">
        <v>101100000</v>
      </c>
      <c r="E8" s="245" t="str">
        <f>VLOOKUP("T.06.09",Translation,LanguageNo+1,FALSE)</f>
        <v>1.1.1 Immobilien</v>
      </c>
      <c r="F8" s="263">
        <f>SUM(F9:F17)</f>
        <v>0</v>
      </c>
      <c r="G8" s="263"/>
      <c r="H8" s="263"/>
      <c r="I8" s="264">
        <f>SUM(I9:I17)</f>
        <v>0</v>
      </c>
      <c r="J8" s="386">
        <f>SUM(J9:J17)</f>
        <v>0</v>
      </c>
      <c r="K8" s="264">
        <f>SUM(K9:K17)</f>
        <v>0</v>
      </c>
      <c r="L8" s="385">
        <f>$M8-$K8</f>
        <v>0</v>
      </c>
      <c r="M8" s="385">
        <f>'SST Balance Sheet'!E8</f>
        <v>0</v>
      </c>
    </row>
    <row r="9" spans="1:13" ht="14.25" customHeight="1" x14ac:dyDescent="0.25">
      <c r="B9" s="214">
        <f t="shared" si="0"/>
        <v>9</v>
      </c>
      <c r="C9" s="387">
        <v>1</v>
      </c>
      <c r="D9" s="214"/>
      <c r="E9" s="244" t="str">
        <f>VLOOKUP("T.06.10",Translation,LanguageNo+1,FALSE)</f>
        <v>Wohnimmobilien: Inland</v>
      </c>
      <c r="F9" s="249"/>
      <c r="G9" s="194"/>
      <c r="H9" s="268"/>
      <c r="I9" s="385">
        <f t="shared" ref="I9:I17" si="1">IF(ISBLANK(B9),"",F9+SUMPRODUCT(--($G$6:$G$249=B9),$H$6:$H$249,$C$6:$C$249)*C9-H9)</f>
        <v>0</v>
      </c>
      <c r="J9" s="250"/>
      <c r="K9" s="385">
        <f>$I9+$J9</f>
        <v>0</v>
      </c>
      <c r="L9" s="385">
        <f t="shared" ref="L9:L17" si="2">$M9-$K9</f>
        <v>0</v>
      </c>
      <c r="M9" s="385">
        <f>'SST Balance Sheet'!E9</f>
        <v>0</v>
      </c>
    </row>
    <row r="10" spans="1:13" ht="14.25" customHeight="1" x14ac:dyDescent="0.25">
      <c r="B10" s="214">
        <f t="shared" si="0"/>
        <v>10</v>
      </c>
      <c r="C10" s="387">
        <v>1</v>
      </c>
      <c r="D10" s="214"/>
      <c r="E10" s="244" t="str">
        <f>VLOOKUP("T.06.11",Translation,LanguageNo+1,FALSE)</f>
        <v>Wohnimmobilien Ausland</v>
      </c>
      <c r="F10" s="249"/>
      <c r="G10" s="194"/>
      <c r="H10" s="268"/>
      <c r="I10" s="385">
        <f t="shared" si="1"/>
        <v>0</v>
      </c>
      <c r="J10" s="250"/>
      <c r="K10" s="385">
        <f t="shared" ref="K10:K17" si="3">$I10+$J10</f>
        <v>0</v>
      </c>
      <c r="L10" s="385">
        <f t="shared" si="2"/>
        <v>0</v>
      </c>
      <c r="M10" s="385">
        <f>'SST Balance Sheet'!E10</f>
        <v>0</v>
      </c>
    </row>
    <row r="11" spans="1:13" ht="14.25" customHeight="1" x14ac:dyDescent="0.25">
      <c r="B11" s="214">
        <f t="shared" si="0"/>
        <v>11</v>
      </c>
      <c r="C11" s="387">
        <v>1</v>
      </c>
      <c r="D11" s="214"/>
      <c r="E11" s="244" t="str">
        <f>VLOOKUP("T.06.12",Translation,LanguageNo+1,FALSE)</f>
        <v>Büro- und Verwaltungsbauten: Inland</v>
      </c>
      <c r="F11" s="249"/>
      <c r="G11" s="194"/>
      <c r="H11" s="268"/>
      <c r="I11" s="385">
        <f t="shared" si="1"/>
        <v>0</v>
      </c>
      <c r="J11" s="250"/>
      <c r="K11" s="385">
        <f t="shared" si="3"/>
        <v>0</v>
      </c>
      <c r="L11" s="385">
        <f t="shared" si="2"/>
        <v>0</v>
      </c>
      <c r="M11" s="385">
        <f>'SST Balance Sheet'!E11</f>
        <v>0</v>
      </c>
    </row>
    <row r="12" spans="1:13" ht="14.25" customHeight="1" x14ac:dyDescent="0.25">
      <c r="B12" s="214">
        <f t="shared" si="0"/>
        <v>12</v>
      </c>
      <c r="C12" s="387">
        <v>1</v>
      </c>
      <c r="D12" s="214"/>
      <c r="E12" s="244" t="str">
        <f>VLOOKUP("T.06.13",Translation,LanguageNo+1,FALSE)</f>
        <v>Büro- und Verwaltungsbauten: Ausland</v>
      </c>
      <c r="F12" s="249"/>
      <c r="G12" s="194"/>
      <c r="H12" s="268"/>
      <c r="I12" s="385">
        <f t="shared" si="1"/>
        <v>0</v>
      </c>
      <c r="J12" s="250"/>
      <c r="K12" s="385">
        <f t="shared" si="3"/>
        <v>0</v>
      </c>
      <c r="L12" s="385">
        <f t="shared" si="2"/>
        <v>0</v>
      </c>
      <c r="M12" s="385">
        <f>'SST Balance Sheet'!E12</f>
        <v>0</v>
      </c>
    </row>
    <row r="13" spans="1:13" ht="14.25" customHeight="1" x14ac:dyDescent="0.25">
      <c r="B13" s="214">
        <f t="shared" si="0"/>
        <v>13</v>
      </c>
      <c r="C13" s="387">
        <v>1</v>
      </c>
      <c r="D13" s="214"/>
      <c r="E13" s="244" t="str">
        <f>VLOOKUP("T.06.14",Translation,LanguageNo+1,FALSE)</f>
        <v>Gemischtgenutzte Immobilien: Inland</v>
      </c>
      <c r="F13" s="249"/>
      <c r="G13" s="194"/>
      <c r="H13" s="268"/>
      <c r="I13" s="385">
        <f t="shared" si="1"/>
        <v>0</v>
      </c>
      <c r="J13" s="250"/>
      <c r="K13" s="385">
        <f t="shared" si="3"/>
        <v>0</v>
      </c>
      <c r="L13" s="385">
        <f t="shared" si="2"/>
        <v>0</v>
      </c>
      <c r="M13" s="385">
        <f>'SST Balance Sheet'!E13</f>
        <v>0</v>
      </c>
    </row>
    <row r="14" spans="1:13" ht="14.25" customHeight="1" x14ac:dyDescent="0.25">
      <c r="B14" s="214">
        <f t="shared" si="0"/>
        <v>14</v>
      </c>
      <c r="C14" s="387">
        <v>1</v>
      </c>
      <c r="D14" s="214"/>
      <c r="E14" s="255" t="str">
        <f>VLOOKUP("T.06.15",Translation,LanguageNo+1,FALSE)</f>
        <v>Angefangene Bauten: Inland</v>
      </c>
      <c r="F14" s="249"/>
      <c r="G14" s="194"/>
      <c r="H14" s="268"/>
      <c r="I14" s="385">
        <f t="shared" si="1"/>
        <v>0</v>
      </c>
      <c r="J14" s="250"/>
      <c r="K14" s="385">
        <f t="shared" si="3"/>
        <v>0</v>
      </c>
      <c r="L14" s="385">
        <f t="shared" si="2"/>
        <v>0</v>
      </c>
      <c r="M14" s="385">
        <f>'SST Balance Sheet'!E14</f>
        <v>0</v>
      </c>
    </row>
    <row r="15" spans="1:13" ht="14.25" customHeight="1" x14ac:dyDescent="0.25">
      <c r="B15" s="214">
        <f t="shared" si="0"/>
        <v>15</v>
      </c>
      <c r="C15" s="387">
        <v>1</v>
      </c>
      <c r="D15" s="214"/>
      <c r="E15" s="255" t="str">
        <f>VLOOKUP("T.06.16",Translation,LanguageNo+1,FALSE)</f>
        <v>Bauland: Inland</v>
      </c>
      <c r="F15" s="249"/>
      <c r="G15" s="194"/>
      <c r="H15" s="268"/>
      <c r="I15" s="385">
        <f t="shared" si="1"/>
        <v>0</v>
      </c>
      <c r="J15" s="250"/>
      <c r="K15" s="385">
        <f t="shared" si="3"/>
        <v>0</v>
      </c>
      <c r="L15" s="385">
        <f t="shared" si="2"/>
        <v>0</v>
      </c>
      <c r="M15" s="385">
        <f>'SST Balance Sheet'!E15</f>
        <v>0</v>
      </c>
    </row>
    <row r="16" spans="1:13" ht="14.25" customHeight="1" x14ac:dyDescent="0.25">
      <c r="B16" s="214">
        <f t="shared" si="0"/>
        <v>16</v>
      </c>
      <c r="C16" s="387">
        <v>1</v>
      </c>
      <c r="D16" s="214" t="s">
        <v>883</v>
      </c>
      <c r="E16" s="244" t="str">
        <f>VLOOKUP("T.06.17",Translation,LanguageNo+1,FALSE)</f>
        <v>Übrige Immobilien: Inland</v>
      </c>
      <c r="F16" s="249"/>
      <c r="G16" s="194"/>
      <c r="H16" s="268"/>
      <c r="I16" s="385">
        <f t="shared" si="1"/>
        <v>0</v>
      </c>
      <c r="J16" s="250"/>
      <c r="K16" s="385">
        <f t="shared" si="3"/>
        <v>0</v>
      </c>
      <c r="L16" s="385">
        <f t="shared" si="2"/>
        <v>0</v>
      </c>
      <c r="M16" s="385">
        <f>'SST Balance Sheet'!E16</f>
        <v>0</v>
      </c>
    </row>
    <row r="17" spans="2:13" ht="14.25" customHeight="1" x14ac:dyDescent="0.25">
      <c r="B17" s="214">
        <f t="shared" si="0"/>
        <v>17</v>
      </c>
      <c r="C17" s="387">
        <v>1</v>
      </c>
      <c r="D17" s="214" t="s">
        <v>883</v>
      </c>
      <c r="E17" s="244" t="str">
        <f>VLOOKUP("T.06.18",Translation,LanguageNo+1,FALSE)</f>
        <v>Übrige Immobilien: Ausland</v>
      </c>
      <c r="F17" s="256"/>
      <c r="G17" s="308"/>
      <c r="H17" s="285"/>
      <c r="I17" s="385">
        <f t="shared" si="1"/>
        <v>0</v>
      </c>
      <c r="J17" s="388"/>
      <c r="K17" s="385">
        <f t="shared" si="3"/>
        <v>0</v>
      </c>
      <c r="L17" s="385">
        <f t="shared" si="2"/>
        <v>0</v>
      </c>
      <c r="M17" s="385">
        <f>'SST Balance Sheet'!E17</f>
        <v>0</v>
      </c>
    </row>
    <row r="18" spans="2:13" ht="14.25" customHeight="1" x14ac:dyDescent="0.25">
      <c r="B18" s="390"/>
      <c r="C18" s="389"/>
      <c r="D18" s="258"/>
      <c r="E18" s="259"/>
      <c r="F18" s="260"/>
      <c r="G18" s="260"/>
      <c r="H18" s="260"/>
      <c r="I18" s="390"/>
      <c r="J18" s="260"/>
      <c r="K18" s="390"/>
      <c r="L18" s="390"/>
      <c r="M18" s="390"/>
    </row>
    <row r="19" spans="2:13" ht="14.25" customHeight="1" x14ac:dyDescent="0.25">
      <c r="B19" s="214">
        <f t="shared" si="0"/>
        <v>19</v>
      </c>
      <c r="C19" s="391"/>
      <c r="D19" s="863">
        <v>101200000</v>
      </c>
      <c r="E19" s="245" t="str">
        <f>VLOOKUP("T.06.19",Translation,LanguageNo+1,FALSE)</f>
        <v>1.1.2 Beteiligungen</v>
      </c>
      <c r="F19" s="264">
        <f>F20+F24</f>
        <v>0</v>
      </c>
      <c r="G19" s="264"/>
      <c r="H19" s="264"/>
      <c r="I19" s="264">
        <f>I20+I24</f>
        <v>0</v>
      </c>
      <c r="J19" s="264">
        <f>J20+J24</f>
        <v>0</v>
      </c>
      <c r="K19" s="264">
        <f>K20+K24</f>
        <v>0</v>
      </c>
      <c r="L19" s="385">
        <f t="shared" ref="L19:L22" si="4">$M19-$K19</f>
        <v>0</v>
      </c>
      <c r="M19" s="385">
        <f>'SST Balance Sheet'!E19</f>
        <v>0</v>
      </c>
    </row>
    <row r="20" spans="2:13" ht="14.25" customHeight="1" x14ac:dyDescent="0.25">
      <c r="B20" s="214">
        <f t="shared" si="0"/>
        <v>20</v>
      </c>
      <c r="C20" s="384"/>
      <c r="D20" s="863" t="s">
        <v>3066</v>
      </c>
      <c r="E20" s="262" t="str">
        <f>VLOOKUP("T.06.20",Translation,LanguageNo+1,FALSE)</f>
        <v>Beteiligungen: Quote &gt; 50 %</v>
      </c>
      <c r="F20" s="263">
        <f>SUM(F21:F22)</f>
        <v>0</v>
      </c>
      <c r="G20" s="263"/>
      <c r="H20" s="263"/>
      <c r="I20" s="264">
        <f>SUM(I21:I22)</f>
        <v>0</v>
      </c>
      <c r="J20" s="263">
        <f>SUM(J21:J22)</f>
        <v>0</v>
      </c>
      <c r="K20" s="264">
        <f>SUM(K21:K22)</f>
        <v>0</v>
      </c>
      <c r="L20" s="385">
        <f t="shared" si="4"/>
        <v>0</v>
      </c>
      <c r="M20" s="385">
        <f>'SST Balance Sheet'!E20</f>
        <v>0</v>
      </c>
    </row>
    <row r="21" spans="2:13" ht="14.25" customHeight="1" x14ac:dyDescent="0.25">
      <c r="B21" s="214">
        <f t="shared" si="0"/>
        <v>21</v>
      </c>
      <c r="C21" s="387">
        <v>1</v>
      </c>
      <c r="D21" s="694"/>
      <c r="E21" s="252" t="str">
        <f>VLOOKUP("T.06.21",Translation,LanguageNo+1,FALSE)</f>
        <v>Beteiligungen an Versicherungsgesellschaften</v>
      </c>
      <c r="F21" s="249"/>
      <c r="G21" s="194"/>
      <c r="H21" s="268"/>
      <c r="I21" s="385">
        <f>IF(ISBLANK(B21),"",F21+SUMPRODUCT(--($G$6:$G$249=B21),$H$6:$H$249,$C$6:$C$249)*C21-H21)</f>
        <v>0</v>
      </c>
      <c r="J21" s="250"/>
      <c r="K21" s="385">
        <f t="shared" ref="K21:K22" si="5">$I21+$J21</f>
        <v>0</v>
      </c>
      <c r="L21" s="385">
        <f t="shared" si="4"/>
        <v>0</v>
      </c>
      <c r="M21" s="385">
        <f>'SST Balance Sheet'!E21</f>
        <v>0</v>
      </c>
    </row>
    <row r="22" spans="2:13" ht="14.25" customHeight="1" x14ac:dyDescent="0.25">
      <c r="B22" s="214">
        <f t="shared" si="0"/>
        <v>22</v>
      </c>
      <c r="C22" s="387">
        <v>1</v>
      </c>
      <c r="D22" s="214"/>
      <c r="E22" s="252" t="str">
        <f>VLOOKUP("T.06.22",Translation,LanguageNo+1,FALSE)</f>
        <v>Übrige Beteiligungen</v>
      </c>
      <c r="F22" s="256"/>
      <c r="G22" s="308"/>
      <c r="H22" s="285"/>
      <c r="I22" s="385">
        <f>IF(ISBLANK(B22),"",F22+SUMPRODUCT(--($G$6:$G$249=B22),$H$6:$H$249,$C$6:$C$249)*C22-H22)</f>
        <v>0</v>
      </c>
      <c r="J22" s="388"/>
      <c r="K22" s="385">
        <f t="shared" si="5"/>
        <v>0</v>
      </c>
      <c r="L22" s="385">
        <f t="shared" si="4"/>
        <v>0</v>
      </c>
      <c r="M22" s="385">
        <f>'SST Balance Sheet'!E22</f>
        <v>0</v>
      </c>
    </row>
    <row r="23" spans="2:13" ht="14.25" customHeight="1" x14ac:dyDescent="0.25">
      <c r="B23" s="265"/>
      <c r="C23" s="392"/>
      <c r="D23" s="265"/>
      <c r="E23" s="259"/>
      <c r="F23" s="260"/>
      <c r="G23" s="260"/>
      <c r="H23" s="260"/>
      <c r="I23" s="390"/>
      <c r="J23" s="260"/>
      <c r="K23" s="390"/>
      <c r="L23" s="390"/>
      <c r="M23" s="390"/>
    </row>
    <row r="24" spans="2:13" ht="14.25" customHeight="1" x14ac:dyDescent="0.25">
      <c r="B24" s="214">
        <f t="shared" si="0"/>
        <v>24</v>
      </c>
      <c r="C24" s="384"/>
      <c r="D24" s="863" t="s">
        <v>3067</v>
      </c>
      <c r="E24" s="262" t="str">
        <f>VLOOKUP("T.06.23",Translation,LanguageNo+1,FALSE)</f>
        <v>Beteiligungen: Quote 20 % bis 50 %</v>
      </c>
      <c r="F24" s="263">
        <f>SUM(F25:F26)</f>
        <v>0</v>
      </c>
      <c r="G24" s="263"/>
      <c r="H24" s="263"/>
      <c r="I24" s="264">
        <f>SUM(I25:I26)</f>
        <v>0</v>
      </c>
      <c r="J24" s="263">
        <f>SUM(J25:J26)</f>
        <v>0</v>
      </c>
      <c r="K24" s="264">
        <f>SUM(K25:K26)</f>
        <v>0</v>
      </c>
      <c r="L24" s="385">
        <f t="shared" ref="L24:L26" si="6">$M24-$K24</f>
        <v>0</v>
      </c>
      <c r="M24" s="385">
        <f>'SST Balance Sheet'!E24</f>
        <v>0</v>
      </c>
    </row>
    <row r="25" spans="2:13" ht="14.25" customHeight="1" x14ac:dyDescent="0.25">
      <c r="B25" s="214">
        <f t="shared" si="0"/>
        <v>25</v>
      </c>
      <c r="C25" s="387">
        <v>1</v>
      </c>
      <c r="D25" s="694"/>
      <c r="E25" s="252" t="str">
        <f>VLOOKUP("T.06.24",Translation,LanguageNo+1,FALSE)</f>
        <v>Beteiligungen an Versicherungsgesellschaften</v>
      </c>
      <c r="F25" s="249"/>
      <c r="G25" s="194"/>
      <c r="H25" s="268"/>
      <c r="I25" s="385">
        <f>IF(ISBLANK(B25),"",F25+SUMPRODUCT(--($G$6:$G$249=B25),$H$6:$H$249,$C$6:$C$249)*C25-H25)</f>
        <v>0</v>
      </c>
      <c r="J25" s="250"/>
      <c r="K25" s="385">
        <f t="shared" ref="K25:K26" si="7">$I25+$J25</f>
        <v>0</v>
      </c>
      <c r="L25" s="385">
        <f t="shared" si="6"/>
        <v>0</v>
      </c>
      <c r="M25" s="385">
        <f>'SST Balance Sheet'!E25</f>
        <v>0</v>
      </c>
    </row>
    <row r="26" spans="2:13" ht="14.25" customHeight="1" x14ac:dyDescent="0.25">
      <c r="B26" s="214">
        <f t="shared" si="0"/>
        <v>26</v>
      </c>
      <c r="C26" s="387">
        <v>1</v>
      </c>
      <c r="D26" s="214"/>
      <c r="E26" s="252" t="str">
        <f>VLOOKUP("T.06.25",Translation,LanguageNo+1,FALSE)</f>
        <v>Übrige Beteiligungen</v>
      </c>
      <c r="F26" s="249"/>
      <c r="G26" s="194"/>
      <c r="H26" s="268"/>
      <c r="I26" s="385">
        <f>IF(ISBLANK(B26),"",F26+SUMPRODUCT(--($G$6:$G$249=B26),$H$6:$H$249,$C$6:$C$249)*C26-H26)</f>
        <v>0</v>
      </c>
      <c r="J26" s="250"/>
      <c r="K26" s="385">
        <f t="shared" si="7"/>
        <v>0</v>
      </c>
      <c r="L26" s="385">
        <f t="shared" si="6"/>
        <v>0</v>
      </c>
      <c r="M26" s="385">
        <f>'SST Balance Sheet'!E26</f>
        <v>0</v>
      </c>
    </row>
    <row r="27" spans="2:13" ht="14.25" customHeight="1" x14ac:dyDescent="0.25">
      <c r="B27" s="265"/>
      <c r="C27" s="392"/>
      <c r="D27" s="265"/>
      <c r="E27" s="259"/>
      <c r="F27" s="260"/>
      <c r="G27" s="260"/>
      <c r="H27" s="260"/>
      <c r="I27" s="390"/>
      <c r="J27" s="260"/>
      <c r="K27" s="390"/>
      <c r="L27" s="390"/>
      <c r="M27" s="390"/>
    </row>
    <row r="28" spans="2:13" ht="14.25" customHeight="1" x14ac:dyDescent="0.25">
      <c r="B28" s="214">
        <f t="shared" si="0"/>
        <v>28</v>
      </c>
      <c r="C28" s="384"/>
      <c r="D28" s="863">
        <v>101300000</v>
      </c>
      <c r="E28" s="245" t="str">
        <f>VLOOKUP("T.06.26",Translation,LanguageNo+1,FALSE)</f>
        <v>1.1.3 Festverzinsliche Wertpapiere</v>
      </c>
      <c r="F28" s="263">
        <f>F29+F32+SUM(F34:F36)</f>
        <v>0</v>
      </c>
      <c r="G28" s="263"/>
      <c r="H28" s="263"/>
      <c r="I28" s="264">
        <f>I29+I32+SUM(I34:I36)</f>
        <v>0</v>
      </c>
      <c r="J28" s="263">
        <f>J29+J32+SUM(J34:J36)</f>
        <v>0</v>
      </c>
      <c r="K28" s="264">
        <f>K29+K32+SUM(K34:K36)</f>
        <v>0</v>
      </c>
      <c r="L28" s="385">
        <f t="shared" ref="L28:L29" si="8">$M28-$K28</f>
        <v>0</v>
      </c>
      <c r="M28" s="385">
        <f>'SST Balance Sheet'!E28</f>
        <v>0</v>
      </c>
    </row>
    <row r="29" spans="2:13" ht="14.25" customHeight="1" x14ac:dyDescent="0.25">
      <c r="B29" s="214">
        <f t="shared" si="0"/>
        <v>29</v>
      </c>
      <c r="C29" s="387">
        <v>1</v>
      </c>
      <c r="D29" s="863" t="s">
        <v>3068</v>
      </c>
      <c r="E29" s="244" t="str">
        <f>VLOOKUP("T.06.27",Translation,LanguageNo+1,FALSE)</f>
        <v>Staats- und Zentralbankenanleihen</v>
      </c>
      <c r="F29" s="250"/>
      <c r="G29" s="249"/>
      <c r="H29" s="268"/>
      <c r="I29" s="385">
        <f>IF(ISBLANK(B29),"",F29+SUMPRODUCT(--($G$6:$G$249=B29),$H$6:$H$249,$C$6:$C$249)*C29-H29)</f>
        <v>0</v>
      </c>
      <c r="J29" s="250"/>
      <c r="K29" s="385">
        <f t="shared" ref="K29" si="9">$I29+$J29</f>
        <v>0</v>
      </c>
      <c r="L29" s="385">
        <f t="shared" si="8"/>
        <v>0</v>
      </c>
      <c r="M29" s="385">
        <f>'SST Balance Sheet'!E29</f>
        <v>0</v>
      </c>
    </row>
    <row r="30" spans="2:13" ht="14.25" customHeight="1" x14ac:dyDescent="0.25">
      <c r="B30" s="214">
        <f t="shared" si="0"/>
        <v>30</v>
      </c>
      <c r="C30" s="393"/>
      <c r="D30" s="289"/>
      <c r="E30" s="272" t="str">
        <f>VLOOKUP("T.06.28",Translation,LanguageNo+1,FALSE)</f>
        <v>davon Schweizer Kantone und Gemeinden</v>
      </c>
      <c r="F30" s="250"/>
      <c r="G30" s="394"/>
      <c r="H30" s="394"/>
      <c r="I30" s="385"/>
      <c r="J30" s="394"/>
      <c r="K30" s="385"/>
      <c r="L30" s="385"/>
      <c r="M30" s="385"/>
    </row>
    <row r="31" spans="2:13" ht="14.25" customHeight="1" x14ac:dyDescent="0.25">
      <c r="B31" s="214">
        <f t="shared" si="0"/>
        <v>31</v>
      </c>
      <c r="C31" s="393"/>
      <c r="D31" s="289"/>
      <c r="E31" s="272" t="str">
        <f>VLOOKUP("T.06.29",Translation,LanguageNo+1,FALSE)</f>
        <v>davon andere öffentliche Körperschaften</v>
      </c>
      <c r="F31" s="250"/>
      <c r="G31" s="299"/>
      <c r="H31" s="299"/>
      <c r="I31" s="385"/>
      <c r="J31" s="299"/>
      <c r="K31" s="385"/>
      <c r="L31" s="385"/>
      <c r="M31" s="385"/>
    </row>
    <row r="32" spans="2:13" ht="14.25" customHeight="1" x14ac:dyDescent="0.25">
      <c r="B32" s="214">
        <f t="shared" si="0"/>
        <v>32</v>
      </c>
      <c r="C32" s="387">
        <v>1</v>
      </c>
      <c r="D32" s="863" t="s">
        <v>3069</v>
      </c>
      <c r="E32" s="244" t="str">
        <f>VLOOKUP("T.06.30",Translation,LanguageNo+1,FALSE)</f>
        <v>Unternehmensanleihen</v>
      </c>
      <c r="F32" s="250"/>
      <c r="G32" s="249"/>
      <c r="H32" s="268"/>
      <c r="I32" s="385">
        <f>IF(ISBLANK(B32),"",F32+SUMPRODUCT(--($G$6:$G$249=B32),$H$6:$H$249,$C$6:$C$249)*C32-H32)</f>
        <v>0</v>
      </c>
      <c r="J32" s="250"/>
      <c r="K32" s="385">
        <f t="shared" ref="K32" si="10">$I32+$J32</f>
        <v>0</v>
      </c>
      <c r="L32" s="385">
        <f t="shared" ref="L32:L67" si="11">$M32-$K32</f>
        <v>0</v>
      </c>
      <c r="M32" s="385">
        <f>'SST Balance Sheet'!E32</f>
        <v>0</v>
      </c>
    </row>
    <row r="33" spans="2:13" ht="14.25" customHeight="1" x14ac:dyDescent="0.25">
      <c r="B33" s="214">
        <f t="shared" si="0"/>
        <v>33</v>
      </c>
      <c r="C33" s="384"/>
      <c r="D33" s="214"/>
      <c r="E33" s="272" t="str">
        <f>VLOOKUP("T.06.31",Translation,LanguageNo+1,FALSE)</f>
        <v>davon Banken und Effektenhändler</v>
      </c>
      <c r="F33" s="250"/>
      <c r="G33" s="203"/>
      <c r="H33" s="203"/>
      <c r="I33" s="385"/>
      <c r="J33" s="203"/>
      <c r="K33" s="385"/>
      <c r="L33" s="385"/>
      <c r="M33" s="385"/>
    </row>
    <row r="34" spans="2:13" ht="14.25" customHeight="1" x14ac:dyDescent="0.25">
      <c r="B34" s="214">
        <f t="shared" si="0"/>
        <v>34</v>
      </c>
      <c r="C34" s="387">
        <v>1</v>
      </c>
      <c r="D34" s="863" t="s">
        <v>3070</v>
      </c>
      <c r="E34" s="214" t="str">
        <f>VLOOKUP("T.06.32",Translation,LanguageNo+1,FALSE)</f>
        <v>Pfandbriefanleihen / Covered Bonds</v>
      </c>
      <c r="F34" s="250"/>
      <c r="G34" s="249"/>
      <c r="H34" s="268"/>
      <c r="I34" s="385">
        <f>IF(ISBLANK(B34),"",F34+SUMPRODUCT(--($G$6:$G$249=B34),$H$6:$H$249,$C$6:$C$249)*C34-H34)</f>
        <v>0</v>
      </c>
      <c r="J34" s="250"/>
      <c r="K34" s="385">
        <f t="shared" ref="K34:K36" si="12">$I34+$J34</f>
        <v>0</v>
      </c>
      <c r="L34" s="385">
        <f t="shared" si="11"/>
        <v>0</v>
      </c>
      <c r="M34" s="385">
        <f>'SST Balance Sheet'!E34</f>
        <v>0</v>
      </c>
    </row>
    <row r="35" spans="2:13" ht="14.25" customHeight="1" x14ac:dyDescent="0.25">
      <c r="B35" s="214">
        <f t="shared" si="0"/>
        <v>35</v>
      </c>
      <c r="C35" s="387">
        <v>1</v>
      </c>
      <c r="D35" s="863" t="s">
        <v>3065</v>
      </c>
      <c r="E35" s="214" t="str">
        <f>VLOOKUP("T.06.33",Translation,LanguageNo+1,FALSE)</f>
        <v>Wandelanleihen</v>
      </c>
      <c r="F35" s="250"/>
      <c r="G35" s="249"/>
      <c r="H35" s="268"/>
      <c r="I35" s="385">
        <f>IF(ISBLANK(B35),"",F35+SUMPRODUCT(--($G$6:$G$249=B35),$H$6:$H$249,$C$6:$C$249)*C35-H35)</f>
        <v>0</v>
      </c>
      <c r="J35" s="250"/>
      <c r="K35" s="385">
        <f t="shared" si="12"/>
        <v>0</v>
      </c>
      <c r="L35" s="385">
        <f t="shared" si="11"/>
        <v>0</v>
      </c>
      <c r="M35" s="385">
        <f>'SST Balance Sheet'!E35</f>
        <v>0</v>
      </c>
    </row>
    <row r="36" spans="2:13" ht="14.25" customHeight="1" x14ac:dyDescent="0.25">
      <c r="B36" s="214">
        <f t="shared" si="0"/>
        <v>36</v>
      </c>
      <c r="C36" s="387">
        <v>1</v>
      </c>
      <c r="D36" s="214" t="s">
        <v>883</v>
      </c>
      <c r="E36" s="244" t="str">
        <f>VLOOKUP("T.06.34",Translation,LanguageNo+1,FALSE)</f>
        <v>Sonstige Anleihen (inkl. Optionsanleihen, supranationale Anleihen)</v>
      </c>
      <c r="F36" s="388"/>
      <c r="G36" s="256"/>
      <c r="H36" s="285"/>
      <c r="I36" s="385">
        <f>IF(ISBLANK(B36),"",F36+SUMPRODUCT(--($G$6:$G$249=B36),$H$6:$H$249,$C$6:$C$249)*C36-H36)</f>
        <v>0</v>
      </c>
      <c r="J36" s="388"/>
      <c r="K36" s="385">
        <f t="shared" si="12"/>
        <v>0</v>
      </c>
      <c r="L36" s="385">
        <f t="shared" si="11"/>
        <v>0</v>
      </c>
      <c r="M36" s="385">
        <f>'SST Balance Sheet'!E36</f>
        <v>0</v>
      </c>
    </row>
    <row r="37" spans="2:13" ht="14.25" customHeight="1" x14ac:dyDescent="0.25">
      <c r="B37" s="323"/>
      <c r="C37" s="395"/>
      <c r="D37" s="266"/>
      <c r="E37" s="259"/>
      <c r="F37" s="260"/>
      <c r="G37" s="260"/>
      <c r="H37" s="260"/>
      <c r="I37" s="390"/>
      <c r="J37" s="260"/>
      <c r="K37" s="390"/>
      <c r="L37" s="390"/>
      <c r="M37" s="390"/>
    </row>
    <row r="38" spans="2:13" ht="14.25" customHeight="1" x14ac:dyDescent="0.25">
      <c r="B38" s="214">
        <f t="shared" si="0"/>
        <v>38</v>
      </c>
      <c r="C38" s="384"/>
      <c r="D38" s="863">
        <v>101400000</v>
      </c>
      <c r="E38" s="286" t="str">
        <f>VLOOKUP("T.06.35",Translation,LanguageNo+1,FALSE)</f>
        <v>1.1.4 Darlehen</v>
      </c>
      <c r="F38" s="299">
        <f>SUM(F39:F41)</f>
        <v>0</v>
      </c>
      <c r="G38" s="299"/>
      <c r="H38" s="299"/>
      <c r="I38" s="396">
        <f>SUM(I39:I41)</f>
        <v>0</v>
      </c>
      <c r="J38" s="299">
        <f>SUM(J39:J41)</f>
        <v>0</v>
      </c>
      <c r="K38" s="396">
        <f>SUM(K39:K41)</f>
        <v>0</v>
      </c>
      <c r="L38" s="385">
        <f t="shared" si="11"/>
        <v>0</v>
      </c>
      <c r="M38" s="385">
        <f>'SST Balance Sheet'!E38</f>
        <v>0</v>
      </c>
    </row>
    <row r="39" spans="2:13" ht="14.25" customHeight="1" x14ac:dyDescent="0.25">
      <c r="B39" s="214">
        <f t="shared" si="0"/>
        <v>39</v>
      </c>
      <c r="C39" s="387">
        <v>1</v>
      </c>
      <c r="D39" s="289"/>
      <c r="E39" s="244" t="str">
        <f>VLOOKUP("T.06.36",Translation,LanguageNo+1,FALSE)</f>
        <v>Nachrangige Darlehen</v>
      </c>
      <c r="F39" s="249"/>
      <c r="G39" s="194"/>
      <c r="H39" s="268"/>
      <c r="I39" s="385">
        <f>IF(ISBLANK(B39),"",F39+SUMPRODUCT(--($G$6:$G$249=B39),$H$6:$H$249,$C$6:$C$249)*C39-H39)</f>
        <v>0</v>
      </c>
      <c r="J39" s="250"/>
      <c r="K39" s="385">
        <f t="shared" ref="K39:K41" si="13">$I39+$J39</f>
        <v>0</v>
      </c>
      <c r="L39" s="385">
        <f t="shared" si="11"/>
        <v>0</v>
      </c>
      <c r="M39" s="385">
        <f>'SST Balance Sheet'!E39</f>
        <v>0</v>
      </c>
    </row>
    <row r="40" spans="2:13" ht="14.25" customHeight="1" x14ac:dyDescent="0.25">
      <c r="B40" s="214">
        <f t="shared" si="0"/>
        <v>40</v>
      </c>
      <c r="C40" s="387">
        <v>1</v>
      </c>
      <c r="D40" s="863">
        <v>101410000</v>
      </c>
      <c r="E40" s="244" t="str">
        <f>VLOOKUP("T.06.37",Translation,LanguageNo+1,FALSE)</f>
        <v>Policendarlehen</v>
      </c>
      <c r="F40" s="249"/>
      <c r="G40" s="194"/>
      <c r="H40" s="268"/>
      <c r="I40" s="385">
        <f>IF(ISBLANK(B40),"",F40+SUMPRODUCT(--($G$6:$G$249=B40),$H$6:$H$249,$C$6:$C$249)*C40-H40)</f>
        <v>0</v>
      </c>
      <c r="J40" s="250"/>
      <c r="K40" s="385">
        <f t="shared" si="13"/>
        <v>0</v>
      </c>
      <c r="L40" s="385">
        <f t="shared" si="11"/>
        <v>0</v>
      </c>
      <c r="M40" s="385">
        <f>'SST Balance Sheet'!E40</f>
        <v>0</v>
      </c>
    </row>
    <row r="41" spans="2:13" ht="14.25" customHeight="1" x14ac:dyDescent="0.25">
      <c r="B41" s="214">
        <f t="shared" si="0"/>
        <v>41</v>
      </c>
      <c r="C41" s="387">
        <v>1</v>
      </c>
      <c r="D41" s="776"/>
      <c r="E41" s="244" t="str">
        <f>VLOOKUP("T.06.38",Translation,LanguageNo+1,FALSE)</f>
        <v>Sonstige Darlehen</v>
      </c>
      <c r="F41" s="256"/>
      <c r="G41" s="308"/>
      <c r="H41" s="285"/>
      <c r="I41" s="385">
        <f>IF(ISBLANK(B41),"",F41+SUMPRODUCT(--($G$6:$G$249=B41),$H$6:$H$249,$C$6:$C$249)*C41-H41)</f>
        <v>0</v>
      </c>
      <c r="J41" s="388"/>
      <c r="K41" s="385">
        <f t="shared" si="13"/>
        <v>0</v>
      </c>
      <c r="L41" s="385">
        <f t="shared" si="11"/>
        <v>0</v>
      </c>
      <c r="M41" s="385">
        <f>'SST Balance Sheet'!E41</f>
        <v>0</v>
      </c>
    </row>
    <row r="42" spans="2:13" ht="14.25" customHeight="1" x14ac:dyDescent="0.25">
      <c r="B42" s="323"/>
      <c r="C42" s="395"/>
      <c r="D42" s="266"/>
      <c r="E42" s="288"/>
      <c r="F42" s="260"/>
      <c r="G42" s="260"/>
      <c r="H42" s="260"/>
      <c r="I42" s="390"/>
      <c r="J42" s="260"/>
      <c r="K42" s="390"/>
      <c r="L42" s="390"/>
      <c r="M42" s="390"/>
    </row>
    <row r="43" spans="2:13" ht="14.25" customHeight="1" x14ac:dyDescent="0.25">
      <c r="B43" s="214">
        <f t="shared" si="0"/>
        <v>43</v>
      </c>
      <c r="C43" s="384"/>
      <c r="D43" s="775">
        <v>101500000</v>
      </c>
      <c r="E43" s="286" t="str">
        <f>VLOOKUP("T.06.39",Translation,LanguageNo+1,FALSE)</f>
        <v>1.1.5 Hypotheken</v>
      </c>
      <c r="F43" s="264">
        <f>F44+F47</f>
        <v>0</v>
      </c>
      <c r="G43" s="264"/>
      <c r="H43" s="264"/>
      <c r="I43" s="264">
        <f>I44+I47</f>
        <v>0</v>
      </c>
      <c r="J43" s="264">
        <f>J44+J47</f>
        <v>0</v>
      </c>
      <c r="K43" s="264">
        <f>K44+K47</f>
        <v>0</v>
      </c>
      <c r="L43" s="385">
        <f t="shared" si="11"/>
        <v>0</v>
      </c>
      <c r="M43" s="385">
        <f>'SST Balance Sheet'!E43</f>
        <v>0</v>
      </c>
    </row>
    <row r="44" spans="2:13" ht="14.25" customHeight="1" x14ac:dyDescent="0.25">
      <c r="B44" s="214">
        <f t="shared" si="0"/>
        <v>44</v>
      </c>
      <c r="C44" s="387"/>
      <c r="D44" s="694"/>
      <c r="E44" s="255" t="str">
        <f>VLOOKUP("T.06.40",Translation,LanguageNo+1,FALSE)</f>
        <v>Hypotheken bis 80 % des Verkehrswertes</v>
      </c>
      <c r="F44" s="263">
        <f>F45+F46</f>
        <v>0</v>
      </c>
      <c r="G44" s="263"/>
      <c r="H44" s="263"/>
      <c r="I44" s="264">
        <f>I45+I46</f>
        <v>0</v>
      </c>
      <c r="J44" s="263">
        <f>J45+J46</f>
        <v>0</v>
      </c>
      <c r="K44" s="264">
        <f>K45+K46</f>
        <v>0</v>
      </c>
      <c r="L44" s="385">
        <f t="shared" si="11"/>
        <v>0</v>
      </c>
      <c r="M44" s="385">
        <f>'SST Balance Sheet'!E44</f>
        <v>0</v>
      </c>
    </row>
    <row r="45" spans="2:13" ht="14.25" customHeight="1" x14ac:dyDescent="0.25">
      <c r="B45" s="214">
        <f t="shared" si="0"/>
        <v>45</v>
      </c>
      <c r="C45" s="387">
        <v>1</v>
      </c>
      <c r="D45" s="289"/>
      <c r="E45" s="272" t="str">
        <f>VLOOKUP("T.06.41",Translation,LanguageNo+1,FALSE)</f>
        <v>mit festen Zinssätzen</v>
      </c>
      <c r="F45" s="249"/>
      <c r="G45" s="194"/>
      <c r="H45" s="268"/>
      <c r="I45" s="385">
        <f>IF(ISBLANK(B45),"",F45+SUMPRODUCT(--($G$6:$G$249=B45),$H$6:$H$249,$C$6:$C$249)*C45-H45)</f>
        <v>0</v>
      </c>
      <c r="J45" s="250"/>
      <c r="K45" s="385">
        <f t="shared" ref="K45:K49" si="14">$I45+$J45</f>
        <v>0</v>
      </c>
      <c r="L45" s="787">
        <f t="shared" si="11"/>
        <v>0</v>
      </c>
      <c r="M45" s="385">
        <f>'SST Balance Sheet'!E45</f>
        <v>0</v>
      </c>
    </row>
    <row r="46" spans="2:13" ht="14.25" customHeight="1" x14ac:dyDescent="0.25">
      <c r="B46" s="214">
        <f t="shared" si="0"/>
        <v>46</v>
      </c>
      <c r="C46" s="387">
        <v>1</v>
      </c>
      <c r="D46" s="289"/>
      <c r="E46" s="290" t="str">
        <f>VLOOKUP("T.06.42",Translation,LanguageNo+1,FALSE)</f>
        <v>mit variablen Zinssätzen</v>
      </c>
      <c r="F46" s="249"/>
      <c r="G46" s="194"/>
      <c r="H46" s="268"/>
      <c r="I46" s="385">
        <f>IF(ISBLANK(B46),"",F46+SUMPRODUCT(--($G$6:$G$249=B46),$H$6:$H$249,$C$6:$C$249)*C46-H46)</f>
        <v>0</v>
      </c>
      <c r="J46" s="388"/>
      <c r="K46" s="385">
        <f t="shared" si="14"/>
        <v>0</v>
      </c>
      <c r="L46" s="787">
        <f t="shared" si="11"/>
        <v>0</v>
      </c>
      <c r="M46" s="385">
        <f>'SST Balance Sheet'!E46</f>
        <v>0</v>
      </c>
    </row>
    <row r="47" spans="2:13" ht="14.25" customHeight="1" x14ac:dyDescent="0.25">
      <c r="B47" s="214">
        <f t="shared" si="0"/>
        <v>47</v>
      </c>
      <c r="C47" s="387"/>
      <c r="D47" s="289"/>
      <c r="E47" s="255" t="str">
        <f>VLOOKUP("T.06.43",Translation,LanguageNo+1,FALSE)</f>
        <v>Hypotheken mehr als 80 % des Verkehrswertes</v>
      </c>
      <c r="F47" s="291">
        <f>F48+F49</f>
        <v>0</v>
      </c>
      <c r="G47" s="291"/>
      <c r="H47" s="291"/>
      <c r="I47" s="264">
        <f>I48+I49</f>
        <v>0</v>
      </c>
      <c r="J47" s="263">
        <f>J48+J49</f>
        <v>0</v>
      </c>
      <c r="K47" s="264">
        <f>K48+K49</f>
        <v>0</v>
      </c>
      <c r="L47" s="385">
        <f t="shared" si="11"/>
        <v>0</v>
      </c>
      <c r="M47" s="385">
        <f>'SST Balance Sheet'!E47</f>
        <v>0</v>
      </c>
    </row>
    <row r="48" spans="2:13" ht="14.25" customHeight="1" x14ac:dyDescent="0.25">
      <c r="B48" s="214">
        <f t="shared" si="0"/>
        <v>48</v>
      </c>
      <c r="C48" s="387">
        <v>1</v>
      </c>
      <c r="D48" s="694"/>
      <c r="E48" s="272" t="str">
        <f>VLOOKUP("T.06.44",Translation,LanguageNo+1,FALSE)</f>
        <v>mit festen Zinssätzen</v>
      </c>
      <c r="F48" s="249"/>
      <c r="G48" s="194"/>
      <c r="H48" s="268"/>
      <c r="I48" s="385">
        <f>IF(ISBLANK(B48),"",F48+SUMPRODUCT(--($G$6:$G$249=B48),$H$6:$H$249,$C$6:$C$249)*C48-H48)</f>
        <v>0</v>
      </c>
      <c r="J48" s="250"/>
      <c r="K48" s="385">
        <f t="shared" si="14"/>
        <v>0</v>
      </c>
      <c r="L48" s="787">
        <f t="shared" si="11"/>
        <v>0</v>
      </c>
      <c r="M48" s="385">
        <f>'SST Balance Sheet'!E48</f>
        <v>0</v>
      </c>
    </row>
    <row r="49" spans="2:13" ht="14.25" customHeight="1" x14ac:dyDescent="0.25">
      <c r="B49" s="214">
        <f t="shared" si="0"/>
        <v>49</v>
      </c>
      <c r="C49" s="387">
        <v>1</v>
      </c>
      <c r="D49" s="289"/>
      <c r="E49" s="272" t="str">
        <f>VLOOKUP("T.06.45",Translation,LanguageNo+1,FALSE)</f>
        <v>mit variablen Zinssätzen</v>
      </c>
      <c r="F49" s="256"/>
      <c r="G49" s="308"/>
      <c r="H49" s="285"/>
      <c r="I49" s="385">
        <f>IF(ISBLANK(B49),"",F49+SUMPRODUCT(--($G$6:$G$249=B49),$H$6:$H$249,$C$6:$C$249)*C49-H49)</f>
        <v>0</v>
      </c>
      <c r="J49" s="388"/>
      <c r="K49" s="385">
        <f t="shared" si="14"/>
        <v>0</v>
      </c>
      <c r="L49" s="787">
        <f t="shared" si="11"/>
        <v>0</v>
      </c>
      <c r="M49" s="385">
        <f>'SST Balance Sheet'!E49</f>
        <v>0</v>
      </c>
    </row>
    <row r="50" spans="2:13" ht="14.25" customHeight="1" x14ac:dyDescent="0.25">
      <c r="B50" s="258"/>
      <c r="C50" s="389"/>
      <c r="D50" s="258"/>
      <c r="E50" s="292"/>
      <c r="F50" s="293"/>
      <c r="G50" s="293"/>
      <c r="H50" s="293"/>
      <c r="I50" s="390"/>
      <c r="J50" s="293"/>
      <c r="K50" s="390"/>
      <c r="L50" s="390"/>
      <c r="M50" s="390"/>
    </row>
    <row r="51" spans="2:13" ht="14.25" customHeight="1" x14ac:dyDescent="0.25">
      <c r="B51" s="214">
        <f t="shared" si="0"/>
        <v>51</v>
      </c>
      <c r="C51" s="391"/>
      <c r="D51" s="775">
        <v>101600000</v>
      </c>
      <c r="E51" s="294" t="str">
        <f>VLOOKUP("T.06.46",Translation,LanguageNo+1,FALSE)</f>
        <v>1.1.6 Aktien</v>
      </c>
      <c r="F51" s="263">
        <f>SUM(F52:F54)</f>
        <v>0</v>
      </c>
      <c r="G51" s="263"/>
      <c r="H51" s="263"/>
      <c r="I51" s="264">
        <f>SUM(I52:I54)</f>
        <v>0</v>
      </c>
      <c r="J51" s="263">
        <f>SUM(J52:J54)</f>
        <v>0</v>
      </c>
      <c r="K51" s="264">
        <f>SUM(K52:K54)</f>
        <v>0</v>
      </c>
      <c r="L51" s="385">
        <f t="shared" si="11"/>
        <v>0</v>
      </c>
      <c r="M51" s="385">
        <f>'SST Balance Sheet'!E51</f>
        <v>0</v>
      </c>
    </row>
    <row r="52" spans="2:13" ht="14.25" customHeight="1" x14ac:dyDescent="0.25">
      <c r="B52" s="214">
        <f t="shared" si="0"/>
        <v>52</v>
      </c>
      <c r="C52" s="387">
        <v>1</v>
      </c>
      <c r="D52" s="863" t="s">
        <v>3071</v>
      </c>
      <c r="E52" s="255" t="str">
        <f>VLOOKUP("T.06.47",Translation,LanguageNo+1,FALSE)</f>
        <v>Aktien und ähnliche Wertschriften</v>
      </c>
      <c r="F52" s="397"/>
      <c r="G52" s="300"/>
      <c r="H52" s="301"/>
      <c r="I52" s="385">
        <f>IF(ISBLANK(B52),"",F52+SUMPRODUCT(--($G$6:$G$249=B52),$H$6:$H$249,$C$6:$C$249)*C52-H52)</f>
        <v>0</v>
      </c>
      <c r="J52" s="250"/>
      <c r="K52" s="385">
        <f t="shared" ref="K52:K54" si="15">$I52+$J52</f>
        <v>0</v>
      </c>
      <c r="L52" s="385">
        <f t="shared" si="11"/>
        <v>0</v>
      </c>
      <c r="M52" s="385">
        <f>'SST Balance Sheet'!E52</f>
        <v>0</v>
      </c>
    </row>
    <row r="53" spans="2:13" ht="14.25" customHeight="1" x14ac:dyDescent="0.25">
      <c r="B53" s="214">
        <f t="shared" si="0"/>
        <v>53</v>
      </c>
      <c r="C53" s="387">
        <v>1</v>
      </c>
      <c r="D53" s="863" t="s">
        <v>3072</v>
      </c>
      <c r="E53" s="214" t="str">
        <f>VLOOKUP("T.06.48",Translation,LanguageNo+1,FALSE)</f>
        <v>Aktien von Gruppengesellschaften</v>
      </c>
      <c r="F53" s="249"/>
      <c r="G53" s="194"/>
      <c r="H53" s="268"/>
      <c r="I53" s="385">
        <f>IF(ISBLANK(B53),"",F53+SUMPRODUCT(--($G$6:$G$249=B53),$H$6:$H$249,$C$6:$C$249)*C53-H53)</f>
        <v>0</v>
      </c>
      <c r="J53" s="250"/>
      <c r="K53" s="385">
        <f t="shared" si="15"/>
        <v>0</v>
      </c>
      <c r="L53" s="385">
        <f t="shared" si="11"/>
        <v>0</v>
      </c>
      <c r="M53" s="385">
        <f>'SST Balance Sheet'!E53</f>
        <v>0</v>
      </c>
    </row>
    <row r="54" spans="2:13" ht="14.25" customHeight="1" x14ac:dyDescent="0.25">
      <c r="B54" s="214">
        <f t="shared" si="0"/>
        <v>54</v>
      </c>
      <c r="C54" s="387">
        <v>1</v>
      </c>
      <c r="D54" s="864" t="s">
        <v>3073</v>
      </c>
      <c r="E54" s="214" t="str">
        <f>VLOOKUP("T.06.49",Translation,LanguageNo+1,FALSE)</f>
        <v>Anlagen an Immobiliengesellschaften</v>
      </c>
      <c r="F54" s="256"/>
      <c r="G54" s="308"/>
      <c r="H54" s="285"/>
      <c r="I54" s="385">
        <f>IF(ISBLANK(B54),"",F54+SUMPRODUCT(--($G$6:$G$249=B54),$H$6:$H$249,$C$6:$C$249)*C54-H54)</f>
        <v>0</v>
      </c>
      <c r="J54" s="388"/>
      <c r="K54" s="385">
        <f t="shared" si="15"/>
        <v>0</v>
      </c>
      <c r="L54" s="385">
        <f t="shared" si="11"/>
        <v>0</v>
      </c>
      <c r="M54" s="385">
        <f>'SST Balance Sheet'!E54</f>
        <v>0</v>
      </c>
    </row>
    <row r="55" spans="2:13" ht="14.25" customHeight="1" x14ac:dyDescent="0.25">
      <c r="B55" s="390"/>
      <c r="C55" s="389"/>
      <c r="D55" s="258"/>
      <c r="E55" s="259"/>
      <c r="F55" s="260"/>
      <c r="G55" s="260"/>
      <c r="H55" s="260"/>
      <c r="I55" s="390"/>
      <c r="J55" s="260"/>
      <c r="K55" s="390"/>
      <c r="L55" s="390"/>
      <c r="M55" s="390"/>
    </row>
    <row r="56" spans="2:13" ht="14.25" customHeight="1" x14ac:dyDescent="0.25">
      <c r="B56" s="214">
        <f t="shared" si="0"/>
        <v>56</v>
      </c>
      <c r="C56" s="384"/>
      <c r="D56" s="775">
        <v>101700000</v>
      </c>
      <c r="E56" s="296" t="str">
        <f>VLOOKUP("T.06.50",Translation,LanguageNo+1,FALSE)</f>
        <v>1.1.7 Übrige Kapitalanlagen</v>
      </c>
      <c r="F56" s="264">
        <f>F57+F65+F75+F79</f>
        <v>0</v>
      </c>
      <c r="G56" s="264"/>
      <c r="H56" s="264"/>
      <c r="I56" s="264">
        <f>I57+I65+I75+I79</f>
        <v>0</v>
      </c>
      <c r="J56" s="264">
        <f>J57+J65+J75+J79</f>
        <v>0</v>
      </c>
      <c r="K56" s="264">
        <f>K57+K65+K75+K79</f>
        <v>0</v>
      </c>
      <c r="L56" s="385">
        <f t="shared" si="11"/>
        <v>0</v>
      </c>
      <c r="M56" s="385">
        <f>'SST Balance Sheet'!E56</f>
        <v>0</v>
      </c>
    </row>
    <row r="57" spans="2:13" ht="14.25" customHeight="1" x14ac:dyDescent="0.25">
      <c r="B57" s="214">
        <f t="shared" si="0"/>
        <v>57</v>
      </c>
      <c r="C57" s="384"/>
      <c r="D57" s="775">
        <v>101710000</v>
      </c>
      <c r="E57" s="294" t="str">
        <f>VLOOKUP("T.06.51",Translation,LanguageNo+1,FALSE)</f>
        <v>Kollektive Kapitalanlagen</v>
      </c>
      <c r="F57" s="263">
        <f>SUM(F58:F63)</f>
        <v>0</v>
      </c>
      <c r="G57" s="263"/>
      <c r="H57" s="263"/>
      <c r="I57" s="264">
        <f>SUM(I58:I63)</f>
        <v>0</v>
      </c>
      <c r="J57" s="263">
        <f>SUM(J58:J63)</f>
        <v>0</v>
      </c>
      <c r="K57" s="264">
        <f>SUM(K58:K63)</f>
        <v>0</v>
      </c>
      <c r="L57" s="385">
        <f t="shared" si="11"/>
        <v>0</v>
      </c>
      <c r="M57" s="385">
        <f>'SST Balance Sheet'!E57</f>
        <v>0</v>
      </c>
    </row>
    <row r="58" spans="2:13" ht="14.25" customHeight="1" x14ac:dyDescent="0.25">
      <c r="B58" s="214">
        <f t="shared" si="0"/>
        <v>58</v>
      </c>
      <c r="C58" s="387">
        <v>1</v>
      </c>
      <c r="D58" s="863" t="s">
        <v>3074</v>
      </c>
      <c r="E58" s="244" t="str">
        <f>VLOOKUP("T.06.52",Translation,LanguageNo+1,FALSE)</f>
        <v>Anlagefonds: Immobilien</v>
      </c>
      <c r="F58" s="249"/>
      <c r="G58" s="194"/>
      <c r="H58" s="268"/>
      <c r="I58" s="385">
        <f t="shared" ref="I58:I63" si="16">IF(ISBLANK(B58),"",F58+SUMPRODUCT(--($G$6:$G$249=B58),$H$6:$H$249,$C$6:$C$249)*C58-H58)</f>
        <v>0</v>
      </c>
      <c r="J58" s="250"/>
      <c r="K58" s="385">
        <f t="shared" ref="K58:K63" si="17">$I58+$J58</f>
        <v>0</v>
      </c>
      <c r="L58" s="385">
        <f t="shared" si="11"/>
        <v>0</v>
      </c>
      <c r="M58" s="385">
        <f>'SST Balance Sheet'!E58</f>
        <v>0</v>
      </c>
    </row>
    <row r="59" spans="2:13" ht="14.25" customHeight="1" x14ac:dyDescent="0.25">
      <c r="B59" s="214">
        <f t="shared" si="0"/>
        <v>59</v>
      </c>
      <c r="C59" s="387">
        <v>1</v>
      </c>
      <c r="D59" s="863" t="s">
        <v>3075</v>
      </c>
      <c r="E59" s="244" t="str">
        <f>VLOOKUP("T.06.53",Translation,LanguageNo+1,FALSE)</f>
        <v>Anlagefonds: Aktien</v>
      </c>
      <c r="F59" s="249"/>
      <c r="G59" s="194"/>
      <c r="H59" s="268"/>
      <c r="I59" s="385">
        <f t="shared" si="16"/>
        <v>0</v>
      </c>
      <c r="J59" s="250"/>
      <c r="K59" s="385">
        <f t="shared" si="17"/>
        <v>0</v>
      </c>
      <c r="L59" s="385">
        <f t="shared" si="11"/>
        <v>0</v>
      </c>
      <c r="M59" s="385">
        <f>'SST Balance Sheet'!E59</f>
        <v>0</v>
      </c>
    </row>
    <row r="60" spans="2:13" ht="14.25" customHeight="1" x14ac:dyDescent="0.25">
      <c r="B60" s="214">
        <f t="shared" si="0"/>
        <v>60</v>
      </c>
      <c r="C60" s="387">
        <v>1</v>
      </c>
      <c r="D60" s="863" t="s">
        <v>3076</v>
      </c>
      <c r="E60" s="244" t="str">
        <f>VLOOKUP("T.06.54",Translation,LanguageNo+1,FALSE)</f>
        <v>Anlagefonds: festverzinsliche Wertpapiere</v>
      </c>
      <c r="F60" s="249"/>
      <c r="G60" s="194"/>
      <c r="H60" s="268"/>
      <c r="I60" s="385">
        <f t="shared" si="16"/>
        <v>0</v>
      </c>
      <c r="J60" s="250"/>
      <c r="K60" s="385">
        <f t="shared" si="17"/>
        <v>0</v>
      </c>
      <c r="L60" s="385">
        <f t="shared" si="11"/>
        <v>0</v>
      </c>
      <c r="M60" s="385">
        <f>'SST Balance Sheet'!E60</f>
        <v>0</v>
      </c>
    </row>
    <row r="61" spans="2:13" ht="14.25" customHeight="1" x14ac:dyDescent="0.25">
      <c r="B61" s="214">
        <f t="shared" si="0"/>
        <v>61</v>
      </c>
      <c r="C61" s="387">
        <v>1</v>
      </c>
      <c r="D61" s="863" t="s">
        <v>3077</v>
      </c>
      <c r="E61" s="244" t="str">
        <f>VLOOKUP("T.06.55",Translation,LanguageNo+1,FALSE)</f>
        <v>Anlagefonds: Geldmarkt</v>
      </c>
      <c r="F61" s="249"/>
      <c r="G61" s="194"/>
      <c r="H61" s="268"/>
      <c r="I61" s="385">
        <f t="shared" si="16"/>
        <v>0</v>
      </c>
      <c r="J61" s="250"/>
      <c r="K61" s="385">
        <f t="shared" si="17"/>
        <v>0</v>
      </c>
      <c r="L61" s="385">
        <f t="shared" si="11"/>
        <v>0</v>
      </c>
      <c r="M61" s="385">
        <f>'SST Balance Sheet'!E61</f>
        <v>0</v>
      </c>
    </row>
    <row r="62" spans="2:13" ht="14.25" customHeight="1" x14ac:dyDescent="0.25">
      <c r="B62" s="214">
        <f t="shared" si="0"/>
        <v>62</v>
      </c>
      <c r="C62" s="387">
        <v>1</v>
      </c>
      <c r="D62" s="863" t="s">
        <v>3078</v>
      </c>
      <c r="E62" s="244" t="str">
        <f>VLOOKUP("T.06.56",Translation,LanguageNo+1,FALSE)</f>
        <v>Anlagefonds: Übrige</v>
      </c>
      <c r="F62" s="249"/>
      <c r="G62" s="194"/>
      <c r="H62" s="268"/>
      <c r="I62" s="385">
        <f t="shared" si="16"/>
        <v>0</v>
      </c>
      <c r="J62" s="250"/>
      <c r="K62" s="385">
        <f t="shared" si="17"/>
        <v>0</v>
      </c>
      <c r="L62" s="385">
        <f t="shared" si="11"/>
        <v>0</v>
      </c>
      <c r="M62" s="385">
        <f>'SST Balance Sheet'!E62</f>
        <v>0</v>
      </c>
    </row>
    <row r="63" spans="2:13" ht="14.25" customHeight="1" x14ac:dyDescent="0.25">
      <c r="B63" s="214">
        <f t="shared" si="0"/>
        <v>63</v>
      </c>
      <c r="C63" s="387">
        <v>1</v>
      </c>
      <c r="D63" s="863" t="s">
        <v>3079</v>
      </c>
      <c r="E63" s="244" t="str">
        <f>VLOOKUP("T.06.57",Translation,LanguageNo+1,FALSE)</f>
        <v>Anlagefonds: Gemischt</v>
      </c>
      <c r="F63" s="256"/>
      <c r="G63" s="308"/>
      <c r="H63" s="285"/>
      <c r="I63" s="385">
        <f t="shared" si="16"/>
        <v>0</v>
      </c>
      <c r="J63" s="388"/>
      <c r="K63" s="385">
        <f t="shared" si="17"/>
        <v>0</v>
      </c>
      <c r="L63" s="385">
        <f t="shared" si="11"/>
        <v>0</v>
      </c>
      <c r="M63" s="385">
        <f>'SST Balance Sheet'!E63</f>
        <v>0</v>
      </c>
    </row>
    <row r="64" spans="2:13" ht="14.25" customHeight="1" x14ac:dyDescent="0.25">
      <c r="B64" s="258"/>
      <c r="C64" s="389"/>
      <c r="D64" s="258"/>
      <c r="E64" s="259"/>
      <c r="F64" s="260"/>
      <c r="G64" s="260"/>
      <c r="H64" s="260"/>
      <c r="I64" s="390"/>
      <c r="J64" s="260"/>
      <c r="K64" s="390"/>
      <c r="L64" s="390"/>
      <c r="M64" s="390"/>
    </row>
    <row r="65" spans="2:13" ht="14.25" customHeight="1" x14ac:dyDescent="0.25">
      <c r="B65" s="214">
        <f t="shared" si="0"/>
        <v>65</v>
      </c>
      <c r="C65" s="384"/>
      <c r="D65" s="775">
        <v>101720000</v>
      </c>
      <c r="E65" s="286" t="str">
        <f>VLOOKUP("T.06.58",Translation,LanguageNo+1,FALSE)</f>
        <v>Alternative Kapitalanlagen</v>
      </c>
      <c r="F65" s="263">
        <f>SUM(F66:F67)+F70</f>
        <v>0</v>
      </c>
      <c r="G65" s="263"/>
      <c r="H65" s="263"/>
      <c r="I65" s="264">
        <f>SUM(I66:I67)+I70</f>
        <v>0</v>
      </c>
      <c r="J65" s="263">
        <f>SUM(J66:J67)+J70</f>
        <v>0</v>
      </c>
      <c r="K65" s="264">
        <f>SUM(K66:K67)+K70</f>
        <v>0</v>
      </c>
      <c r="L65" s="385">
        <f t="shared" si="11"/>
        <v>0</v>
      </c>
      <c r="M65" s="385">
        <f>'SST Balance Sheet'!E65</f>
        <v>0</v>
      </c>
    </row>
    <row r="66" spans="2:13" ht="14.25" customHeight="1" x14ac:dyDescent="0.25">
      <c r="B66" s="214">
        <f t="shared" si="0"/>
        <v>66</v>
      </c>
      <c r="C66" s="387">
        <v>1</v>
      </c>
      <c r="D66" s="775">
        <v>101721000</v>
      </c>
      <c r="E66" s="244" t="str">
        <f>VLOOKUP("T.06.59",Translation,LanguageNo+1,FALSE)</f>
        <v>Hedgefonds</v>
      </c>
      <c r="F66" s="250"/>
      <c r="G66" s="250"/>
      <c r="H66" s="250"/>
      <c r="I66" s="385">
        <f>IF(ISBLANK(B66),"",F66+SUMPRODUCT(--($G$6:$G$249=B66),$H$6:$H$249,$C$6:$C$249)*C66-H66)</f>
        <v>0</v>
      </c>
      <c r="J66" s="250"/>
      <c r="K66" s="385">
        <f t="shared" ref="K66:K67" si="18">$I66+$J66</f>
        <v>0</v>
      </c>
      <c r="L66" s="385">
        <f t="shared" si="11"/>
        <v>0</v>
      </c>
      <c r="M66" s="385">
        <f>'SST Balance Sheet'!E66</f>
        <v>0</v>
      </c>
    </row>
    <row r="67" spans="2:13" ht="14.25" customHeight="1" x14ac:dyDescent="0.25">
      <c r="B67" s="214">
        <f t="shared" si="0"/>
        <v>67</v>
      </c>
      <c r="C67" s="387">
        <v>1</v>
      </c>
      <c r="D67" s="775">
        <v>101722000</v>
      </c>
      <c r="E67" s="252" t="str">
        <f>VLOOKUP("T.06.60",Translation,LanguageNo+1,FALSE)</f>
        <v>Private Equity</v>
      </c>
      <c r="F67" s="250"/>
      <c r="G67" s="250"/>
      <c r="H67" s="250"/>
      <c r="I67" s="385">
        <f>IF(ISBLANK(B67),"",F67+SUMPRODUCT(--($G$6:$G$249=B67),$H$6:$H$249,$C$6:$C$249)*C67-H67)</f>
        <v>0</v>
      </c>
      <c r="J67" s="250"/>
      <c r="K67" s="385">
        <f t="shared" si="18"/>
        <v>0</v>
      </c>
      <c r="L67" s="385">
        <f t="shared" si="11"/>
        <v>0</v>
      </c>
      <c r="M67" s="385">
        <f>'SST Balance Sheet'!E67</f>
        <v>0</v>
      </c>
    </row>
    <row r="68" spans="2:13" ht="14.25" customHeight="1" x14ac:dyDescent="0.25">
      <c r="B68" s="214">
        <f t="shared" si="0"/>
        <v>68</v>
      </c>
      <c r="C68" s="384"/>
      <c r="D68" s="864" t="s">
        <v>3080</v>
      </c>
      <c r="E68" s="297" t="str">
        <f>VLOOKUP("T.06.61",Translation,LanguageNo+1,FALSE)</f>
        <v>davon Partizipationen (Anteil &lt; 20%)</v>
      </c>
      <c r="F68" s="287"/>
      <c r="G68" s="394"/>
      <c r="H68" s="394"/>
      <c r="I68" s="385"/>
      <c r="J68" s="394"/>
      <c r="K68" s="385"/>
      <c r="L68" s="385"/>
      <c r="M68" s="385"/>
    </row>
    <row r="69" spans="2:13" ht="14.25" customHeight="1" x14ac:dyDescent="0.25">
      <c r="B69" s="390"/>
      <c r="C69" s="389"/>
      <c r="D69" s="777"/>
      <c r="E69" s="298"/>
      <c r="F69" s="293"/>
      <c r="G69" s="293"/>
      <c r="H69" s="293"/>
      <c r="I69" s="390"/>
      <c r="J69" s="293"/>
      <c r="K69" s="390"/>
      <c r="L69" s="390"/>
      <c r="M69" s="390"/>
    </row>
    <row r="70" spans="2:13" ht="14.25" customHeight="1" x14ac:dyDescent="0.25">
      <c r="B70" s="214">
        <f t="shared" si="0"/>
        <v>70</v>
      </c>
      <c r="C70" s="387"/>
      <c r="D70" s="775">
        <v>101723000</v>
      </c>
      <c r="E70" s="214" t="str">
        <f>VLOOKUP("T.06.62",Translation,LanguageNo+1,FALSE)</f>
        <v>Andere Alternative Kapitalanlagen</v>
      </c>
      <c r="F70" s="299">
        <f>SUM(F71:F73)</f>
        <v>0</v>
      </c>
      <c r="G70" s="299"/>
      <c r="H70" s="299"/>
      <c r="I70" s="396">
        <f>SUM(I71:I73)</f>
        <v>0</v>
      </c>
      <c r="J70" s="299">
        <f>SUM(J71:J73)</f>
        <v>0</v>
      </c>
      <c r="K70" s="396">
        <f>SUM(K71:K73)</f>
        <v>0</v>
      </c>
      <c r="L70" s="385">
        <f t="shared" ref="L70:L73" si="19">$M70-$K70</f>
        <v>0</v>
      </c>
      <c r="M70" s="385">
        <f>'SST Balance Sheet'!E70</f>
        <v>0</v>
      </c>
    </row>
    <row r="71" spans="2:13" ht="14.25" customHeight="1" x14ac:dyDescent="0.25">
      <c r="B71" s="214">
        <f t="shared" si="0"/>
        <v>71</v>
      </c>
      <c r="C71" s="387">
        <v>1</v>
      </c>
      <c r="D71" s="863" t="s">
        <v>3081</v>
      </c>
      <c r="E71" s="297" t="str">
        <f>VLOOKUP("T.06.63",Translation,LanguageNo+1,FALSE)</f>
        <v>Private Debt</v>
      </c>
      <c r="F71" s="249"/>
      <c r="G71" s="194"/>
      <c r="H71" s="268"/>
      <c r="I71" s="385">
        <f>IF(ISBLANK(B71),"",F71+SUMPRODUCT(--($G$6:$G$249=B71),$H$6:$H$249,$C$6:$C$249)*C71-H71)</f>
        <v>0</v>
      </c>
      <c r="J71" s="250"/>
      <c r="K71" s="385">
        <f t="shared" ref="K71:K73" si="20">$I71+$J71</f>
        <v>0</v>
      </c>
      <c r="L71" s="385">
        <f t="shared" si="19"/>
        <v>0</v>
      </c>
      <c r="M71" s="385">
        <f>'SST Balance Sheet'!E71</f>
        <v>0</v>
      </c>
    </row>
    <row r="72" spans="2:13" ht="14.25" customHeight="1" x14ac:dyDescent="0.25">
      <c r="B72" s="214">
        <f t="shared" ref="B72:B73" si="21">ROW(B72)</f>
        <v>72</v>
      </c>
      <c r="C72" s="387">
        <v>1</v>
      </c>
      <c r="D72" s="863" t="s">
        <v>3082</v>
      </c>
      <c r="E72" s="297" t="str">
        <f>VLOOKUP("T.06.64",Translation,LanguageNo+1,FALSE)</f>
        <v>Senior Secured Loans</v>
      </c>
      <c r="F72" s="249"/>
      <c r="G72" s="194"/>
      <c r="H72" s="268"/>
      <c r="I72" s="385">
        <f>IF(ISBLANK(B72),"",F72+SUMPRODUCT(--($G$6:$G$249=B72),$H$6:$H$249,$C$6:$C$249)*C72-H72)</f>
        <v>0</v>
      </c>
      <c r="J72" s="250"/>
      <c r="K72" s="385">
        <f t="shared" si="20"/>
        <v>0</v>
      </c>
      <c r="L72" s="385">
        <f t="shared" si="19"/>
        <v>0</v>
      </c>
      <c r="M72" s="385">
        <f>'SST Balance Sheet'!E72</f>
        <v>0</v>
      </c>
    </row>
    <row r="73" spans="2:13" ht="14.25" customHeight="1" x14ac:dyDescent="0.25">
      <c r="B73" s="214">
        <f t="shared" si="21"/>
        <v>73</v>
      </c>
      <c r="C73" s="387">
        <v>1</v>
      </c>
      <c r="D73" s="863" t="s">
        <v>3083</v>
      </c>
      <c r="E73" s="290" t="str">
        <f>VLOOKUP("T.06.65",Translation,LanguageNo+1,FALSE)</f>
        <v>Rohstoffe</v>
      </c>
      <c r="F73" s="256"/>
      <c r="G73" s="308"/>
      <c r="H73" s="285"/>
      <c r="I73" s="385">
        <f>IF(ISBLANK(B73),"",F73+SUMPRODUCT(--($G$6:$G$249=B73),$H$6:$H$249,$C$6:$C$249)*C73-H73)</f>
        <v>0</v>
      </c>
      <c r="J73" s="388"/>
      <c r="K73" s="385">
        <f t="shared" si="20"/>
        <v>0</v>
      </c>
      <c r="L73" s="385">
        <f t="shared" si="19"/>
        <v>0</v>
      </c>
      <c r="M73" s="385">
        <f>'SST Balance Sheet'!E73</f>
        <v>0</v>
      </c>
    </row>
    <row r="74" spans="2:13" ht="14.25" customHeight="1" x14ac:dyDescent="0.25">
      <c r="B74" s="390"/>
      <c r="C74" s="389"/>
      <c r="D74" s="258"/>
      <c r="E74" s="259"/>
      <c r="F74" s="260"/>
      <c r="G74" s="260"/>
      <c r="H74" s="260"/>
      <c r="I74" s="390"/>
      <c r="J74" s="260"/>
      <c r="K74" s="390"/>
      <c r="L74" s="390"/>
      <c r="M74" s="390"/>
    </row>
    <row r="75" spans="2:13" ht="14.25" customHeight="1" x14ac:dyDescent="0.25">
      <c r="B75" s="214">
        <f t="shared" ref="B75:B77" si="22">ROW(B75)</f>
        <v>75</v>
      </c>
      <c r="C75" s="384"/>
      <c r="D75" s="775">
        <v>101730000</v>
      </c>
      <c r="E75" s="286" t="str">
        <f>VLOOKUP("T.06.66",Translation,LanguageNo+1,FALSE)</f>
        <v>Strukturierte Produkte</v>
      </c>
      <c r="F75" s="299">
        <f>SUM(F76:F77)</f>
        <v>0</v>
      </c>
      <c r="G75" s="299"/>
      <c r="H75" s="299"/>
      <c r="I75" s="396">
        <f>SUM(I76:I77)</f>
        <v>0</v>
      </c>
      <c r="J75" s="299">
        <f>SUM(J76:J77)</f>
        <v>0</v>
      </c>
      <c r="K75" s="396">
        <f>SUM(K76:K77)</f>
        <v>0</v>
      </c>
      <c r="L75" s="385">
        <f t="shared" ref="L75:L77" si="23">$M75-$K75</f>
        <v>0</v>
      </c>
      <c r="M75" s="385">
        <f>'SST Balance Sheet'!E75</f>
        <v>0</v>
      </c>
    </row>
    <row r="76" spans="2:13" ht="14.25" customHeight="1" x14ac:dyDescent="0.25">
      <c r="B76" s="214">
        <f t="shared" si="22"/>
        <v>76</v>
      </c>
      <c r="C76" s="387">
        <v>1</v>
      </c>
      <c r="D76" s="863" t="s">
        <v>3084</v>
      </c>
      <c r="E76" s="244" t="str">
        <f>VLOOKUP("T.06.67",Translation,LanguageNo+1,FALSE)</f>
        <v>Insurance-Linked Securities (z.B. Cat Bonds)</v>
      </c>
      <c r="F76" s="249"/>
      <c r="G76" s="194"/>
      <c r="H76" s="268"/>
      <c r="I76" s="385">
        <f>IF(ISBLANK(B76),"",F76+SUMPRODUCT(--($G$6:$G$249=B76),$H$6:$H$249,$C$6:$C$249)*C76-H76)</f>
        <v>0</v>
      </c>
      <c r="J76" s="250"/>
      <c r="K76" s="385">
        <f t="shared" ref="K76:K77" si="24">$I76+$J76</f>
        <v>0</v>
      </c>
      <c r="L76" s="385">
        <f t="shared" si="23"/>
        <v>0</v>
      </c>
      <c r="M76" s="385">
        <f>'SST Balance Sheet'!E76</f>
        <v>0</v>
      </c>
    </row>
    <row r="77" spans="2:13" ht="14.25" customHeight="1" x14ac:dyDescent="0.25">
      <c r="B77" s="214">
        <f t="shared" si="22"/>
        <v>77</v>
      </c>
      <c r="C77" s="387">
        <v>1</v>
      </c>
      <c r="D77" s="776" t="s">
        <v>883</v>
      </c>
      <c r="E77" s="244" t="str">
        <f>VLOOKUP("T.06.68",Translation,LanguageNo+1,FALSE)</f>
        <v>Andere strukturierte Produkte</v>
      </c>
      <c r="F77" s="256"/>
      <c r="G77" s="308"/>
      <c r="H77" s="285"/>
      <c r="I77" s="385">
        <f>IF(ISBLANK(B77),"",F77+SUMPRODUCT(--($G$6:$G$249=B77),$H$6:$H$249,$C$6:$C$249)*C77-H77)</f>
        <v>0</v>
      </c>
      <c r="J77" s="388"/>
      <c r="K77" s="385">
        <f t="shared" si="24"/>
        <v>0</v>
      </c>
      <c r="L77" s="385">
        <f t="shared" si="23"/>
        <v>0</v>
      </c>
      <c r="M77" s="385">
        <f>'SST Balance Sheet'!E77</f>
        <v>0</v>
      </c>
    </row>
    <row r="78" spans="2:13" ht="14.25" customHeight="1" x14ac:dyDescent="0.25">
      <c r="B78" s="258"/>
      <c r="C78" s="389"/>
      <c r="D78" s="258"/>
      <c r="E78" s="257"/>
      <c r="F78" s="260"/>
      <c r="G78" s="260"/>
      <c r="H78" s="260"/>
      <c r="I78" s="390"/>
      <c r="J78" s="260"/>
      <c r="K78" s="390"/>
      <c r="L78" s="390"/>
      <c r="M78" s="390"/>
    </row>
    <row r="79" spans="2:13" ht="14.25" customHeight="1" x14ac:dyDescent="0.25">
      <c r="B79" s="214">
        <f t="shared" ref="B79:B85" si="25">ROW(B79)</f>
        <v>79</v>
      </c>
      <c r="C79" s="384"/>
      <c r="D79" s="775">
        <v>101740000</v>
      </c>
      <c r="E79" s="294" t="str">
        <f>VLOOKUP("T.06.69",Translation,LanguageNo+1,FALSE)</f>
        <v>Sonstige Kapitalanlagen</v>
      </c>
      <c r="F79" s="264">
        <f>F80+F85</f>
        <v>0</v>
      </c>
      <c r="G79" s="264"/>
      <c r="H79" s="264"/>
      <c r="I79" s="264">
        <f>I80+I85</f>
        <v>0</v>
      </c>
      <c r="J79" s="264">
        <f>J80+J85</f>
        <v>0</v>
      </c>
      <c r="K79" s="264">
        <f>K80+K85</f>
        <v>0</v>
      </c>
      <c r="L79" s="385">
        <f t="shared" ref="L79:L85" si="26">$M79-$K79</f>
        <v>0</v>
      </c>
      <c r="M79" s="385">
        <f>'SST Balance Sheet'!E79</f>
        <v>0</v>
      </c>
    </row>
    <row r="80" spans="2:13" ht="14.25" customHeight="1" x14ac:dyDescent="0.25">
      <c r="B80" s="214">
        <f t="shared" si="25"/>
        <v>80</v>
      </c>
      <c r="C80" s="393"/>
      <c r="D80" s="775">
        <v>101741000</v>
      </c>
      <c r="E80" s="244" t="str">
        <f>VLOOKUP("T.06.70",Translation,LanguageNo+1,FALSE)</f>
        <v>Verbriefte Forderungen</v>
      </c>
      <c r="F80" s="299">
        <f>SUM(F81:F84)</f>
        <v>0</v>
      </c>
      <c r="G80" s="299"/>
      <c r="H80" s="299"/>
      <c r="I80" s="396">
        <f>SUM(I81:I84)</f>
        <v>0</v>
      </c>
      <c r="J80" s="299">
        <f>SUM(J81:J84)</f>
        <v>0</v>
      </c>
      <c r="K80" s="396">
        <f>SUM(K81:K84)</f>
        <v>0</v>
      </c>
      <c r="L80" s="385">
        <f t="shared" si="26"/>
        <v>0</v>
      </c>
      <c r="M80" s="385">
        <f>'SST Balance Sheet'!E80</f>
        <v>0</v>
      </c>
    </row>
    <row r="81" spans="2:13" ht="14.25" customHeight="1" x14ac:dyDescent="0.25">
      <c r="B81" s="214">
        <f t="shared" si="25"/>
        <v>81</v>
      </c>
      <c r="C81" s="387">
        <v>1</v>
      </c>
      <c r="D81" s="863" t="s">
        <v>3085</v>
      </c>
      <c r="E81" s="272" t="str">
        <f>VLOOKUP("T.06.71",Translation,LanguageNo+1,FALSE)</f>
        <v>Asset Backed Securities (ABS)</v>
      </c>
      <c r="F81" s="249"/>
      <c r="G81" s="194"/>
      <c r="H81" s="268"/>
      <c r="I81" s="385">
        <f>IF(ISBLANK(B81),"",F81+SUMPRODUCT(--($G$6:$G$249=B81),$H$6:$H$249,$C$6:$C$249)*C81-H81)</f>
        <v>0</v>
      </c>
      <c r="J81" s="250"/>
      <c r="K81" s="385">
        <f t="shared" ref="K81:K87" si="27">$I81+$J81</f>
        <v>0</v>
      </c>
      <c r="L81" s="385">
        <f t="shared" si="26"/>
        <v>0</v>
      </c>
      <c r="M81" s="385">
        <f>'SST Balance Sheet'!E81</f>
        <v>0</v>
      </c>
    </row>
    <row r="82" spans="2:13" ht="14.25" customHeight="1" x14ac:dyDescent="0.25">
      <c r="B82" s="214">
        <f t="shared" si="25"/>
        <v>82</v>
      </c>
      <c r="C82" s="387">
        <v>1</v>
      </c>
      <c r="D82" s="863" t="s">
        <v>3086</v>
      </c>
      <c r="E82" s="272" t="str">
        <f>VLOOKUP("T.06.72",Translation,LanguageNo+1,FALSE)</f>
        <v>Mortgage Backed Securities (MBS)</v>
      </c>
      <c r="F82" s="249"/>
      <c r="G82" s="194"/>
      <c r="H82" s="268"/>
      <c r="I82" s="385">
        <f>IF(ISBLANK(B82),"",F82+SUMPRODUCT(--($G$6:$G$249=B82),$H$6:$H$249,$C$6:$C$249)*C82-H82)</f>
        <v>0</v>
      </c>
      <c r="J82" s="250"/>
      <c r="K82" s="385">
        <f t="shared" si="27"/>
        <v>0</v>
      </c>
      <c r="L82" s="385">
        <f t="shared" si="26"/>
        <v>0</v>
      </c>
      <c r="M82" s="385">
        <f>'SST Balance Sheet'!E82</f>
        <v>0</v>
      </c>
    </row>
    <row r="83" spans="2:13" ht="14.25" customHeight="1" x14ac:dyDescent="0.25">
      <c r="B83" s="214">
        <f t="shared" si="25"/>
        <v>83</v>
      </c>
      <c r="C83" s="387">
        <v>1</v>
      </c>
      <c r="D83" s="863" t="s">
        <v>3087</v>
      </c>
      <c r="E83" s="272" t="str">
        <f>VLOOKUP("T.06.73",Translation,LanguageNo+1,FALSE)</f>
        <v>Collateralized Debt Obligations (CDO) und Collateralized Loan Obligations (CLO)</v>
      </c>
      <c r="F83" s="249"/>
      <c r="G83" s="194"/>
      <c r="H83" s="268"/>
      <c r="I83" s="385">
        <f>IF(ISBLANK(B83),"",F83+SUMPRODUCT(--($G$6:$G$249=B83),$H$6:$H$249,$C$6:$C$249)*C83-H83)</f>
        <v>0</v>
      </c>
      <c r="J83" s="250"/>
      <c r="K83" s="385">
        <f t="shared" si="27"/>
        <v>0</v>
      </c>
      <c r="L83" s="385">
        <f t="shared" si="26"/>
        <v>0</v>
      </c>
      <c r="M83" s="385">
        <f>'SST Balance Sheet'!E83</f>
        <v>0</v>
      </c>
    </row>
    <row r="84" spans="2:13" ht="14.25" customHeight="1" x14ac:dyDescent="0.25">
      <c r="B84" s="214">
        <f t="shared" si="25"/>
        <v>84</v>
      </c>
      <c r="C84" s="387">
        <v>1</v>
      </c>
      <c r="D84" s="863" t="s">
        <v>3088</v>
      </c>
      <c r="E84" s="272" t="str">
        <f>VLOOKUP("T.06.74",Translation,LanguageNo+1,FALSE)</f>
        <v>Sonstige verbriefte Forderungen</v>
      </c>
      <c r="F84" s="249"/>
      <c r="G84" s="194"/>
      <c r="H84" s="268"/>
      <c r="I84" s="385">
        <f>IF(ISBLANK(B84),"",F84+SUMPRODUCT(--($G$6:$G$249=B84),$H$6:$H$249,$C$6:$C$249)*C84-H84)</f>
        <v>0</v>
      </c>
      <c r="J84" s="250"/>
      <c r="K84" s="385">
        <f t="shared" si="27"/>
        <v>0</v>
      </c>
      <c r="L84" s="385">
        <f t="shared" si="26"/>
        <v>0</v>
      </c>
      <c r="M84" s="385">
        <f>'SST Balance Sheet'!E84</f>
        <v>0</v>
      </c>
    </row>
    <row r="85" spans="2:13" ht="14.25" customHeight="1" x14ac:dyDescent="0.25">
      <c r="B85" s="214">
        <f t="shared" si="25"/>
        <v>85</v>
      </c>
      <c r="C85" s="387">
        <v>1</v>
      </c>
      <c r="D85" s="863" t="s">
        <v>3089</v>
      </c>
      <c r="E85" s="214" t="str">
        <f>VLOOKUP("T.06.75",Translation,LanguageNo+1,FALSE)</f>
        <v>Andere Kapitalanlagen (Infrastrukturanlagen, Currency Overlay, u.a.)</v>
      </c>
      <c r="F85" s="256"/>
      <c r="G85" s="308"/>
      <c r="H85" s="285"/>
      <c r="I85" s="385">
        <f>IF(ISBLANK(B85),"",F85+SUMPRODUCT(--($G$6:$G$249=B85),$H$6:$H$249,$C$6:$C$249)*C85-H85)</f>
        <v>0</v>
      </c>
      <c r="J85" s="388"/>
      <c r="K85" s="385">
        <f t="shared" si="27"/>
        <v>0</v>
      </c>
      <c r="L85" s="385">
        <f t="shared" si="26"/>
        <v>0</v>
      </c>
      <c r="M85" s="385">
        <f>'SST Balance Sheet'!E85</f>
        <v>0</v>
      </c>
    </row>
    <row r="86" spans="2:13" ht="14.25" customHeight="1" x14ac:dyDescent="0.25">
      <c r="B86" s="258"/>
      <c r="C86" s="389"/>
      <c r="D86" s="258"/>
      <c r="E86" s="259"/>
      <c r="F86" s="260"/>
      <c r="G86" s="260"/>
      <c r="H86" s="260"/>
      <c r="I86" s="390"/>
      <c r="J86" s="260"/>
      <c r="K86" s="390"/>
      <c r="L86" s="390"/>
      <c r="M86" s="390"/>
    </row>
    <row r="87" spans="2:13" ht="14.25" customHeight="1" x14ac:dyDescent="0.25">
      <c r="B87" s="214">
        <f t="shared" ref="B87" si="28">ROW(B87)</f>
        <v>87</v>
      </c>
      <c r="C87" s="387">
        <v>1</v>
      </c>
      <c r="D87" s="694">
        <v>101800100</v>
      </c>
      <c r="E87" s="305" t="str">
        <f>VLOOKUP("T.06.76",Translation,LanguageNo+1,FALSE)</f>
        <v>Schwankungsreserven Kapitalanlagen (ohne anteilgebundene Lebensversicherung)</v>
      </c>
      <c r="F87" s="249"/>
      <c r="G87" s="194"/>
      <c r="H87" s="268"/>
      <c r="I87" s="385">
        <f>IF(ISBLANK(B87),"",F87+SUMPRODUCT(--($G$6:$G$249=B87),$H$6:$H$249,$C$6:$C$249)*C87-H87)</f>
        <v>0</v>
      </c>
      <c r="J87" s="250"/>
      <c r="K87" s="385">
        <f t="shared" si="27"/>
        <v>0</v>
      </c>
      <c r="L87" s="264">
        <f>$M87-$K87</f>
        <v>0</v>
      </c>
      <c r="M87" s="865">
        <f>'SST Balance Sheet'!E87</f>
        <v>0</v>
      </c>
    </row>
    <row r="88" spans="2:13" ht="14.25" customHeight="1" x14ac:dyDescent="0.25">
      <c r="B88" s="390"/>
      <c r="C88" s="389"/>
      <c r="D88" s="258"/>
      <c r="E88" s="259"/>
      <c r="F88" s="260"/>
      <c r="G88" s="260"/>
      <c r="H88" s="260"/>
      <c r="I88" s="390"/>
      <c r="J88" s="260"/>
      <c r="K88" s="390"/>
      <c r="L88" s="390"/>
      <c r="M88" s="390"/>
    </row>
    <row r="89" spans="2:13" ht="14.25" customHeight="1" x14ac:dyDescent="0.25">
      <c r="B89" s="214">
        <f t="shared" ref="B89" si="29">ROW(B89)</f>
        <v>89</v>
      </c>
      <c r="C89" s="384"/>
      <c r="D89" s="214">
        <v>101000000</v>
      </c>
      <c r="E89" s="307" t="str">
        <f>VLOOKUP("T.06.77",Translation,LanguageNo+1,FALSE)</f>
        <v>Total Kapitalanlagen</v>
      </c>
      <c r="F89" s="264">
        <f>F8+F19+F28+F38+F43+F51+F56+F87</f>
        <v>0</v>
      </c>
      <c r="G89" s="264"/>
      <c r="H89" s="264"/>
      <c r="I89" s="264">
        <f>I8+I19+I28+I38+I43+I51+I56+I87</f>
        <v>0</v>
      </c>
      <c r="J89" s="264">
        <f>J8+J19+J28+J38+J43+J51+J56+J87</f>
        <v>0</v>
      </c>
      <c r="K89" s="264">
        <f>K8+K19+K28+K38+K43+K51+K56+K87</f>
        <v>0</v>
      </c>
      <c r="L89" s="264">
        <f>$M89-$K89</f>
        <v>0</v>
      </c>
      <c r="M89" s="385">
        <f>'SST Balance Sheet'!E89</f>
        <v>0</v>
      </c>
    </row>
    <row r="90" spans="2:13" ht="14.25" customHeight="1" x14ac:dyDescent="0.25">
      <c r="B90" s="390"/>
      <c r="C90" s="389"/>
      <c r="D90" s="258"/>
      <c r="E90" s="259"/>
      <c r="F90" s="260"/>
      <c r="G90" s="260"/>
      <c r="H90" s="260"/>
      <c r="I90" s="390"/>
      <c r="J90" s="260"/>
      <c r="K90" s="390"/>
      <c r="L90" s="390"/>
      <c r="M90" s="390"/>
    </row>
    <row r="91" spans="2:13" ht="14.25" customHeight="1" x14ac:dyDescent="0.25">
      <c r="B91" s="214">
        <f t="shared" ref="B91:B93" si="30">ROW(B91)</f>
        <v>91</v>
      </c>
      <c r="C91" s="384"/>
      <c r="D91" s="303"/>
      <c r="E91" s="307" t="str">
        <f>VLOOKUP("T.06.78",Translation,LanguageNo+1,FALSE)</f>
        <v>Übrige Aktiven</v>
      </c>
      <c r="F91" s="263"/>
      <c r="G91" s="263"/>
      <c r="H91" s="263"/>
      <c r="I91" s="264"/>
      <c r="J91" s="263"/>
      <c r="K91" s="264"/>
      <c r="L91" s="385"/>
      <c r="M91" s="385"/>
    </row>
    <row r="92" spans="2:13" s="248" customFormat="1" ht="14.25" customHeight="1" x14ac:dyDescent="0.25">
      <c r="B92" s="258"/>
      <c r="C92" s="389"/>
      <c r="D92" s="258"/>
      <c r="E92" s="298"/>
      <c r="F92" s="260"/>
      <c r="G92" s="260"/>
      <c r="H92" s="260"/>
      <c r="I92" s="390"/>
      <c r="J92" s="260"/>
      <c r="K92" s="390"/>
      <c r="L92" s="390"/>
      <c r="M92" s="390"/>
    </row>
    <row r="93" spans="2:13" ht="14.25" customHeight="1" x14ac:dyDescent="0.25">
      <c r="B93" s="214">
        <f t="shared" si="30"/>
        <v>93</v>
      </c>
      <c r="C93" s="384"/>
      <c r="D93" s="775">
        <v>102000000</v>
      </c>
      <c r="E93" s="304" t="str">
        <f>VLOOKUP("T.06.79",Translation,LanguageNo+1,FALSE)</f>
        <v>1.2 Kapitalanlagen aus anteilgebundener Lebensversicherung</v>
      </c>
      <c r="F93" s="263">
        <f>F94+F96+F104</f>
        <v>0</v>
      </c>
      <c r="G93" s="263"/>
      <c r="H93" s="263"/>
      <c r="I93" s="264">
        <f>I94+I96+I104</f>
        <v>0</v>
      </c>
      <c r="J93" s="263">
        <f>J94+J96+J104</f>
        <v>0</v>
      </c>
      <c r="K93" s="264">
        <f>K94+K96+K104</f>
        <v>0</v>
      </c>
      <c r="L93" s="385">
        <f t="shared" ref="L93:L94" si="31">$M93-$K93</f>
        <v>0</v>
      </c>
      <c r="M93" s="385">
        <f>'SST Balance Sheet'!E93</f>
        <v>0</v>
      </c>
    </row>
    <row r="94" spans="2:13" ht="14.25" customHeight="1" x14ac:dyDescent="0.25">
      <c r="B94" s="214">
        <f t="shared" ref="B94:B101" si="32">ROW(B94)</f>
        <v>94</v>
      </c>
      <c r="C94" s="387">
        <v>1</v>
      </c>
      <c r="D94" s="775">
        <v>102100000</v>
      </c>
      <c r="E94" s="262" t="str">
        <f>VLOOKUP("T.06.80",Translation,LanguageNo+1,FALSE)</f>
        <v>Fondsanteilgebundene Lebensversicherung</v>
      </c>
      <c r="F94" s="256"/>
      <c r="G94" s="308"/>
      <c r="H94" s="285"/>
      <c r="I94" s="385">
        <f>IF(ISBLANK(B94),"",F94+SUMPRODUCT(--($G$6:$G$249=B94),$H$6:$H$249,$C$6:$C$249)*C94-H94)</f>
        <v>0</v>
      </c>
      <c r="J94" s="388"/>
      <c r="K94" s="385">
        <f t="shared" ref="K94" si="33">$I94+$J94</f>
        <v>0</v>
      </c>
      <c r="L94" s="385">
        <f t="shared" si="31"/>
        <v>0</v>
      </c>
      <c r="M94" s="385">
        <f>'SST Balance Sheet'!E94</f>
        <v>0</v>
      </c>
    </row>
    <row r="95" spans="2:13" s="248" customFormat="1" ht="14.25" customHeight="1" x14ac:dyDescent="0.25">
      <c r="B95" s="258"/>
      <c r="C95" s="389"/>
      <c r="D95" s="258"/>
      <c r="E95" s="298"/>
      <c r="F95" s="260"/>
      <c r="G95" s="260"/>
      <c r="H95" s="260"/>
      <c r="I95" s="390"/>
      <c r="J95" s="260"/>
      <c r="K95" s="390"/>
      <c r="L95" s="390"/>
      <c r="M95" s="390"/>
    </row>
    <row r="96" spans="2:13" ht="14.25" customHeight="1" x14ac:dyDescent="0.25">
      <c r="B96" s="214">
        <f t="shared" si="32"/>
        <v>96</v>
      </c>
      <c r="C96" s="387"/>
      <c r="D96" s="775">
        <v>102200000</v>
      </c>
      <c r="E96" s="262" t="str">
        <f>VLOOKUP("T.06.81",Translation,LanguageNo+1,FALSE)</f>
        <v>An interne Anlagebestände oder andere Bezugswerte gebundene Lebensversicherung</v>
      </c>
      <c r="F96" s="263">
        <f>SUM(F97:F102)</f>
        <v>0</v>
      </c>
      <c r="G96" s="263"/>
      <c r="H96" s="263"/>
      <c r="I96" s="264">
        <f>SUM(I97:I102)</f>
        <v>0</v>
      </c>
      <c r="J96" s="263">
        <f>SUM(J97:J102)</f>
        <v>0</v>
      </c>
      <c r="K96" s="264">
        <f>SUM(K97:K102)</f>
        <v>0</v>
      </c>
      <c r="L96" s="385">
        <f t="shared" ref="L96:L102" si="34">$M96-$K96</f>
        <v>0</v>
      </c>
      <c r="M96" s="385">
        <f>'SST Balance Sheet'!E96</f>
        <v>0</v>
      </c>
    </row>
    <row r="97" spans="2:18" ht="14.25" customHeight="1" x14ac:dyDescent="0.25">
      <c r="B97" s="214">
        <f t="shared" si="32"/>
        <v>97</v>
      </c>
      <c r="C97" s="387">
        <v>1</v>
      </c>
      <c r="D97" s="863" t="s">
        <v>3090</v>
      </c>
      <c r="E97" s="214" t="str">
        <f>VLOOKUP("T.06.82",Translation,LanguageNo+1,FALSE)</f>
        <v>Immobilien</v>
      </c>
      <c r="F97" s="249"/>
      <c r="G97" s="194"/>
      <c r="H97" s="268"/>
      <c r="I97" s="385">
        <f t="shared" ref="I97:I102" si="35">IF(ISBLANK(B97),"",F97+SUMPRODUCT(--($G$6:$G$249=B97),$H$6:$H$249,$C$6:$C$249)*C97-H97)</f>
        <v>0</v>
      </c>
      <c r="J97" s="250"/>
      <c r="K97" s="385">
        <f t="shared" ref="K97:K102" si="36">$I97+$J97</f>
        <v>0</v>
      </c>
      <c r="L97" s="385">
        <f t="shared" si="34"/>
        <v>0</v>
      </c>
      <c r="M97" s="385">
        <f>'SST Balance Sheet'!E97</f>
        <v>0</v>
      </c>
    </row>
    <row r="98" spans="2:18" ht="14.25" customHeight="1" x14ac:dyDescent="0.25">
      <c r="B98" s="214">
        <f t="shared" si="32"/>
        <v>98</v>
      </c>
      <c r="C98" s="387">
        <v>1</v>
      </c>
      <c r="D98" s="863" t="s">
        <v>3091</v>
      </c>
      <c r="E98" s="214" t="str">
        <f>VLOOKUP("T.06.83",Translation,LanguageNo+1,FALSE)</f>
        <v>Festverzinsliche Wertpapiere, Darlehen</v>
      </c>
      <c r="F98" s="249"/>
      <c r="G98" s="194"/>
      <c r="H98" s="268"/>
      <c r="I98" s="385">
        <f t="shared" si="35"/>
        <v>0</v>
      </c>
      <c r="J98" s="250"/>
      <c r="K98" s="385">
        <f t="shared" si="36"/>
        <v>0</v>
      </c>
      <c r="L98" s="385">
        <f t="shared" si="34"/>
        <v>0</v>
      </c>
      <c r="M98" s="385">
        <f>'SST Balance Sheet'!E98</f>
        <v>0</v>
      </c>
    </row>
    <row r="99" spans="2:18" ht="14.25" customHeight="1" x14ac:dyDescent="0.25">
      <c r="B99" s="214">
        <f t="shared" si="32"/>
        <v>99</v>
      </c>
      <c r="C99" s="387">
        <v>1</v>
      </c>
      <c r="D99" s="863" t="s">
        <v>3092</v>
      </c>
      <c r="E99" s="214" t="str">
        <f>VLOOKUP("T.06.84",Translation,LanguageNo+1,FALSE)</f>
        <v>Hypotheken</v>
      </c>
      <c r="F99" s="249"/>
      <c r="G99" s="194"/>
      <c r="H99" s="268"/>
      <c r="I99" s="385">
        <f t="shared" si="35"/>
        <v>0</v>
      </c>
      <c r="J99" s="250"/>
      <c r="K99" s="385">
        <f t="shared" si="36"/>
        <v>0</v>
      </c>
      <c r="L99" s="385">
        <f t="shared" si="34"/>
        <v>0</v>
      </c>
      <c r="M99" s="385">
        <f>'SST Balance Sheet'!E99</f>
        <v>0</v>
      </c>
    </row>
    <row r="100" spans="2:18" ht="14.25" customHeight="1" x14ac:dyDescent="0.25">
      <c r="B100" s="214">
        <f t="shared" si="32"/>
        <v>100</v>
      </c>
      <c r="C100" s="387">
        <v>1</v>
      </c>
      <c r="D100" s="863" t="s">
        <v>3093</v>
      </c>
      <c r="E100" s="214" t="str">
        <f>VLOOKUP("T.06.85",Translation,LanguageNo+1,FALSE)</f>
        <v>Aktien und ähnliche Wertschriften</v>
      </c>
      <c r="F100" s="249"/>
      <c r="G100" s="194"/>
      <c r="H100" s="268"/>
      <c r="I100" s="385">
        <f t="shared" si="35"/>
        <v>0</v>
      </c>
      <c r="J100" s="250"/>
      <c r="K100" s="385">
        <f t="shared" si="36"/>
        <v>0</v>
      </c>
      <c r="L100" s="385">
        <f t="shared" si="34"/>
        <v>0</v>
      </c>
      <c r="M100" s="385">
        <f>'SST Balance Sheet'!E100</f>
        <v>0</v>
      </c>
    </row>
    <row r="101" spans="2:18" ht="14.25" customHeight="1" x14ac:dyDescent="0.25">
      <c r="B101" s="214">
        <f t="shared" si="32"/>
        <v>101</v>
      </c>
      <c r="C101" s="387">
        <v>1</v>
      </c>
      <c r="D101" s="214" t="s">
        <v>3094</v>
      </c>
      <c r="E101" s="214" t="str">
        <f>VLOOKUP("T.06.86",Translation,LanguageNo+1,FALSE)</f>
        <v>Alternative Anlagen</v>
      </c>
      <c r="F101" s="249"/>
      <c r="G101" s="194"/>
      <c r="H101" s="268"/>
      <c r="I101" s="385">
        <f t="shared" si="35"/>
        <v>0</v>
      </c>
      <c r="J101" s="250"/>
      <c r="K101" s="385">
        <f t="shared" si="36"/>
        <v>0</v>
      </c>
      <c r="L101" s="385">
        <f t="shared" si="34"/>
        <v>0</v>
      </c>
      <c r="M101" s="385">
        <f>'SST Balance Sheet'!E101</f>
        <v>0</v>
      </c>
    </row>
    <row r="102" spans="2:18" ht="14.25" customHeight="1" x14ac:dyDescent="0.25">
      <c r="B102" s="214">
        <f t="shared" ref="B102:B110" si="37">ROW(B102)</f>
        <v>102</v>
      </c>
      <c r="C102" s="387">
        <v>1</v>
      </c>
      <c r="D102" s="776" t="s">
        <v>883</v>
      </c>
      <c r="E102" s="214" t="str">
        <f>VLOOKUP("T.06.87",Translation,LanguageNo+1,FALSE)</f>
        <v>Übrige Anlagen</v>
      </c>
      <c r="F102" s="256"/>
      <c r="G102" s="308"/>
      <c r="H102" s="285"/>
      <c r="I102" s="385">
        <f t="shared" si="35"/>
        <v>0</v>
      </c>
      <c r="J102" s="388"/>
      <c r="K102" s="385">
        <f t="shared" si="36"/>
        <v>0</v>
      </c>
      <c r="L102" s="385">
        <f t="shared" si="34"/>
        <v>0</v>
      </c>
      <c r="M102" s="385">
        <f>'SST Balance Sheet'!E102</f>
        <v>0</v>
      </c>
    </row>
    <row r="103" spans="2:18" s="248" customFormat="1" ht="14.25" customHeight="1" x14ac:dyDescent="0.25">
      <c r="B103" s="258"/>
      <c r="C103" s="389"/>
      <c r="D103" s="258"/>
      <c r="E103" s="298"/>
      <c r="F103" s="260"/>
      <c r="G103" s="260"/>
      <c r="H103" s="260"/>
      <c r="I103" s="390"/>
      <c r="J103" s="260"/>
      <c r="K103" s="390"/>
      <c r="L103" s="390"/>
      <c r="M103" s="390"/>
      <c r="N103" s="222"/>
    </row>
    <row r="104" spans="2:18" ht="14.25" customHeight="1" x14ac:dyDescent="0.25">
      <c r="B104" s="214">
        <f t="shared" si="37"/>
        <v>104</v>
      </c>
      <c r="C104" s="387">
        <v>1</v>
      </c>
      <c r="D104" s="775">
        <v>102300100</v>
      </c>
      <c r="E104" s="214" t="str">
        <f>VLOOKUP("T.06.88",Translation,LanguageNo+1,FALSE)</f>
        <v>Schwankungsreserven Kapitalanlagen aus anteilgebundener Lebensversicherung</v>
      </c>
      <c r="F104" s="249"/>
      <c r="G104" s="194"/>
      <c r="H104" s="250"/>
      <c r="I104" s="385">
        <f>IF(ISBLANK(B104),"",F104+SUMPRODUCT(--($G$6:$G$249=B104),$H$6:$H$249,$C$6:$C$249)*C104-H104)</f>
        <v>0</v>
      </c>
      <c r="J104" s="250"/>
      <c r="K104" s="385">
        <f t="shared" ref="K104" si="38">$I104+$J104</f>
        <v>0</v>
      </c>
      <c r="L104" s="385">
        <f t="shared" ref="L104" si="39">$M104-$K104</f>
        <v>0</v>
      </c>
      <c r="M104" s="865">
        <f>'SST Balance Sheet'!E104</f>
        <v>0</v>
      </c>
    </row>
    <row r="105" spans="2:18" s="248" customFormat="1" ht="14.25" customHeight="1" x14ac:dyDescent="0.25">
      <c r="B105" s="258"/>
      <c r="C105" s="389"/>
      <c r="D105" s="258"/>
      <c r="E105" s="298"/>
      <c r="F105" s="260"/>
      <c r="G105" s="260"/>
      <c r="H105" s="260"/>
      <c r="I105" s="390"/>
      <c r="J105" s="260"/>
      <c r="K105" s="390"/>
      <c r="L105" s="390"/>
      <c r="M105" s="390"/>
      <c r="N105" s="222"/>
    </row>
    <row r="106" spans="2:18" ht="14.25" customHeight="1" x14ac:dyDescent="0.25">
      <c r="B106" s="214">
        <f t="shared" si="37"/>
        <v>106</v>
      </c>
      <c r="C106" s="387"/>
      <c r="D106" s="775">
        <v>103000000</v>
      </c>
      <c r="E106" s="262" t="str">
        <f>VLOOKUP("T.06.89",Translation,LanguageNo+1,FALSE)</f>
        <v>1.3 Forderungen aus derivativen Finanzinstrumenten</v>
      </c>
      <c r="F106" s="263">
        <f>SUM(F107:F112)</f>
        <v>0</v>
      </c>
      <c r="G106" s="263"/>
      <c r="H106" s="263"/>
      <c r="I106" s="264">
        <f>SUM(I107:I112)</f>
        <v>0</v>
      </c>
      <c r="J106" s="263">
        <f>SUM(J107:J112)</f>
        <v>0</v>
      </c>
      <c r="K106" s="264">
        <f>SUM(K107:K112)</f>
        <v>0</v>
      </c>
      <c r="L106" s="385">
        <f t="shared" ref="L106:L112" si="40">$M106-$K106</f>
        <v>0</v>
      </c>
      <c r="M106" s="385">
        <f>'SST Balance Sheet'!E106</f>
        <v>0</v>
      </c>
    </row>
    <row r="107" spans="2:18" ht="14.25" customHeight="1" x14ac:dyDescent="0.25">
      <c r="B107" s="214">
        <f t="shared" si="37"/>
        <v>107</v>
      </c>
      <c r="C107" s="387">
        <v>1</v>
      </c>
      <c r="D107" s="863" t="s">
        <v>3095</v>
      </c>
      <c r="E107" s="214" t="str">
        <f>VLOOKUP("T.06.90",Translation,LanguageNo+1,FALSE)</f>
        <v>Zinsrisikobezogene Instrumente</v>
      </c>
      <c r="F107" s="249"/>
      <c r="G107" s="194"/>
      <c r="H107" s="250"/>
      <c r="I107" s="385">
        <f t="shared" ref="I107:I112" si="41">IF(ISBLANK(B107),"",F107+SUMPRODUCT(--($G$6:$G$249=B107),$H$6:$H$249,$C$6:$C$249)*C107-H107)</f>
        <v>0</v>
      </c>
      <c r="J107" s="250"/>
      <c r="K107" s="385">
        <f t="shared" ref="K107:K112" si="42">$I107+$J107</f>
        <v>0</v>
      </c>
      <c r="L107" s="385">
        <f t="shared" si="40"/>
        <v>0</v>
      </c>
      <c r="M107" s="385">
        <f>'SST Balance Sheet'!E107</f>
        <v>0</v>
      </c>
    </row>
    <row r="108" spans="2:18" ht="14.25" customHeight="1" x14ac:dyDescent="0.25">
      <c r="B108" s="214">
        <f t="shared" si="37"/>
        <v>108</v>
      </c>
      <c r="C108" s="387">
        <v>1</v>
      </c>
      <c r="D108" s="863" t="s">
        <v>3096</v>
      </c>
      <c r="E108" s="214" t="str">
        <f>VLOOKUP("T.06.91",Translation,LanguageNo+1,FALSE)</f>
        <v>Währungsrisikobezogene Instrumente</v>
      </c>
      <c r="F108" s="249"/>
      <c r="G108" s="194"/>
      <c r="H108" s="250"/>
      <c r="I108" s="385">
        <f t="shared" si="41"/>
        <v>0</v>
      </c>
      <c r="J108" s="250"/>
      <c r="K108" s="385">
        <f t="shared" si="42"/>
        <v>0</v>
      </c>
      <c r="L108" s="385">
        <f t="shared" si="40"/>
        <v>0</v>
      </c>
      <c r="M108" s="385">
        <f>'SST Balance Sheet'!E108</f>
        <v>0</v>
      </c>
    </row>
    <row r="109" spans="2:18" ht="14.25" customHeight="1" x14ac:dyDescent="0.25">
      <c r="B109" s="214">
        <f t="shared" si="37"/>
        <v>109</v>
      </c>
      <c r="C109" s="387">
        <v>1</v>
      </c>
      <c r="D109" s="214" t="s">
        <v>3097</v>
      </c>
      <c r="E109" s="214" t="str">
        <f>VLOOKUP("T.06.92",Translation,LanguageNo+1,FALSE)</f>
        <v>(Aktien-)Marktrisikobezogene Instrumente</v>
      </c>
      <c r="F109" s="249"/>
      <c r="G109" s="194"/>
      <c r="H109" s="250"/>
      <c r="I109" s="385">
        <f t="shared" si="41"/>
        <v>0</v>
      </c>
      <c r="J109" s="250"/>
      <c r="K109" s="385">
        <f t="shared" si="42"/>
        <v>0</v>
      </c>
      <c r="L109" s="385">
        <f t="shared" si="40"/>
        <v>0</v>
      </c>
      <c r="M109" s="385">
        <f>'SST Balance Sheet'!E109</f>
        <v>0</v>
      </c>
    </row>
    <row r="110" spans="2:18" ht="14.25" customHeight="1" x14ac:dyDescent="0.25">
      <c r="B110" s="214">
        <f t="shared" si="37"/>
        <v>110</v>
      </c>
      <c r="C110" s="387">
        <v>1</v>
      </c>
      <c r="D110" s="214" t="s">
        <v>3098</v>
      </c>
      <c r="E110" s="255" t="str">
        <f>VLOOKUP("T.06.93",Translation,LanguageNo+1,FALSE)</f>
        <v>Kreditrisikobezogene Instrumente</v>
      </c>
      <c r="F110" s="249"/>
      <c r="G110" s="194"/>
      <c r="H110" s="250"/>
      <c r="I110" s="385">
        <f t="shared" si="41"/>
        <v>0</v>
      </c>
      <c r="J110" s="250"/>
      <c r="K110" s="385">
        <f t="shared" si="42"/>
        <v>0</v>
      </c>
      <c r="L110" s="385">
        <f t="shared" si="40"/>
        <v>0</v>
      </c>
      <c r="M110" s="385">
        <f>'SST Balance Sheet'!E110</f>
        <v>0</v>
      </c>
    </row>
    <row r="111" spans="2:18" s="248" customFormat="1" ht="14.25" customHeight="1" x14ac:dyDescent="0.25">
      <c r="B111" s="214">
        <f t="shared" ref="B111" si="43">ROW(B111)</f>
        <v>111</v>
      </c>
      <c r="C111" s="387">
        <v>1</v>
      </c>
      <c r="D111" s="863" t="s">
        <v>3099</v>
      </c>
      <c r="E111" s="310" t="str">
        <f>VLOOKUP("T.06.94",Translation,LanguageNo+1,FALSE)</f>
        <v>Versicherungsrisikobezogene Instrumente (z.B. Cat Derivate)</v>
      </c>
      <c r="F111" s="249"/>
      <c r="G111" s="194"/>
      <c r="H111" s="250"/>
      <c r="I111" s="385">
        <f t="shared" si="41"/>
        <v>0</v>
      </c>
      <c r="J111" s="250"/>
      <c r="K111" s="385">
        <f t="shared" si="42"/>
        <v>0</v>
      </c>
      <c r="L111" s="385">
        <f t="shared" si="40"/>
        <v>0</v>
      </c>
      <c r="M111" s="385">
        <f>'SST Balance Sheet'!E111</f>
        <v>0</v>
      </c>
      <c r="N111" s="222"/>
    </row>
    <row r="112" spans="2:18" s="248" customFormat="1" ht="14.25" customHeight="1" x14ac:dyDescent="0.25">
      <c r="B112" s="214">
        <f>ROW(B112)</f>
        <v>112</v>
      </c>
      <c r="C112" s="387">
        <v>1</v>
      </c>
      <c r="D112" s="863" t="s">
        <v>3100</v>
      </c>
      <c r="E112" s="310" t="str">
        <f>VLOOKUP("T.06.95",Translation,LanguageNo+1,FALSE)</f>
        <v>Übrige derivative Instrumente</v>
      </c>
      <c r="F112" s="256"/>
      <c r="G112" s="308"/>
      <c r="H112" s="388"/>
      <c r="I112" s="385">
        <f t="shared" si="41"/>
        <v>0</v>
      </c>
      <c r="J112" s="388"/>
      <c r="K112" s="385">
        <f t="shared" si="42"/>
        <v>0</v>
      </c>
      <c r="L112" s="385">
        <f t="shared" si="40"/>
        <v>0</v>
      </c>
      <c r="M112" s="385">
        <f>'SST Balance Sheet'!E112</f>
        <v>0</v>
      </c>
      <c r="N112" s="222"/>
      <c r="O112" s="222"/>
      <c r="P112" s="222"/>
      <c r="Q112" s="222"/>
      <c r="R112" s="222"/>
    </row>
    <row r="113" spans="2:13" ht="14.25" customHeight="1" x14ac:dyDescent="0.25">
      <c r="B113" s="265"/>
      <c r="C113" s="392"/>
      <c r="D113" s="265"/>
      <c r="E113" s="259"/>
      <c r="F113" s="260"/>
      <c r="G113" s="260"/>
      <c r="H113" s="260"/>
      <c r="I113" s="390"/>
      <c r="J113" s="260"/>
      <c r="K113" s="390"/>
      <c r="L113" s="390"/>
      <c r="M113" s="390"/>
    </row>
    <row r="114" spans="2:13" ht="14.25" customHeight="1" x14ac:dyDescent="0.25">
      <c r="B114" s="214">
        <f t="shared" ref="B114:B117" si="44">ROW(B114)</f>
        <v>114</v>
      </c>
      <c r="C114" s="387">
        <v>1</v>
      </c>
      <c r="D114" s="775">
        <v>104000000</v>
      </c>
      <c r="E114" s="262" t="str">
        <f>VLOOKUP("T.06.96",Translation,LanguageNo+1,FALSE)</f>
        <v>1.4 Depotforderungen aus übernommener Rückversicherung</v>
      </c>
      <c r="F114" s="216"/>
      <c r="G114" s="215"/>
      <c r="H114" s="309"/>
      <c r="I114" s="385">
        <f>IF(ISBLANK(B114),"",F114+SUMPRODUCT(--($G$6:$G$249=B114),$H$6:$H$249,$C$6:$C$249)*C114-H114)</f>
        <v>0</v>
      </c>
      <c r="J114" s="398"/>
      <c r="K114" s="385">
        <f t="shared" ref="K114" si="45">$I114+$J114</f>
        <v>0</v>
      </c>
      <c r="L114" s="385">
        <f t="shared" ref="L114" si="46">$M114-$K114</f>
        <v>0</v>
      </c>
      <c r="M114" s="385">
        <f>'SST Balance Sheet'!E114</f>
        <v>0</v>
      </c>
    </row>
    <row r="115" spans="2:13" s="248" customFormat="1" ht="14.25" customHeight="1" x14ac:dyDescent="0.25">
      <c r="B115" s="265"/>
      <c r="C115" s="392"/>
      <c r="D115" s="265"/>
      <c r="E115" s="323"/>
      <c r="F115" s="260"/>
      <c r="G115" s="260"/>
      <c r="H115" s="260"/>
      <c r="I115" s="390"/>
      <c r="J115" s="260"/>
      <c r="K115" s="390"/>
      <c r="L115" s="390"/>
      <c r="M115" s="390"/>
    </row>
    <row r="116" spans="2:13" ht="14.25" customHeight="1" x14ac:dyDescent="0.25">
      <c r="B116" s="214">
        <f t="shared" si="44"/>
        <v>116</v>
      </c>
      <c r="C116" s="387">
        <v>1</v>
      </c>
      <c r="D116" s="775">
        <v>105000000</v>
      </c>
      <c r="E116" s="262" t="str">
        <f>VLOOKUP("T.06.97",Translation,LanguageNo+1,FALSE)</f>
        <v>1.5 Flüssige Mittel</v>
      </c>
      <c r="F116" s="263">
        <f>SUM(F117:F119)</f>
        <v>0</v>
      </c>
      <c r="G116" s="263"/>
      <c r="H116" s="263"/>
      <c r="I116" s="264">
        <f>SUM(I117:I119)</f>
        <v>0</v>
      </c>
      <c r="J116" s="263">
        <f>SUM(J117:J119)</f>
        <v>0</v>
      </c>
      <c r="K116" s="264">
        <f>SUM(K117:K119)</f>
        <v>0</v>
      </c>
      <c r="L116" s="385">
        <f t="shared" ref="L116:L119" si="47">$M116-$K116</f>
        <v>0</v>
      </c>
      <c r="M116" s="385">
        <f>'SST Balance Sheet'!E116</f>
        <v>0</v>
      </c>
    </row>
    <row r="117" spans="2:13" ht="14.25" customHeight="1" x14ac:dyDescent="0.25">
      <c r="B117" s="214">
        <f t="shared" si="44"/>
        <v>117</v>
      </c>
      <c r="C117" s="387">
        <v>1</v>
      </c>
      <c r="D117" s="775">
        <v>105000100</v>
      </c>
      <c r="E117" s="214" t="str">
        <f>VLOOKUP("T.06.98",Translation,LanguageNo+1,FALSE)</f>
        <v>Bargeld</v>
      </c>
      <c r="F117" s="249"/>
      <c r="G117" s="194"/>
      <c r="H117" s="268"/>
      <c r="I117" s="385">
        <f>IF(ISBLANK(B117),"",F117+SUMPRODUCT(--($G$6:$G$249=B117),$H$6:$H$249,$C$6:$C$249)*C117-H117)</f>
        <v>0</v>
      </c>
      <c r="J117" s="250"/>
      <c r="K117" s="385">
        <f t="shared" ref="K117:K119" si="48">$I117+$J117</f>
        <v>0</v>
      </c>
      <c r="L117" s="385">
        <f t="shared" si="47"/>
        <v>0</v>
      </c>
      <c r="M117" s="385">
        <f>'SST Balance Sheet'!E117</f>
        <v>0</v>
      </c>
    </row>
    <row r="118" spans="2:13" ht="14.25" customHeight="1" x14ac:dyDescent="0.25">
      <c r="B118" s="214">
        <f t="shared" ref="B118:B132" si="49">ROW(B118)</f>
        <v>118</v>
      </c>
      <c r="C118" s="387">
        <v>1</v>
      </c>
      <c r="D118" s="775">
        <v>105000200</v>
      </c>
      <c r="E118" s="310" t="str">
        <f>VLOOKUP("T.06.99",Translation,LanguageNo+1,FALSE)</f>
        <v>Bankguthaben</v>
      </c>
      <c r="F118" s="249"/>
      <c r="G118" s="194"/>
      <c r="H118" s="268"/>
      <c r="I118" s="385">
        <f>IF(ISBLANK(B118),"",F118+SUMPRODUCT(--($G$6:$G$249=B118),$H$6:$H$249,$C$6:$C$249)*C118-H118)</f>
        <v>0</v>
      </c>
      <c r="J118" s="250"/>
      <c r="K118" s="385">
        <f t="shared" si="48"/>
        <v>0</v>
      </c>
      <c r="L118" s="385">
        <f t="shared" si="47"/>
        <v>0</v>
      </c>
      <c r="M118" s="385">
        <f>'SST Balance Sheet'!E118</f>
        <v>0</v>
      </c>
    </row>
    <row r="119" spans="2:13" ht="14.25" customHeight="1" x14ac:dyDescent="0.25">
      <c r="B119" s="214">
        <f t="shared" si="49"/>
        <v>119</v>
      </c>
      <c r="C119" s="387">
        <v>1</v>
      </c>
      <c r="D119" s="303">
        <v>105000300</v>
      </c>
      <c r="E119" s="214" t="str">
        <f>VLOOKUP("T.06.100",Translation,LanguageNo+1,FALSE)</f>
        <v>Forderungen aus Geldmarktanlagen</v>
      </c>
      <c r="F119" s="256"/>
      <c r="G119" s="308"/>
      <c r="H119" s="285"/>
      <c r="I119" s="385">
        <f>IF(ISBLANK(B119),"",F119+SUMPRODUCT(--($G$6:$G$249=B119),$H$6:$H$249,$C$6:$C$249)*C119-H119)</f>
        <v>0</v>
      </c>
      <c r="J119" s="388"/>
      <c r="K119" s="385">
        <f t="shared" si="48"/>
        <v>0</v>
      </c>
      <c r="L119" s="385">
        <f t="shared" si="47"/>
        <v>0</v>
      </c>
      <c r="M119" s="385">
        <f>'SST Balance Sheet'!E119</f>
        <v>0</v>
      </c>
    </row>
    <row r="120" spans="2:13" s="248" customFormat="1" ht="14.25" customHeight="1" x14ac:dyDescent="0.25">
      <c r="B120" s="258"/>
      <c r="C120" s="389"/>
      <c r="D120" s="258"/>
      <c r="E120" s="323"/>
      <c r="F120" s="260"/>
      <c r="G120" s="260"/>
      <c r="H120" s="260"/>
      <c r="I120" s="390"/>
      <c r="J120" s="260"/>
      <c r="K120" s="390"/>
      <c r="L120" s="390"/>
      <c r="M120" s="390"/>
    </row>
    <row r="121" spans="2:13" ht="14.25" customHeight="1" x14ac:dyDescent="0.25">
      <c r="B121" s="214">
        <f t="shared" si="49"/>
        <v>121</v>
      </c>
      <c r="C121" s="384"/>
      <c r="D121" s="303">
        <v>106000000</v>
      </c>
      <c r="E121" s="304" t="str">
        <f>VLOOKUP("T.06.101",Translation,LanguageNo+1,FALSE)</f>
        <v>1.6 Anteil versicherungstechnische Rückstellungen aus Rückversicherung</v>
      </c>
      <c r="F121" s="866">
        <f>F122+F124+F125+F127+SUM(F129:F134)</f>
        <v>0</v>
      </c>
      <c r="G121" s="203"/>
      <c r="H121" s="203"/>
      <c r="I121" s="866">
        <f>I122+I124+I125+I127+SUM(I129:I134)</f>
        <v>0</v>
      </c>
      <c r="J121" s="866">
        <f>J122+J124+J125+J127+SUM(J129:J134)</f>
        <v>0</v>
      </c>
      <c r="K121" s="866">
        <f>K122+K124+K125+K127+SUM(K129:K134)</f>
        <v>0</v>
      </c>
      <c r="L121" s="385">
        <f t="shared" ref="L121:L122" si="50">$M121-$K121</f>
        <v>0</v>
      </c>
      <c r="M121" s="385">
        <f>'SST Balance Sheet'!E121</f>
        <v>0</v>
      </c>
    </row>
    <row r="122" spans="2:13" ht="14.25" customHeight="1" x14ac:dyDescent="0.25">
      <c r="B122" s="214">
        <f t="shared" si="49"/>
        <v>122</v>
      </c>
      <c r="C122" s="387">
        <v>1</v>
      </c>
      <c r="D122" s="303">
        <v>106101000</v>
      </c>
      <c r="E122" s="214" t="str">
        <f>VLOOKUP("T.06.102",Translation,LanguageNo+1,FALSE)</f>
        <v>Direktversicherung: Lebensversicherungsgeschäft (ohne ALV)</v>
      </c>
      <c r="F122" s="249"/>
      <c r="G122" s="194"/>
      <c r="H122" s="268"/>
      <c r="I122" s="385">
        <f>IF(ISBLANK(B122),"",F122+SUMPRODUCT(--($G$6:$G$249=B122),$H$6:$H$249,$C$6:$C$249)*C122-H122)</f>
        <v>0</v>
      </c>
      <c r="J122" s="250"/>
      <c r="K122" s="385">
        <f t="shared" ref="K122" si="51">$I122+$J122</f>
        <v>0</v>
      </c>
      <c r="L122" s="385">
        <f t="shared" si="50"/>
        <v>0</v>
      </c>
      <c r="M122" s="385">
        <f>'SST Balance Sheet'!E122</f>
        <v>0</v>
      </c>
    </row>
    <row r="123" spans="2:13" ht="14.25" customHeight="1" x14ac:dyDescent="0.25">
      <c r="B123" s="214">
        <f t="shared" si="49"/>
        <v>123</v>
      </c>
      <c r="C123" s="384"/>
      <c r="D123" s="214"/>
      <c r="E123" s="290" t="str">
        <f>VLOOKUP("T.06.103",Translation,LanguageNo+1,FALSE)</f>
        <v>davon Anteil Rückversicherer (Leben) am Überschussfonds</v>
      </c>
      <c r="F123" s="250"/>
      <c r="G123" s="203"/>
      <c r="H123" s="203"/>
      <c r="I123" s="385"/>
      <c r="J123" s="203"/>
      <c r="K123" s="385"/>
      <c r="L123" s="385"/>
      <c r="M123" s="385"/>
    </row>
    <row r="124" spans="2:13" ht="14.25" customHeight="1" x14ac:dyDescent="0.25">
      <c r="B124" s="214">
        <f t="shared" si="49"/>
        <v>124</v>
      </c>
      <c r="C124" s="387">
        <v>1</v>
      </c>
      <c r="D124" s="303">
        <v>106102000</v>
      </c>
      <c r="E124" s="214" t="str">
        <f>VLOOKUP("T.06.104",Translation,LanguageNo+1,FALSE)</f>
        <v>Aktive Rückversicherung: Lebensversicherungsgeschäft (ohne ALV)</v>
      </c>
      <c r="F124" s="249"/>
      <c r="G124" s="194"/>
      <c r="H124" s="268"/>
      <c r="I124" s="385">
        <f>IF(ISBLANK(B124),"",F124+SUMPRODUCT(--($G$6:$G$249=B124),$H$6:$H$249,$C$6:$C$249)*C124-H124)</f>
        <v>0</v>
      </c>
      <c r="J124" s="250"/>
      <c r="K124" s="385">
        <f t="shared" ref="K124:K125" si="52">$I124+$J124</f>
        <v>0</v>
      </c>
      <c r="L124" s="385">
        <f t="shared" ref="L124:L125" si="53">$M124-$K124</f>
        <v>0</v>
      </c>
      <c r="M124" s="385">
        <f>'SST Balance Sheet'!E124</f>
        <v>0</v>
      </c>
    </row>
    <row r="125" spans="2:13" ht="14.25" customHeight="1" x14ac:dyDescent="0.25">
      <c r="B125" s="214">
        <f t="shared" si="49"/>
        <v>125</v>
      </c>
      <c r="C125" s="387">
        <v>1</v>
      </c>
      <c r="D125" s="214">
        <v>106201000</v>
      </c>
      <c r="E125" s="310" t="str">
        <f>VLOOKUP("T.06.105",Translation,LanguageNo+1,FALSE)</f>
        <v>Direktversicherung: Schadenversicherungsgeschäft</v>
      </c>
      <c r="F125" s="250"/>
      <c r="G125" s="249"/>
      <c r="H125" s="268"/>
      <c r="I125" s="385">
        <f>IF(ISBLANK(B125),"",F125+SUMPRODUCT(--($G$6:$G$249=B125),$H$6:$H$249,$C$6:$C$249)*C125-H125)</f>
        <v>0</v>
      </c>
      <c r="J125" s="250"/>
      <c r="K125" s="385">
        <f t="shared" si="52"/>
        <v>0</v>
      </c>
      <c r="L125" s="385">
        <f t="shared" si="53"/>
        <v>0</v>
      </c>
      <c r="M125" s="385">
        <f>'SST Balance Sheet'!E125</f>
        <v>0</v>
      </c>
    </row>
    <row r="126" spans="2:13" ht="14.25" customHeight="1" x14ac:dyDescent="0.25">
      <c r="B126" s="214">
        <f t="shared" si="49"/>
        <v>126</v>
      </c>
      <c r="C126" s="387"/>
      <c r="D126" s="303"/>
      <c r="E126" s="297" t="str">
        <f>VLOOKUP("T.06.106",Translation,LanguageNo+1,FALSE)</f>
        <v>davon Anteil Rückversicherer (Schaden) am Überschussfonds</v>
      </c>
      <c r="F126" s="250"/>
      <c r="G126" s="203"/>
      <c r="H126" s="203"/>
      <c r="I126" s="385"/>
      <c r="J126" s="203"/>
      <c r="K126" s="385"/>
      <c r="L126" s="385"/>
      <c r="M126" s="385"/>
    </row>
    <row r="127" spans="2:13" ht="14.25" customHeight="1" x14ac:dyDescent="0.25">
      <c r="B127" s="214">
        <f t="shared" si="49"/>
        <v>127</v>
      </c>
      <c r="C127" s="387">
        <v>1</v>
      </c>
      <c r="D127" s="214">
        <v>106202000</v>
      </c>
      <c r="E127" s="214" t="str">
        <f>VLOOKUP("T.06.107",Translation,LanguageNo+1,FALSE)</f>
        <v>Direktversicherung: Krankenversicherungsgeschäft</v>
      </c>
      <c r="F127" s="250"/>
      <c r="G127" s="249"/>
      <c r="H127" s="268"/>
      <c r="I127" s="385">
        <f>IF(ISBLANK(B127),"",F127+SUMPRODUCT(--($G$6:$G$249=B127),$H$6:$H$249,$C$6:$C$249)*C127-H127)</f>
        <v>0</v>
      </c>
      <c r="J127" s="250"/>
      <c r="K127" s="385">
        <f t="shared" ref="K127" si="54">$I127+$J127</f>
        <v>0</v>
      </c>
      <c r="L127" s="385">
        <f t="shared" ref="L127" si="55">$M127-$K127</f>
        <v>0</v>
      </c>
      <c r="M127" s="385">
        <f>'SST Balance Sheet'!E127</f>
        <v>0</v>
      </c>
    </row>
    <row r="128" spans="2:13" ht="14.25" customHeight="1" x14ac:dyDescent="0.25">
      <c r="B128" s="214">
        <f t="shared" si="49"/>
        <v>128</v>
      </c>
      <c r="C128" s="387"/>
      <c r="D128" s="303"/>
      <c r="E128" s="297" t="str">
        <f>VLOOKUP("T.06.108",Translation,LanguageNo+1,FALSE)</f>
        <v>davon Anteil Rückversicherer (Kranken) am Überschussfonds</v>
      </c>
      <c r="F128" s="250"/>
      <c r="G128" s="203"/>
      <c r="H128" s="203"/>
      <c r="I128" s="385"/>
      <c r="J128" s="203"/>
      <c r="K128" s="385"/>
      <c r="L128" s="385"/>
      <c r="M128" s="385"/>
    </row>
    <row r="129" spans="2:14" ht="14.25" customHeight="1" x14ac:dyDescent="0.25">
      <c r="B129" s="214">
        <f t="shared" si="49"/>
        <v>129</v>
      </c>
      <c r="C129" s="387">
        <v>1</v>
      </c>
      <c r="D129" s="303">
        <v>106203000</v>
      </c>
      <c r="E129" s="214" t="str">
        <f>VLOOKUP("T.06.109",Translation,LanguageNo+1,FALSE)</f>
        <v>Aktive Rückversicherung: Schadenversicherungsgeschäft</v>
      </c>
      <c r="F129" s="249"/>
      <c r="G129" s="194"/>
      <c r="H129" s="268"/>
      <c r="I129" s="385">
        <f t="shared" ref="I129:I134" si="56">IF(ISBLANK(B129),"",F129+SUMPRODUCT(--($G$6:$G$249=B129),$H$6:$H$249,$C$6:$C$249)*C129-H129)</f>
        <v>0</v>
      </c>
      <c r="J129" s="250"/>
      <c r="K129" s="385">
        <f t="shared" ref="K129:K134" si="57">$I129+$J129</f>
        <v>0</v>
      </c>
      <c r="L129" s="385">
        <f t="shared" ref="L129:L134" si="58">$M129-$K129</f>
        <v>0</v>
      </c>
      <c r="M129" s="385">
        <f>'SST Balance Sheet'!E129</f>
        <v>0</v>
      </c>
    </row>
    <row r="130" spans="2:14" ht="14.25" customHeight="1" x14ac:dyDescent="0.25">
      <c r="B130" s="214">
        <f t="shared" si="49"/>
        <v>130</v>
      </c>
      <c r="C130" s="387">
        <v>1</v>
      </c>
      <c r="D130" s="303">
        <v>106204000</v>
      </c>
      <c r="E130" s="214" t="str">
        <f>VLOOKUP("T.06.110",Translation,LanguageNo+1,FALSE)</f>
        <v>Aktive Rückversicherung: Krankenversicherungsgeschäft</v>
      </c>
      <c r="F130" s="249"/>
      <c r="G130" s="194"/>
      <c r="H130" s="268"/>
      <c r="I130" s="385">
        <f t="shared" si="56"/>
        <v>0</v>
      </c>
      <c r="J130" s="250"/>
      <c r="K130" s="385">
        <f t="shared" si="57"/>
        <v>0</v>
      </c>
      <c r="L130" s="385">
        <f t="shared" si="58"/>
        <v>0</v>
      </c>
      <c r="M130" s="385">
        <f>'SST Balance Sheet'!E130</f>
        <v>0</v>
      </c>
    </row>
    <row r="131" spans="2:14" ht="14.25" customHeight="1" x14ac:dyDescent="0.25">
      <c r="B131" s="214">
        <f t="shared" si="49"/>
        <v>131</v>
      </c>
      <c r="C131" s="387">
        <v>1</v>
      </c>
      <c r="D131" s="303"/>
      <c r="E131" s="214" t="str">
        <f>VLOOKUP("T.06.111",Translation,LanguageNo+1,FALSE)</f>
        <v>Direktversicherung: Sonstiges Geschäft</v>
      </c>
      <c r="F131" s="249"/>
      <c r="G131" s="194"/>
      <c r="H131" s="268"/>
      <c r="I131" s="385">
        <f t="shared" si="56"/>
        <v>0</v>
      </c>
      <c r="J131" s="250"/>
      <c r="K131" s="385">
        <f t="shared" si="57"/>
        <v>0</v>
      </c>
      <c r="L131" s="385">
        <f t="shared" si="58"/>
        <v>0</v>
      </c>
      <c r="M131" s="385">
        <f>'SST Balance Sheet'!E131</f>
        <v>0</v>
      </c>
    </row>
    <row r="132" spans="2:14" ht="14.25" customHeight="1" x14ac:dyDescent="0.25">
      <c r="B132" s="214">
        <f t="shared" si="49"/>
        <v>132</v>
      </c>
      <c r="C132" s="387">
        <v>1</v>
      </c>
      <c r="D132" s="303"/>
      <c r="E132" s="214" t="str">
        <f>VLOOKUP("T.06.112",Translation,LanguageNo+1,FALSE)</f>
        <v>Aktive Rückversicherung: Sonstiges Geschäft</v>
      </c>
      <c r="F132" s="249"/>
      <c r="G132" s="194"/>
      <c r="H132" s="268"/>
      <c r="I132" s="385">
        <f t="shared" si="56"/>
        <v>0</v>
      </c>
      <c r="J132" s="250"/>
      <c r="K132" s="385">
        <f t="shared" si="57"/>
        <v>0</v>
      </c>
      <c r="L132" s="385">
        <f t="shared" si="58"/>
        <v>0</v>
      </c>
      <c r="M132" s="385">
        <f>'SST Balance Sheet'!E132</f>
        <v>0</v>
      </c>
    </row>
    <row r="133" spans="2:14" s="248" customFormat="1" ht="14.25" customHeight="1" x14ac:dyDescent="0.25">
      <c r="B133" s="214">
        <f>ROW(B133)</f>
        <v>133</v>
      </c>
      <c r="C133" s="387">
        <v>1</v>
      </c>
      <c r="D133" s="303">
        <v>106301000</v>
      </c>
      <c r="E133" s="310" t="str">
        <f>VLOOKUP("T.06.113",Translation,LanguageNo+1,FALSE)</f>
        <v>Direktversicherung: Anteilgebundenes Lebensversicherungsgeschäft</v>
      </c>
      <c r="F133" s="249"/>
      <c r="G133" s="194"/>
      <c r="H133" s="268"/>
      <c r="I133" s="385">
        <f t="shared" si="56"/>
        <v>0</v>
      </c>
      <c r="J133" s="250"/>
      <c r="K133" s="385">
        <f t="shared" si="57"/>
        <v>0</v>
      </c>
      <c r="L133" s="385">
        <f t="shared" si="58"/>
        <v>0</v>
      </c>
      <c r="M133" s="385">
        <f>'SST Balance Sheet'!E133</f>
        <v>0</v>
      </c>
      <c r="N133" s="222"/>
    </row>
    <row r="134" spans="2:14" s="248" customFormat="1" ht="14.25" customHeight="1" x14ac:dyDescent="0.25">
      <c r="B134" s="214">
        <f>ROW(B134)</f>
        <v>134</v>
      </c>
      <c r="C134" s="387">
        <v>1</v>
      </c>
      <c r="D134" s="303">
        <v>106302000</v>
      </c>
      <c r="E134" s="214" t="str">
        <f>VLOOKUP("T.06.114",Translation,LanguageNo+1,FALSE)</f>
        <v>Aktive Rückversicherung: Anteilgebundenes Lebensversicherungsgeschäft</v>
      </c>
      <c r="F134" s="249"/>
      <c r="G134" s="194"/>
      <c r="H134" s="268"/>
      <c r="I134" s="385">
        <f t="shared" si="56"/>
        <v>0</v>
      </c>
      <c r="J134" s="250"/>
      <c r="K134" s="385">
        <f t="shared" si="57"/>
        <v>0</v>
      </c>
      <c r="L134" s="385">
        <f t="shared" si="58"/>
        <v>0</v>
      </c>
      <c r="M134" s="385">
        <f>'SST Balance Sheet'!E134</f>
        <v>0</v>
      </c>
      <c r="N134" s="222"/>
    </row>
    <row r="135" spans="2:14" ht="14.25" customHeight="1" x14ac:dyDescent="0.25">
      <c r="B135" s="258"/>
      <c r="C135" s="389"/>
      <c r="D135" s="258"/>
      <c r="E135" s="259"/>
      <c r="F135" s="260"/>
      <c r="G135" s="260"/>
      <c r="H135" s="260"/>
      <c r="I135" s="390"/>
      <c r="J135" s="260"/>
      <c r="K135" s="390"/>
      <c r="L135" s="390"/>
      <c r="M135" s="390"/>
    </row>
    <row r="136" spans="2:14" ht="14.25" customHeight="1" x14ac:dyDescent="0.25">
      <c r="B136" s="214">
        <f t="shared" ref="B136" si="59">ROW(B136)</f>
        <v>136</v>
      </c>
      <c r="C136" s="387"/>
      <c r="D136" s="214">
        <v>107000000</v>
      </c>
      <c r="E136" s="262" t="str">
        <f>VLOOKUP("T.06.115",Translation,LanguageNo+1,FALSE)</f>
        <v>1.7 Sachanlagen</v>
      </c>
      <c r="F136" s="263">
        <f>SUM(F137:F138)</f>
        <v>0</v>
      </c>
      <c r="G136" s="263"/>
      <c r="H136" s="263"/>
      <c r="I136" s="264">
        <f>SUM(I137:I138)</f>
        <v>0</v>
      </c>
      <c r="J136" s="263">
        <f>SUM(J137:J138)</f>
        <v>0</v>
      </c>
      <c r="K136" s="264">
        <f>SUM(K137:K138)</f>
        <v>0</v>
      </c>
      <c r="L136" s="385">
        <f t="shared" ref="L136:L138" si="60">$M136-$K136</f>
        <v>0</v>
      </c>
      <c r="M136" s="385">
        <f>'SST Balance Sheet'!E136</f>
        <v>0</v>
      </c>
    </row>
    <row r="137" spans="2:14" ht="14.25" customHeight="1" x14ac:dyDescent="0.25">
      <c r="B137" s="214">
        <f t="shared" ref="B137" si="61">ROW(B137)</f>
        <v>137</v>
      </c>
      <c r="C137" s="387">
        <v>1</v>
      </c>
      <c r="D137" s="303">
        <v>107000200</v>
      </c>
      <c r="E137" s="310" t="str">
        <f>VLOOKUP("T.06.116",Translation,LanguageNo+1,FALSE)</f>
        <v>Betriebsliegenschaften</v>
      </c>
      <c r="F137" s="249"/>
      <c r="G137" s="194"/>
      <c r="H137" s="268"/>
      <c r="I137" s="385">
        <f>IF(ISBLANK(B137),"",F137+SUMPRODUCT(--($G$6:$G$249=B137),$H$6:$H$249,$C$6:$C$249)*C137-H137)</f>
        <v>0</v>
      </c>
      <c r="J137" s="250"/>
      <c r="K137" s="385">
        <f t="shared" ref="K137:K138" si="62">$I137+$J137</f>
        <v>0</v>
      </c>
      <c r="L137" s="385">
        <f t="shared" si="60"/>
        <v>0</v>
      </c>
      <c r="M137" s="385">
        <f>'SST Balance Sheet'!E137</f>
        <v>0</v>
      </c>
    </row>
    <row r="138" spans="2:14" ht="14.25" customHeight="1" x14ac:dyDescent="0.25">
      <c r="B138" s="214">
        <f t="shared" ref="B138" si="63">ROW(B138)</f>
        <v>138</v>
      </c>
      <c r="C138" s="387">
        <v>1</v>
      </c>
      <c r="D138" s="776" t="s">
        <v>883</v>
      </c>
      <c r="E138" s="214" t="str">
        <f>VLOOKUP("T.06.117",Translation,LanguageNo+1,FALSE)</f>
        <v>Sonstige Sachanlagen</v>
      </c>
      <c r="F138" s="256"/>
      <c r="G138" s="308"/>
      <c r="H138" s="285"/>
      <c r="I138" s="385">
        <f>IF(ISBLANK(B138),"",F138+SUMPRODUCT(--($G$6:$G$249=B138),$H$6:$H$249,$C$6:$C$249)*C138-H138)</f>
        <v>0</v>
      </c>
      <c r="J138" s="388"/>
      <c r="K138" s="385">
        <f t="shared" si="62"/>
        <v>0</v>
      </c>
      <c r="L138" s="385">
        <f t="shared" si="60"/>
        <v>0</v>
      </c>
      <c r="M138" s="385">
        <f>'SST Balance Sheet'!E138</f>
        <v>0</v>
      </c>
    </row>
    <row r="139" spans="2:14" ht="14.25" customHeight="1" x14ac:dyDescent="0.25">
      <c r="B139" s="258"/>
      <c r="C139" s="389"/>
      <c r="D139" s="258"/>
      <c r="E139" s="257"/>
      <c r="F139" s="260"/>
      <c r="G139" s="260"/>
      <c r="H139" s="260"/>
      <c r="I139" s="390"/>
      <c r="J139" s="260"/>
      <c r="K139" s="390"/>
      <c r="L139" s="390"/>
      <c r="M139" s="390"/>
    </row>
    <row r="140" spans="2:14" ht="14.25" customHeight="1" x14ac:dyDescent="0.25">
      <c r="B140" s="214">
        <f t="shared" ref="B140:B148" si="64">ROW(B140)</f>
        <v>140</v>
      </c>
      <c r="C140" s="387">
        <v>1</v>
      </c>
      <c r="D140" s="303">
        <v>108000000</v>
      </c>
      <c r="E140" s="286" t="str">
        <f>VLOOKUP("T.06.118",Translation,LanguageNo+1,FALSE)</f>
        <v>1.8 Aktivierte Abschlusskosten</v>
      </c>
      <c r="F140" s="216"/>
      <c r="G140" s="215"/>
      <c r="H140" s="309"/>
      <c r="I140" s="385">
        <f>IF(ISBLANK(B140),"",F140+SUMPRODUCT(--($G$6:$G$249=B140),$H$6:$H$249,$C$6:$C$249)*C140-H140)</f>
        <v>0</v>
      </c>
      <c r="J140" s="398"/>
      <c r="K140" s="385">
        <f t="shared" ref="K140" si="65">$I140+$J140</f>
        <v>0</v>
      </c>
      <c r="L140" s="385">
        <f t="shared" ref="L140" si="66">$M140-$K140</f>
        <v>0</v>
      </c>
      <c r="M140" s="865">
        <f>'SST Balance Sheet'!E140</f>
        <v>0</v>
      </c>
    </row>
    <row r="141" spans="2:14" s="248" customFormat="1" ht="14.25" customHeight="1" x14ac:dyDescent="0.25">
      <c r="B141" s="258"/>
      <c r="C141" s="389"/>
      <c r="D141" s="258"/>
      <c r="E141" s="390"/>
      <c r="F141" s="260"/>
      <c r="G141" s="260"/>
      <c r="H141" s="260"/>
      <c r="I141" s="390"/>
      <c r="J141" s="260"/>
      <c r="K141" s="390"/>
      <c r="L141" s="390"/>
      <c r="M141" s="390"/>
    </row>
    <row r="142" spans="2:14" ht="14.25" customHeight="1" x14ac:dyDescent="0.25">
      <c r="B142" s="214">
        <f t="shared" si="64"/>
        <v>142</v>
      </c>
      <c r="C142" s="387">
        <v>1</v>
      </c>
      <c r="D142" s="303">
        <v>109000000</v>
      </c>
      <c r="E142" s="262" t="str">
        <f>VLOOKUP("T.06.119",Translation,LanguageNo+1,FALSE)</f>
        <v>1.9 Immaterielle Vermögenswerte</v>
      </c>
      <c r="F142" s="216"/>
      <c r="G142" s="215"/>
      <c r="H142" s="309"/>
      <c r="I142" s="385">
        <f>IF(ISBLANK(B142),"",F142+SUMPRODUCT(--($G$6:$G$249=B142),$H$6:$H$249,$C$6:$C$249)*C142-H142)</f>
        <v>0</v>
      </c>
      <c r="J142" s="398"/>
      <c r="K142" s="385">
        <f t="shared" ref="K142" si="67">$I142+$J142</f>
        <v>0</v>
      </c>
      <c r="L142" s="385">
        <f t="shared" ref="L142" si="68">$M142-$K142</f>
        <v>0</v>
      </c>
      <c r="M142" s="385">
        <f>'SST Balance Sheet'!E142</f>
        <v>0</v>
      </c>
    </row>
    <row r="143" spans="2:14" s="248" customFormat="1" ht="14.25" customHeight="1" x14ac:dyDescent="0.25">
      <c r="B143" s="258"/>
      <c r="C143" s="389"/>
      <c r="D143" s="258"/>
      <c r="E143" s="390"/>
      <c r="F143" s="260"/>
      <c r="G143" s="260"/>
      <c r="H143" s="260"/>
      <c r="I143" s="390"/>
      <c r="J143" s="260"/>
      <c r="K143" s="390"/>
      <c r="L143" s="390"/>
      <c r="M143" s="390"/>
    </row>
    <row r="144" spans="2:14" ht="14.25" customHeight="1" x14ac:dyDescent="0.25">
      <c r="B144" s="214">
        <f t="shared" si="64"/>
        <v>144</v>
      </c>
      <c r="C144" s="393"/>
      <c r="D144" s="303">
        <v>110000000</v>
      </c>
      <c r="E144" s="262" t="str">
        <f>VLOOKUP("T.06.120",Translation,LanguageNo+1,FALSE)</f>
        <v>1.10 Forderungen aus dem Versicherungsgeschäft</v>
      </c>
      <c r="F144" s="263">
        <f>F145+F146+F150</f>
        <v>0</v>
      </c>
      <c r="G144" s="263"/>
      <c r="H144" s="263"/>
      <c r="I144" s="264">
        <f>I145+I146+I150</f>
        <v>0</v>
      </c>
      <c r="J144" s="263">
        <f>J145+J146+J150</f>
        <v>0</v>
      </c>
      <c r="K144" s="264">
        <f>K145+K146+K150</f>
        <v>0</v>
      </c>
      <c r="L144" s="385">
        <f t="shared" ref="L144:L149" si="69">$M144-$K144</f>
        <v>0</v>
      </c>
      <c r="M144" s="385">
        <f>'SST Balance Sheet'!E144</f>
        <v>0</v>
      </c>
    </row>
    <row r="145" spans="2:14" ht="14.25" customHeight="1" x14ac:dyDescent="0.25">
      <c r="B145" s="214">
        <f t="shared" si="64"/>
        <v>145</v>
      </c>
      <c r="C145" s="387">
        <v>1</v>
      </c>
      <c r="D145" s="303">
        <v>110100000</v>
      </c>
      <c r="E145" s="310" t="str">
        <f>VLOOKUP("T.06.121",Translation,LanguageNo+1,FALSE)</f>
        <v>Forderungen gegenüber Versicherungsnehmern und Agenten</v>
      </c>
      <c r="F145" s="249"/>
      <c r="G145" s="194"/>
      <c r="H145" s="268"/>
      <c r="I145" s="385">
        <f>IF(ISBLANK(B145),"",F145+SUMPRODUCT(--($G$6:$G$249=B145),$H$6:$H$249,$C$6:$C$249)*C145-H145)</f>
        <v>0</v>
      </c>
      <c r="J145" s="250"/>
      <c r="K145" s="385">
        <f t="shared" ref="K145" si="70">$I145+$J145</f>
        <v>0</v>
      </c>
      <c r="L145" s="385">
        <f t="shared" si="69"/>
        <v>0</v>
      </c>
      <c r="M145" s="385">
        <f>'SST Balance Sheet'!E145</f>
        <v>0</v>
      </c>
    </row>
    <row r="146" spans="2:14" ht="14.25" customHeight="1" x14ac:dyDescent="0.25">
      <c r="B146" s="214">
        <f t="shared" si="64"/>
        <v>146</v>
      </c>
      <c r="D146" s="303">
        <v>110200000</v>
      </c>
      <c r="E146" s="214" t="str">
        <f>VLOOKUP("T.06.122",Translation,LanguageNo+1,FALSE)</f>
        <v>Forderungen gegenüber Versicherungs- und Rückversicherungsgesellschaften</v>
      </c>
      <c r="F146" s="203">
        <f>SUM(F147:F149)</f>
        <v>0</v>
      </c>
      <c r="G146" s="203"/>
      <c r="H146" s="203"/>
      <c r="I146" s="396">
        <f>SUM(I147:I149)</f>
        <v>0</v>
      </c>
      <c r="J146" s="203">
        <f>SUM(J147:J149)</f>
        <v>0</v>
      </c>
      <c r="K146" s="396">
        <f>SUM(K147:K149)</f>
        <v>0</v>
      </c>
      <c r="L146" s="385">
        <f t="shared" si="69"/>
        <v>0</v>
      </c>
      <c r="M146" s="385">
        <f>'SST Balance Sheet'!E146</f>
        <v>0</v>
      </c>
    </row>
    <row r="147" spans="2:14" ht="14.25" customHeight="1" x14ac:dyDescent="0.25">
      <c r="B147" s="214">
        <f t="shared" si="64"/>
        <v>147</v>
      </c>
      <c r="C147" s="387">
        <v>1</v>
      </c>
      <c r="D147" s="214">
        <v>110200100</v>
      </c>
      <c r="E147" s="297" t="str">
        <f>VLOOKUP("T.06.123",Translation,LanguageNo+1,FALSE)</f>
        <v>Forderungen gegenüber Versicherungsgesellschaften: abgegebene</v>
      </c>
      <c r="F147" s="249"/>
      <c r="G147" s="194"/>
      <c r="H147" s="268"/>
      <c r="I147" s="385">
        <f>IF(ISBLANK(B147),"",F147+SUMPRODUCT(--($G$6:$G$249=B147),$H$6:$H$249,$C$6:$C$249)*C147-H147)</f>
        <v>0</v>
      </c>
      <c r="J147" s="250"/>
      <c r="K147" s="385">
        <f t="shared" ref="K147:K149" si="71">$I147+$J147</f>
        <v>0</v>
      </c>
      <c r="L147" s="385">
        <f t="shared" si="69"/>
        <v>0</v>
      </c>
      <c r="M147" s="385">
        <f>'SST Balance Sheet'!E147</f>
        <v>0</v>
      </c>
    </row>
    <row r="148" spans="2:14" ht="14.25" customHeight="1" x14ac:dyDescent="0.25">
      <c r="B148" s="214">
        <f t="shared" si="64"/>
        <v>148</v>
      </c>
      <c r="C148" s="387">
        <v>1</v>
      </c>
      <c r="D148" s="214">
        <v>110200200</v>
      </c>
      <c r="E148" s="297" t="str">
        <f>VLOOKUP("T.06.124",Translation,LanguageNo+1,FALSE)</f>
        <v>Forderungen gegenüber Versicherungsgesellschaften: übernommene</v>
      </c>
      <c r="F148" s="249"/>
      <c r="G148" s="194"/>
      <c r="H148" s="268"/>
      <c r="I148" s="385">
        <f>IF(ISBLANK(B148),"",F148+SUMPRODUCT(--($G$6:$G$249=B148),$H$6:$H$249,$C$6:$C$249)*C148-H148)</f>
        <v>0</v>
      </c>
      <c r="J148" s="250"/>
      <c r="K148" s="385">
        <f t="shared" si="71"/>
        <v>0</v>
      </c>
      <c r="L148" s="385">
        <f t="shared" si="69"/>
        <v>0</v>
      </c>
      <c r="M148" s="385">
        <f>'SST Balance Sheet'!E148</f>
        <v>0</v>
      </c>
    </row>
    <row r="149" spans="2:14" s="248" customFormat="1" ht="14.25" customHeight="1" x14ac:dyDescent="0.25">
      <c r="B149" s="214">
        <f t="shared" ref="B149" si="72">ROW(B149)</f>
        <v>149</v>
      </c>
      <c r="C149" s="387">
        <v>1</v>
      </c>
      <c r="D149" s="303">
        <v>110200300</v>
      </c>
      <c r="E149" s="297" t="str">
        <f>VLOOKUP("T.06.125",Translation,LanguageNo+1,FALSE)</f>
        <v>Forderungen gegenüber Versicherungsgesellschaften: übrige</v>
      </c>
      <c r="F149" s="249"/>
      <c r="G149" s="194"/>
      <c r="H149" s="268"/>
      <c r="I149" s="385">
        <f>IF(ISBLANK(B149),"",F149+SUMPRODUCT(--($G$6:$G$249=B149),$H$6:$H$249,$C$6:$C$249)*C149-H149)</f>
        <v>0</v>
      </c>
      <c r="J149" s="250"/>
      <c r="K149" s="385">
        <f t="shared" si="71"/>
        <v>0</v>
      </c>
      <c r="L149" s="385">
        <f t="shared" si="69"/>
        <v>0</v>
      </c>
      <c r="M149" s="385">
        <f>'SST Balance Sheet'!E149</f>
        <v>0</v>
      </c>
      <c r="N149" s="222"/>
    </row>
    <row r="150" spans="2:14" s="248" customFormat="1" ht="14.25" customHeight="1" x14ac:dyDescent="0.25">
      <c r="B150" s="214">
        <f>ROW(B150)</f>
        <v>150</v>
      </c>
      <c r="C150" s="387">
        <v>1</v>
      </c>
      <c r="D150" s="214" t="s">
        <v>3162</v>
      </c>
      <c r="E150" s="310" t="str">
        <f>VLOOKUP("T.06.126",Translation,LanguageNo+1,FALSE)</f>
        <v>Sonstige Depotforderungen und sonstige Forderungen aus dem Versicherungsgeschäft</v>
      </c>
      <c r="F150" s="249"/>
      <c r="G150" s="194"/>
      <c r="H150" s="268"/>
      <c r="I150" s="385">
        <f>IF(ISBLANK(B150),"",F150+SUMPRODUCT(--($G$6:$G$249=B150),$H$6:$H$249,$C$6:$C$249)*C150-H150)</f>
        <v>0</v>
      </c>
      <c r="J150" s="250"/>
      <c r="K150" s="385">
        <f t="shared" ref="K150" si="73">$I150+$J150</f>
        <v>0</v>
      </c>
      <c r="L150" s="385">
        <f t="shared" ref="L150" si="74">$M150-$K150</f>
        <v>0</v>
      </c>
      <c r="M150" s="385">
        <f>'SST Balance Sheet'!E150</f>
        <v>0</v>
      </c>
      <c r="N150" s="222"/>
    </row>
    <row r="151" spans="2:14" s="248" customFormat="1" ht="14.25" customHeight="1" x14ac:dyDescent="0.25">
      <c r="B151" s="214">
        <f>ROW(B151)</f>
        <v>151</v>
      </c>
      <c r="D151" s="214"/>
      <c r="E151" s="297" t="str">
        <f>VLOOKUP("T.06.127",Translation,LanguageNo+1,FALSE)</f>
        <v>davon Forderungen gegenüber Beteiligungen</v>
      </c>
      <c r="F151" s="287"/>
      <c r="G151" s="394"/>
      <c r="H151" s="394"/>
      <c r="I151" s="385"/>
      <c r="J151" s="394"/>
      <c r="K151" s="385"/>
      <c r="L151" s="385"/>
      <c r="M151" s="385"/>
      <c r="N151" s="222"/>
    </row>
    <row r="152" spans="2:14" ht="14.25" customHeight="1" x14ac:dyDescent="0.25">
      <c r="B152" s="258"/>
      <c r="C152" s="389"/>
      <c r="D152" s="258"/>
      <c r="E152" s="258"/>
      <c r="F152" s="260"/>
      <c r="G152" s="260"/>
      <c r="H152" s="260"/>
      <c r="I152" s="390"/>
      <c r="J152" s="260"/>
      <c r="K152" s="390"/>
      <c r="L152" s="390"/>
      <c r="M152" s="390"/>
    </row>
    <row r="153" spans="2:14" ht="14.25" customHeight="1" x14ac:dyDescent="0.25">
      <c r="B153" s="214">
        <f t="shared" ref="B153" si="75">ROW(B153)</f>
        <v>153</v>
      </c>
      <c r="C153" s="387">
        <v>1</v>
      </c>
      <c r="D153" s="289">
        <v>111000000</v>
      </c>
      <c r="E153" s="262" t="str">
        <f>VLOOKUP("T.06.128",Translation,LanguageNo+1,FALSE)</f>
        <v>1.11 Übrige Forderungen</v>
      </c>
      <c r="F153" s="398"/>
      <c r="G153" s="398"/>
      <c r="H153" s="398"/>
      <c r="I153" s="385">
        <f>IF(ISBLANK(B153),"",F153+SUMPRODUCT(--($G$6:$G$249=B153),$H$6:$H$249,$C$6:$C$249)*C153-H153)</f>
        <v>0</v>
      </c>
      <c r="J153" s="398"/>
      <c r="K153" s="385">
        <f t="shared" ref="K153" si="76">$I153+$J153</f>
        <v>0</v>
      </c>
      <c r="L153" s="385">
        <f t="shared" ref="L153" si="77">$M153-$K153</f>
        <v>0</v>
      </c>
      <c r="M153" s="385">
        <f>'SST Balance Sheet'!E153</f>
        <v>0</v>
      </c>
    </row>
    <row r="154" spans="2:14" ht="14.25" customHeight="1" x14ac:dyDescent="0.25">
      <c r="B154" s="258"/>
      <c r="C154" s="389"/>
      <c r="D154" s="258"/>
      <c r="E154" s="258"/>
      <c r="F154" s="260"/>
      <c r="G154" s="260"/>
      <c r="H154" s="260"/>
      <c r="I154" s="390"/>
      <c r="J154" s="260"/>
      <c r="K154" s="390"/>
      <c r="L154" s="390"/>
      <c r="M154" s="390"/>
    </row>
    <row r="155" spans="2:14" ht="14.25" customHeight="1" x14ac:dyDescent="0.25">
      <c r="B155" s="214">
        <f t="shared" ref="B155" si="78">ROW(B155)</f>
        <v>155</v>
      </c>
      <c r="D155" s="775">
        <v>112000000</v>
      </c>
      <c r="E155" s="262" t="str">
        <f>VLOOKUP("T.06.129",Translation,LanguageNo+1,FALSE)</f>
        <v>1.12 Sonstige Aktiven</v>
      </c>
      <c r="F155" s="263">
        <f>SUM(F156:F157)</f>
        <v>0</v>
      </c>
      <c r="G155" s="263"/>
      <c r="H155" s="263"/>
      <c r="I155" s="264">
        <f>SUM(I156:I157)</f>
        <v>0</v>
      </c>
      <c r="J155" s="263">
        <f>SUM(J156:J157)</f>
        <v>0</v>
      </c>
      <c r="K155" s="264">
        <f>SUM(K156:K157)</f>
        <v>0</v>
      </c>
      <c r="L155" s="385">
        <f t="shared" ref="L155:L157" si="79">$M155-$K155</f>
        <v>0</v>
      </c>
      <c r="M155" s="385">
        <f>'SST Balance Sheet'!E155</f>
        <v>0</v>
      </c>
    </row>
    <row r="156" spans="2:14" ht="14.25" customHeight="1" x14ac:dyDescent="0.25">
      <c r="B156" s="214">
        <f t="shared" ref="B156:B162" si="80">ROW(B156)</f>
        <v>156</v>
      </c>
      <c r="C156" s="387">
        <v>1</v>
      </c>
      <c r="D156" s="303"/>
      <c r="E156" s="214" t="str">
        <f>VLOOKUP("T.06.130",Translation,LanguageNo+1,FALSE)</f>
        <v>Erhaltene Garantien</v>
      </c>
      <c r="F156" s="249"/>
      <c r="G156" s="194"/>
      <c r="H156" s="268"/>
      <c r="I156" s="385">
        <f>IF(ISBLANK(B156),"",F156+SUMPRODUCT(--($G$6:$G$249=B156),$H$6:$H$249,$C$6:$C$249)*C156-H156)</f>
        <v>0</v>
      </c>
      <c r="J156" s="250"/>
      <c r="K156" s="385">
        <f t="shared" ref="K156:K157" si="81">$I156+$J156</f>
        <v>0</v>
      </c>
      <c r="L156" s="385">
        <f t="shared" si="79"/>
        <v>0</v>
      </c>
      <c r="M156" s="385">
        <f>'SST Balance Sheet'!E156</f>
        <v>0</v>
      </c>
    </row>
    <row r="157" spans="2:14" ht="14.25" customHeight="1" x14ac:dyDescent="0.25">
      <c r="B157" s="214">
        <f t="shared" si="80"/>
        <v>157</v>
      </c>
      <c r="C157" s="387">
        <v>1</v>
      </c>
      <c r="D157" s="775" t="s">
        <v>883</v>
      </c>
      <c r="E157" s="313" t="str">
        <f>VLOOKUP("T.06.131",Translation,LanguageNo+1,FALSE)</f>
        <v>Sonstige Vermögenswerte</v>
      </c>
      <c r="F157" s="256"/>
      <c r="G157" s="308"/>
      <c r="H157" s="285"/>
      <c r="I157" s="385">
        <f>IF(ISBLANK(B157),"",F157+SUMPRODUCT(--($G$6:$G$249=B157),$H$6:$H$249,$C$6:$C$249)*C157-H157)</f>
        <v>0</v>
      </c>
      <c r="J157" s="388"/>
      <c r="K157" s="385">
        <f t="shared" si="81"/>
        <v>0</v>
      </c>
      <c r="L157" s="385">
        <f t="shared" si="79"/>
        <v>0</v>
      </c>
      <c r="M157" s="385">
        <f>'SST Balance Sheet'!E157</f>
        <v>0</v>
      </c>
    </row>
    <row r="158" spans="2:14" s="248" customFormat="1" ht="14.25" customHeight="1" x14ac:dyDescent="0.25">
      <c r="B158" s="258"/>
      <c r="C158" s="389"/>
      <c r="D158" s="258"/>
      <c r="E158" s="258"/>
      <c r="F158" s="260"/>
      <c r="G158" s="260"/>
      <c r="H158" s="260"/>
      <c r="I158" s="390"/>
      <c r="J158" s="260"/>
      <c r="K158" s="390"/>
      <c r="L158" s="390"/>
      <c r="M158" s="390"/>
    </row>
    <row r="159" spans="2:14" ht="14.25" customHeight="1" x14ac:dyDescent="0.25">
      <c r="B159" s="214">
        <f t="shared" si="80"/>
        <v>159</v>
      </c>
      <c r="C159" s="387">
        <v>1</v>
      </c>
      <c r="D159" s="775">
        <v>113000000</v>
      </c>
      <c r="E159" s="262" t="str">
        <f>VLOOKUP("T.06.132",Translation,LanguageNo+1,FALSE)</f>
        <v>1.13 Nicht einbezahltes Grundkapital</v>
      </c>
      <c r="F159" s="399"/>
      <c r="G159" s="399"/>
      <c r="H159" s="399"/>
      <c r="I159" s="385">
        <f>IF(ISBLANK(B159),"",F159+SUMPRODUCT(--($G$6:$G$249=B159),$H$6:$H$249,$C$6:$C$249)*C159-H159)</f>
        <v>0</v>
      </c>
      <c r="J159" s="399"/>
      <c r="K159" s="385">
        <f t="shared" ref="K159" si="82">$I159+$J159</f>
        <v>0</v>
      </c>
      <c r="L159" s="385">
        <f t="shared" ref="L159" si="83">$M159-$K159</f>
        <v>0</v>
      </c>
      <c r="M159" s="385">
        <f>'SST Balance Sheet'!E159</f>
        <v>0</v>
      </c>
    </row>
    <row r="160" spans="2:14" s="248" customFormat="1" ht="14.25" customHeight="1" x14ac:dyDescent="0.25">
      <c r="B160" s="258"/>
      <c r="C160" s="389"/>
      <c r="D160" s="258"/>
      <c r="E160" s="258"/>
      <c r="F160" s="260"/>
      <c r="G160" s="260"/>
      <c r="H160" s="260"/>
      <c r="I160" s="390"/>
      <c r="J160" s="260"/>
      <c r="K160" s="390"/>
      <c r="L160" s="390"/>
      <c r="M160" s="390"/>
    </row>
    <row r="161" spans="2:14" ht="14.25" customHeight="1" x14ac:dyDescent="0.25">
      <c r="B161" s="214">
        <f t="shared" si="80"/>
        <v>161</v>
      </c>
      <c r="D161" s="775">
        <v>114000000</v>
      </c>
      <c r="E161" s="262" t="str">
        <f>VLOOKUP("T.06.133",Translation,LanguageNo+1,FALSE)</f>
        <v>1.14 Aktive Rechnungsabgrenzungen</v>
      </c>
      <c r="F161" s="263">
        <f>SUM(F162:F165)</f>
        <v>0</v>
      </c>
      <c r="G161" s="263"/>
      <c r="H161" s="263"/>
      <c r="I161" s="264">
        <f>SUM(I162:I165)</f>
        <v>0</v>
      </c>
      <c r="J161" s="263">
        <f>SUM(J162:J165)</f>
        <v>0</v>
      </c>
      <c r="K161" s="264">
        <f>SUM(K162:K165)</f>
        <v>0</v>
      </c>
      <c r="L161" s="385">
        <f t="shared" ref="L161:L165" si="84">$M161-$K161</f>
        <v>0</v>
      </c>
      <c r="M161" s="385">
        <f>'SST Balance Sheet'!E161</f>
        <v>0</v>
      </c>
    </row>
    <row r="162" spans="2:14" ht="14.25" customHeight="1" x14ac:dyDescent="0.25">
      <c r="B162" s="214">
        <f t="shared" si="80"/>
        <v>162</v>
      </c>
      <c r="C162" s="387">
        <v>1</v>
      </c>
      <c r="D162" s="775">
        <v>114000100</v>
      </c>
      <c r="E162" s="214" t="str">
        <f>VLOOKUP("T.06.134",Translation,LanguageNo+1,FALSE)</f>
        <v>Vorausbezahlte Versicherungsleistungen</v>
      </c>
      <c r="F162" s="249"/>
      <c r="G162" s="194"/>
      <c r="H162" s="268"/>
      <c r="I162" s="385">
        <f>IF(ISBLANK(B162),"",F162+SUMPRODUCT(--($G$6:$G$249=B162),$H$6:$H$249,$C$6:$C$249)*C162-H162)</f>
        <v>0</v>
      </c>
      <c r="J162" s="268"/>
      <c r="K162" s="385">
        <f t="shared" ref="K162:K165" si="85">$I162+$J162</f>
        <v>0</v>
      </c>
      <c r="L162" s="385">
        <f t="shared" si="84"/>
        <v>0</v>
      </c>
      <c r="M162" s="385">
        <f>'SST Balance Sheet'!E162</f>
        <v>0</v>
      </c>
    </row>
    <row r="163" spans="2:14" s="248" customFormat="1" ht="14.25" customHeight="1" x14ac:dyDescent="0.25">
      <c r="B163" s="214">
        <f t="shared" ref="B163" si="86">ROW(B163)</f>
        <v>163</v>
      </c>
      <c r="C163" s="387">
        <v>1</v>
      </c>
      <c r="D163" s="214">
        <v>114000200</v>
      </c>
      <c r="E163" s="385" t="str">
        <f>VLOOKUP("T.06.135",Translation,LanguageNo+1,FALSE)</f>
        <v>Abgegrenzte Zinsen und Mieten</v>
      </c>
      <c r="F163" s="249"/>
      <c r="G163" s="194"/>
      <c r="H163" s="268"/>
      <c r="I163" s="385">
        <f>IF(ISBLANK(B163),"",F163+SUMPRODUCT(--($G$6:$G$249=B163),$H$6:$H$249,$C$6:$C$249)*C163-H163)</f>
        <v>0</v>
      </c>
      <c r="J163" s="268"/>
      <c r="K163" s="385">
        <f t="shared" si="85"/>
        <v>0</v>
      </c>
      <c r="L163" s="385">
        <f t="shared" si="84"/>
        <v>0</v>
      </c>
      <c r="M163" s="385">
        <f>'SST Balance Sheet'!E163</f>
        <v>0</v>
      </c>
      <c r="N163" s="222"/>
    </row>
    <row r="164" spans="2:14" s="248" customFormat="1" ht="14.25" customHeight="1" x14ac:dyDescent="0.25">
      <c r="B164" s="214">
        <f t="shared" ref="B164" si="87">ROW(B164)</f>
        <v>164</v>
      </c>
      <c r="C164" s="387">
        <v>1</v>
      </c>
      <c r="D164" s="775">
        <v>114000300</v>
      </c>
      <c r="E164" s="385" t="str">
        <f>VLOOKUP("T.06.136",Translation,LanguageNo+1,FALSE)</f>
        <v>Latente Steuerforderungen</v>
      </c>
      <c r="F164" s="249"/>
      <c r="G164" s="194"/>
      <c r="H164" s="268"/>
      <c r="I164" s="385">
        <f>IF(ISBLANK(B164),"",F164+SUMPRODUCT(--($G$6:$G$249=B164),$H$6:$H$249,$C$6:$C$249)*C164-H164)</f>
        <v>0</v>
      </c>
      <c r="J164" s="268"/>
      <c r="K164" s="385">
        <f t="shared" si="85"/>
        <v>0</v>
      </c>
      <c r="L164" s="385">
        <f t="shared" si="84"/>
        <v>0</v>
      </c>
      <c r="M164" s="865">
        <f>'SST Balance Sheet'!E164</f>
        <v>0</v>
      </c>
      <c r="N164" s="222"/>
    </row>
    <row r="165" spans="2:14" s="248" customFormat="1" ht="14.25" customHeight="1" x14ac:dyDescent="0.25">
      <c r="B165" s="214">
        <f t="shared" ref="B165" si="88">ROW(B165)</f>
        <v>165</v>
      </c>
      <c r="C165" s="387">
        <v>1</v>
      </c>
      <c r="D165" s="214">
        <v>114000400</v>
      </c>
      <c r="E165" s="310" t="str">
        <f>VLOOKUP("T.06.137",Translation,LanguageNo+1,FALSE)</f>
        <v>Sonstige Rechnungsabgrenzungsposten</v>
      </c>
      <c r="F165" s="256"/>
      <c r="G165" s="308"/>
      <c r="H165" s="285"/>
      <c r="I165" s="385">
        <f>IF(ISBLANK(B165),"",F165+SUMPRODUCT(--($G$6:$G$249=B165),$H$6:$H$249,$C$6:$C$249)*C165-H165)</f>
        <v>0</v>
      </c>
      <c r="J165" s="388"/>
      <c r="K165" s="385">
        <f t="shared" si="85"/>
        <v>0</v>
      </c>
      <c r="L165" s="385">
        <f t="shared" si="84"/>
        <v>0</v>
      </c>
      <c r="M165" s="385">
        <f>'SST Balance Sheet'!E165</f>
        <v>0</v>
      </c>
      <c r="N165" s="222"/>
    </row>
    <row r="166" spans="2:14" ht="14.25" customHeight="1" x14ac:dyDescent="0.25">
      <c r="B166" s="258"/>
      <c r="C166" s="389"/>
      <c r="D166" s="258"/>
      <c r="E166" s="314"/>
      <c r="F166" s="260"/>
      <c r="G166" s="260"/>
      <c r="H166" s="260"/>
      <c r="I166" s="390"/>
      <c r="J166" s="867"/>
      <c r="K166" s="390"/>
      <c r="L166" s="390"/>
      <c r="M166" s="390"/>
    </row>
    <row r="167" spans="2:14" ht="14.25" customHeight="1" x14ac:dyDescent="0.25">
      <c r="B167" s="214">
        <f>ROW(B167)</f>
        <v>167</v>
      </c>
      <c r="C167" s="393"/>
      <c r="D167" s="775"/>
      <c r="E167" s="286" t="str">
        <f>VLOOKUP("T.06.138",Translation,LanguageNo+1,FALSE)</f>
        <v>Total übrige Aktiven</v>
      </c>
      <c r="F167" s="264">
        <f>F93+F106+F114+F116+F121+F136+F140+F142+F144+F153+F155+F159+F161</f>
        <v>0</v>
      </c>
      <c r="G167" s="264"/>
      <c r="H167" s="264"/>
      <c r="I167" s="264">
        <f>I93+I106+I114+I116+I121+I136+I140+I142+I144+I153+I155+I159+I161</f>
        <v>0</v>
      </c>
      <c r="J167" s="264">
        <f>J93+J106+J114+J116+J121+J136+J140+J142+J144+J153+J155+J159+J161</f>
        <v>0</v>
      </c>
      <c r="K167" s="264">
        <f>K93+K106+K114+K116+K121+K136+K140+K142+K144+K153+K155+K159+K161</f>
        <v>0</v>
      </c>
      <c r="L167" s="385">
        <f t="shared" ref="L167" si="89">$M167-$K167</f>
        <v>0</v>
      </c>
      <c r="M167" s="385">
        <f>'SST Balance Sheet'!E167</f>
        <v>0</v>
      </c>
    </row>
    <row r="168" spans="2:14" ht="14.25" customHeight="1" x14ac:dyDescent="0.2">
      <c r="B168" s="258"/>
      <c r="C168" s="389"/>
      <c r="D168" s="258"/>
      <c r="E168" s="259"/>
      <c r="F168" s="260"/>
      <c r="G168" s="260"/>
      <c r="H168" s="260"/>
      <c r="I168" s="401"/>
      <c r="J168" s="260"/>
      <c r="K168" s="390"/>
      <c r="L168" s="390"/>
      <c r="M168" s="390"/>
    </row>
    <row r="169" spans="2:14" ht="14.25" customHeight="1" x14ac:dyDescent="0.25">
      <c r="B169" s="214">
        <f>ROW(B169)</f>
        <v>169</v>
      </c>
      <c r="C169" s="384"/>
      <c r="D169" s="775">
        <v>100000000</v>
      </c>
      <c r="E169" s="286" t="str">
        <f>VLOOKUP("T.06.139",Translation,LanguageNo+1,FALSE)</f>
        <v>1.15 Total Aktiven</v>
      </c>
      <c r="F169" s="263">
        <f>F89+F167</f>
        <v>0</v>
      </c>
      <c r="G169" s="263"/>
      <c r="H169" s="263"/>
      <c r="I169" s="263">
        <f>I89+I167</f>
        <v>0</v>
      </c>
      <c r="J169" s="263">
        <f>J89+J167</f>
        <v>0</v>
      </c>
      <c r="K169" s="263">
        <f>K89+K167</f>
        <v>0</v>
      </c>
      <c r="L169" s="385">
        <f>$M169-$K169</f>
        <v>0</v>
      </c>
      <c r="M169" s="385">
        <f>'SST Balance Sheet'!E169</f>
        <v>0</v>
      </c>
    </row>
    <row r="170" spans="2:14" ht="14.25" customHeight="1" x14ac:dyDescent="0.25">
      <c r="B170" s="265"/>
      <c r="C170" s="392"/>
      <c r="D170" s="265"/>
      <c r="E170" s="259"/>
      <c r="F170" s="260"/>
      <c r="G170" s="260"/>
      <c r="H170" s="260"/>
      <c r="I170" s="390"/>
      <c r="J170" s="260"/>
      <c r="K170" s="390"/>
      <c r="L170" s="390"/>
      <c r="M170" s="390"/>
    </row>
    <row r="171" spans="2:14" ht="14.25" customHeight="1" x14ac:dyDescent="0.25">
      <c r="B171" s="214">
        <f>ROW(B171)</f>
        <v>171</v>
      </c>
      <c r="D171" s="303"/>
      <c r="E171" s="307" t="str">
        <f>VLOOKUP("T.06.140",Translation,LanguageNo+1,FALSE)</f>
        <v>Fremdkapital</v>
      </c>
      <c r="F171" s="868"/>
      <c r="G171" s="869"/>
      <c r="H171" s="870"/>
      <c r="I171" s="385"/>
      <c r="J171" s="866"/>
      <c r="K171" s="385"/>
      <c r="L171" s="385"/>
      <c r="M171" s="385"/>
    </row>
    <row r="172" spans="2:14" ht="14.25" customHeight="1" x14ac:dyDescent="0.25">
      <c r="B172" s="258"/>
      <c r="C172" s="389"/>
      <c r="D172" s="258"/>
      <c r="E172" s="319"/>
      <c r="F172" s="260"/>
      <c r="G172" s="260"/>
      <c r="H172" s="260"/>
      <c r="I172" s="390"/>
      <c r="J172" s="260"/>
      <c r="K172" s="390"/>
      <c r="L172" s="390"/>
      <c r="M172" s="390"/>
    </row>
    <row r="173" spans="2:14" ht="14.25" customHeight="1" x14ac:dyDescent="0.25">
      <c r="B173" s="214">
        <f t="shared" ref="B173:B179" si="90">ROW(B173)</f>
        <v>173</v>
      </c>
      <c r="C173" s="384"/>
      <c r="D173" s="775">
        <v>201000000</v>
      </c>
      <c r="E173" s="286" t="str">
        <f>VLOOKUP("T.06.141",Translation,LanguageNo+1,FALSE)</f>
        <v>2.1 Versicherungstechnische Rückstellungen: Brutto</v>
      </c>
      <c r="F173" s="264">
        <f>F174+F183+F185+F192+F194+F203+F205+F206</f>
        <v>0</v>
      </c>
      <c r="G173" s="264"/>
      <c r="H173" s="264"/>
      <c r="I173" s="264">
        <f>I174+I183+I185+I192+I194+I203+I205+I206</f>
        <v>0</v>
      </c>
      <c r="J173" s="264">
        <f>J174+J183+J185+J192+J194+J203+J205+J206</f>
        <v>0</v>
      </c>
      <c r="K173" s="264">
        <f>K174+K183+K185+K192+K194+K203+K205+K206</f>
        <v>0</v>
      </c>
      <c r="L173" s="385">
        <f t="shared" ref="L173:L177" si="91">$M173-$K173</f>
        <v>0</v>
      </c>
      <c r="M173" s="385">
        <f>'SST Balance Sheet'!E173</f>
        <v>0</v>
      </c>
    </row>
    <row r="174" spans="2:14" ht="14.25" customHeight="1" x14ac:dyDescent="0.25">
      <c r="B174" s="214">
        <f t="shared" si="90"/>
        <v>174</v>
      </c>
      <c r="C174" s="384"/>
      <c r="D174" s="303">
        <v>201100000</v>
      </c>
      <c r="E174" s="262" t="str">
        <f>VLOOKUP("T.06.142",Translation,LanguageNo+1,FALSE)</f>
        <v>Direktversicherung: Lebensversicherungsgeschäft (ohne ALV)</v>
      </c>
      <c r="F174" s="263">
        <f>F175+SUM(F178:F179)+SUM(F181:F182)</f>
        <v>0</v>
      </c>
      <c r="G174" s="263"/>
      <c r="H174" s="263"/>
      <c r="I174" s="264">
        <f>I175+SUM(I178:I179)+SUM(I181:I182)</f>
        <v>0</v>
      </c>
      <c r="J174" s="263">
        <f>J175+SUM(J178:J179)+SUM(J181:J182)</f>
        <v>0</v>
      </c>
      <c r="K174" s="264">
        <f>K175+SUM(K178:K179)+SUM(K181:K182)</f>
        <v>0</v>
      </c>
      <c r="L174" s="385">
        <f t="shared" si="91"/>
        <v>0</v>
      </c>
      <c r="M174" s="385">
        <f>'SST Balance Sheet'!E174</f>
        <v>0</v>
      </c>
    </row>
    <row r="175" spans="2:14" ht="14.25" customHeight="1" x14ac:dyDescent="0.25">
      <c r="B175" s="214">
        <f t="shared" si="90"/>
        <v>175</v>
      </c>
      <c r="C175" s="387">
        <v>-1</v>
      </c>
      <c r="D175" s="863" t="s">
        <v>3101</v>
      </c>
      <c r="E175" s="214" t="str">
        <f>VLOOKUP("T.06.143",Translation,LanguageNo+1,FALSE)</f>
        <v>Best Estimate der Versicherungsverpflichtungen (Leben): Brutto</v>
      </c>
      <c r="F175" s="263">
        <f>SUM(F176:F177)</f>
        <v>0</v>
      </c>
      <c r="G175" s="263"/>
      <c r="H175" s="263"/>
      <c r="I175" s="385">
        <f>SUM(I176:I177)</f>
        <v>0</v>
      </c>
      <c r="J175" s="385">
        <f>SUM(J176:J177)</f>
        <v>0</v>
      </c>
      <c r="K175" s="385">
        <f t="shared" ref="K175" si="92">$I175+$J175</f>
        <v>0</v>
      </c>
      <c r="L175" s="385">
        <f t="shared" si="91"/>
        <v>0</v>
      </c>
      <c r="M175" s="385">
        <f>'SST Balance Sheet'!E175</f>
        <v>0</v>
      </c>
    </row>
    <row r="176" spans="2:14" ht="14.25" customHeight="1" x14ac:dyDescent="0.25">
      <c r="B176" s="214">
        <f t="shared" si="90"/>
        <v>176</v>
      </c>
      <c r="C176" s="387"/>
      <c r="D176" s="214"/>
      <c r="E176" s="297" t="str">
        <f>VLOOKUP("T.06.144",Translation,LanguageNo+1,FALSE)</f>
        <v>Einzelgeschäft</v>
      </c>
      <c r="F176" s="250"/>
      <c r="G176" s="194"/>
      <c r="H176" s="268"/>
      <c r="I176" s="385">
        <f>IF(ISBLANK(B176),"",F176+SUMPRODUCT(--($G$6:$G$249=B176),$H$6:$H$249,$C$6:$C$249)*C176-H176)</f>
        <v>0</v>
      </c>
      <c r="J176" s="250"/>
      <c r="K176" s="385">
        <f t="shared" ref="K176:K183" si="93">$I176+$J176</f>
        <v>0</v>
      </c>
      <c r="L176" s="385">
        <f t="shared" si="91"/>
        <v>0</v>
      </c>
      <c r="M176" s="385">
        <f>'SST Balance Sheet'!E176</f>
        <v>0</v>
      </c>
    </row>
    <row r="177" spans="2:13" ht="14.25" customHeight="1" x14ac:dyDescent="0.25">
      <c r="B177" s="214">
        <f t="shared" si="90"/>
        <v>177</v>
      </c>
      <c r="C177" s="384"/>
      <c r="D177" s="775"/>
      <c r="E177" s="297" t="str">
        <f>VLOOKUP("T.06.145",Translation,LanguageNo+1,FALSE)</f>
        <v>Kollektivgeschäft</v>
      </c>
      <c r="F177" s="250"/>
      <c r="G177" s="194"/>
      <c r="H177" s="268"/>
      <c r="I177" s="385">
        <f>IF(ISBLANK(B177),"",F177+SUMPRODUCT(--($G$6:$G$249=B177),$H$6:$H$249,$C$6:$C$249)*C177-H177)</f>
        <v>0</v>
      </c>
      <c r="J177" s="250"/>
      <c r="K177" s="385">
        <f t="shared" si="93"/>
        <v>0</v>
      </c>
      <c r="L177" s="385">
        <f t="shared" si="91"/>
        <v>0</v>
      </c>
      <c r="M177" s="385">
        <f>'SST Balance Sheet'!E177</f>
        <v>0</v>
      </c>
    </row>
    <row r="178" spans="2:13" ht="14.25" customHeight="1" x14ac:dyDescent="0.25">
      <c r="B178" s="214">
        <f t="shared" si="90"/>
        <v>178</v>
      </c>
      <c r="C178" s="387">
        <v>-1</v>
      </c>
      <c r="D178" s="775">
        <v>201140100</v>
      </c>
      <c r="E178" s="214" t="str">
        <f>VLOOKUP("T.06.146",Translation,LanguageNo+1,FALSE)</f>
        <v>Schwankungsrückstellungen und weitere statutarische Reserven (Leben): Brutto</v>
      </c>
      <c r="F178" s="249"/>
      <c r="G178" s="249"/>
      <c r="H178" s="268"/>
      <c r="I178" s="385">
        <f>IF(ISBLANK(B178),"",F178+SUMPRODUCT(--($G$6:$G$249=B178),$H$6:$H$249,$C$6:$C$249)*C178-H178)</f>
        <v>0</v>
      </c>
      <c r="J178" s="250"/>
      <c r="K178" s="385">
        <f t="shared" si="93"/>
        <v>0</v>
      </c>
      <c r="L178" s="385">
        <f t="shared" ref="L178:L179" si="94">$M178-$K178</f>
        <v>0</v>
      </c>
      <c r="M178" s="865">
        <f>'SST Balance Sheet'!E178</f>
        <v>0</v>
      </c>
    </row>
    <row r="179" spans="2:13" ht="14.25" customHeight="1" x14ac:dyDescent="0.25">
      <c r="B179" s="214">
        <f t="shared" si="90"/>
        <v>179</v>
      </c>
      <c r="C179" s="387">
        <v>-1</v>
      </c>
      <c r="D179" s="775"/>
      <c r="E179" s="320" t="str">
        <f>VLOOKUP("T.06.147",Translation,LanguageNo+1,FALSE)</f>
        <v>Best Estimate der sonstigen Versicherungsverpflichtungen (Leben): Brutto</v>
      </c>
      <c r="F179" s="249"/>
      <c r="G179" s="249"/>
      <c r="H179" s="268"/>
      <c r="I179" s="385">
        <f>IF(ISBLANK(B179),"",F179+SUMPRODUCT(--($G$6:$G$249=B179),$H$6:$H$249,$C$6:$C$249)*C179-H179)</f>
        <v>0</v>
      </c>
      <c r="J179" s="250"/>
      <c r="K179" s="385">
        <f t="shared" si="93"/>
        <v>0</v>
      </c>
      <c r="L179" s="385">
        <f t="shared" si="94"/>
        <v>0</v>
      </c>
      <c r="M179" s="385">
        <f>'SST Balance Sheet'!E179</f>
        <v>0</v>
      </c>
    </row>
    <row r="180" spans="2:13" ht="14.25" customHeight="1" x14ac:dyDescent="0.25">
      <c r="B180" s="214">
        <f>ROW(B180)</f>
        <v>180</v>
      </c>
      <c r="C180" s="384"/>
      <c r="D180" s="303">
        <v>201150100</v>
      </c>
      <c r="E180" s="297" t="str">
        <f>VLOOKUP("T.06.148",Translation,LanguageNo+1,FALSE)</f>
        <v>davon Zillmerabschlag (Leben): Brutto</v>
      </c>
      <c r="F180" s="250"/>
      <c r="G180" s="203"/>
      <c r="H180" s="203"/>
      <c r="I180" s="385"/>
      <c r="J180" s="203"/>
      <c r="K180" s="385"/>
      <c r="L180" s="385"/>
      <c r="M180" s="865">
        <f>'SST Balance Sheet'!E180</f>
        <v>0</v>
      </c>
    </row>
    <row r="181" spans="2:13" ht="14.25" customHeight="1" x14ac:dyDescent="0.25">
      <c r="B181" s="214">
        <f>ROW(B181)</f>
        <v>181</v>
      </c>
      <c r="C181" s="387">
        <v>-1</v>
      </c>
      <c r="D181" s="303">
        <v>201160100</v>
      </c>
      <c r="E181" s="214" t="str">
        <f>VLOOKUP("T.06.149",Translation,LanguageNo+1,FALSE)</f>
        <v>Rückstellungen für vertragliche Überschussbeteiligungen (Leben): Brutto</v>
      </c>
      <c r="F181" s="249"/>
      <c r="G181" s="249"/>
      <c r="H181" s="268"/>
      <c r="I181" s="385">
        <f>IF(ISBLANK(B181),"",F181+SUMPRODUCT(--($G$6:$G$249=B181),$H$6:$H$249,$C$6:$C$249)*C181-H181)</f>
        <v>0</v>
      </c>
      <c r="J181" s="250"/>
      <c r="K181" s="385">
        <f t="shared" si="93"/>
        <v>0</v>
      </c>
      <c r="L181" s="385">
        <f t="shared" ref="L181:L183" si="95">$M181-$K181</f>
        <v>0</v>
      </c>
      <c r="M181" s="385">
        <f>'SST Balance Sheet'!E181</f>
        <v>0</v>
      </c>
    </row>
    <row r="182" spans="2:13" ht="14.25" customHeight="1" x14ac:dyDescent="0.25">
      <c r="B182" s="214">
        <f>ROW(B182)</f>
        <v>182</v>
      </c>
      <c r="C182" s="387">
        <v>-1</v>
      </c>
      <c r="D182" s="214">
        <v>201170100</v>
      </c>
      <c r="E182" s="214" t="str">
        <f>VLOOKUP("T.06.150",Translation,LanguageNo+1,FALSE)</f>
        <v>Rückstellungen für Überschussfonds (Leben): Brutto</v>
      </c>
      <c r="F182" s="295"/>
      <c r="G182" s="295"/>
      <c r="H182" s="635"/>
      <c r="I182" s="385">
        <f>IF(ISBLANK(B182),"",F182+SUMPRODUCT(--($G$6:$G$249=B182),$H$6:$H$249,$C$6:$C$249)*C182-H182)</f>
        <v>0</v>
      </c>
      <c r="J182" s="862"/>
      <c r="K182" s="385">
        <f t="shared" si="93"/>
        <v>0</v>
      </c>
      <c r="L182" s="871">
        <f t="shared" si="95"/>
        <v>0</v>
      </c>
      <c r="M182" s="385">
        <f>'SST Balance Sheet'!E182</f>
        <v>0</v>
      </c>
    </row>
    <row r="183" spans="2:13" ht="14.25" customHeight="1" x14ac:dyDescent="0.25">
      <c r="B183" s="214">
        <f>ROW(B183)</f>
        <v>183</v>
      </c>
      <c r="C183" s="387">
        <v>-1</v>
      </c>
      <c r="D183" s="303">
        <v>201102000</v>
      </c>
      <c r="E183" s="262" t="str">
        <f>VLOOKUP("T.06.151",Translation,LanguageNo+1,FALSE)</f>
        <v>Aktive Rückversicherung: Lebensversicherungsgeschäft (ohne ALV)</v>
      </c>
      <c r="F183" s="256"/>
      <c r="G183" s="256"/>
      <c r="H183" s="285"/>
      <c r="I183" s="385">
        <f>IF(ISBLANK(B183),"",F183+SUMPRODUCT(--($G$6:$G$249=B183),$H$6:$H$249,$C$6:$C$249)*C183-H183)</f>
        <v>0</v>
      </c>
      <c r="J183" s="388"/>
      <c r="K183" s="385">
        <f t="shared" si="93"/>
        <v>0</v>
      </c>
      <c r="L183" s="385">
        <f t="shared" si="95"/>
        <v>0</v>
      </c>
      <c r="M183" s="385">
        <f>'SST Balance Sheet'!E183</f>
        <v>0</v>
      </c>
    </row>
    <row r="184" spans="2:13" ht="14.25" customHeight="1" x14ac:dyDescent="0.25">
      <c r="B184" s="258"/>
      <c r="C184" s="389"/>
      <c r="D184" s="258"/>
      <c r="E184" s="259"/>
      <c r="F184" s="260"/>
      <c r="G184" s="260"/>
      <c r="H184" s="260"/>
      <c r="I184" s="390"/>
      <c r="J184" s="260"/>
      <c r="K184" s="390"/>
      <c r="L184" s="390"/>
      <c r="M184" s="390"/>
    </row>
    <row r="185" spans="2:13" ht="14.25" customHeight="1" x14ac:dyDescent="0.25">
      <c r="B185" s="214">
        <f t="shared" ref="B185:B187" si="96">ROW(B185)</f>
        <v>185</v>
      </c>
      <c r="C185" s="387"/>
      <c r="D185" s="289">
        <v>201201000</v>
      </c>
      <c r="E185" s="262" t="str">
        <f>VLOOKUP("T.06.152",Translation,LanguageNo+1,FALSE)</f>
        <v>Direktversicherung: Schadenversicherungsgeschäft</v>
      </c>
      <c r="F185" s="263">
        <f>F186+SUM(F188:F191)</f>
        <v>0</v>
      </c>
      <c r="G185" s="263"/>
      <c r="H185" s="263"/>
      <c r="I185" s="264">
        <f>I186+SUM(I188:I191)</f>
        <v>0</v>
      </c>
      <c r="J185" s="263">
        <f>J186+SUM(J188:J191)</f>
        <v>0</v>
      </c>
      <c r="K185" s="264">
        <f>K186+SUM(K188:K191)</f>
        <v>0</v>
      </c>
      <c r="L185" s="385">
        <f t="shared" ref="L185:L192" si="97">$M185-$K185</f>
        <v>0</v>
      </c>
      <c r="M185" s="385">
        <f>'SST Balance Sheet'!E185</f>
        <v>0</v>
      </c>
    </row>
    <row r="186" spans="2:13" ht="14.25" customHeight="1" x14ac:dyDescent="0.25">
      <c r="B186" s="214">
        <f t="shared" si="96"/>
        <v>186</v>
      </c>
      <c r="C186" s="387">
        <v>-1</v>
      </c>
      <c r="D186" s="303"/>
      <c r="E186" s="214" t="str">
        <f>VLOOKUP("T.06.153",Translation,LanguageNo+1,FALSE)</f>
        <v>Best Estimate der Versicherungsverpflichtungen (Schaden): Brutto</v>
      </c>
      <c r="F186" s="249"/>
      <c r="G186" s="194"/>
      <c r="H186" s="268"/>
      <c r="I186" s="385">
        <f>IF(ISBLANK(B186),"",F186+SUMPRODUCT(--($G$6:$G$249=B186),$H$6:$H$249,$C$6:$C$249)*C186-H186)</f>
        <v>0</v>
      </c>
      <c r="J186" s="400"/>
      <c r="K186" s="385">
        <f t="shared" ref="K186" si="98">$I186+$J186</f>
        <v>0</v>
      </c>
      <c r="L186" s="385">
        <f t="shared" si="97"/>
        <v>0</v>
      </c>
      <c r="M186" s="385">
        <f>'SST Balance Sheet'!E186</f>
        <v>0</v>
      </c>
    </row>
    <row r="187" spans="2:13" ht="14.25" customHeight="1" x14ac:dyDescent="0.25">
      <c r="B187" s="214">
        <f t="shared" si="96"/>
        <v>187</v>
      </c>
      <c r="D187" s="303"/>
      <c r="E187" s="297" t="str">
        <f>VLOOKUP("T.06.154",Translation,LanguageNo+1,FALSE)</f>
        <v>davon Best Estimate der Verpflichtungen des UVG-Bestandes: Brutto</v>
      </c>
      <c r="F187" s="249"/>
      <c r="G187" s="203"/>
      <c r="H187" s="203"/>
      <c r="I187" s="385"/>
      <c r="J187" s="203"/>
      <c r="K187" s="385"/>
      <c r="L187" s="385"/>
      <c r="M187" s="385"/>
    </row>
    <row r="188" spans="2:13" ht="14.25" customHeight="1" x14ac:dyDescent="0.25">
      <c r="B188" s="214">
        <f t="shared" ref="B188:B197" si="99">ROW(B188)</f>
        <v>188</v>
      </c>
      <c r="C188" s="387">
        <v>-1</v>
      </c>
      <c r="D188" s="303"/>
      <c r="E188" s="385" t="str">
        <f>VLOOKUP("T.06.155",Translation,LanguageNo+1,FALSE)</f>
        <v>Schwankungsrückstellungen und weitere statutarische Reserven (Schaden): Brutto</v>
      </c>
      <c r="F188" s="249"/>
      <c r="G188" s="249"/>
      <c r="H188" s="268"/>
      <c r="I188" s="385">
        <f>IF(ISBLANK(B188),"",F188+SUMPRODUCT(--($G$6:$G$249=B188),$H$6:$H$249,$C$6:$C$249)*C188-H188)</f>
        <v>0</v>
      </c>
      <c r="J188" s="250"/>
      <c r="K188" s="385">
        <f t="shared" ref="K188:K192" si="100">$I188+$J188</f>
        <v>0</v>
      </c>
      <c r="L188" s="385">
        <f t="shared" si="97"/>
        <v>0</v>
      </c>
      <c r="M188" s="865">
        <f>'SST Balance Sheet'!E188</f>
        <v>0</v>
      </c>
    </row>
    <row r="189" spans="2:13" ht="14.25" customHeight="1" x14ac:dyDescent="0.25">
      <c r="B189" s="214">
        <f t="shared" si="99"/>
        <v>189</v>
      </c>
      <c r="C189" s="387">
        <v>-1</v>
      </c>
      <c r="D189" s="214"/>
      <c r="E189" s="252" t="str">
        <f>VLOOKUP("T.06.156",Translation,LanguageNo+1,FALSE)</f>
        <v>Best Estimate der sonstigen Versicherungsverpflichtungen (Schaden): Brutto</v>
      </c>
      <c r="F189" s="249"/>
      <c r="G189" s="249"/>
      <c r="H189" s="268"/>
      <c r="I189" s="385">
        <f>IF(ISBLANK(B189),"",F189+SUMPRODUCT(--($G$6:$G$249=B189),$H$6:$H$249,$C$6:$C$249)*C189-H189)</f>
        <v>0</v>
      </c>
      <c r="J189" s="250"/>
      <c r="K189" s="385">
        <f t="shared" si="100"/>
        <v>0</v>
      </c>
      <c r="L189" s="385">
        <f t="shared" si="97"/>
        <v>0</v>
      </c>
      <c r="M189" s="385">
        <f>'SST Balance Sheet'!E189</f>
        <v>0</v>
      </c>
    </row>
    <row r="190" spans="2:13" ht="14.25" customHeight="1" x14ac:dyDescent="0.25">
      <c r="B190" s="214">
        <f t="shared" si="99"/>
        <v>190</v>
      </c>
      <c r="C190" s="387">
        <v>-1</v>
      </c>
      <c r="D190" s="214"/>
      <c r="E190" s="310" t="str">
        <f>VLOOKUP("T.06.157",Translation,LanguageNo+1,FALSE)</f>
        <v>Rückstellungen für vertragliche Überschussbeteiligungen (Schaden): Brutto</v>
      </c>
      <c r="F190" s="249"/>
      <c r="G190" s="249"/>
      <c r="H190" s="268"/>
      <c r="I190" s="385">
        <f>IF(ISBLANK(B190),"",F190+SUMPRODUCT(--($G$6:$G$249=B190),$H$6:$H$249,$C$6:$C$249)*C190-H190)</f>
        <v>0</v>
      </c>
      <c r="J190" s="250"/>
      <c r="K190" s="385">
        <f t="shared" si="100"/>
        <v>0</v>
      </c>
      <c r="L190" s="385">
        <f t="shared" si="97"/>
        <v>0</v>
      </c>
      <c r="M190" s="385">
        <f>'SST Balance Sheet'!E190</f>
        <v>0</v>
      </c>
    </row>
    <row r="191" spans="2:13" ht="14.25" customHeight="1" x14ac:dyDescent="0.25">
      <c r="B191" s="214">
        <f t="shared" si="99"/>
        <v>191</v>
      </c>
      <c r="C191" s="387">
        <v>-1</v>
      </c>
      <c r="D191" s="214"/>
      <c r="E191" s="310" t="str">
        <f>VLOOKUP("T.06.158",Translation,LanguageNo+1,FALSE)</f>
        <v>Rückstellungen für Überschussfonds (Schaden): Brutto</v>
      </c>
      <c r="F191" s="295"/>
      <c r="G191" s="295"/>
      <c r="H191" s="635"/>
      <c r="I191" s="385">
        <f>IF(ISBLANK(B191),"",F191+SUMPRODUCT(--($G$6:$G$249=B191),$H$6:$H$249,$C$6:$C$249)*C191-H191)</f>
        <v>0</v>
      </c>
      <c r="J191" s="862"/>
      <c r="K191" s="385">
        <f t="shared" si="100"/>
        <v>0</v>
      </c>
      <c r="L191" s="385">
        <f t="shared" si="97"/>
        <v>0</v>
      </c>
      <c r="M191" s="385">
        <f>'SST Balance Sheet'!E191</f>
        <v>0</v>
      </c>
    </row>
    <row r="192" spans="2:13" ht="14.25" customHeight="1" x14ac:dyDescent="0.25">
      <c r="B192" s="214">
        <f t="shared" si="99"/>
        <v>192</v>
      </c>
      <c r="C192" s="387">
        <v>-1</v>
      </c>
      <c r="D192" s="303">
        <v>201203000</v>
      </c>
      <c r="E192" s="262" t="str">
        <f>VLOOKUP("T.06.159",Translation,LanguageNo+1,FALSE)</f>
        <v>Aktive Rückversicherung: Schadenversicherungsgeschäft</v>
      </c>
      <c r="F192" s="256"/>
      <c r="G192" s="308"/>
      <c r="H192" s="285"/>
      <c r="I192" s="385">
        <f>IF(ISBLANK(B192),"",F192+SUMPRODUCT(--($G$6:$G$249=B192),$H$6:$H$249,$C$6:$C$249)*C192-H192)</f>
        <v>0</v>
      </c>
      <c r="J192" s="388"/>
      <c r="K192" s="385">
        <f t="shared" si="100"/>
        <v>0</v>
      </c>
      <c r="L192" s="385">
        <f t="shared" si="97"/>
        <v>0</v>
      </c>
      <c r="M192" s="385">
        <f>'SST Balance Sheet'!E192</f>
        <v>0</v>
      </c>
    </row>
    <row r="193" spans="2:13" s="248" customFormat="1" ht="14.25" customHeight="1" x14ac:dyDescent="0.25">
      <c r="B193" s="258"/>
      <c r="C193" s="389"/>
      <c r="D193" s="258"/>
      <c r="E193" s="390"/>
      <c r="F193" s="260"/>
      <c r="G193" s="260"/>
      <c r="H193" s="260"/>
      <c r="I193" s="390"/>
      <c r="J193" s="260"/>
      <c r="K193" s="390"/>
      <c r="L193" s="390"/>
      <c r="M193" s="390"/>
    </row>
    <row r="194" spans="2:13" ht="14.25" customHeight="1" x14ac:dyDescent="0.25">
      <c r="B194" s="214">
        <f t="shared" si="99"/>
        <v>194</v>
      </c>
      <c r="C194" s="387"/>
      <c r="D194" s="303">
        <v>201202000</v>
      </c>
      <c r="E194" s="286" t="str">
        <f>VLOOKUP("T.06.160",Translation,LanguageNo+1,FALSE)</f>
        <v>Direktversicherung: Krankenversicherungsgeschäft</v>
      </c>
      <c r="F194" s="263">
        <f>F195+SUM(F198:F202)</f>
        <v>0</v>
      </c>
      <c r="G194" s="263"/>
      <c r="H194" s="263"/>
      <c r="I194" s="264">
        <f>I195+SUM(I198:I202)</f>
        <v>0</v>
      </c>
      <c r="J194" s="263">
        <f>J195+SUM(J198:J202)</f>
        <v>0</v>
      </c>
      <c r="K194" s="264">
        <f>K195+SUM(K198:K202)</f>
        <v>0</v>
      </c>
      <c r="L194" s="385">
        <f t="shared" ref="L194:L202" si="101">$M194-$K194</f>
        <v>0</v>
      </c>
      <c r="M194" s="385">
        <f>'SST Balance Sheet'!E194</f>
        <v>0</v>
      </c>
    </row>
    <row r="195" spans="2:13" ht="14.25" customHeight="1" x14ac:dyDescent="0.25">
      <c r="B195" s="214">
        <f t="shared" si="99"/>
        <v>195</v>
      </c>
      <c r="C195" s="387">
        <v>-1</v>
      </c>
      <c r="D195" s="214"/>
      <c r="E195" s="252" t="str">
        <f>VLOOKUP("T.06.161",Translation,LanguageNo+1,FALSE)</f>
        <v>Best Estimate der Versicherungsverpflichtungen (Kranken): Brutto</v>
      </c>
      <c r="F195" s="249"/>
      <c r="G195" s="194"/>
      <c r="H195" s="268"/>
      <c r="I195" s="385">
        <f>IF(ISBLANK(B195),"",F195+SUMPRODUCT(--($G$6:$G$249=B195),$H$6:$H$249,$C$6:$C$249)*C195-H195)</f>
        <v>0</v>
      </c>
      <c r="J195" s="250"/>
      <c r="K195" s="385">
        <f t="shared" ref="K195:K202" si="102">$I195+$J195</f>
        <v>0</v>
      </c>
      <c r="L195" s="385">
        <f t="shared" si="101"/>
        <v>0</v>
      </c>
      <c r="M195" s="385">
        <f>'SST Balance Sheet'!E195</f>
        <v>0</v>
      </c>
    </row>
    <row r="196" spans="2:13" ht="14.25" customHeight="1" x14ac:dyDescent="0.25">
      <c r="B196" s="214">
        <f t="shared" si="99"/>
        <v>196</v>
      </c>
      <c r="C196" s="387"/>
      <c r="D196" s="214"/>
      <c r="E196" s="297" t="str">
        <f>VLOOKUP("T.06.162",Translation,LanguageNo+1,FALSE)</f>
        <v>davon Best Estimate der Versicherungsverpflichtungen Einzelkranken: Brutto</v>
      </c>
      <c r="F196" s="249"/>
      <c r="G196" s="548"/>
      <c r="H196" s="549"/>
      <c r="I196" s="385"/>
      <c r="J196" s="551"/>
      <c r="K196" s="385"/>
      <c r="L196" s="385"/>
      <c r="M196" s="385"/>
    </row>
    <row r="197" spans="2:13" ht="14.25" customHeight="1" x14ac:dyDescent="0.25">
      <c r="B197" s="214">
        <f t="shared" si="99"/>
        <v>197</v>
      </c>
      <c r="C197" s="387"/>
      <c r="D197" s="214"/>
      <c r="E197" s="272" t="str">
        <f>VLOOKUP("T.06.163",Translation,LanguageNo+1,FALSE)</f>
        <v>davon Best Estimate der Versicherungsverpflichtungen Kollektivtaggeld: Brutto</v>
      </c>
      <c r="F197" s="249"/>
      <c r="G197" s="541"/>
      <c r="H197" s="542"/>
      <c r="I197" s="385"/>
      <c r="J197" s="550"/>
      <c r="K197" s="385"/>
      <c r="L197" s="385"/>
      <c r="M197" s="385"/>
    </row>
    <row r="198" spans="2:13" ht="14.25" customHeight="1" x14ac:dyDescent="0.25">
      <c r="B198" s="214">
        <f t="shared" ref="B198" si="103">ROW(B198)</f>
        <v>198</v>
      </c>
      <c r="C198" s="387">
        <v>-1</v>
      </c>
      <c r="D198" s="214"/>
      <c r="E198" s="305" t="str">
        <f>VLOOKUP("T.06.164",Translation,LanguageNo+1,FALSE)</f>
        <v>Best Estimate der Langzeitverpflichtungen (Kranken): Brutto</v>
      </c>
      <c r="F198" s="249"/>
      <c r="G198" s="194"/>
      <c r="H198" s="268"/>
      <c r="I198" s="385">
        <f t="shared" ref="I198:I203" si="104">IF(ISBLANK(B198),"",F198+SUMPRODUCT(--($G$6:$G$249=B198),$H$6:$H$249,$C$6:$C$249)*C198-H198)</f>
        <v>0</v>
      </c>
      <c r="J198" s="250"/>
      <c r="K198" s="385">
        <f t="shared" si="102"/>
        <v>0</v>
      </c>
      <c r="L198" s="385">
        <f t="shared" si="101"/>
        <v>0</v>
      </c>
      <c r="M198" s="385">
        <f>'SST Balance Sheet'!E198</f>
        <v>0</v>
      </c>
    </row>
    <row r="199" spans="2:13" ht="14.25" customHeight="1" x14ac:dyDescent="0.25">
      <c r="B199" s="214">
        <f t="shared" ref="B199:B203" si="105">ROW(B199)</f>
        <v>199</v>
      </c>
      <c r="C199" s="387">
        <v>-1</v>
      </c>
      <c r="D199" s="289"/>
      <c r="E199" s="214" t="str">
        <f>VLOOKUP("T.06.165",Translation,LanguageNo+1,FALSE)</f>
        <v>Schwankungsrückstellungen und weitere statutarische Reserven (Kranken): Brutto</v>
      </c>
      <c r="F199" s="249"/>
      <c r="G199" s="194"/>
      <c r="H199" s="268"/>
      <c r="I199" s="385">
        <f t="shared" si="104"/>
        <v>0</v>
      </c>
      <c r="J199" s="250"/>
      <c r="K199" s="385">
        <f t="shared" si="102"/>
        <v>0</v>
      </c>
      <c r="L199" s="385">
        <f t="shared" si="101"/>
        <v>0</v>
      </c>
      <c r="M199" s="865">
        <f>'SST Balance Sheet'!E199</f>
        <v>0</v>
      </c>
    </row>
    <row r="200" spans="2:13" ht="14.25" customHeight="1" x14ac:dyDescent="0.25">
      <c r="B200" s="214">
        <f t="shared" si="105"/>
        <v>200</v>
      </c>
      <c r="C200" s="387">
        <v>-1</v>
      </c>
      <c r="D200" s="303"/>
      <c r="E200" s="214" t="str">
        <f>VLOOKUP("T.06.166",Translation,LanguageNo+1,FALSE)</f>
        <v>Best Estimate der sonstigen Versicherungsverpflichtungen (Kranken): Brutto</v>
      </c>
      <c r="F200" s="249"/>
      <c r="G200" s="194"/>
      <c r="H200" s="268"/>
      <c r="I200" s="385">
        <f t="shared" si="104"/>
        <v>0</v>
      </c>
      <c r="J200" s="250"/>
      <c r="K200" s="385">
        <f t="shared" si="102"/>
        <v>0</v>
      </c>
      <c r="L200" s="385">
        <f t="shared" si="101"/>
        <v>0</v>
      </c>
      <c r="M200" s="385">
        <f>'SST Balance Sheet'!E200</f>
        <v>0</v>
      </c>
    </row>
    <row r="201" spans="2:13" ht="14.25" customHeight="1" x14ac:dyDescent="0.25">
      <c r="B201" s="214">
        <f t="shared" si="105"/>
        <v>201</v>
      </c>
      <c r="C201" s="387">
        <v>-1</v>
      </c>
      <c r="D201" s="303"/>
      <c r="E201" s="214" t="str">
        <f>VLOOKUP("T.06.167",Translation,LanguageNo+1,FALSE)</f>
        <v>Rückstellungen für vertragliche Überschussbeteiligungen (Kranken): Brutto</v>
      </c>
      <c r="F201" s="249"/>
      <c r="G201" s="194"/>
      <c r="H201" s="268"/>
      <c r="I201" s="385">
        <f t="shared" si="104"/>
        <v>0</v>
      </c>
      <c r="J201" s="250"/>
      <c r="K201" s="385">
        <f t="shared" si="102"/>
        <v>0</v>
      </c>
      <c r="L201" s="385">
        <f t="shared" si="101"/>
        <v>0</v>
      </c>
      <c r="M201" s="385">
        <f>'SST Balance Sheet'!E201</f>
        <v>0</v>
      </c>
    </row>
    <row r="202" spans="2:13" ht="14.25" customHeight="1" x14ac:dyDescent="0.25">
      <c r="B202" s="214">
        <f t="shared" si="105"/>
        <v>202</v>
      </c>
      <c r="C202" s="387">
        <v>-1</v>
      </c>
      <c r="D202" s="303"/>
      <c r="E202" s="252" t="str">
        <f>VLOOKUP("T.06.168",Translation,LanguageNo+1,FALSE)</f>
        <v>Rückstellungen für Überschussfonds (Kranken): Brutto</v>
      </c>
      <c r="F202" s="295"/>
      <c r="G202" s="861"/>
      <c r="H202" s="635"/>
      <c r="I202" s="385">
        <f t="shared" si="104"/>
        <v>0</v>
      </c>
      <c r="J202" s="862"/>
      <c r="K202" s="385">
        <f t="shared" si="102"/>
        <v>0</v>
      </c>
      <c r="L202" s="385">
        <f t="shared" si="101"/>
        <v>0</v>
      </c>
      <c r="M202" s="385">
        <f>'SST Balance Sheet'!E202</f>
        <v>0</v>
      </c>
    </row>
    <row r="203" spans="2:13" ht="14.25" customHeight="1" x14ac:dyDescent="0.25">
      <c r="B203" s="214">
        <f t="shared" si="105"/>
        <v>203</v>
      </c>
      <c r="C203" s="387">
        <v>-1</v>
      </c>
      <c r="D203" s="214">
        <v>201204000</v>
      </c>
      <c r="E203" s="262" t="str">
        <f>VLOOKUP("T.06.169",Translation,LanguageNo+1,FALSE)</f>
        <v>Aktive Rückversicherung: Krankenversicherungsgeschäft</v>
      </c>
      <c r="F203" s="256"/>
      <c r="G203" s="308"/>
      <c r="H203" s="285"/>
      <c r="I203" s="385">
        <f t="shared" si="104"/>
        <v>0</v>
      </c>
      <c r="J203" s="388"/>
      <c r="K203" s="385">
        <f t="shared" ref="K203" si="106">$I203+$J203</f>
        <v>0</v>
      </c>
      <c r="L203" s="385">
        <f t="shared" ref="L203:L216" si="107">$M203-$K203</f>
        <v>0</v>
      </c>
      <c r="M203" s="385">
        <f>'SST Balance Sheet'!E203</f>
        <v>0</v>
      </c>
    </row>
    <row r="204" spans="2:13" ht="14.25" customHeight="1" x14ac:dyDescent="0.25">
      <c r="B204" s="258"/>
      <c r="C204" s="389"/>
      <c r="D204" s="258"/>
      <c r="E204" s="259"/>
      <c r="F204" s="260"/>
      <c r="G204" s="260"/>
      <c r="H204" s="260"/>
      <c r="I204" s="390"/>
      <c r="J204" s="260"/>
      <c r="K204" s="390"/>
      <c r="L204" s="390"/>
      <c r="M204" s="390"/>
    </row>
    <row r="205" spans="2:13" ht="14.25" customHeight="1" x14ac:dyDescent="0.25">
      <c r="B205" s="214">
        <f t="shared" ref="B205:B211" si="108">ROW(B205)</f>
        <v>205</v>
      </c>
      <c r="C205" s="387">
        <v>-1</v>
      </c>
      <c r="D205" s="775"/>
      <c r="E205" s="306" t="str">
        <f>VLOOKUP("T.06.170",Translation,LanguageNo+1,FALSE)</f>
        <v>Direktversicherung: Sonstiges Geschäft</v>
      </c>
      <c r="F205" s="295"/>
      <c r="G205" s="194"/>
      <c r="H205" s="268"/>
      <c r="I205" s="385">
        <f>IF(ISBLANK(B205),"",F205+SUMPRODUCT(--($G$6:$G$249=B205),$H$6:$H$249,$C$6:$C$249)*C205-H205)</f>
        <v>0</v>
      </c>
      <c r="J205" s="250"/>
      <c r="K205" s="385">
        <f t="shared" ref="K205" si="109">$I205+$J205</f>
        <v>0</v>
      </c>
      <c r="L205" s="385">
        <f t="shared" ref="L205" si="110">$M205-$K205</f>
        <v>0</v>
      </c>
      <c r="M205" s="385">
        <f>'SST Balance Sheet'!E205</f>
        <v>0</v>
      </c>
    </row>
    <row r="206" spans="2:13" ht="14.25" customHeight="1" x14ac:dyDescent="0.25">
      <c r="B206" s="214">
        <f t="shared" si="108"/>
        <v>206</v>
      </c>
      <c r="C206" s="387">
        <v>-1</v>
      </c>
      <c r="D206" s="214"/>
      <c r="E206" s="262" t="str">
        <f>VLOOKUP("T.06.171",Translation,LanguageNo+1,FALSE)</f>
        <v>Aktive Rückversicherung: Sonstiges Geschäft</v>
      </c>
      <c r="F206" s="295"/>
      <c r="G206" s="194"/>
      <c r="H206" s="268"/>
      <c r="I206" s="385">
        <f>IF(ISBLANK(B206),"",F206+SUMPRODUCT(--($G$6:$G$249=B206),$H$6:$H$249,$C$6:$C$249)*C206-H206)</f>
        <v>0</v>
      </c>
      <c r="J206" s="250"/>
      <c r="K206" s="385">
        <f t="shared" ref="K206" si="111">$I206+$J206</f>
        <v>0</v>
      </c>
      <c r="L206" s="385">
        <f t="shared" si="107"/>
        <v>0</v>
      </c>
      <c r="M206" s="385">
        <f>'SST Balance Sheet'!E206</f>
        <v>0</v>
      </c>
    </row>
    <row r="207" spans="2:13" s="248" customFormat="1" ht="14.25" customHeight="1" x14ac:dyDescent="0.25">
      <c r="B207" s="389"/>
      <c r="C207" s="258"/>
      <c r="D207" s="323"/>
      <c r="E207" s="260"/>
      <c r="F207" s="260"/>
      <c r="G207" s="260"/>
      <c r="H207" s="390"/>
      <c r="I207" s="260"/>
      <c r="J207" s="390"/>
      <c r="K207" s="390"/>
      <c r="L207" s="390"/>
      <c r="M207" s="390"/>
    </row>
    <row r="208" spans="2:13" ht="14.25" customHeight="1" x14ac:dyDescent="0.25">
      <c r="B208" s="214">
        <f t="shared" si="108"/>
        <v>208</v>
      </c>
      <c r="C208" s="384"/>
      <c r="D208" s="214">
        <v>202010000</v>
      </c>
      <c r="E208" s="262" t="str">
        <f>VLOOKUP("T.06.172",Translation,LanguageNo+1,FALSE)</f>
        <v>2.2 Versicherungstechnische Rückstellungen für anteilgebundene Lebensversicherung: Brutto</v>
      </c>
      <c r="F208" s="263">
        <f>F209+F211+F213+F214</f>
        <v>0</v>
      </c>
      <c r="G208" s="263"/>
      <c r="H208" s="263"/>
      <c r="I208" s="264">
        <f>I209+I211+I213+I214</f>
        <v>0</v>
      </c>
      <c r="J208" s="263">
        <f>J209+J211+J213+J214</f>
        <v>0</v>
      </c>
      <c r="K208" s="264">
        <f>K209+K211+K213+K214</f>
        <v>0</v>
      </c>
      <c r="L208" s="385">
        <f t="shared" ref="L208:L213" si="112">$M208-$K208</f>
        <v>0</v>
      </c>
      <c r="M208" s="385">
        <f>'SST Balance Sheet'!E208</f>
        <v>0</v>
      </c>
    </row>
    <row r="209" spans="2:13" ht="14.25" customHeight="1" x14ac:dyDescent="0.25">
      <c r="B209" s="214">
        <f t="shared" si="108"/>
        <v>209</v>
      </c>
      <c r="C209" s="387">
        <v>-1</v>
      </c>
      <c r="D209" s="214"/>
      <c r="E209" s="214" t="str">
        <f>VLOOKUP("T.06.173",Translation,LanguageNo+1,FALSE)</f>
        <v>Fondsanteilgebundene Lebensversicherung (A 2.1 - A 2.3 &amp; A 6.1)</v>
      </c>
      <c r="F209" s="295"/>
      <c r="G209" s="194"/>
      <c r="H209" s="268"/>
      <c r="I209" s="385">
        <f>IF(ISBLANK(B209),"",F209+SUMPRODUCT(--($G$6:$G$249=B209),$H$6:$H$249,$C$6:$C$249)*C209-H209)</f>
        <v>0</v>
      </c>
      <c r="J209" s="250"/>
      <c r="K209" s="385">
        <f t="shared" ref="K209" si="113">$I209+$J209</f>
        <v>0</v>
      </c>
      <c r="L209" s="385">
        <f t="shared" si="112"/>
        <v>0</v>
      </c>
      <c r="M209" s="385">
        <f>'SST Balance Sheet'!E209</f>
        <v>0</v>
      </c>
    </row>
    <row r="210" spans="2:13" ht="14.25" customHeight="1" x14ac:dyDescent="0.25">
      <c r="B210" s="214">
        <f t="shared" si="108"/>
        <v>210</v>
      </c>
      <c r="C210" s="384"/>
      <c r="D210" s="214"/>
      <c r="E210" s="297" t="str">
        <f>VLOOKUP("T.06.174",Translation,LanguageNo+1,FALSE)</f>
        <v>davon Optionen und Garantien</v>
      </c>
      <c r="F210" s="249"/>
      <c r="G210" s="203"/>
      <c r="H210" s="203"/>
      <c r="I210" s="385"/>
      <c r="J210" s="203"/>
      <c r="K210" s="385"/>
      <c r="L210" s="385"/>
      <c r="M210" s="385"/>
    </row>
    <row r="211" spans="2:13" ht="14.25" customHeight="1" x14ac:dyDescent="0.25">
      <c r="B211" s="214">
        <f t="shared" si="108"/>
        <v>211</v>
      </c>
      <c r="C211" s="387">
        <v>-1</v>
      </c>
      <c r="D211" s="303"/>
      <c r="E211" s="214" t="str">
        <f>VLOOKUP("T.06.175",Translation,LanguageNo+1,FALSE)</f>
        <v>An interne Anlagebestände oder andere Bezugswerte gebundene Lebensversicherung: Brutto (A 2.4 - A 2.6 &amp; A 6.2)</v>
      </c>
      <c r="F211" s="250"/>
      <c r="G211" s="249"/>
      <c r="H211" s="268"/>
      <c r="I211" s="385">
        <f>IF(ISBLANK(B211),"",F211+SUMPRODUCT(--($G$6:$G$249=B211),$H$6:$H$249,$C$6:$C$249)*C211-H211)</f>
        <v>0</v>
      </c>
      <c r="J211" s="250"/>
      <c r="K211" s="385">
        <f t="shared" ref="K211" si="114">$I211+$J211</f>
        <v>0</v>
      </c>
      <c r="L211" s="385">
        <f t="shared" si="112"/>
        <v>0</v>
      </c>
      <c r="M211" s="385">
        <f>'SST Balance Sheet'!E211</f>
        <v>0</v>
      </c>
    </row>
    <row r="212" spans="2:13" ht="14.25" customHeight="1" x14ac:dyDescent="0.25">
      <c r="B212" s="214">
        <f t="shared" ref="B212:B218" si="115">ROW(B212)</f>
        <v>212</v>
      </c>
      <c r="C212" s="384"/>
      <c r="D212" s="775"/>
      <c r="E212" s="290" t="str">
        <f>VLOOKUP("T.06.176",Translation,LanguageNo+1,FALSE)</f>
        <v>davon Optionen und Garantien</v>
      </c>
      <c r="F212" s="249"/>
      <c r="G212" s="203"/>
      <c r="H212" s="203"/>
      <c r="I212" s="385"/>
      <c r="J212" s="203"/>
      <c r="K212" s="385"/>
      <c r="L212" s="385"/>
      <c r="M212" s="385"/>
    </row>
    <row r="213" spans="2:13" ht="14.25" customHeight="1" x14ac:dyDescent="0.25">
      <c r="B213" s="214">
        <f t="shared" si="115"/>
        <v>213</v>
      </c>
      <c r="C213" s="387">
        <v>-1</v>
      </c>
      <c r="D213" s="775">
        <v>202400100</v>
      </c>
      <c r="E213" s="214" t="str">
        <f>VLOOKUP("T.06.177",Translation,LanguageNo+1,FALSE)</f>
        <v>Schwankungsrückstellungen für anteilgebundene Lebensversicherungen direktes Geschäft: Brutto</v>
      </c>
      <c r="F213" s="862"/>
      <c r="G213" s="295"/>
      <c r="H213" s="635"/>
      <c r="I213" s="385">
        <f>IF(ISBLANK(B213),"",F213+SUMPRODUCT(--($G$6:$G$249=B213),$H$6:$H$249,$C$6:$C$249)*C213-H213)</f>
        <v>0</v>
      </c>
      <c r="J213" s="862"/>
      <c r="K213" s="385">
        <f t="shared" ref="K213" si="116">$I213+$J213</f>
        <v>0</v>
      </c>
      <c r="L213" s="385">
        <f t="shared" si="112"/>
        <v>0</v>
      </c>
      <c r="M213" s="865">
        <f>'SST Balance Sheet'!E213</f>
        <v>0</v>
      </c>
    </row>
    <row r="214" spans="2:13" ht="14.25" customHeight="1" x14ac:dyDescent="0.25">
      <c r="B214" s="214">
        <f t="shared" si="115"/>
        <v>214</v>
      </c>
      <c r="C214" s="387">
        <v>-1</v>
      </c>
      <c r="D214" s="775">
        <v>202020000</v>
      </c>
      <c r="E214" s="214" t="str">
        <f>VLOOKUP("T.06.178",Translation,LanguageNo+1,FALSE)</f>
        <v>Aktive Rückversicherung: Anteilgebundenes Lebensversicherungsgeschäft</v>
      </c>
      <c r="F214" s="256"/>
      <c r="G214" s="308"/>
      <c r="H214" s="285"/>
      <c r="I214" s="385">
        <f>IF(ISBLANK(B214),"",F214+SUMPRODUCT(--($G$6:$G$249=B214),$H$6:$H$249,$C$6:$C$249)*C214-H214)</f>
        <v>0</v>
      </c>
      <c r="J214" s="388"/>
      <c r="K214" s="385">
        <f t="shared" ref="K214:K216" si="117">$I214+$J214</f>
        <v>0</v>
      </c>
      <c r="L214" s="385">
        <f t="shared" si="107"/>
        <v>0</v>
      </c>
      <c r="M214" s="385">
        <f>'SST Balance Sheet'!E214</f>
        <v>0</v>
      </c>
    </row>
    <row r="215" spans="2:13" s="248" customFormat="1" ht="14.25" customHeight="1" x14ac:dyDescent="0.25">
      <c r="B215" s="389"/>
      <c r="C215" s="258"/>
      <c r="D215" s="323"/>
      <c r="E215" s="260"/>
      <c r="F215" s="260"/>
      <c r="G215" s="260"/>
      <c r="H215" s="390"/>
      <c r="I215" s="260"/>
      <c r="J215" s="390"/>
      <c r="K215" s="390"/>
      <c r="L215" s="390"/>
      <c r="M215" s="390"/>
    </row>
    <row r="216" spans="2:13" s="248" customFormat="1" ht="14.25" customHeight="1" x14ac:dyDescent="0.25">
      <c r="B216" s="214">
        <f t="shared" si="115"/>
        <v>216</v>
      </c>
      <c r="C216" s="387"/>
      <c r="E216" s="262" t="str">
        <f>VLOOKUP("T.06.179",Translation,LanguageNo+1,FALSE)</f>
        <v>Mindestbetrag</v>
      </c>
      <c r="F216" s="1198"/>
      <c r="G216" s="394"/>
      <c r="H216" s="394"/>
      <c r="I216" s="385">
        <f>F216</f>
        <v>0</v>
      </c>
      <c r="J216" s="394"/>
      <c r="K216" s="385">
        <f t="shared" si="117"/>
        <v>0</v>
      </c>
      <c r="L216" s="385">
        <f t="shared" si="107"/>
        <v>0</v>
      </c>
      <c r="M216" s="385">
        <f>'SST Balance Sheet'!E216</f>
        <v>0</v>
      </c>
    </row>
    <row r="217" spans="2:13" s="248" customFormat="1" ht="14.25" customHeight="1" x14ac:dyDescent="0.25">
      <c r="B217" s="258"/>
      <c r="C217" s="389"/>
      <c r="D217" s="258"/>
      <c r="E217" s="258"/>
      <c r="F217" s="260"/>
      <c r="G217" s="260"/>
      <c r="H217" s="260"/>
      <c r="I217" s="390"/>
      <c r="J217" s="260"/>
      <c r="K217" s="390"/>
      <c r="L217" s="390"/>
      <c r="M217" s="390"/>
    </row>
    <row r="218" spans="2:13" ht="14.25" customHeight="1" x14ac:dyDescent="0.25">
      <c r="B218" s="214">
        <f t="shared" si="115"/>
        <v>218</v>
      </c>
      <c r="D218" s="694">
        <v>203000000</v>
      </c>
      <c r="E218" s="262" t="str">
        <f>VLOOKUP("T.06.180",Translation,LanguageNo+1,FALSE)</f>
        <v>2.3 Nichtversicherungstechnische Rückstellungen</v>
      </c>
      <c r="F218" s="263">
        <f>SUM(F219:F221)</f>
        <v>0</v>
      </c>
      <c r="G218" s="263"/>
      <c r="H218" s="263"/>
      <c r="I218" s="264">
        <f>SUM(I219:I221)</f>
        <v>0</v>
      </c>
      <c r="J218" s="263">
        <f>SUM(J219:J221)</f>
        <v>0</v>
      </c>
      <c r="K218" s="264">
        <f>SUM(K219:K221)</f>
        <v>0</v>
      </c>
      <c r="L218" s="385">
        <f t="shared" ref="L218:L221" si="118">$M218-$K218</f>
        <v>0</v>
      </c>
      <c r="M218" s="385">
        <f>'SST Balance Sheet'!E218</f>
        <v>0</v>
      </c>
    </row>
    <row r="219" spans="2:13" ht="14.25" customHeight="1" x14ac:dyDescent="0.25">
      <c r="B219" s="214">
        <f t="shared" ref="B219" si="119">ROW(B219)</f>
        <v>219</v>
      </c>
      <c r="C219" s="387">
        <v>-1</v>
      </c>
      <c r="D219" s="775">
        <v>203000200</v>
      </c>
      <c r="E219" s="214" t="str">
        <f>VLOOKUP("T.06.181",Translation,LanguageNo+1,FALSE)</f>
        <v>Rückstellungen für Personalvorsorge</v>
      </c>
      <c r="F219" s="249"/>
      <c r="G219" s="194"/>
      <c r="H219" s="268"/>
      <c r="I219" s="385">
        <f>IF(ISBLANK(B219),"",F219+SUMPRODUCT(--($G$6:$G$249=B219),$H$6:$H$249,$C$6:$C$249)*C219-H219)</f>
        <v>0</v>
      </c>
      <c r="J219" s="250"/>
      <c r="K219" s="385">
        <f t="shared" ref="K219:K221" si="120">$I219+$J219</f>
        <v>0</v>
      </c>
      <c r="L219" s="385">
        <f t="shared" si="118"/>
        <v>0</v>
      </c>
      <c r="M219" s="385">
        <f>'SST Balance Sheet'!E219</f>
        <v>0</v>
      </c>
    </row>
    <row r="220" spans="2:13" ht="14.25" customHeight="1" x14ac:dyDescent="0.25">
      <c r="B220" s="214">
        <f t="shared" ref="B220:B228" si="121">ROW(B220)</f>
        <v>220</v>
      </c>
      <c r="C220" s="387">
        <v>-1</v>
      </c>
      <c r="D220" s="775">
        <v>203100000</v>
      </c>
      <c r="E220" s="214" t="str">
        <f>VLOOKUP("T.06.182",Translation,LanguageNo+1,FALSE)</f>
        <v xml:space="preserve">Finanzielle Rückstellungen </v>
      </c>
      <c r="F220" s="249"/>
      <c r="G220" s="194"/>
      <c r="H220" s="268"/>
      <c r="I220" s="385">
        <f>IF(ISBLANK(B220),"",F220+SUMPRODUCT(--($G$6:$G$249=B220),$H$6:$H$249,$C$6:$C$249)*C220-H220)</f>
        <v>0</v>
      </c>
      <c r="J220" s="250"/>
      <c r="K220" s="385">
        <f t="shared" si="120"/>
        <v>0</v>
      </c>
      <c r="L220" s="385">
        <f t="shared" si="118"/>
        <v>0</v>
      </c>
      <c r="M220" s="865">
        <f>'SST Balance Sheet'!E220</f>
        <v>0</v>
      </c>
    </row>
    <row r="221" spans="2:13" ht="14.25" customHeight="1" x14ac:dyDescent="0.25">
      <c r="B221" s="214">
        <f t="shared" si="121"/>
        <v>221</v>
      </c>
      <c r="C221" s="387">
        <v>-1</v>
      </c>
      <c r="D221" s="863" t="s">
        <v>883</v>
      </c>
      <c r="E221" s="214" t="str">
        <f>VLOOKUP("T.06.183",Translation,LanguageNo+1,FALSE)</f>
        <v xml:space="preserve">Sonstige Rückstellungen </v>
      </c>
      <c r="F221" s="256"/>
      <c r="G221" s="308"/>
      <c r="H221" s="285"/>
      <c r="I221" s="385">
        <f>IF(ISBLANK(B221),"",F221+SUMPRODUCT(--($G$6:$G$249=B221),$H$6:$H$249,$C$6:$C$249)*C221-H221)</f>
        <v>0</v>
      </c>
      <c r="J221" s="388"/>
      <c r="K221" s="385">
        <f t="shared" si="120"/>
        <v>0</v>
      </c>
      <c r="L221" s="385">
        <f t="shared" si="118"/>
        <v>0</v>
      </c>
      <c r="M221" s="385">
        <f>'SST Balance Sheet'!E221</f>
        <v>0</v>
      </c>
    </row>
    <row r="222" spans="2:13" s="248" customFormat="1" ht="14.25" customHeight="1" x14ac:dyDescent="0.25">
      <c r="B222" s="258"/>
      <c r="C222" s="389"/>
      <c r="D222" s="258"/>
      <c r="E222" s="258"/>
      <c r="F222" s="260"/>
      <c r="G222" s="260"/>
      <c r="H222" s="260"/>
      <c r="I222" s="390"/>
      <c r="J222" s="260"/>
      <c r="K222" s="390"/>
      <c r="L222" s="390"/>
      <c r="M222" s="390"/>
    </row>
    <row r="223" spans="2:13" ht="14.25" customHeight="1" x14ac:dyDescent="0.25">
      <c r="B223" s="214">
        <f t="shared" si="121"/>
        <v>223</v>
      </c>
      <c r="C223" s="387">
        <v>-1</v>
      </c>
      <c r="D223" s="775">
        <v>204000000</v>
      </c>
      <c r="E223" s="262" t="str">
        <f>VLOOKUP("T.06.184",Translation,LanguageNo+1,FALSE)</f>
        <v>2.4 Verzinsliche Verbindlichkeiten</v>
      </c>
      <c r="F223" s="249"/>
      <c r="G223" s="194"/>
      <c r="H223" s="268"/>
      <c r="I223" s="385">
        <f>IF(ISBLANK(B223),"",F223+SUMPRODUCT(--($G$6:$G$249=B223),$H$6:$H$249,$C$6:$C$249)*C223-H223)</f>
        <v>0</v>
      </c>
      <c r="J223" s="250"/>
      <c r="K223" s="385">
        <f t="shared" ref="K223" si="122">$I223+$J223</f>
        <v>0</v>
      </c>
      <c r="L223" s="385">
        <f t="shared" ref="L223" si="123">$M223-$K223</f>
        <v>0</v>
      </c>
      <c r="M223" s="385">
        <f>'SST Balance Sheet'!E223</f>
        <v>0</v>
      </c>
    </row>
    <row r="224" spans="2:13" s="248" customFormat="1" ht="14.25" customHeight="1" x14ac:dyDescent="0.25">
      <c r="B224" s="258"/>
      <c r="C224" s="389"/>
      <c r="D224" s="258"/>
      <c r="E224" s="258"/>
      <c r="F224" s="260"/>
      <c r="G224" s="260"/>
      <c r="H224" s="260"/>
      <c r="I224" s="390"/>
      <c r="J224" s="260"/>
      <c r="K224" s="390"/>
      <c r="L224" s="390"/>
      <c r="M224" s="390"/>
    </row>
    <row r="225" spans="2:13" ht="14.25" customHeight="1" x14ac:dyDescent="0.25">
      <c r="B225" s="214">
        <f t="shared" si="121"/>
        <v>225</v>
      </c>
      <c r="D225" s="775">
        <v>205000000</v>
      </c>
      <c r="E225" s="262" t="str">
        <f>VLOOKUP("T.06.185",Translation,LanguageNo+1,FALSE)</f>
        <v>2.5. Verbindlichkeiten aus derivativen Finanzinstrumenten</v>
      </c>
      <c r="F225" s="263">
        <f>SUM(F226:F231)</f>
        <v>0</v>
      </c>
      <c r="G225" s="263"/>
      <c r="H225" s="263"/>
      <c r="I225" s="264">
        <f>SUM(I226:I231)</f>
        <v>0</v>
      </c>
      <c r="J225" s="263">
        <f>SUM(J226:J231)</f>
        <v>0</v>
      </c>
      <c r="K225" s="264">
        <f>SUM(K226:K231)</f>
        <v>0</v>
      </c>
      <c r="L225" s="385">
        <f t="shared" ref="L225:L231" si="124">$M225-$K225</f>
        <v>0</v>
      </c>
      <c r="M225" s="385">
        <f>'SST Balance Sheet'!E225</f>
        <v>0</v>
      </c>
    </row>
    <row r="226" spans="2:13" ht="14.25" customHeight="1" x14ac:dyDescent="0.25">
      <c r="B226" s="214">
        <f t="shared" si="121"/>
        <v>226</v>
      </c>
      <c r="C226" s="387">
        <v>-1</v>
      </c>
      <c r="D226" s="775">
        <v>205000100</v>
      </c>
      <c r="E226" s="214" t="str">
        <f>VLOOKUP("T.06.186",Translation,LanguageNo+1,FALSE)</f>
        <v>Zinsrisikobezogene Instrumente</v>
      </c>
      <c r="F226" s="249"/>
      <c r="G226" s="194"/>
      <c r="H226" s="268"/>
      <c r="I226" s="385">
        <f t="shared" ref="I226:I231" si="125">IF(ISBLANK(B226),"",F226+SUMPRODUCT(--($G$6:$G$249=B226),$H$6:$H$249,$C$6:$C$249)*C226-H226)</f>
        <v>0</v>
      </c>
      <c r="J226" s="250"/>
      <c r="K226" s="385">
        <f t="shared" ref="K226:K231" si="126">$I226+$J226</f>
        <v>0</v>
      </c>
      <c r="L226" s="385">
        <f t="shared" si="124"/>
        <v>0</v>
      </c>
      <c r="M226" s="385">
        <f>'SST Balance Sheet'!E226</f>
        <v>0</v>
      </c>
    </row>
    <row r="227" spans="2:13" ht="14.25" customHeight="1" x14ac:dyDescent="0.25">
      <c r="B227" s="214">
        <f t="shared" si="121"/>
        <v>227</v>
      </c>
      <c r="C227" s="387">
        <v>-1</v>
      </c>
      <c r="D227" s="214">
        <v>205000200</v>
      </c>
      <c r="E227" s="214" t="str">
        <f>VLOOKUP("T.06.187",Translation,LanguageNo+1,FALSE)</f>
        <v>Währungsrisikobezogene Instrumente</v>
      </c>
      <c r="F227" s="249"/>
      <c r="G227" s="194"/>
      <c r="H227" s="268"/>
      <c r="I227" s="385">
        <f t="shared" si="125"/>
        <v>0</v>
      </c>
      <c r="J227" s="250"/>
      <c r="K227" s="385">
        <f t="shared" si="126"/>
        <v>0</v>
      </c>
      <c r="L227" s="385">
        <f t="shared" si="124"/>
        <v>0</v>
      </c>
      <c r="M227" s="385">
        <f>'SST Balance Sheet'!E227</f>
        <v>0</v>
      </c>
    </row>
    <row r="228" spans="2:13" ht="14.25" customHeight="1" x14ac:dyDescent="0.25">
      <c r="B228" s="214">
        <f t="shared" si="121"/>
        <v>228</v>
      </c>
      <c r="C228" s="387">
        <v>-1</v>
      </c>
      <c r="D228" s="214">
        <v>205000300</v>
      </c>
      <c r="E228" s="255" t="str">
        <f>VLOOKUP("T.06.188",Translation,LanguageNo+1,FALSE)</f>
        <v>(Aktien-)Marktrisikobezogene Instrumente</v>
      </c>
      <c r="F228" s="249"/>
      <c r="G228" s="194"/>
      <c r="H228" s="268"/>
      <c r="I228" s="385">
        <f t="shared" si="125"/>
        <v>0</v>
      </c>
      <c r="J228" s="250"/>
      <c r="K228" s="385">
        <f t="shared" si="126"/>
        <v>0</v>
      </c>
      <c r="L228" s="385">
        <f t="shared" si="124"/>
        <v>0</v>
      </c>
      <c r="M228" s="385">
        <f>'SST Balance Sheet'!E228</f>
        <v>0</v>
      </c>
    </row>
    <row r="229" spans="2:13" ht="14.25" customHeight="1" x14ac:dyDescent="0.25">
      <c r="B229" s="214">
        <f t="shared" ref="B229" si="127">ROW(B229)</f>
        <v>229</v>
      </c>
      <c r="C229" s="387">
        <v>-1</v>
      </c>
      <c r="D229" s="775">
        <v>205000400</v>
      </c>
      <c r="E229" s="694" t="str">
        <f>VLOOKUP("T.06.189",Translation,LanguageNo+1,FALSE)</f>
        <v>Kreditrisikobezogene Instrumente</v>
      </c>
      <c r="F229" s="249"/>
      <c r="G229" s="194"/>
      <c r="H229" s="268"/>
      <c r="I229" s="385">
        <f t="shared" si="125"/>
        <v>0</v>
      </c>
      <c r="J229" s="250"/>
      <c r="K229" s="385">
        <f t="shared" si="126"/>
        <v>0</v>
      </c>
      <c r="L229" s="385">
        <f t="shared" si="124"/>
        <v>0</v>
      </c>
      <c r="M229" s="385">
        <f>'SST Balance Sheet'!E229</f>
        <v>0</v>
      </c>
    </row>
    <row r="230" spans="2:13" ht="14.25" customHeight="1" x14ac:dyDescent="0.25">
      <c r="B230" s="214">
        <f t="shared" ref="B230:B235" si="128">ROW(B230)</f>
        <v>230</v>
      </c>
      <c r="C230" s="387">
        <v>-1</v>
      </c>
      <c r="D230" s="775">
        <v>205000500</v>
      </c>
      <c r="E230" s="310" t="str">
        <f>VLOOKUP("T.06.190",Translation,LanguageNo+1,FALSE)</f>
        <v>Versicherungsbezogene Instrumente (z.B. Cat Derivate)</v>
      </c>
      <c r="F230" s="249"/>
      <c r="G230" s="194"/>
      <c r="H230" s="268"/>
      <c r="I230" s="385">
        <f t="shared" si="125"/>
        <v>0</v>
      </c>
      <c r="J230" s="250"/>
      <c r="K230" s="385">
        <f t="shared" si="126"/>
        <v>0</v>
      </c>
      <c r="L230" s="385">
        <f t="shared" si="124"/>
        <v>0</v>
      </c>
      <c r="M230" s="385">
        <f>'SST Balance Sheet'!E230</f>
        <v>0</v>
      </c>
    </row>
    <row r="231" spans="2:13" ht="14.25" customHeight="1" x14ac:dyDescent="0.25">
      <c r="B231" s="214">
        <f t="shared" si="128"/>
        <v>231</v>
      </c>
      <c r="C231" s="387">
        <v>-1</v>
      </c>
      <c r="D231" s="775">
        <v>205000600</v>
      </c>
      <c r="E231" s="255" t="str">
        <f>VLOOKUP("T.06.191",Translation,LanguageNo+1,FALSE)</f>
        <v>Übrige derivative Instrumente</v>
      </c>
      <c r="F231" s="256"/>
      <c r="G231" s="308"/>
      <c r="H231" s="285"/>
      <c r="I231" s="385">
        <f t="shared" si="125"/>
        <v>0</v>
      </c>
      <c r="J231" s="388"/>
      <c r="K231" s="385">
        <f t="shared" si="126"/>
        <v>0</v>
      </c>
      <c r="L231" s="385">
        <f t="shared" si="124"/>
        <v>0</v>
      </c>
      <c r="M231" s="385">
        <f>'SST Balance Sheet'!E231</f>
        <v>0</v>
      </c>
    </row>
    <row r="232" spans="2:13" s="248" customFormat="1" ht="14.25" customHeight="1" x14ac:dyDescent="0.25">
      <c r="B232" s="258"/>
      <c r="C232" s="389"/>
      <c r="D232" s="258"/>
      <c r="E232" s="258"/>
      <c r="F232" s="260"/>
      <c r="G232" s="260"/>
      <c r="H232" s="260"/>
      <c r="I232" s="390"/>
      <c r="J232" s="260"/>
      <c r="K232" s="390"/>
      <c r="L232" s="390"/>
      <c r="M232" s="390"/>
    </row>
    <row r="233" spans="2:13" ht="14.25" customHeight="1" x14ac:dyDescent="0.25">
      <c r="B233" s="214">
        <f t="shared" si="128"/>
        <v>233</v>
      </c>
      <c r="C233" s="387">
        <v>-1</v>
      </c>
      <c r="D233" s="775">
        <v>206000000</v>
      </c>
      <c r="E233" s="286" t="str">
        <f>VLOOKUP("T.06.192",Translation,LanguageNo+1,FALSE)</f>
        <v>2.6 Depotverbindlichkeiten aus abgegebener Rückversicherung</v>
      </c>
      <c r="F233" s="216"/>
      <c r="G233" s="215"/>
      <c r="H233" s="309"/>
      <c r="I233" s="385">
        <f>IF(ISBLANK(B233),"",F233+SUMPRODUCT(--($G$6:$G$249=B233),$H$6:$H$249,$C$6:$C$249)*C233-H233)</f>
        <v>0</v>
      </c>
      <c r="J233" s="398"/>
      <c r="K233" s="385">
        <f t="shared" ref="K233" si="129">$I233+$J233</f>
        <v>0</v>
      </c>
      <c r="L233" s="385">
        <f t="shared" ref="L233" si="130">$M233-$K233</f>
        <v>0</v>
      </c>
      <c r="M233" s="385">
        <f>'SST Balance Sheet'!E233</f>
        <v>0</v>
      </c>
    </row>
    <row r="234" spans="2:13" s="248" customFormat="1" ht="14.25" customHeight="1" x14ac:dyDescent="0.25">
      <c r="B234" s="258"/>
      <c r="C234" s="389"/>
      <c r="D234" s="258"/>
      <c r="E234" s="258"/>
      <c r="F234" s="260"/>
      <c r="G234" s="260"/>
      <c r="H234" s="260"/>
      <c r="I234" s="390"/>
      <c r="J234" s="260"/>
      <c r="K234" s="390"/>
      <c r="L234" s="390"/>
      <c r="M234" s="390"/>
    </row>
    <row r="235" spans="2:13" ht="14.25" customHeight="1" x14ac:dyDescent="0.25">
      <c r="B235" s="214">
        <f t="shared" si="128"/>
        <v>235</v>
      </c>
      <c r="D235" s="214">
        <v>207000000</v>
      </c>
      <c r="E235" s="286" t="str">
        <f>VLOOKUP("T.06.193",Translation,LanguageNo+1,FALSE)</f>
        <v>2.7 Verbindlichkeiten aus dem Versicherungsgeschäft</v>
      </c>
      <c r="F235" s="299">
        <f>SUM(F236:F237)</f>
        <v>0</v>
      </c>
      <c r="G235" s="299"/>
      <c r="H235" s="299"/>
      <c r="I235" s="396">
        <f>SUM(I236:I237)</f>
        <v>0</v>
      </c>
      <c r="J235" s="299">
        <f>SUM(J236:J237)</f>
        <v>0</v>
      </c>
      <c r="K235" s="396">
        <f>SUM(K236:K237)</f>
        <v>0</v>
      </c>
      <c r="L235" s="385">
        <f t="shared" ref="L235:L237" si="131">$M235-$K235</f>
        <v>0</v>
      </c>
      <c r="M235" s="385">
        <f>'SST Balance Sheet'!E235</f>
        <v>0</v>
      </c>
    </row>
    <row r="236" spans="2:13" ht="14.25" customHeight="1" x14ac:dyDescent="0.25">
      <c r="B236" s="214">
        <f t="shared" ref="B236:B237" si="132">ROW(B236)</f>
        <v>236</v>
      </c>
      <c r="C236" s="387">
        <v>-1</v>
      </c>
      <c r="D236" s="214">
        <v>207300200</v>
      </c>
      <c r="E236" s="310" t="str">
        <f>VLOOKUP("T.06.194",Translation,LanguageNo+1,FALSE)</f>
        <v>Sonstige Depotverbindlichkeiten</v>
      </c>
      <c r="F236" s="249"/>
      <c r="G236" s="194"/>
      <c r="H236" s="268"/>
      <c r="I236" s="385">
        <f>IF(ISBLANK(B236),"",F236+SUMPRODUCT(--($G$6:$G$249=B236),$H$6:$H$249,$C$6:$C$249)*C236-H236)</f>
        <v>0</v>
      </c>
      <c r="J236" s="250"/>
      <c r="K236" s="385">
        <f t="shared" ref="K236:K237" si="133">$I236+$J236</f>
        <v>0</v>
      </c>
      <c r="L236" s="385">
        <f t="shared" si="131"/>
        <v>0</v>
      </c>
      <c r="M236" s="385">
        <f>'SST Balance Sheet'!E236</f>
        <v>0</v>
      </c>
    </row>
    <row r="237" spans="2:13" ht="14.25" customHeight="1" x14ac:dyDescent="0.25">
      <c r="B237" s="214">
        <f t="shared" si="132"/>
        <v>237</v>
      </c>
      <c r="C237" s="387">
        <v>-1</v>
      </c>
      <c r="D237" s="775" t="s">
        <v>883</v>
      </c>
      <c r="E237" s="214" t="str">
        <f>VLOOKUP("T.06.195",Translation,LanguageNo+1,FALSE)</f>
        <v>Sonstige Verbindlichkeiten aus dem Versicherungsgeschäft</v>
      </c>
      <c r="F237" s="249"/>
      <c r="G237" s="194"/>
      <c r="H237" s="268"/>
      <c r="I237" s="385">
        <f>IF(ISBLANK(B237),"",F237+SUMPRODUCT(--($G$6:$G$249=B237),$H$6:$H$249,$C$6:$C$249)*C237-H237)</f>
        <v>0</v>
      </c>
      <c r="J237" s="250"/>
      <c r="K237" s="385">
        <f t="shared" si="133"/>
        <v>0</v>
      </c>
      <c r="L237" s="385">
        <f t="shared" si="131"/>
        <v>0</v>
      </c>
      <c r="M237" s="385">
        <f>'SST Balance Sheet'!E237</f>
        <v>0</v>
      </c>
    </row>
    <row r="238" spans="2:13" ht="14.25" customHeight="1" x14ac:dyDescent="0.25">
      <c r="B238" s="258"/>
      <c r="C238" s="389"/>
      <c r="D238" s="258"/>
      <c r="E238" s="259"/>
      <c r="F238" s="260"/>
      <c r="G238" s="260"/>
      <c r="H238" s="260"/>
      <c r="I238" s="390"/>
      <c r="J238" s="260"/>
      <c r="K238" s="390"/>
      <c r="L238" s="390"/>
      <c r="M238" s="390"/>
    </row>
    <row r="239" spans="2:13" ht="14.25" customHeight="1" x14ac:dyDescent="0.25">
      <c r="B239" s="214">
        <f t="shared" ref="B239:B240" si="134">ROW(B239)</f>
        <v>239</v>
      </c>
      <c r="C239" s="384"/>
      <c r="D239" s="775">
        <v>208000000</v>
      </c>
      <c r="E239" s="294" t="str">
        <f>VLOOKUP("T.06.196",Translation,LanguageNo+1,FALSE)</f>
        <v>2.8 Sonstige Passiven</v>
      </c>
      <c r="F239" s="263">
        <f>SUM(F240:F241)</f>
        <v>0</v>
      </c>
      <c r="G239" s="263"/>
      <c r="H239" s="263"/>
      <c r="I239" s="264">
        <f>SUM(I240:I241)</f>
        <v>0</v>
      </c>
      <c r="J239" s="263">
        <f>SUM(J240:J241)</f>
        <v>0</v>
      </c>
      <c r="K239" s="264">
        <f>SUM(K240:K241)</f>
        <v>0</v>
      </c>
      <c r="L239" s="385">
        <f t="shared" ref="L239:L241" si="135">$M239-$K239</f>
        <v>0</v>
      </c>
      <c r="M239" s="385">
        <f>'SST Balance Sheet'!E239</f>
        <v>0</v>
      </c>
    </row>
    <row r="240" spans="2:13" ht="14.25" customHeight="1" x14ac:dyDescent="0.25">
      <c r="B240" s="214">
        <f t="shared" si="134"/>
        <v>240</v>
      </c>
      <c r="C240" s="387">
        <v>-1</v>
      </c>
      <c r="D240" s="214"/>
      <c r="E240" s="214" t="str">
        <f>VLOOKUP("T.06.197",Translation,LanguageNo+1,FALSE)</f>
        <v>Gegebene Garantien, Bürgschaften</v>
      </c>
      <c r="F240" s="249"/>
      <c r="G240" s="194"/>
      <c r="H240" s="268"/>
      <c r="I240" s="385">
        <f>IF(ISBLANK(B240),"",F240+SUMPRODUCT(--($G$6:$G$249=B240),$H$6:$H$249,$C$6:$C$249)*C240-H240)</f>
        <v>0</v>
      </c>
      <c r="J240" s="250"/>
      <c r="K240" s="385">
        <f t="shared" ref="K240:K241" si="136">$I240+$J240</f>
        <v>0</v>
      </c>
      <c r="L240" s="385">
        <f t="shared" si="135"/>
        <v>0</v>
      </c>
      <c r="M240" s="385">
        <f>'SST Balance Sheet'!E240</f>
        <v>0</v>
      </c>
    </row>
    <row r="241" spans="2:13" ht="14.25" customHeight="1" x14ac:dyDescent="0.25">
      <c r="B241" s="214">
        <f t="shared" ref="B241:B252" si="137">ROW(B241)</f>
        <v>241</v>
      </c>
      <c r="C241" s="387">
        <v>-1</v>
      </c>
      <c r="D241" s="863" t="s">
        <v>883</v>
      </c>
      <c r="E241" s="310" t="str">
        <f>VLOOKUP("T.06.198",Translation,LanguageNo+1,FALSE)</f>
        <v>Sonstige Verbindlichkeiten</v>
      </c>
      <c r="F241" s="256"/>
      <c r="G241" s="308"/>
      <c r="H241" s="285"/>
      <c r="I241" s="385">
        <f>IF(ISBLANK(B241),"",F241+SUMPRODUCT(--($G$6:$G$249=B241),$H$6:$H$249,$C$6:$C$249)*C241-H241)</f>
        <v>0</v>
      </c>
      <c r="J241" s="388"/>
      <c r="K241" s="385">
        <f t="shared" si="136"/>
        <v>0</v>
      </c>
      <c r="L241" s="385">
        <f t="shared" si="135"/>
        <v>0</v>
      </c>
      <c r="M241" s="385">
        <f>'SST Balance Sheet'!E241</f>
        <v>0</v>
      </c>
    </row>
    <row r="242" spans="2:13" s="248" customFormat="1" ht="14.25" customHeight="1" x14ac:dyDescent="0.25">
      <c r="B242" s="258"/>
      <c r="C242" s="389"/>
      <c r="D242" s="258"/>
      <c r="E242" s="259"/>
      <c r="F242" s="260"/>
      <c r="G242" s="260"/>
      <c r="H242" s="260"/>
      <c r="I242" s="390"/>
      <c r="J242" s="260"/>
      <c r="K242" s="390"/>
      <c r="L242" s="390"/>
      <c r="M242" s="390"/>
    </row>
    <row r="243" spans="2:13" ht="14.25" customHeight="1" x14ac:dyDescent="0.25">
      <c r="B243" s="214">
        <f t="shared" si="137"/>
        <v>243</v>
      </c>
      <c r="C243" s="387"/>
      <c r="D243" s="775">
        <v>209000000</v>
      </c>
      <c r="E243" s="262" t="str">
        <f>VLOOKUP("T.06.199",Translation,LanguageNo+1,FALSE)</f>
        <v>2.9. Passive Rechnungsabgrenzungen</v>
      </c>
      <c r="F243" s="263">
        <f>SUM(F244:F245)</f>
        <v>0</v>
      </c>
      <c r="G243" s="263"/>
      <c r="H243" s="263"/>
      <c r="I243" s="263">
        <f>SUM(I244:I245)</f>
        <v>0</v>
      </c>
      <c r="J243" s="263">
        <f>SUM(J244:J245)</f>
        <v>0</v>
      </c>
      <c r="K243" s="263">
        <f>SUM(K244:K245)</f>
        <v>0</v>
      </c>
      <c r="L243" s="385">
        <f t="shared" ref="L243:L245" si="138">$M243-$K243</f>
        <v>0</v>
      </c>
      <c r="M243" s="385">
        <f>'SST Balance Sheet'!E243</f>
        <v>0</v>
      </c>
    </row>
    <row r="244" spans="2:13" ht="14.25" customHeight="1" x14ac:dyDescent="0.25">
      <c r="B244" s="214">
        <f t="shared" si="137"/>
        <v>244</v>
      </c>
      <c r="C244" s="387">
        <v>-1</v>
      </c>
      <c r="D244" s="775">
        <v>209000400</v>
      </c>
      <c r="E244" s="255" t="str">
        <f>VLOOKUP("T.06.200",Translation,LanguageNo+1,FALSE)</f>
        <v>Latente Steuerverpflichtungen</v>
      </c>
      <c r="F244" s="295"/>
      <c r="G244" s="861"/>
      <c r="H244" s="635"/>
      <c r="I244" s="385">
        <f>IF(ISBLANK(B244),"",F244+SUMPRODUCT(--($G$6:$G$249=B244),$H$6:$H$249,$C$6:$C$249)*C244-H244)</f>
        <v>0</v>
      </c>
      <c r="J244" s="862"/>
      <c r="K244" s="385">
        <f t="shared" ref="K244:K245" si="139">$I244+$J244</f>
        <v>0</v>
      </c>
      <c r="L244" s="385">
        <f t="shared" si="138"/>
        <v>0</v>
      </c>
      <c r="M244" s="865">
        <f>'SST Balance Sheet'!E244</f>
        <v>0</v>
      </c>
    </row>
    <row r="245" spans="2:13" ht="14.25" customHeight="1" x14ac:dyDescent="0.25">
      <c r="B245" s="214">
        <f t="shared" si="137"/>
        <v>245</v>
      </c>
      <c r="C245" s="387">
        <v>-1</v>
      </c>
      <c r="D245" s="775" t="s">
        <v>883</v>
      </c>
      <c r="E245" s="255" t="str">
        <f>VLOOKUP("T.06.201",Translation,LanguageNo+1,FALSE)</f>
        <v>Sonstige Rechnungsabgrenzungsposten</v>
      </c>
      <c r="F245" s="256"/>
      <c r="G245" s="308"/>
      <c r="H245" s="285"/>
      <c r="I245" s="385">
        <f>IF(ISBLANK(B245),"",F245+SUMPRODUCT(--($G$6:$G$249=B245),$H$6:$H$249,$C$6:$C$249)*C245-H245)</f>
        <v>0</v>
      </c>
      <c r="J245" s="388"/>
      <c r="K245" s="385">
        <f t="shared" si="139"/>
        <v>0</v>
      </c>
      <c r="L245" s="385">
        <f t="shared" si="138"/>
        <v>0</v>
      </c>
      <c r="M245" s="385">
        <f>'SST Balance Sheet'!E245</f>
        <v>0</v>
      </c>
    </row>
    <row r="246" spans="2:13" s="248" customFormat="1" ht="14.25" customHeight="1" x14ac:dyDescent="0.25">
      <c r="B246" s="258"/>
      <c r="C246" s="389"/>
      <c r="D246" s="258"/>
      <c r="E246" s="323"/>
      <c r="F246" s="260"/>
      <c r="G246" s="260"/>
      <c r="H246" s="260"/>
      <c r="I246" s="390"/>
      <c r="J246" s="260"/>
      <c r="K246" s="390"/>
      <c r="L246" s="390"/>
      <c r="M246" s="390"/>
    </row>
    <row r="247" spans="2:13" ht="14.25" customHeight="1" x14ac:dyDescent="0.25">
      <c r="B247" s="214">
        <f t="shared" si="137"/>
        <v>247</v>
      </c>
      <c r="C247" s="387"/>
      <c r="D247" s="775">
        <v>210000000</v>
      </c>
      <c r="E247" s="321" t="str">
        <f>VLOOKUP("T.06.202",Translation,LanguageNo+1,FALSE)</f>
        <v>2.10 Nachrangige Verbindlichkeiten</v>
      </c>
      <c r="F247" s="263">
        <f>SUM(F248:F252)</f>
        <v>0</v>
      </c>
      <c r="G247" s="263"/>
      <c r="H247" s="263"/>
      <c r="I247" s="264">
        <f>SUM(I248:I252)</f>
        <v>0</v>
      </c>
      <c r="J247" s="263">
        <f>SUM(J248:J252)</f>
        <v>0</v>
      </c>
      <c r="K247" s="264">
        <f>SUM(K248:K252)</f>
        <v>0</v>
      </c>
      <c r="L247" s="385">
        <f t="shared" ref="L247:L252" si="140">$M247-$K247</f>
        <v>0</v>
      </c>
      <c r="M247" s="385">
        <f>'SST Balance Sheet'!E247</f>
        <v>0</v>
      </c>
    </row>
    <row r="248" spans="2:13" ht="14.25" customHeight="1" x14ac:dyDescent="0.25">
      <c r="B248" s="214">
        <f t="shared" si="137"/>
        <v>248</v>
      </c>
      <c r="C248" s="387">
        <v>-1</v>
      </c>
      <c r="D248" s="775">
        <v>210000100</v>
      </c>
      <c r="E248" s="255" t="str">
        <f>VLOOKUP("T.06.203",Translation,LanguageNo+1,FALSE)</f>
        <v>Unbefristete Anleihen und Darlehen mit Eigenkapitalcharakter</v>
      </c>
      <c r="F248" s="249"/>
      <c r="G248" s="194"/>
      <c r="H248" s="268"/>
      <c r="I248" s="385">
        <f>IF(ISBLANK(B248),"",F248+SUMPRODUCT(--($G$6:$G$249=B248),$H$6:$H$249,$C$6:$C$249)*C248-H248)</f>
        <v>0</v>
      </c>
      <c r="J248" s="250"/>
      <c r="K248" s="385">
        <f t="shared" ref="K248:K252" si="141">$I248+$J248</f>
        <v>0</v>
      </c>
      <c r="L248" s="385">
        <f t="shared" si="140"/>
        <v>0</v>
      </c>
      <c r="M248" s="385">
        <f>'SST Balance Sheet'!E248</f>
        <v>0</v>
      </c>
    </row>
    <row r="249" spans="2:13" s="248" customFormat="1" ht="14.25" customHeight="1" x14ac:dyDescent="0.25">
      <c r="B249" s="214">
        <f t="shared" si="137"/>
        <v>249</v>
      </c>
      <c r="C249" s="387">
        <v>-1</v>
      </c>
      <c r="D249" s="775">
        <v>210000200</v>
      </c>
      <c r="E249" s="694" t="str">
        <f>VLOOKUP("T.06.204",Translation,LanguageNo+1,FALSE)</f>
        <v>Unbefristete sonstige Verbindlichkeiten mit Eigenkapitalcharakter</v>
      </c>
      <c r="F249" s="249"/>
      <c r="G249" s="194"/>
      <c r="H249" s="268"/>
      <c r="I249" s="385">
        <f>IF(ISBLANK(B249),"",F249+SUMPRODUCT(--($G$6:$G$249=B249),$H$6:$H$249,$C$6:$C$249)*C249-H249)</f>
        <v>0</v>
      </c>
      <c r="J249" s="250"/>
      <c r="K249" s="385">
        <f t="shared" si="141"/>
        <v>0</v>
      </c>
      <c r="L249" s="385">
        <f t="shared" si="140"/>
        <v>0</v>
      </c>
      <c r="M249" s="385">
        <f>'SST Balance Sheet'!E249</f>
        <v>0</v>
      </c>
    </row>
    <row r="250" spans="2:13" s="248" customFormat="1" ht="14.25" customHeight="1" x14ac:dyDescent="0.25">
      <c r="B250" s="214">
        <f t="shared" si="137"/>
        <v>250</v>
      </c>
      <c r="C250" s="387">
        <v>-1</v>
      </c>
      <c r="D250" s="775">
        <v>210000300</v>
      </c>
      <c r="E250" s="694" t="str">
        <f>VLOOKUP("T.06.205",Translation,LanguageNo+1,FALSE)</f>
        <v>Anleihen, Darlehen und sonstige Verbindlichkeiten, die zwingend in Eigenkapital gewandelt werden müssen</v>
      </c>
      <c r="F250" s="249"/>
      <c r="G250" s="194"/>
      <c r="H250" s="268"/>
      <c r="I250" s="385">
        <f>IF(ISBLANK(B250),"",F250+SUMPRODUCT(--($G$6:$G$249=B250),$H$6:$H$249,$C$6:$C$249)*C250-H250)</f>
        <v>0</v>
      </c>
      <c r="J250" s="250"/>
      <c r="K250" s="385">
        <f t="shared" si="141"/>
        <v>0</v>
      </c>
      <c r="L250" s="385">
        <f t="shared" si="140"/>
        <v>0</v>
      </c>
      <c r="M250" s="385">
        <f>'SST Balance Sheet'!E250</f>
        <v>0</v>
      </c>
    </row>
    <row r="251" spans="2:13" s="248" customFormat="1" ht="14.25" customHeight="1" x14ac:dyDescent="0.25">
      <c r="B251" s="214">
        <f t="shared" si="137"/>
        <v>251</v>
      </c>
      <c r="C251" s="387">
        <v>-1</v>
      </c>
      <c r="D251" s="775">
        <v>210000400</v>
      </c>
      <c r="E251" s="694" t="str">
        <f>VLOOKUP("T.06.206",Translation,LanguageNo+1,FALSE)</f>
        <v>Anleihen und Darlehen mit Eigenkapitalcharakter mit fester Laufzeit</v>
      </c>
      <c r="F251" s="249"/>
      <c r="G251" s="194"/>
      <c r="H251" s="268"/>
      <c r="I251" s="385">
        <f>IF(ISBLANK(B251),"",F251+SUMPRODUCT(--($G$6:$G$249=B251),$H$6:$H$249,$C$6:$C$249)*C251-H251)</f>
        <v>0</v>
      </c>
      <c r="J251" s="250"/>
      <c r="K251" s="385">
        <f t="shared" si="141"/>
        <v>0</v>
      </c>
      <c r="L251" s="385">
        <f t="shared" si="140"/>
        <v>0</v>
      </c>
      <c r="M251" s="385">
        <f>'SST Balance Sheet'!E251</f>
        <v>0</v>
      </c>
    </row>
    <row r="252" spans="2:13" s="248" customFormat="1" ht="14.25" customHeight="1" x14ac:dyDescent="0.25">
      <c r="B252" s="214">
        <f t="shared" si="137"/>
        <v>252</v>
      </c>
      <c r="C252" s="387">
        <v>-1</v>
      </c>
      <c r="D252" s="775">
        <v>210000500</v>
      </c>
      <c r="E252" s="694" t="str">
        <f>VLOOKUP("T.06.207",Translation,LanguageNo+1,FALSE)</f>
        <v>Sonstige Verbindlichkeiten mit Eigenkapitalcharakter mit fester Laufzeit</v>
      </c>
      <c r="F252" s="256"/>
      <c r="G252" s="308"/>
      <c r="H252" s="285"/>
      <c r="I252" s="385">
        <f>IF(ISBLANK(B252),"",F252+SUMPRODUCT(--($G$6:$G$249=B252),$H$6:$H$249,$C$6:$C$249)*C252-H252)</f>
        <v>0</v>
      </c>
      <c r="J252" s="388"/>
      <c r="K252" s="385">
        <f t="shared" si="141"/>
        <v>0</v>
      </c>
      <c r="L252" s="385">
        <f t="shared" si="140"/>
        <v>0</v>
      </c>
      <c r="M252" s="385">
        <f>'SST Balance Sheet'!E252</f>
        <v>0</v>
      </c>
    </row>
    <row r="253" spans="2:13" ht="14.25" customHeight="1" x14ac:dyDescent="0.25">
      <c r="B253" s="323"/>
      <c r="C253" s="395"/>
      <c r="D253" s="266"/>
      <c r="E253" s="265"/>
      <c r="F253" s="260"/>
      <c r="G253" s="260"/>
      <c r="H253" s="260"/>
      <c r="I253" s="390"/>
      <c r="J253" s="260"/>
      <c r="K253" s="390"/>
      <c r="L253" s="390"/>
      <c r="M253" s="390"/>
    </row>
    <row r="254" spans="2:13" ht="14.25" customHeight="1" x14ac:dyDescent="0.25">
      <c r="B254" s="402">
        <f t="shared" ref="B254" si="142">ROW(B254)</f>
        <v>254</v>
      </c>
      <c r="C254" s="403"/>
      <c r="D254" s="324">
        <v>211000000</v>
      </c>
      <c r="E254" s="325" t="str">
        <f>VLOOKUP("T.06.208",Translation,LanguageNo+1,FALSE)</f>
        <v>Total Fremdkapital</v>
      </c>
      <c r="F254" s="404">
        <f>F173+F208+F216+F218+F223+F225+F233+F235+F239+F243+F247</f>
        <v>0</v>
      </c>
      <c r="G254" s="404"/>
      <c r="H254" s="404"/>
      <c r="I254" s="404">
        <f>I173+I208+I216+I218+I223+I225+I233+I235+I239+I243+I247</f>
        <v>0</v>
      </c>
      <c r="J254" s="404">
        <f>J173+J208+J216+J218+J223+J225+J233+J235+J239+J243+J247</f>
        <v>0</v>
      </c>
      <c r="K254" s="404">
        <f>K173+K208+K216+K218+K223+K225+K233+K235+K239+K243+K247</f>
        <v>0</v>
      </c>
      <c r="L254" s="405">
        <f t="shared" ref="L254" si="143">$M254-$K254</f>
        <v>0</v>
      </c>
      <c r="M254" s="405">
        <f>'SST Balance Sheet'!E254</f>
        <v>0</v>
      </c>
    </row>
    <row r="255" spans="2:13" ht="12.75" customHeight="1" x14ac:dyDescent="0.25">
      <c r="B255" s="410"/>
      <c r="C255" s="406"/>
      <c r="D255" s="408"/>
    </row>
    <row r="256" spans="2:13" ht="12.75" customHeight="1" x14ac:dyDescent="0.25">
      <c r="B256" s="410"/>
      <c r="C256" s="406"/>
      <c r="D256" s="408"/>
    </row>
    <row r="257" spans="2:4" ht="12.75" customHeight="1" x14ac:dyDescent="0.25">
      <c r="B257" s="410"/>
      <c r="C257" s="406"/>
      <c r="D257" s="408"/>
    </row>
    <row r="258" spans="2:4" ht="12.75" customHeight="1" x14ac:dyDescent="0.25">
      <c r="B258" s="410"/>
      <c r="C258" s="406"/>
      <c r="D258" s="410"/>
    </row>
    <row r="259" spans="2:4" ht="12.75" customHeight="1" x14ac:dyDescent="0.25">
      <c r="B259" s="410"/>
      <c r="C259" s="406"/>
      <c r="D259" s="327"/>
    </row>
    <row r="260" spans="2:4" ht="12.75" customHeight="1" x14ac:dyDescent="0.25">
      <c r="B260" s="410"/>
      <c r="C260" s="406"/>
      <c r="D260" s="327"/>
    </row>
    <row r="261" spans="2:4" ht="12.75" customHeight="1" x14ac:dyDescent="0.25">
      <c r="B261" s="410"/>
      <c r="C261" s="406"/>
    </row>
    <row r="262" spans="2:4" ht="12.75" customHeight="1" x14ac:dyDescent="0.25">
      <c r="B262" s="410"/>
      <c r="C262" s="406"/>
    </row>
    <row r="263" spans="2:4" ht="12.75" customHeight="1" x14ac:dyDescent="0.25">
      <c r="B263" s="410"/>
      <c r="C263" s="406"/>
    </row>
    <row r="264" spans="2:4" ht="12.75" customHeight="1" x14ac:dyDescent="0.25">
      <c r="B264" s="410"/>
      <c r="C264" s="406"/>
    </row>
    <row r="265" spans="2:4" ht="12.75" customHeight="1" x14ac:dyDescent="0.25">
      <c r="B265" s="410"/>
      <c r="C265" s="406"/>
    </row>
    <row r="266" spans="2:4" ht="12.75" customHeight="1" x14ac:dyDescent="0.25">
      <c r="B266" s="410"/>
      <c r="C266" s="406"/>
    </row>
    <row r="267" spans="2:4" ht="12.75" customHeight="1" x14ac:dyDescent="0.25">
      <c r="B267" s="410"/>
      <c r="C267" s="406"/>
    </row>
    <row r="268" spans="2:4" ht="12.75" customHeight="1" x14ac:dyDescent="0.25">
      <c r="B268" s="410"/>
      <c r="C268" s="406"/>
    </row>
    <row r="269" spans="2:4" ht="12.75" customHeight="1" x14ac:dyDescent="0.25">
      <c r="B269" s="410"/>
      <c r="C269" s="406"/>
    </row>
    <row r="270" spans="2:4" ht="12.75" customHeight="1" x14ac:dyDescent="0.25">
      <c r="B270" s="410"/>
      <c r="C270" s="406"/>
    </row>
    <row r="271" spans="2:4" ht="12.75" customHeight="1" x14ac:dyDescent="0.25">
      <c r="B271" s="410"/>
      <c r="C271" s="406"/>
    </row>
    <row r="272" spans="2:4" ht="12.75" customHeight="1" x14ac:dyDescent="0.25">
      <c r="B272" s="410"/>
      <c r="C272" s="406"/>
    </row>
    <row r="273" spans="2:3" ht="12.75" customHeight="1" x14ac:dyDescent="0.25">
      <c r="B273" s="410"/>
      <c r="C273" s="406"/>
    </row>
    <row r="274" spans="2:3" ht="12.75" customHeight="1" x14ac:dyDescent="0.25">
      <c r="B274" s="410"/>
      <c r="C274" s="406"/>
    </row>
    <row r="275" spans="2:3" ht="12.75" customHeight="1" x14ac:dyDescent="0.25">
      <c r="B275" s="410"/>
      <c r="C275" s="406"/>
    </row>
    <row r="276" spans="2:3" ht="12.75" customHeight="1" x14ac:dyDescent="0.25">
      <c r="B276" s="410"/>
      <c r="C276" s="406"/>
    </row>
    <row r="277" spans="2:3" ht="12.75" customHeight="1" x14ac:dyDescent="0.25">
      <c r="B277" s="410"/>
      <c r="C277" s="406"/>
    </row>
    <row r="278" spans="2:3" ht="12.75" customHeight="1" x14ac:dyDescent="0.25">
      <c r="B278" s="410"/>
      <c r="C278" s="406"/>
    </row>
    <row r="279" spans="2:3" ht="12.75" customHeight="1" x14ac:dyDescent="0.25">
      <c r="B279" s="410"/>
      <c r="C279" s="406"/>
    </row>
    <row r="280" spans="2:3" ht="12.75" customHeight="1" x14ac:dyDescent="0.25">
      <c r="B280" s="410"/>
      <c r="C280" s="406"/>
    </row>
    <row r="281" spans="2:3" ht="12.75" customHeight="1" x14ac:dyDescent="0.25">
      <c r="B281" s="410"/>
      <c r="C281" s="406"/>
    </row>
    <row r="282" spans="2:3" ht="12.75" customHeight="1" x14ac:dyDescent="0.25">
      <c r="B282" s="410"/>
      <c r="C282" s="406"/>
    </row>
    <row r="283" spans="2:3" ht="12.75" customHeight="1" x14ac:dyDescent="0.25">
      <c r="B283" s="410"/>
      <c r="C283" s="406"/>
    </row>
    <row r="284" spans="2:3" ht="12.75" customHeight="1" x14ac:dyDescent="0.25">
      <c r="B284" s="410"/>
      <c r="C284" s="406"/>
    </row>
    <row r="285" spans="2:3" ht="12.75" customHeight="1" x14ac:dyDescent="0.25">
      <c r="B285" s="410"/>
      <c r="C285" s="406"/>
    </row>
    <row r="286" spans="2:3" ht="12.75" customHeight="1" x14ac:dyDescent="0.25">
      <c r="B286" s="410"/>
      <c r="C286" s="406"/>
    </row>
    <row r="287" spans="2:3" ht="12.75" customHeight="1" x14ac:dyDescent="0.25">
      <c r="B287" s="410"/>
      <c r="C287" s="406"/>
    </row>
    <row r="288" spans="2:3" ht="12.75" customHeight="1" x14ac:dyDescent="0.25">
      <c r="B288" s="410"/>
      <c r="C288" s="406"/>
    </row>
    <row r="289" spans="2:3" ht="12.75" customHeight="1" x14ac:dyDescent="0.25">
      <c r="B289" s="410"/>
      <c r="C289" s="406"/>
    </row>
    <row r="290" spans="2:3" ht="12.75" customHeight="1" x14ac:dyDescent="0.25">
      <c r="B290" s="410"/>
      <c r="C290" s="406"/>
    </row>
    <row r="291" spans="2:3" ht="12.75" customHeight="1" x14ac:dyDescent="0.25">
      <c r="B291" s="410"/>
      <c r="C291" s="406"/>
    </row>
    <row r="292" spans="2:3" ht="12.75" customHeight="1" x14ac:dyDescent="0.25">
      <c r="B292" s="410"/>
      <c r="C292" s="406"/>
    </row>
    <row r="293" spans="2:3" ht="12.75" customHeight="1" x14ac:dyDescent="0.25">
      <c r="B293" s="410"/>
      <c r="C293" s="406"/>
    </row>
    <row r="294" spans="2:3" ht="12.75" customHeight="1" x14ac:dyDescent="0.25">
      <c r="B294" s="410"/>
      <c r="C294" s="406"/>
    </row>
    <row r="295" spans="2:3" ht="12.75" customHeight="1" x14ac:dyDescent="0.25">
      <c r="B295" s="410"/>
      <c r="C295" s="406"/>
    </row>
    <row r="296" spans="2:3" ht="12.75" customHeight="1" x14ac:dyDescent="0.25">
      <c r="B296" s="410"/>
      <c r="C296" s="406"/>
    </row>
    <row r="297" spans="2:3" ht="12.75" customHeight="1" x14ac:dyDescent="0.25">
      <c r="B297" s="410"/>
      <c r="C297" s="406"/>
    </row>
    <row r="298" spans="2:3" ht="12.75" customHeight="1" x14ac:dyDescent="0.25">
      <c r="B298" s="410"/>
      <c r="C298" s="406"/>
    </row>
    <row r="299" spans="2:3" ht="12.75" customHeight="1" x14ac:dyDescent="0.25">
      <c r="B299" s="410"/>
      <c r="C299" s="406"/>
    </row>
  </sheetData>
  <conditionalFormatting sqref="G1:G1048576">
    <cfRule type="expression" dxfId="36" priority="180">
      <formula>IF(ISERROR(MATCH($B1,$G:$G,0)),0,1)</formula>
    </cfRule>
  </conditionalFormatting>
  <conditionalFormatting sqref="G8:G174 G178:G254">
    <cfRule type="expression" dxfId="35" priority="179">
      <formula>IF(ISBLANK(G8),0,1)</formula>
    </cfRule>
  </conditionalFormatting>
  <conditionalFormatting sqref="J1:J120 J122:J172 J174 J176:J253 J255:J1048576">
    <cfRule type="cellIs" dxfId="34" priority="178" operator="notEqual">
      <formula>0</formula>
    </cfRule>
  </conditionalFormatting>
  <conditionalFormatting sqref="G176:G177">
    <cfRule type="expression" dxfId="33" priority="3">
      <formula>IF(ISBLANK(G176),0,1)</formula>
    </cfRule>
  </conditionalFormatting>
  <conditionalFormatting sqref="G175">
    <cfRule type="expression" dxfId="32" priority="1">
      <formula>IF(ISBLANK(G175),0,1)</formula>
    </cfRule>
  </conditionalFormatting>
  <pageMargins left="0.70866141732283472" right="0.70866141732283472" top="0.78740157480314965" bottom="0.78740157480314965" header="0.31496062992125984" footer="0.31496062992125984"/>
  <pageSetup paperSize="9" scale="54" fitToHeight="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pic_Note xmlns="http://schemas.microsoft.com/sharepoint/v3/fields">
      <Terms xmlns="http://schemas.microsoft.com/office/infopath/2007/PartnerControls">
        <TermInfo xmlns="http://schemas.microsoft.com/office/infopath/2007/PartnerControls">
          <TermName xmlns="http://schemas.microsoft.com/office/infopath/2007/PartnerControls">Aufsichtsabgabe</TermName>
          <TermId xmlns="http://schemas.microsoft.com/office/infopath/2007/PartnerControls">1bb1ff23-244b-430d-b77e-6c87f49b07f4</TermId>
        </TermInfo>
      </Terms>
    </Topic_Note>
    <OU_Note xmlns="http://schemas.microsoft.com/sharepoint/v3/fields">
      <Terms xmlns="http://schemas.microsoft.com/office/infopath/2007/PartnerControls">
        <TermInfo xmlns="http://schemas.microsoft.com/office/infopath/2007/PartnerControls">
          <TermName xmlns="http://schemas.microsoft.com/office/infopath/2007/PartnerControls">GB-V</TermName>
          <TermId xmlns="http://schemas.microsoft.com/office/infopath/2007/PartnerControls">f8d7b412-2487-4e9a-b58d-c7490dedd0c5</TermId>
        </TermInfo>
      </Terms>
    </OU_Note>
    <OSP_Note xmlns="http://schemas.microsoft.com/sharepoint/v3/fields">
      <Terms xmlns="http://schemas.microsoft.com/office/infopath/2007/PartnerControls">
        <TermInfo xmlns="http://schemas.microsoft.com/office/infopath/2007/PartnerControls">
          <TermName xmlns="http://schemas.microsoft.com/office/infopath/2007/PartnerControls">4-02.9 Verschiedenes</TermName>
          <TermId xmlns="http://schemas.microsoft.com/office/infopath/2007/PartnerControls">b7add63a-7a8a-4b8a-bfff-6c9ce2cbce07</TermId>
        </TermInfo>
      </Terms>
    </OSP_Note>
    <_dlc_DocId xmlns="82c37705-afd5-4d11-a1ea-0266d9d1a166">6009-P-2-5825</_dlc_DocId>
    <_dlc_DocIdUrl xmlns="82c37705-afd5-4d11-a1ea-0266d9d1a166">
      <Url>https://dok.finma.ch/sites/6009-P/_layouts/15/DocIdRedir.aspx?ID=6009-P-2-5825</Url>
      <Description>6009-P-2-5825</Description>
    </_dlc_DocIdUrl>
    <AgendaItemGUID xmlns="08f44e9f-55a5-4d8c-81fa-e5e52f0c7a16" xsi:nil="true"/>
    <RetentionPeriod xmlns="08F44E9F-55A5-4D8C-81FA-E5E52F0C7A16">15</RetentionPeriod>
    <DocumentDate xmlns="08F44E9F-55A5-4D8C-81FA-E5E52F0C7A16">2018-10-22T22:00:00+00:00</DocumentDate>
    <SeqenceNumber xmlns="08f44e9f-55a5-4d8c-81fa-e5e52f0c7a16" xsi:nil="true"/>
    <ToBeArchived xmlns="08f44e9f-55a5-4d8c-81fa-e5e52f0c7a16">Nein</ToBeArchived>
  </documentManagement>
</p:properties>
</file>

<file path=customXml/item4.xml><?xml version="1.0" encoding="utf-8"?>
<ct:contentTypeSchema xmlns:ct="http://schemas.microsoft.com/office/2006/metadata/contentType" xmlns:ma="http://schemas.microsoft.com/office/2006/metadata/properties/metaAttributes" ct:_="" ma:_="" ma:contentTypeName="Finma Document" ma:contentTypeID="0x0101003951D1F36BC944E987AD610ADE6A10C3002366F3BBC8CE234B84695397A2A93407" ma:contentTypeVersion="10" ma:contentTypeDescription="Ein neues Dokument erstellen." ma:contentTypeScope="" ma:versionID="0568cc6719dc77685f726e99c7c2fb4c">
  <xsd:schema xmlns:xsd="http://www.w3.org/2001/XMLSchema" xmlns:xs="http://www.w3.org/2001/XMLSchema" xmlns:p="http://schemas.microsoft.com/office/2006/metadata/properties" xmlns:ns2="82c37705-afd5-4d11-a1ea-0266d9d1a166" xmlns:ns3="http://schemas.microsoft.com/sharepoint/v3/fields" xmlns:ns4="08F44E9F-55A5-4D8C-81FA-E5E52F0C7A16" xmlns:ns5="08f44e9f-55a5-4d8c-81fa-e5e52f0c7a16" targetNamespace="http://schemas.microsoft.com/office/2006/metadata/properties" ma:root="true" ma:fieldsID="17b5d0fba45ccd7280729390c91a62fb" ns2:_="" ns3:_="" ns4:_="" ns5:_="">
    <xsd:import namespace="82c37705-afd5-4d11-a1ea-0266d9d1a166"/>
    <xsd:import namespace="http://schemas.microsoft.com/sharepoint/v3/fields"/>
    <xsd:import namespace="08F44E9F-55A5-4D8C-81FA-E5E52F0C7A16"/>
    <xsd:import namespace="08f44e9f-55a5-4d8c-81fa-e5e52f0c7a16"/>
    <xsd:element name="properties">
      <xsd:complexType>
        <xsd:sequence>
          <xsd:element name="documentManagement">
            <xsd:complexType>
              <xsd:all>
                <xsd:element ref="ns2:_dlc_DocId" minOccurs="0"/>
                <xsd:element ref="ns2:_dlc_DocIdUrl" minOccurs="0"/>
                <xsd:element ref="ns2:_dlc_DocIdPersistId" minOccurs="0"/>
                <xsd:element ref="ns3:Topic_Note" minOccurs="0"/>
                <xsd:element ref="ns3:OU_Note" minOccurs="0"/>
                <xsd:element ref="ns3:OSP_Note" minOccurs="0"/>
                <xsd:element ref="ns4:RetentionPeriod" minOccurs="0"/>
                <xsd:element ref="ns5:SeqenceNumber" minOccurs="0"/>
                <xsd:element ref="ns5:AgendaItemGUID" minOccurs="0"/>
                <xsd:element ref="ns5:ToBeArchived" minOccurs="0"/>
                <xsd:element ref="ns4:DocumentDat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2c37705-afd5-4d11-a1ea-0266d9d1a166"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Topic_Note" ma:index="14" nillable="true" ma:taxonomy="true" ma:internalName="Topic_Note" ma:taxonomyFieldName="Topic" ma:displayName="Thema" ma:readOnly="false" ma:default="" ma:fieldId="{a64374eb-6e28-4d6b-ae22-c24ecbfd0ec3}" ma:sspId="27609f53-2d13-42be-a2b4-fd8d7f3f64db" ma:termSetId="7b4b023d-5e9a-475b-a148-dfe01b6a8d09" ma:anchorId="00000000-0000-0000-0000-000000000000" ma:open="true" ma:isKeyword="false">
      <xsd:complexType>
        <xsd:sequence>
          <xsd:element ref="pc:Terms" minOccurs="0" maxOccurs="1"/>
        </xsd:sequence>
      </xsd:complexType>
    </xsd:element>
    <xsd:element name="OU_Note" ma:index="16" nillable="true" ma:taxonomy="true" ma:internalName="OU_Note" ma:taxonomyFieldName="OU" ma:displayName="Organisationseinheit" ma:readOnly="false" ma:default="2;#GB-V|f8d7b412-2487-4e9a-b58d-c7490dedd0c5" ma:fieldId="{fcb30f0d-baee-4a7e-876f-d65b0367c7a8}" ma:sspId="27609f53-2d13-42be-a2b4-fd8d7f3f64db" ma:termSetId="2e7da289-48a2-42d8-b875-47a1903a1d9d" ma:anchorId="00000000-0000-0000-0000-000000000000" ma:open="false" ma:isKeyword="false">
      <xsd:complexType>
        <xsd:sequence>
          <xsd:element ref="pc:Terms" minOccurs="0" maxOccurs="1"/>
        </xsd:sequence>
      </xsd:complexType>
    </xsd:element>
    <xsd:element name="OSP_Note" ma:index="18" nillable="true" ma:taxonomy="true" ma:internalName="OSP_Note" ma:taxonomyFieldName="OSP" ma:displayName="Ordnungssystemposition" ma:readOnly="false" ma:fieldId="{47fc1aad-a32f-4b87-b398-8d261b0da966}" ma:sspId="27609f53-2d13-42be-a2b4-fd8d7f3f64db" ma:termSetId="6eefd7ee-d6f6-47de-bb49-f1d342020326"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RetentionPeriod" ma:index="19" nillable="true" ma:displayName="Aufbewahrungsfrist" ma:description="Aufbewahrungsfrist des Dossiers" ma:hidden="true" ma:internalName="RetentionPeriod" ma:readOnly="false">
      <xsd:simpleType>
        <xsd:restriction base="dms:Text"/>
      </xsd:simpleType>
    </xsd:element>
    <xsd:element name="DocumentDate" ma:index="23" ma:displayName="Datum" ma:default="[today]" ma:description="Dokumentendatum" ma:format="DateOnly" ma:internalName="Document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8f44e9f-55a5-4d8c-81fa-e5e52f0c7a16" elementFormDefault="qualified">
    <xsd:import namespace="http://schemas.microsoft.com/office/2006/documentManagement/types"/>
    <xsd:import namespace="http://schemas.microsoft.com/office/infopath/2007/PartnerControls"/>
    <xsd:element name="SeqenceNumber" ma:index="20" nillable="true" ma:displayName="Reihenfolge Nummer" ma:internalName="SeqenceNumber" ma:readOnly="false">
      <xsd:simpleType>
        <xsd:restriction base="dms:Unknown"/>
      </xsd:simpleType>
    </xsd:element>
    <xsd:element name="AgendaItemGUID" ma:index="21" nillable="true" ma:displayName="Traktandum GUID" ma:internalName="AgendaItemGUID" ma:readOnly="false">
      <xsd:simpleType>
        <xsd:restriction base="dms:Text"/>
      </xsd:simpleType>
    </xsd:element>
    <xsd:element name="ToBeArchived" ma:index="22" nillable="true" ma:displayName="Archivwürdig" ma:description="Soll das Dossier archiviert werden" ma:hidden="true" ma:internalName="ToBeArchived" ma:readOnly="fals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1EAF52-D4F7-4715-82DF-D22EF6B5C38D}">
  <ds:schemaRefs>
    <ds:schemaRef ds:uri="http://schemas.microsoft.com/sharepoint/events"/>
  </ds:schemaRefs>
</ds:datastoreItem>
</file>

<file path=customXml/itemProps2.xml><?xml version="1.0" encoding="utf-8"?>
<ds:datastoreItem xmlns:ds="http://schemas.openxmlformats.org/officeDocument/2006/customXml" ds:itemID="{2EA94BA0-E4B9-4875-9663-29DA1920951F}">
  <ds:schemaRefs>
    <ds:schemaRef ds:uri="http://schemas.microsoft.com/sharepoint/v3/contenttype/forms"/>
  </ds:schemaRefs>
</ds:datastoreItem>
</file>

<file path=customXml/itemProps3.xml><?xml version="1.0" encoding="utf-8"?>
<ds:datastoreItem xmlns:ds="http://schemas.openxmlformats.org/officeDocument/2006/customXml" ds:itemID="{F243AE5B-A207-4B3A-980D-923F24343CC4}">
  <ds:schemaRefs>
    <ds:schemaRef ds:uri="http://schemas.microsoft.com/office/2006/documentManagement/types"/>
    <ds:schemaRef ds:uri="a13ce8e2-0bfa-4ae3-b62f-afeb61f48330"/>
    <ds:schemaRef ds:uri="http://purl.org/dc/dcmitype/"/>
    <ds:schemaRef ds:uri="1ab9bbcc-83c6-4736-b39b-aba04a32d413"/>
    <ds:schemaRef ds:uri="http://purl.org/dc/elements/1.1/"/>
    <ds:schemaRef ds:uri="http://schemas.microsoft.com/office/2006/metadata/properties"/>
    <ds:schemaRef ds:uri="http://schemas.microsoft.com/sharepoint/v3/fields"/>
    <ds:schemaRef ds:uri="http://schemas.openxmlformats.org/package/2006/metadata/core-properties"/>
    <ds:schemaRef ds:uri="http://purl.org/dc/terms/"/>
    <ds:schemaRef ds:uri="http://schemas.microsoft.com/office/infopath/2007/PartnerControls"/>
    <ds:schemaRef ds:uri="1AB9BBCC-83C6-4736-B39B-ABA04A32D413"/>
    <ds:schemaRef ds:uri="http://www.w3.org/XML/1998/namespace"/>
  </ds:schemaRefs>
</ds:datastoreItem>
</file>

<file path=customXml/itemProps4.xml><?xml version="1.0" encoding="utf-8"?>
<ds:datastoreItem xmlns:ds="http://schemas.openxmlformats.org/officeDocument/2006/customXml" ds:itemID="{16F1B503-3674-4174-8CDC-3C1AF0E92DDA}"/>
</file>

<file path=docProps/app.xml><?xml version="1.0" encoding="utf-8"?>
<ap:Properties xmlns:vt="http://schemas.openxmlformats.org/officeDocument/2006/docPropsVTypes" xmlns:ap="http://schemas.openxmlformats.org/officeDocument/2006/extended-properties">
  <ap:TotalTime>0</ap:TotalTime>
  <ap:Application>Microsoft Excel</ap:Application>
  <ap:DocSecurity>0</ap:DocSecurity>
  <ap:ScaleCrop>false</ap:ScaleCrop>
  <ap:HeadingPairs>
    <vt:vector baseType="variant" size="4">
      <vt:variant>
        <vt:lpstr>Arbeitsblätter</vt:lpstr>
      </vt:variant>
      <vt:variant>
        <vt:i4>34</vt:i4>
      </vt:variant>
      <vt:variant>
        <vt:lpstr>Benannte Bereiche</vt:lpstr>
      </vt:variant>
      <vt:variant>
        <vt:i4>7</vt:i4>
      </vt:variant>
    </vt:vector>
  </ap:HeadingPairs>
  <ap:TitlesOfParts>
    <vt:vector baseType="lpstr" size="41">
      <vt:lpstr>Intro</vt:lpstr>
      <vt:lpstr>Restatement</vt:lpstr>
      <vt:lpstr>Update</vt:lpstr>
      <vt:lpstr>SST Checklist</vt:lpstr>
      <vt:lpstr>Applied Model</vt:lpstr>
      <vt:lpstr>General Inputs</vt:lpstr>
      <vt:lpstr>SST Balance Sheet</vt:lpstr>
      <vt:lpstr>RBC</vt:lpstr>
      <vt:lpstr>Differences_Stat_SSTBalance</vt:lpstr>
      <vt:lpstr>Asset Prices</vt:lpstr>
      <vt:lpstr>Fixed Income</vt:lpstr>
      <vt:lpstr>Insurance Cashflows</vt:lpstr>
      <vt:lpstr>Forwards</vt:lpstr>
      <vt:lpstr>Delta Terms</vt:lpstr>
      <vt:lpstr>Expected Financial Result</vt:lpstr>
      <vt:lpstr>Credit Risk Merton</vt:lpstr>
      <vt:lpstr>Credit Risk Basel</vt:lpstr>
      <vt:lpstr>Scenarios</vt:lpstr>
      <vt:lpstr>Life</vt:lpstr>
      <vt:lpstr>Life (MVM)</vt:lpstr>
      <vt:lpstr>Non Life</vt:lpstr>
      <vt:lpstr>Health</vt:lpstr>
      <vt:lpstr>Other Data</vt:lpstr>
      <vt:lpstr>Market Initial Values</vt:lpstr>
      <vt:lpstr>Market (Dynamic)</vt:lpstr>
      <vt:lpstr>Market (Static)</vt:lpstr>
      <vt:lpstr>Macroeconomic Scenarios</vt:lpstr>
      <vt:lpstr>Correlation</vt:lpstr>
      <vt:lpstr>Credit Risk Parameters</vt:lpstr>
      <vt:lpstr>Credit Risk Info</vt:lpstr>
      <vt:lpstr>Stat_SSTBalance Info</vt:lpstr>
      <vt:lpstr>Glossary</vt:lpstr>
      <vt:lpstr>General Parameters</vt:lpstr>
      <vt:lpstr>Configuration</vt:lpstr>
      <vt:lpstr>Branch</vt:lpstr>
      <vt:lpstr>Language</vt:lpstr>
      <vt:lpstr>LanguageNo</vt:lpstr>
      <vt:lpstr>SST_Currency</vt:lpstr>
      <vt:lpstr>Translation</vt:lpstr>
      <vt:lpstr>Unit</vt:lpstr>
      <vt:lpstr>Year</vt:lpstr>
    </vt:vector>
  </ap:TitlesOfParts>
  <ap:LinksUpToDate>false</ap:LinksUpToDate>
  <ap:SharedDoc>false</ap:SharedDoc>
  <ap:HyperlinksChanged>false</ap:HyperlinksChanged>
  <ap:AppVersion>16.0300</ap:AppVersion>
  <ap:Company/>
  <ap:Manager/>
  <ap:HyperlinkBase/>
</ap:Properties>
</file>

<file path=docProps/core.xml><?xml version="1.0" encoding="utf-8"?>
<coreProperties xmlns:dc="http://purl.org/dc/elements/1.1/" xmlns:dcterms="http://purl.org/dc/terms/" xmlns:xsi="http://www.w3.org/2001/XMLSchema-instance" xmlns="http://schemas.openxmlformats.org/package/2006/metadata/core-properties">
  <dc:title/>
  <dc:creator/>
  <lastModifiedBy/>
  <dcterms:created xsi:type="dcterms:W3CDTF">2015-06-05T18:17:20.0000000Z</dcterms:created>
  <dcterms:modified xsi:type="dcterms:W3CDTF">2024-01-25T16:06:30.0000000Z</dcterms:modified>
  <contentStatus/>
  <dc:subject/>
  <category/>
  <keywords/>
  <dc:description/>
  <contentType/>
  <version/>
  <revision/>
  <dc:language/>
  <dc:identifier/>
</coreProperties>
</file>

<file path=docProps/custom.xml><?xml version="1.0" encoding="utf-8"?>
<op:Properties xmlns:vt="http://schemas.openxmlformats.org/officeDocument/2006/docPropsVTypes" xmlns:op="http://schemas.openxmlformats.org/officeDocument/2006/custom-properties">
  <op:property fmtid="{D5CDD505-2E9C-101B-9397-08002B2CF9AE}" pid="3" name="OSP">
    <vt:lpwstr>13;#4-02.9 Verschiedenes|b7add63a-7a8a-4b8a-bfff-6c9ce2cbce07</vt:lpwstr>
  </op:property>
  <op:property fmtid="{D5CDD505-2E9C-101B-9397-08002B2CF9AE}" pid="4" name="OU">
    <vt:lpwstr>2;#GB-V|f8d7b412-2487-4e9a-b58d-c7490dedd0c5</vt:lpwstr>
  </op:property>
  <op:property fmtid="{D5CDD505-2E9C-101B-9397-08002B2CF9AE}" pid="5" name="ContentTypeId">
    <vt:lpwstr>0x0101003951D1F36BC944E987AD610ADE6A10C3002366F3BBC8CE234B84695397A2A93407</vt:lpwstr>
  </op:property>
  <op:property fmtid="{D5CDD505-2E9C-101B-9397-08002B2CF9AE}" pid="6" name="_dlc_DocIdItemGuid">
    <vt:lpwstr>8cd409d8-3a4c-451d-992f-b4f30f80fbb8</vt:lpwstr>
  </op:property>
  <op:property fmtid="{D5CDD505-2E9C-101B-9397-08002B2CF9AE}" pid="7" name="Ordnungsposition">
    <vt:lpwstr>5</vt:lpwstr>
  </op:property>
  <op:property fmtid="{D5CDD505-2E9C-101B-9397-08002B2CF9AE}" pid="8" name="Schlagwort">
    <vt:lpwstr/>
  </op:property>
  <op:property fmtid="{D5CDD505-2E9C-101B-9397-08002B2CF9AE}" pid="9" name="Schlagwort KategorieTaxHTField0">
    <vt:lpwstr/>
  </op:property>
  <op:property fmtid="{D5CDD505-2E9C-101B-9397-08002B2CF9AE}" pid="10" name="Reference">
    <vt:lpwstr>6005-T-6-55063 - 4-02.9 Verschiedenes</vt:lpwstr>
  </op:property>
  <op:property fmtid="{D5CDD505-2E9C-101B-9397-08002B2CF9AE}" pid="11" name="DossierStatus_Note">
    <vt:lpwstr/>
  </op:property>
</op:Properties>
</file>