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537C26B8-26D6-4941-9361-B9AA22B52AA1}" xr6:coauthVersionLast="47" xr6:coauthVersionMax="47" xr10:uidLastSave="{00000000-0000-0000-0000-000000000000}"/>
  <bookViews>
    <workbookView xWindow="-120" yWindow="-120" windowWidth="29040" windowHeight="15840" xr2:uid="{0B8B123F-80AA-4D8D-8C49-E898E299BB53}"/>
  </bookViews>
  <sheets>
    <sheet name="Intro_SM_UVG_Valuation" sheetId="2" r:id="rId1"/>
    <sheet name="Inputparam" sheetId="3" r:id="rId2"/>
    <sheet name="UVG_Input_Data" sheetId="1" r:id="rId3"/>
    <sheet name="UVG_Calculations" sheetId="4" r:id="rId4"/>
    <sheet name="UVG_Output" sheetId="5" r:id="rId5"/>
    <sheet name="Glossary" sheetId="7" r:id="rId6"/>
    <sheet name="Configuration" sheetId="8" r:id="rId7"/>
  </sheets>
  <externalReferences>
    <externalReference r:id="rId8"/>
  </externalReferences>
  <definedNames>
    <definedName name="_down">Glossary!$B$24</definedName>
    <definedName name="_end">Glossary!$B$109</definedName>
    <definedName name="_LongTerm">Glossary!$B$27</definedName>
    <definedName name="_maturity">Glossary!$B$22</definedName>
    <definedName name="_middleTerm">Glossary!$B$26</definedName>
    <definedName name="_million">Glossary!$B$5</definedName>
    <definedName name="_million1">Glossary!$B$6</definedName>
    <definedName name="_neurente">Glossary!$B$49</definedName>
    <definedName name="_Res_in">[1]Glossary!$C$160</definedName>
    <definedName name="_shortTerm">Glossary!$B$25</definedName>
    <definedName name="_start">Glossary!$B$108</definedName>
    <definedName name="_up">Glossary!$B$23</definedName>
    <definedName name="current_year">Intro_SM_UVG_Valuation!$E$1</definedName>
    <definedName name="Language">Intro_SM_UVG_Valuation!$E$6</definedName>
    <definedName name="name_of_insurer">Intro_SM_UVG_Valuation!$E$8</definedName>
    <definedName name="Translation">Glossary!$C:$F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7" l="1"/>
  <c r="C55" i="4" l="1"/>
  <c r="B53" i="4"/>
  <c r="F12" i="1"/>
  <c r="F60" i="7"/>
  <c r="F64" i="7"/>
  <c r="E64" i="7"/>
  <c r="D60" i="7"/>
  <c r="D64" i="7"/>
  <c r="F61" i="7"/>
  <c r="D61" i="7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Z71" i="4"/>
  <c r="AZ72" i="4"/>
  <c r="AZ73" i="4"/>
  <c r="AZ74" i="4"/>
  <c r="AZ75" i="4"/>
  <c r="AZ76" i="4"/>
  <c r="AZ77" i="4"/>
  <c r="AZ78" i="4"/>
  <c r="D13" i="1"/>
  <c r="D38" i="4"/>
  <c r="E38" i="4"/>
  <c r="F38" i="4"/>
  <c r="G38" i="4"/>
  <c r="C38" i="4"/>
  <c r="E15" i="4" l="1"/>
  <c r="C49" i="4" l="1"/>
  <c r="D15" i="4" l="1"/>
  <c r="B15" i="4"/>
  <c r="B14" i="4"/>
  <c r="B13" i="4"/>
  <c r="D11" i="4"/>
  <c r="D75" i="7"/>
  <c r="C15" i="4" l="1"/>
  <c r="B16" i="4"/>
  <c r="E11" i="4"/>
  <c r="C11" i="4" s="1"/>
  <c r="B11" i="4"/>
  <c r="B15" i="1"/>
  <c r="B28" i="3"/>
  <c r="C25" i="4" l="1"/>
  <c r="C31" i="4" s="1"/>
  <c r="F90" i="7" l="1"/>
  <c r="F89" i="7"/>
  <c r="F39" i="7"/>
  <c r="B16" i="3" l="1"/>
  <c r="B14" i="3"/>
  <c r="B109" i="7" l="1"/>
  <c r="B108" i="7"/>
  <c r="B50" i="4"/>
  <c r="B45" i="4"/>
  <c r="B42" i="4"/>
  <c r="B21" i="4"/>
  <c r="B40" i="4"/>
  <c r="B39" i="4"/>
  <c r="B27" i="5" s="1"/>
  <c r="B38" i="4"/>
  <c r="B36" i="4"/>
  <c r="B35" i="4"/>
  <c r="B34" i="4"/>
  <c r="B33" i="4"/>
  <c r="B31" i="4"/>
  <c r="B47" i="4"/>
  <c r="B46" i="4"/>
  <c r="B30" i="4"/>
  <c r="B27" i="4"/>
  <c r="D89" i="7"/>
  <c r="B28" i="4" s="1"/>
  <c r="D90" i="7"/>
  <c r="B29" i="4" s="1"/>
  <c r="B18" i="4"/>
  <c r="F87" i="7"/>
  <c r="D87" i="7"/>
  <c r="B25" i="4" s="1"/>
  <c r="F86" i="7"/>
  <c r="D86" i="7"/>
  <c r="B24" i="4" s="1"/>
  <c r="C22" i="4" l="1"/>
  <c r="B49" i="4"/>
  <c r="B48" i="4"/>
  <c r="B17" i="4"/>
  <c r="B12" i="4"/>
  <c r="B10" i="4"/>
  <c r="B26" i="1"/>
  <c r="B9" i="4"/>
  <c r="B25" i="1"/>
  <c r="B8" i="4"/>
  <c r="B10" i="1"/>
  <c r="D7" i="4"/>
  <c r="B7" i="4"/>
  <c r="B7" i="1"/>
  <c r="B1" i="4"/>
  <c r="B3" i="4"/>
  <c r="B3" i="1"/>
  <c r="B1" i="1"/>
  <c r="B49" i="7"/>
  <c r="B41" i="1" s="1"/>
  <c r="C65" i="1"/>
  <c r="C37" i="1"/>
  <c r="B67" i="1"/>
  <c r="B29" i="1"/>
  <c r="B16" i="1"/>
  <c r="B37" i="1"/>
  <c r="B27" i="1"/>
  <c r="B23" i="1"/>
  <c r="C21" i="1"/>
  <c r="B19" i="1"/>
  <c r="B56" i="1" l="1"/>
  <c r="B48" i="1"/>
  <c r="B55" i="1"/>
  <c r="B47" i="1"/>
  <c r="B54" i="1"/>
  <c r="B46" i="1"/>
  <c r="B40" i="1"/>
  <c r="B53" i="1"/>
  <c r="B45" i="1"/>
  <c r="B60" i="1"/>
  <c r="B52" i="1"/>
  <c r="B44" i="1"/>
  <c r="B59" i="1"/>
  <c r="B51" i="1"/>
  <c r="B43" i="1"/>
  <c r="B58" i="1"/>
  <c r="B50" i="1"/>
  <c r="B42" i="1"/>
  <c r="B57" i="1"/>
  <c r="B49" i="1"/>
  <c r="B6" i="7"/>
  <c r="E61" i="7" s="1"/>
  <c r="B9" i="1"/>
  <c r="B17" i="1"/>
  <c r="B14" i="1"/>
  <c r="B13" i="1"/>
  <c r="B12" i="1"/>
  <c r="B11" i="1"/>
  <c r="B1" i="3"/>
  <c r="E73" i="7" l="1"/>
  <c r="E79" i="7"/>
  <c r="E65" i="7"/>
  <c r="E66" i="7"/>
  <c r="B33" i="1" s="1"/>
  <c r="F79" i="7"/>
  <c r="D79" i="7"/>
  <c r="B5" i="4" s="1"/>
  <c r="E63" i="7"/>
  <c r="F65" i="7"/>
  <c r="D65" i="7"/>
  <c r="D63" i="7"/>
  <c r="F63" i="7"/>
  <c r="D42" i="3"/>
  <c r="C42" i="3"/>
  <c r="B42" i="3"/>
  <c r="B40" i="3"/>
  <c r="B38" i="3"/>
  <c r="B34" i="3"/>
  <c r="B33" i="3"/>
  <c r="B30" i="3"/>
  <c r="B27" i="3"/>
  <c r="B22" i="3"/>
  <c r="B17" i="3"/>
  <c r="B9" i="3"/>
  <c r="B1" i="2"/>
  <c r="B23" i="2"/>
  <c r="B20" i="2"/>
  <c r="B19" i="2"/>
  <c r="B17" i="2"/>
  <c r="B16" i="2"/>
  <c r="B10" i="2"/>
  <c r="B8" i="2"/>
  <c r="C23" i="2"/>
  <c r="C21" i="2"/>
  <c r="C20" i="2"/>
  <c r="C19" i="2"/>
  <c r="B63" i="1"/>
  <c r="B35" i="1"/>
  <c r="B5" i="1" l="1"/>
  <c r="B31" i="1"/>
  <c r="C3" i="1"/>
  <c r="C3" i="4"/>
  <c r="D32" i="7"/>
  <c r="B19" i="3" s="1"/>
  <c r="D28" i="7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C22" i="1"/>
  <c r="C39" i="1"/>
  <c r="C66" i="1" s="1"/>
  <c r="D82" i="7"/>
  <c r="E7" i="4" s="1"/>
  <c r="D81" i="7"/>
  <c r="C7" i="4" s="1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D70" i="7"/>
  <c r="F69" i="7"/>
  <c r="D69" i="7"/>
  <c r="C7" i="1" s="1"/>
  <c r="D7" i="1" l="1"/>
  <c r="C44" i="4"/>
  <c r="C43" i="4" s="1"/>
  <c r="D39" i="1"/>
  <c r="D66" i="1" s="1"/>
  <c r="E39" i="1"/>
  <c r="E66" i="1" s="1"/>
  <c r="F39" i="1"/>
  <c r="F66" i="1" s="1"/>
  <c r="G39" i="1"/>
  <c r="G66" i="1" s="1"/>
  <c r="H39" i="1"/>
  <c r="H66" i="1" s="1"/>
  <c r="I39" i="1"/>
  <c r="I66" i="1" s="1"/>
  <c r="J39" i="1"/>
  <c r="J66" i="1" s="1"/>
  <c r="K39" i="1"/>
  <c r="K66" i="1" s="1"/>
  <c r="L39" i="1"/>
  <c r="L66" i="1" s="1"/>
  <c r="M39" i="1"/>
  <c r="M66" i="1" s="1"/>
  <c r="N39" i="1"/>
  <c r="N66" i="1" s="1"/>
  <c r="O39" i="1"/>
  <c r="O66" i="1" s="1"/>
  <c r="P39" i="1"/>
  <c r="P66" i="1" s="1"/>
  <c r="Q39" i="1"/>
  <c r="Q66" i="1" s="1"/>
  <c r="R39" i="1"/>
  <c r="R66" i="1" s="1"/>
  <c r="S39" i="1"/>
  <c r="S66" i="1" s="1"/>
  <c r="T39" i="1"/>
  <c r="T66" i="1" s="1"/>
  <c r="U39" i="1"/>
  <c r="U66" i="1" s="1"/>
  <c r="V39" i="1"/>
  <c r="V66" i="1" s="1"/>
  <c r="W39" i="1"/>
  <c r="W66" i="1" s="1"/>
  <c r="X39" i="1"/>
  <c r="X66" i="1" s="1"/>
  <c r="Y39" i="1"/>
  <c r="Y66" i="1" s="1"/>
  <c r="Z39" i="1"/>
  <c r="Z66" i="1" s="1"/>
  <c r="AA39" i="1"/>
  <c r="AA66" i="1" s="1"/>
  <c r="AB39" i="1"/>
  <c r="AB66" i="1" s="1"/>
  <c r="AC39" i="1"/>
  <c r="AC66" i="1" s="1"/>
  <c r="AD39" i="1"/>
  <c r="AD66" i="1" s="1"/>
  <c r="AE39" i="1"/>
  <c r="AE66" i="1" s="1"/>
  <c r="AF39" i="1"/>
  <c r="AF66" i="1" s="1"/>
  <c r="AG39" i="1"/>
  <c r="AG66" i="1" s="1"/>
  <c r="AH39" i="1"/>
  <c r="AH66" i="1" s="1"/>
  <c r="AI39" i="1"/>
  <c r="AI66" i="1" s="1"/>
  <c r="AJ39" i="1"/>
  <c r="AJ66" i="1" s="1"/>
  <c r="AK39" i="1"/>
  <c r="AK66" i="1" s="1"/>
  <c r="AL39" i="1"/>
  <c r="AL66" i="1" s="1"/>
  <c r="AM39" i="1"/>
  <c r="AM66" i="1" s="1"/>
  <c r="AN39" i="1"/>
  <c r="AN66" i="1" s="1"/>
  <c r="AO39" i="1"/>
  <c r="AO66" i="1" s="1"/>
  <c r="AP39" i="1"/>
  <c r="AP66" i="1" s="1"/>
  <c r="AQ39" i="1"/>
  <c r="AQ66" i="1" s="1"/>
  <c r="AR39" i="1"/>
  <c r="AR66" i="1" s="1"/>
  <c r="AS39" i="1"/>
  <c r="AS66" i="1" s="1"/>
  <c r="AT39" i="1"/>
  <c r="AT66" i="1" s="1"/>
  <c r="AU39" i="1"/>
  <c r="AU66" i="1" s="1"/>
  <c r="AV39" i="1"/>
  <c r="AV66" i="1" s="1"/>
  <c r="AW39" i="1"/>
  <c r="AW66" i="1" s="1"/>
  <c r="AX39" i="1"/>
  <c r="AX66" i="1" s="1"/>
  <c r="AY39" i="1"/>
  <c r="AY66" i="1" s="1"/>
  <c r="AZ39" i="1"/>
  <c r="AZ66" i="1" s="1"/>
  <c r="D39" i="7"/>
  <c r="B36" i="3" s="1"/>
  <c r="B25" i="7"/>
  <c r="B45" i="3" s="1"/>
  <c r="B26" i="7"/>
  <c r="B48" i="3" s="1"/>
  <c r="B27" i="7"/>
  <c r="B51" i="3" s="1"/>
  <c r="F34" i="7"/>
  <c r="E34" i="7"/>
  <c r="D34" i="7"/>
  <c r="F32" i="7"/>
  <c r="E28" i="7"/>
  <c r="B4" i="3" s="1"/>
  <c r="B22" i="7"/>
  <c r="B11" i="3" s="1"/>
  <c r="B24" i="3" l="1"/>
  <c r="B44" i="3"/>
  <c r="B50" i="3"/>
  <c r="B47" i="3"/>
  <c r="B32" i="3"/>
  <c r="B6" i="3" a="1"/>
  <c r="B6" i="3" s="1"/>
  <c r="B21" i="3"/>
  <c r="B26" i="3"/>
  <c r="B24" i="7"/>
  <c r="B23" i="7"/>
  <c r="F28" i="7"/>
  <c r="B5" i="7"/>
  <c r="C16" i="3"/>
  <c r="D48" i="4" l="1"/>
  <c r="L48" i="4"/>
  <c r="T48" i="4"/>
  <c r="AB48" i="4"/>
  <c r="AJ48" i="4"/>
  <c r="AR48" i="4"/>
  <c r="AZ48" i="4"/>
  <c r="AN48" i="4"/>
  <c r="AG48" i="4"/>
  <c r="R48" i="4"/>
  <c r="AX48" i="4"/>
  <c r="S48" i="4"/>
  <c r="E48" i="4"/>
  <c r="M48" i="4"/>
  <c r="U48" i="4"/>
  <c r="AC48" i="4"/>
  <c r="AK48" i="4"/>
  <c r="AS48" i="4"/>
  <c r="C48" i="4"/>
  <c r="C35" i="4" s="1"/>
  <c r="AV48" i="4"/>
  <c r="I48" i="4"/>
  <c r="Z48" i="4"/>
  <c r="AA48" i="4"/>
  <c r="AY48" i="4"/>
  <c r="F48" i="4"/>
  <c r="N48" i="4"/>
  <c r="V48" i="4"/>
  <c r="AD48" i="4"/>
  <c r="AL48" i="4"/>
  <c r="AT48" i="4"/>
  <c r="Y48" i="4"/>
  <c r="AW48" i="4"/>
  <c r="J48" i="4"/>
  <c r="AP48" i="4"/>
  <c r="K48" i="4"/>
  <c r="G48" i="4"/>
  <c r="O48" i="4"/>
  <c r="W48" i="4"/>
  <c r="AE48" i="4"/>
  <c r="AM48" i="4"/>
  <c r="AU48" i="4"/>
  <c r="H48" i="4"/>
  <c r="P48" i="4"/>
  <c r="X48" i="4"/>
  <c r="AF48" i="4"/>
  <c r="Q48" i="4"/>
  <c r="AO48" i="4"/>
  <c r="AH48" i="4"/>
  <c r="AI48" i="4"/>
  <c r="AQ48" i="4"/>
  <c r="C51" i="3"/>
  <c r="C45" i="3"/>
  <c r="C48" i="3"/>
  <c r="C50" i="3"/>
  <c r="C47" i="3"/>
  <c r="C44" i="3"/>
  <c r="E9" i="4" l="1"/>
  <c r="E10" i="4"/>
  <c r="E8" i="4"/>
  <c r="D16" i="3" l="1"/>
  <c r="E16" i="3" s="1"/>
  <c r="F16" i="3" s="1"/>
  <c r="G16" i="3" s="1"/>
  <c r="H16" i="3" s="1"/>
  <c r="I16" i="3" s="1"/>
  <c r="J16" i="3" s="1"/>
  <c r="K16" i="3" s="1"/>
  <c r="L16" i="3" s="1"/>
  <c r="C16" i="5"/>
  <c r="D16" i="5" s="1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AH16" i="5" s="1"/>
  <c r="AI16" i="5" s="1"/>
  <c r="AJ16" i="5" s="1"/>
  <c r="AK16" i="5" s="1"/>
  <c r="AL16" i="5" s="1"/>
  <c r="AM16" i="5" s="1"/>
  <c r="AN16" i="5" s="1"/>
  <c r="AO16" i="5" s="1"/>
  <c r="AP16" i="5" s="1"/>
  <c r="AQ16" i="5" s="1"/>
  <c r="AR16" i="5" s="1"/>
  <c r="AS16" i="5" s="1"/>
  <c r="AT16" i="5" s="1"/>
  <c r="AU16" i="5" s="1"/>
  <c r="AV16" i="5" s="1"/>
  <c r="AW16" i="5" s="1"/>
  <c r="AX16" i="5" s="1"/>
  <c r="AY16" i="5" s="1"/>
  <c r="AZ16" i="5" s="1"/>
  <c r="C50" i="4"/>
  <c r="C36" i="4" s="1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C28" i="4"/>
  <c r="D24" i="4"/>
  <c r="D30" i="4" s="1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C24" i="4"/>
  <c r="C30" i="4" s="1"/>
  <c r="D23" i="4"/>
  <c r="D31" i="4" s="1"/>
  <c r="C34" i="3"/>
  <c r="D32" i="3"/>
  <c r="E32" i="3" s="1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T32" i="3" s="1"/>
  <c r="U32" i="3" s="1"/>
  <c r="V32" i="3" s="1"/>
  <c r="W32" i="3" s="1"/>
  <c r="X32" i="3" s="1"/>
  <c r="Y32" i="3" s="1"/>
  <c r="Z32" i="3" s="1"/>
  <c r="AA32" i="3" s="1"/>
  <c r="AB32" i="3" s="1"/>
  <c r="AC32" i="3" s="1"/>
  <c r="AD32" i="3" s="1"/>
  <c r="AE32" i="3" s="1"/>
  <c r="AF32" i="3" s="1"/>
  <c r="AG32" i="3" s="1"/>
  <c r="AH32" i="3" s="1"/>
  <c r="AI32" i="3" s="1"/>
  <c r="AJ32" i="3" s="1"/>
  <c r="AK32" i="3" s="1"/>
  <c r="AL32" i="3" s="1"/>
  <c r="AM32" i="3" s="1"/>
  <c r="AN32" i="3" s="1"/>
  <c r="AO32" i="3" s="1"/>
  <c r="AP32" i="3" s="1"/>
  <c r="AQ32" i="3" s="1"/>
  <c r="AR32" i="3" s="1"/>
  <c r="AS32" i="3" s="1"/>
  <c r="AT32" i="3" s="1"/>
  <c r="AU32" i="3" s="1"/>
  <c r="AV32" i="3" s="1"/>
  <c r="AW32" i="3" s="1"/>
  <c r="AX32" i="3" s="1"/>
  <c r="AY32" i="3" s="1"/>
  <c r="AZ32" i="3" s="1"/>
  <c r="AZ34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D21" i="3"/>
  <c r="E21" i="3" s="1"/>
  <c r="C12" i="3"/>
  <c r="D11" i="3"/>
  <c r="F58" i="4" l="1"/>
  <c r="N58" i="4"/>
  <c r="V58" i="4"/>
  <c r="AD58" i="4"/>
  <c r="AL58" i="4"/>
  <c r="AT58" i="4"/>
  <c r="E59" i="4"/>
  <c r="M59" i="4"/>
  <c r="U59" i="4"/>
  <c r="AC59" i="4"/>
  <c r="AK59" i="4"/>
  <c r="AS59" i="4"/>
  <c r="E60" i="4"/>
  <c r="M60" i="4"/>
  <c r="U60" i="4"/>
  <c r="AC60" i="4"/>
  <c r="AK60" i="4"/>
  <c r="AS60" i="4"/>
  <c r="F61" i="4"/>
  <c r="N61" i="4"/>
  <c r="V61" i="4"/>
  <c r="AD61" i="4"/>
  <c r="AL61" i="4"/>
  <c r="AT61" i="4"/>
  <c r="H62" i="4"/>
  <c r="P62" i="4"/>
  <c r="X62" i="4"/>
  <c r="AF62" i="4"/>
  <c r="AN62" i="4"/>
  <c r="AV62" i="4"/>
  <c r="K63" i="4"/>
  <c r="S63" i="4"/>
  <c r="AA63" i="4"/>
  <c r="AI63" i="4"/>
  <c r="AQ63" i="4"/>
  <c r="AY63" i="4"/>
  <c r="O64" i="4"/>
  <c r="W64" i="4"/>
  <c r="AE64" i="4"/>
  <c r="AM64" i="4"/>
  <c r="AU64" i="4"/>
  <c r="L65" i="4"/>
  <c r="T65" i="4"/>
  <c r="AB65" i="4"/>
  <c r="AJ65" i="4"/>
  <c r="AR65" i="4"/>
  <c r="R66" i="4"/>
  <c r="Z66" i="4"/>
  <c r="AH66" i="4"/>
  <c r="AP66" i="4"/>
  <c r="AX66" i="4"/>
  <c r="Q67" i="4"/>
  <c r="Y67" i="4"/>
  <c r="AG67" i="4"/>
  <c r="AO67" i="4"/>
  <c r="AW67" i="4"/>
  <c r="Q68" i="4"/>
  <c r="Y68" i="4"/>
  <c r="AG68" i="4"/>
  <c r="AO68" i="4"/>
  <c r="AW68" i="4"/>
  <c r="R69" i="4"/>
  <c r="Z69" i="4"/>
  <c r="AH69" i="4"/>
  <c r="AP69" i="4"/>
  <c r="AX69" i="4"/>
  <c r="T70" i="4"/>
  <c r="AB70" i="4"/>
  <c r="AJ70" i="4"/>
  <c r="AR70" i="4"/>
  <c r="W71" i="4"/>
  <c r="AE71" i="4"/>
  <c r="AM71" i="4"/>
  <c r="AU71" i="4"/>
  <c r="S72" i="4"/>
  <c r="AA72" i="4"/>
  <c r="AI72" i="4"/>
  <c r="AQ72" i="4"/>
  <c r="G58" i="4"/>
  <c r="O58" i="4"/>
  <c r="W58" i="4"/>
  <c r="AE58" i="4"/>
  <c r="AM58" i="4"/>
  <c r="AU58" i="4"/>
  <c r="F59" i="4"/>
  <c r="N59" i="4"/>
  <c r="V59" i="4"/>
  <c r="AD59" i="4"/>
  <c r="AL59" i="4"/>
  <c r="AT59" i="4"/>
  <c r="F60" i="4"/>
  <c r="N60" i="4"/>
  <c r="V60" i="4"/>
  <c r="AD60" i="4"/>
  <c r="AL60" i="4"/>
  <c r="AT60" i="4"/>
  <c r="G61" i="4"/>
  <c r="O61" i="4"/>
  <c r="W61" i="4"/>
  <c r="AE61" i="4"/>
  <c r="AM61" i="4"/>
  <c r="AU61" i="4"/>
  <c r="I62" i="4"/>
  <c r="Q62" i="4"/>
  <c r="Y62" i="4"/>
  <c r="AG62" i="4"/>
  <c r="AO62" i="4"/>
  <c r="AW62" i="4"/>
  <c r="L63" i="4"/>
  <c r="T63" i="4"/>
  <c r="AB63" i="4"/>
  <c r="AJ63" i="4"/>
  <c r="AR63" i="4"/>
  <c r="P64" i="4"/>
  <c r="X64" i="4"/>
  <c r="AF64" i="4"/>
  <c r="AN64" i="4"/>
  <c r="AV64" i="4"/>
  <c r="M65" i="4"/>
  <c r="U65" i="4"/>
  <c r="AC65" i="4"/>
  <c r="AK65" i="4"/>
  <c r="AS65" i="4"/>
  <c r="K66" i="4"/>
  <c r="S66" i="4"/>
  <c r="AA66" i="4"/>
  <c r="AI66" i="4"/>
  <c r="AQ66" i="4"/>
  <c r="AY66" i="4"/>
  <c r="R67" i="4"/>
  <c r="Z67" i="4"/>
  <c r="AH67" i="4"/>
  <c r="AP67" i="4"/>
  <c r="AX67" i="4"/>
  <c r="R68" i="4"/>
  <c r="Z68" i="4"/>
  <c r="AH68" i="4"/>
  <c r="AP68" i="4"/>
  <c r="AX68" i="4"/>
  <c r="S69" i="4"/>
  <c r="AA69" i="4"/>
  <c r="AI69" i="4"/>
  <c r="AQ69" i="4"/>
  <c r="AY69" i="4"/>
  <c r="U70" i="4"/>
  <c r="AC70" i="4"/>
  <c r="AK70" i="4"/>
  <c r="AS70" i="4"/>
  <c r="P71" i="4"/>
  <c r="X71" i="4"/>
  <c r="AF71" i="4"/>
  <c r="AN71" i="4"/>
  <c r="AV71" i="4"/>
  <c r="T72" i="4"/>
  <c r="AB72" i="4"/>
  <c r="AJ72" i="4"/>
  <c r="H58" i="4"/>
  <c r="P58" i="4"/>
  <c r="X58" i="4"/>
  <c r="AF58" i="4"/>
  <c r="AN58" i="4"/>
  <c r="AV58" i="4"/>
  <c r="G59" i="4"/>
  <c r="O59" i="4"/>
  <c r="W59" i="4"/>
  <c r="AE59" i="4"/>
  <c r="AM59" i="4"/>
  <c r="AU59" i="4"/>
  <c r="G60" i="4"/>
  <c r="O60" i="4"/>
  <c r="W60" i="4"/>
  <c r="AE60" i="4"/>
  <c r="AM60" i="4"/>
  <c r="AU60" i="4"/>
  <c r="H61" i="4"/>
  <c r="P61" i="4"/>
  <c r="X61" i="4"/>
  <c r="AF61" i="4"/>
  <c r="AN61" i="4"/>
  <c r="AV61" i="4"/>
  <c r="J62" i="4"/>
  <c r="R62" i="4"/>
  <c r="Z62" i="4"/>
  <c r="AH62" i="4"/>
  <c r="AP62" i="4"/>
  <c r="AX62" i="4"/>
  <c r="M63" i="4"/>
  <c r="U63" i="4"/>
  <c r="AC63" i="4"/>
  <c r="AK63" i="4"/>
  <c r="AS63" i="4"/>
  <c r="I64" i="4"/>
  <c r="Q64" i="4"/>
  <c r="Y64" i="4"/>
  <c r="AG64" i="4"/>
  <c r="AO64" i="4"/>
  <c r="AW64" i="4"/>
  <c r="N65" i="4"/>
  <c r="V65" i="4"/>
  <c r="AD65" i="4"/>
  <c r="AL65" i="4"/>
  <c r="AT65" i="4"/>
  <c r="L66" i="4"/>
  <c r="T66" i="4"/>
  <c r="AB66" i="4"/>
  <c r="AJ66" i="4"/>
  <c r="AR66" i="4"/>
  <c r="S67" i="4"/>
  <c r="AA67" i="4"/>
  <c r="AI67" i="4"/>
  <c r="AQ67" i="4"/>
  <c r="AY67" i="4"/>
  <c r="S68" i="4"/>
  <c r="AA68" i="4"/>
  <c r="AI68" i="4"/>
  <c r="AQ68" i="4"/>
  <c r="AY68" i="4"/>
  <c r="T69" i="4"/>
  <c r="AB69" i="4"/>
  <c r="AJ69" i="4"/>
  <c r="AR69" i="4"/>
  <c r="V70" i="4"/>
  <c r="AD70" i="4"/>
  <c r="I58" i="4"/>
  <c r="Q58" i="4"/>
  <c r="Y58" i="4"/>
  <c r="AG58" i="4"/>
  <c r="AO58" i="4"/>
  <c r="AW58" i="4"/>
  <c r="H59" i="4"/>
  <c r="P59" i="4"/>
  <c r="X59" i="4"/>
  <c r="AF59" i="4"/>
  <c r="AN59" i="4"/>
  <c r="AV59" i="4"/>
  <c r="H60" i="4"/>
  <c r="P60" i="4"/>
  <c r="X60" i="4"/>
  <c r="AF60" i="4"/>
  <c r="AN60" i="4"/>
  <c r="AV60" i="4"/>
  <c r="I61" i="4"/>
  <c r="Q61" i="4"/>
  <c r="Y61" i="4"/>
  <c r="AG61" i="4"/>
  <c r="AO61" i="4"/>
  <c r="AW61" i="4"/>
  <c r="K62" i="4"/>
  <c r="S62" i="4"/>
  <c r="AA62" i="4"/>
  <c r="AI62" i="4"/>
  <c r="AQ62" i="4"/>
  <c r="AY62" i="4"/>
  <c r="N63" i="4"/>
  <c r="V63" i="4"/>
  <c r="AD63" i="4"/>
  <c r="AL63" i="4"/>
  <c r="AT63" i="4"/>
  <c r="J64" i="4"/>
  <c r="R64" i="4"/>
  <c r="Z64" i="4"/>
  <c r="AH64" i="4"/>
  <c r="AP64" i="4"/>
  <c r="AX64" i="4"/>
  <c r="O65" i="4"/>
  <c r="W65" i="4"/>
  <c r="AE65" i="4"/>
  <c r="AM65" i="4"/>
  <c r="AU65" i="4"/>
  <c r="M66" i="4"/>
  <c r="U66" i="4"/>
  <c r="AC66" i="4"/>
  <c r="AK66" i="4"/>
  <c r="AS66" i="4"/>
  <c r="L67" i="4"/>
  <c r="T67" i="4"/>
  <c r="AB67" i="4"/>
  <c r="AJ67" i="4"/>
  <c r="AR67" i="4"/>
  <c r="T68" i="4"/>
  <c r="AB68" i="4"/>
  <c r="AJ68" i="4"/>
  <c r="AR68" i="4"/>
  <c r="U69" i="4"/>
  <c r="AC69" i="4"/>
  <c r="AK69" i="4"/>
  <c r="AS69" i="4"/>
  <c r="O70" i="4"/>
  <c r="W70" i="4"/>
  <c r="AE70" i="4"/>
  <c r="AM70" i="4"/>
  <c r="AU70" i="4"/>
  <c r="R71" i="4"/>
  <c r="Z71" i="4"/>
  <c r="AH71" i="4"/>
  <c r="AP71" i="4"/>
  <c r="AX71" i="4"/>
  <c r="V72" i="4"/>
  <c r="AD72" i="4"/>
  <c r="AL72" i="4"/>
  <c r="AT72" i="4"/>
  <c r="S73" i="4"/>
  <c r="J58" i="4"/>
  <c r="R58" i="4"/>
  <c r="Z58" i="4"/>
  <c r="AH58" i="4"/>
  <c r="AP58" i="4"/>
  <c r="AX58" i="4"/>
  <c r="I59" i="4"/>
  <c r="Q59" i="4"/>
  <c r="Y59" i="4"/>
  <c r="AG59" i="4"/>
  <c r="AO59" i="4"/>
  <c r="AW59" i="4"/>
  <c r="I60" i="4"/>
  <c r="Q60" i="4"/>
  <c r="Y60" i="4"/>
  <c r="AG60" i="4"/>
  <c r="AO60" i="4"/>
  <c r="AW60" i="4"/>
  <c r="J61" i="4"/>
  <c r="R61" i="4"/>
  <c r="Z61" i="4"/>
  <c r="AH61" i="4"/>
  <c r="AP61" i="4"/>
  <c r="AX61" i="4"/>
  <c r="L62" i="4"/>
  <c r="T62" i="4"/>
  <c r="AB62" i="4"/>
  <c r="AJ62" i="4"/>
  <c r="AR62" i="4"/>
  <c r="O63" i="4"/>
  <c r="W63" i="4"/>
  <c r="AE63" i="4"/>
  <c r="AM63" i="4"/>
  <c r="AU63" i="4"/>
  <c r="K64" i="4"/>
  <c r="S64" i="4"/>
  <c r="AA64" i="4"/>
  <c r="AI64" i="4"/>
  <c r="AQ64" i="4"/>
  <c r="AY64" i="4"/>
  <c r="P65" i="4"/>
  <c r="X65" i="4"/>
  <c r="AF65" i="4"/>
  <c r="AN65" i="4"/>
  <c r="AV65" i="4"/>
  <c r="N66" i="4"/>
  <c r="V66" i="4"/>
  <c r="AD66" i="4"/>
  <c r="AL66" i="4"/>
  <c r="AT66" i="4"/>
  <c r="M67" i="4"/>
  <c r="U67" i="4"/>
  <c r="AC67" i="4"/>
  <c r="AK67" i="4"/>
  <c r="AS67" i="4"/>
  <c r="M68" i="4"/>
  <c r="U68" i="4"/>
  <c r="AC68" i="4"/>
  <c r="AK68" i="4"/>
  <c r="AS68" i="4"/>
  <c r="N69" i="4"/>
  <c r="V69" i="4"/>
  <c r="AD69" i="4"/>
  <c r="AL69" i="4"/>
  <c r="AT69" i="4"/>
  <c r="P70" i="4"/>
  <c r="X70" i="4"/>
  <c r="AF70" i="4"/>
  <c r="AN70" i="4"/>
  <c r="AV70" i="4"/>
  <c r="S71" i="4"/>
  <c r="AA71" i="4"/>
  <c r="AI71" i="4"/>
  <c r="AQ71" i="4"/>
  <c r="AY71" i="4"/>
  <c r="W72" i="4"/>
  <c r="AE72" i="4"/>
  <c r="AM72" i="4"/>
  <c r="AU72" i="4"/>
  <c r="T73" i="4"/>
  <c r="C58" i="4"/>
  <c r="K58" i="4"/>
  <c r="S58" i="4"/>
  <c r="AA58" i="4"/>
  <c r="AI58" i="4"/>
  <c r="AQ58" i="4"/>
  <c r="AY58" i="4"/>
  <c r="J59" i="4"/>
  <c r="R59" i="4"/>
  <c r="Z59" i="4"/>
  <c r="AH59" i="4"/>
  <c r="AP59" i="4"/>
  <c r="AX59" i="4"/>
  <c r="J60" i="4"/>
  <c r="R60" i="4"/>
  <c r="Z60" i="4"/>
  <c r="AH60" i="4"/>
  <c r="AP60" i="4"/>
  <c r="AX60" i="4"/>
  <c r="K61" i="4"/>
  <c r="S61" i="4"/>
  <c r="AA61" i="4"/>
  <c r="AI61" i="4"/>
  <c r="AQ61" i="4"/>
  <c r="AY61" i="4"/>
  <c r="M62" i="4"/>
  <c r="U62" i="4"/>
  <c r="AC62" i="4"/>
  <c r="AK62" i="4"/>
  <c r="AS62" i="4"/>
  <c r="H63" i="4"/>
  <c r="P63" i="4"/>
  <c r="X63" i="4"/>
  <c r="AF63" i="4"/>
  <c r="AN63" i="4"/>
  <c r="AV63" i="4"/>
  <c r="L64" i="4"/>
  <c r="T64" i="4"/>
  <c r="AB64" i="4"/>
  <c r="AJ64" i="4"/>
  <c r="AR64" i="4"/>
  <c r="Q65" i="4"/>
  <c r="Y65" i="4"/>
  <c r="AG65" i="4"/>
  <c r="AO65" i="4"/>
  <c r="AW65" i="4"/>
  <c r="O66" i="4"/>
  <c r="W66" i="4"/>
  <c r="AE66" i="4"/>
  <c r="AM66" i="4"/>
  <c r="AU66" i="4"/>
  <c r="N67" i="4"/>
  <c r="V67" i="4"/>
  <c r="AD67" i="4"/>
  <c r="AL67" i="4"/>
  <c r="AT67" i="4"/>
  <c r="N68" i="4"/>
  <c r="V68" i="4"/>
  <c r="AD68" i="4"/>
  <c r="AL68" i="4"/>
  <c r="AT68" i="4"/>
  <c r="O69" i="4"/>
  <c r="W69" i="4"/>
  <c r="AE69" i="4"/>
  <c r="AM69" i="4"/>
  <c r="AU69" i="4"/>
  <c r="Q70" i="4"/>
  <c r="Y70" i="4"/>
  <c r="AG70" i="4"/>
  <c r="AO70" i="4"/>
  <c r="AW70" i="4"/>
  <c r="T71" i="4"/>
  <c r="AB71" i="4"/>
  <c r="AJ71" i="4"/>
  <c r="AR71" i="4"/>
  <c r="X72" i="4"/>
  <c r="AF72" i="4"/>
  <c r="AN72" i="4"/>
  <c r="AV72" i="4"/>
  <c r="U73" i="4"/>
  <c r="AC73" i="4"/>
  <c r="AK73" i="4"/>
  <c r="AS73" i="4"/>
  <c r="S74" i="4"/>
  <c r="AA74" i="4"/>
  <c r="D58" i="4"/>
  <c r="L58" i="4"/>
  <c r="T58" i="4"/>
  <c r="AB58" i="4"/>
  <c r="AJ58" i="4"/>
  <c r="AR58" i="4"/>
  <c r="K59" i="4"/>
  <c r="S59" i="4"/>
  <c r="AA59" i="4"/>
  <c r="AI59" i="4"/>
  <c r="AQ59" i="4"/>
  <c r="AY59" i="4"/>
  <c r="K60" i="4"/>
  <c r="S60" i="4"/>
  <c r="AA60" i="4"/>
  <c r="AI60" i="4"/>
  <c r="AQ60" i="4"/>
  <c r="AY60" i="4"/>
  <c r="L61" i="4"/>
  <c r="T61" i="4"/>
  <c r="AB61" i="4"/>
  <c r="AJ61" i="4"/>
  <c r="AR61" i="4"/>
  <c r="N62" i="4"/>
  <c r="V62" i="4"/>
  <c r="AD62" i="4"/>
  <c r="AL62" i="4"/>
  <c r="AT62" i="4"/>
  <c r="I63" i="4"/>
  <c r="Q63" i="4"/>
  <c r="Y63" i="4"/>
  <c r="AG63" i="4"/>
  <c r="AO63" i="4"/>
  <c r="AW63" i="4"/>
  <c r="M64" i="4"/>
  <c r="U64" i="4"/>
  <c r="AC64" i="4"/>
  <c r="AK64" i="4"/>
  <c r="AS64" i="4"/>
  <c r="J65" i="4"/>
  <c r="R65" i="4"/>
  <c r="Z65" i="4"/>
  <c r="AH65" i="4"/>
  <c r="AP65" i="4"/>
  <c r="AX65" i="4"/>
  <c r="P66" i="4"/>
  <c r="X66" i="4"/>
  <c r="AF66" i="4"/>
  <c r="AN66" i="4"/>
  <c r="AV66" i="4"/>
  <c r="O67" i="4"/>
  <c r="W67" i="4"/>
  <c r="AE67" i="4"/>
  <c r="AM67" i="4"/>
  <c r="AU67" i="4"/>
  <c r="O68" i="4"/>
  <c r="W68" i="4"/>
  <c r="AE68" i="4"/>
  <c r="AM68" i="4"/>
  <c r="AU68" i="4"/>
  <c r="P69" i="4"/>
  <c r="X69" i="4"/>
  <c r="AF69" i="4"/>
  <c r="AN69" i="4"/>
  <c r="AV69" i="4"/>
  <c r="R70" i="4"/>
  <c r="Z70" i="4"/>
  <c r="AH70" i="4"/>
  <c r="AP70" i="4"/>
  <c r="AX70" i="4"/>
  <c r="U71" i="4"/>
  <c r="AC71" i="4"/>
  <c r="AK71" i="4"/>
  <c r="AS71" i="4"/>
  <c r="Q72" i="4"/>
  <c r="Y72" i="4"/>
  <c r="AG72" i="4"/>
  <c r="AO72" i="4"/>
  <c r="AK58" i="4"/>
  <c r="AR59" i="4"/>
  <c r="M61" i="4"/>
  <c r="W62" i="4"/>
  <c r="AH63" i="4"/>
  <c r="AT64" i="4"/>
  <c r="X67" i="4"/>
  <c r="AN68" i="4"/>
  <c r="AT71" i="4"/>
  <c r="AK72" i="4"/>
  <c r="R73" i="4"/>
  <c r="AD73" i="4"/>
  <c r="AM73" i="4"/>
  <c r="AV73" i="4"/>
  <c r="W74" i="4"/>
  <c r="AF74" i="4"/>
  <c r="AN74" i="4"/>
  <c r="AV74" i="4"/>
  <c r="W75" i="4"/>
  <c r="AE75" i="4"/>
  <c r="AM75" i="4"/>
  <c r="AU75" i="4"/>
  <c r="W76" i="4"/>
  <c r="AE76" i="4"/>
  <c r="AM76" i="4"/>
  <c r="AU76" i="4"/>
  <c r="X77" i="4"/>
  <c r="AF77" i="4"/>
  <c r="AN77" i="4"/>
  <c r="AV77" i="4"/>
  <c r="Z78" i="4"/>
  <c r="AH78" i="4"/>
  <c r="AP78" i="4"/>
  <c r="AX78" i="4"/>
  <c r="AY78" i="4"/>
  <c r="AC58" i="4"/>
  <c r="P67" i="4"/>
  <c r="V74" i="4"/>
  <c r="AT75" i="4"/>
  <c r="AM77" i="4"/>
  <c r="AS58" i="4"/>
  <c r="U61" i="4"/>
  <c r="AE62" i="4"/>
  <c r="AP63" i="4"/>
  <c r="Q66" i="4"/>
  <c r="AF67" i="4"/>
  <c r="AV68" i="4"/>
  <c r="S70" i="4"/>
  <c r="Q71" i="4"/>
  <c r="AW71" i="4"/>
  <c r="AP72" i="4"/>
  <c r="V73" i="4"/>
  <c r="AE73" i="4"/>
  <c r="AN73" i="4"/>
  <c r="AW73" i="4"/>
  <c r="X74" i="4"/>
  <c r="AG74" i="4"/>
  <c r="AO74" i="4"/>
  <c r="AW74" i="4"/>
  <c r="X75" i="4"/>
  <c r="AF75" i="4"/>
  <c r="AN75" i="4"/>
  <c r="AV75" i="4"/>
  <c r="X76" i="4"/>
  <c r="AF76" i="4"/>
  <c r="AN76" i="4"/>
  <c r="AV76" i="4"/>
  <c r="Y77" i="4"/>
  <c r="AG77" i="4"/>
  <c r="AO77" i="4"/>
  <c r="AW77" i="4"/>
  <c r="AA78" i="4"/>
  <c r="AI78" i="4"/>
  <c r="AQ78" i="4"/>
  <c r="AL64" i="4"/>
  <c r="AW69" i="4"/>
  <c r="AU73" i="4"/>
  <c r="AL75" i="4"/>
  <c r="AT76" i="4"/>
  <c r="AO78" i="4"/>
  <c r="L60" i="4"/>
  <c r="AC61" i="4"/>
  <c r="AM62" i="4"/>
  <c r="AX63" i="4"/>
  <c r="K65" i="4"/>
  <c r="Y66" i="4"/>
  <c r="AN67" i="4"/>
  <c r="AA70" i="4"/>
  <c r="V71" i="4"/>
  <c r="AR72" i="4"/>
  <c r="W73" i="4"/>
  <c r="AF73" i="4"/>
  <c r="AO73" i="4"/>
  <c r="AX73" i="4"/>
  <c r="Y74" i="4"/>
  <c r="AH74" i="4"/>
  <c r="AP74" i="4"/>
  <c r="AX74" i="4"/>
  <c r="Y75" i="4"/>
  <c r="AG75" i="4"/>
  <c r="AO75" i="4"/>
  <c r="AW75" i="4"/>
  <c r="Y76" i="4"/>
  <c r="AG76" i="4"/>
  <c r="AO76" i="4"/>
  <c r="AW76" i="4"/>
  <c r="Z77" i="4"/>
  <c r="AH77" i="4"/>
  <c r="AP77" i="4"/>
  <c r="AX77" i="4"/>
  <c r="AB78" i="4"/>
  <c r="AJ78" i="4"/>
  <c r="AR78" i="4"/>
  <c r="AM78" i="4"/>
  <c r="AF78" i="4"/>
  <c r="Z63" i="4"/>
  <c r="AO71" i="4"/>
  <c r="AE74" i="4"/>
  <c r="V76" i="4"/>
  <c r="Y78" i="4"/>
  <c r="D59" i="4"/>
  <c r="T60" i="4"/>
  <c r="AK61" i="4"/>
  <c r="AU62" i="4"/>
  <c r="S65" i="4"/>
  <c r="AG66" i="4"/>
  <c r="AV67" i="4"/>
  <c r="Q69" i="4"/>
  <c r="AI70" i="4"/>
  <c r="Y71" i="4"/>
  <c r="R72" i="4"/>
  <c r="AS72" i="4"/>
  <c r="X73" i="4"/>
  <c r="AG73" i="4"/>
  <c r="AP73" i="4"/>
  <c r="AY73" i="4"/>
  <c r="Z74" i="4"/>
  <c r="AI74" i="4"/>
  <c r="AQ74" i="4"/>
  <c r="AY74" i="4"/>
  <c r="Z75" i="4"/>
  <c r="AH75" i="4"/>
  <c r="AP75" i="4"/>
  <c r="AX75" i="4"/>
  <c r="Z76" i="4"/>
  <c r="AH76" i="4"/>
  <c r="AP76" i="4"/>
  <c r="AX76" i="4"/>
  <c r="AA77" i="4"/>
  <c r="AI77" i="4"/>
  <c r="AQ77" i="4"/>
  <c r="AY77" i="4"/>
  <c r="AC78" i="4"/>
  <c r="AK78" i="4"/>
  <c r="AS78" i="4"/>
  <c r="AJ59" i="4"/>
  <c r="AH72" i="4"/>
  <c r="AM74" i="4"/>
  <c r="AL76" i="4"/>
  <c r="AG78" i="4"/>
  <c r="E58" i="4"/>
  <c r="L59" i="4"/>
  <c r="AB60" i="4"/>
  <c r="AS61" i="4"/>
  <c r="N64" i="4"/>
  <c r="AA65" i="4"/>
  <c r="AO66" i="4"/>
  <c r="Y69" i="4"/>
  <c r="AL70" i="4"/>
  <c r="AD71" i="4"/>
  <c r="U72" i="4"/>
  <c r="AW72" i="4"/>
  <c r="Y73" i="4"/>
  <c r="AH73" i="4"/>
  <c r="AQ73" i="4"/>
  <c r="AB74" i="4"/>
  <c r="AJ74" i="4"/>
  <c r="AR74" i="4"/>
  <c r="AA75" i="4"/>
  <c r="AI75" i="4"/>
  <c r="AQ75" i="4"/>
  <c r="AY75" i="4"/>
  <c r="AA76" i="4"/>
  <c r="AI76" i="4"/>
  <c r="AQ76" i="4"/>
  <c r="AY76" i="4"/>
  <c r="AB77" i="4"/>
  <c r="AJ77" i="4"/>
  <c r="AR77" i="4"/>
  <c r="AD78" i="4"/>
  <c r="AL78" i="4"/>
  <c r="AT78" i="4"/>
  <c r="W78" i="4"/>
  <c r="AU78" i="4"/>
  <c r="AN78" i="4"/>
  <c r="O62" i="4"/>
  <c r="AF68" i="4"/>
  <c r="AL73" i="4"/>
  <c r="AU74" i="4"/>
  <c r="AD76" i="4"/>
  <c r="AU77" i="4"/>
  <c r="M58" i="4"/>
  <c r="T59" i="4"/>
  <c r="AJ60" i="4"/>
  <c r="J63" i="4"/>
  <c r="V64" i="4"/>
  <c r="AI65" i="4"/>
  <c r="AW66" i="4"/>
  <c r="P68" i="4"/>
  <c r="AG69" i="4"/>
  <c r="AQ70" i="4"/>
  <c r="AG71" i="4"/>
  <c r="Z72" i="4"/>
  <c r="AX72" i="4"/>
  <c r="Z73" i="4"/>
  <c r="AI73" i="4"/>
  <c r="AR73" i="4"/>
  <c r="T74" i="4"/>
  <c r="AC74" i="4"/>
  <c r="AK74" i="4"/>
  <c r="AS74" i="4"/>
  <c r="T75" i="4"/>
  <c r="AB75" i="4"/>
  <c r="AJ75" i="4"/>
  <c r="AR75" i="4"/>
  <c r="AB76" i="4"/>
  <c r="AJ76" i="4"/>
  <c r="AR76" i="4"/>
  <c r="AC77" i="4"/>
  <c r="AK77" i="4"/>
  <c r="AS77" i="4"/>
  <c r="AE78" i="4"/>
  <c r="V75" i="4"/>
  <c r="AE77" i="4"/>
  <c r="AW78" i="4"/>
  <c r="U58" i="4"/>
  <c r="AB59" i="4"/>
  <c r="AR60" i="4"/>
  <c r="G62" i="4"/>
  <c r="R63" i="4"/>
  <c r="AD64" i="4"/>
  <c r="AQ65" i="4"/>
  <c r="X68" i="4"/>
  <c r="AO69" i="4"/>
  <c r="AT70" i="4"/>
  <c r="AL71" i="4"/>
  <c r="AC72" i="4"/>
  <c r="AY72" i="4"/>
  <c r="AA73" i="4"/>
  <c r="AJ73" i="4"/>
  <c r="AT73" i="4"/>
  <c r="U74" i="4"/>
  <c r="AD74" i="4"/>
  <c r="AL74" i="4"/>
  <c r="AT74" i="4"/>
  <c r="U75" i="4"/>
  <c r="AC75" i="4"/>
  <c r="AK75" i="4"/>
  <c r="AS75" i="4"/>
  <c r="U76" i="4"/>
  <c r="AC76" i="4"/>
  <c r="AK76" i="4"/>
  <c r="AS76" i="4"/>
  <c r="V77" i="4"/>
  <c r="AD77" i="4"/>
  <c r="AL77" i="4"/>
  <c r="AT77" i="4"/>
  <c r="X78" i="4"/>
  <c r="AV78" i="4"/>
  <c r="AY65" i="4"/>
  <c r="AY70" i="4"/>
  <c r="AB73" i="4"/>
  <c r="AD75" i="4"/>
  <c r="W77" i="4"/>
  <c r="E23" i="4"/>
  <c r="E31" i="4" s="1"/>
  <c r="D22" i="4"/>
  <c r="D44" i="4"/>
  <c r="D43" i="4" s="1"/>
  <c r="AZ35" i="4"/>
  <c r="AX35" i="4"/>
  <c r="AV35" i="4"/>
  <c r="AT35" i="4"/>
  <c r="AR35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P35" i="4"/>
  <c r="N35" i="4"/>
  <c r="L35" i="4"/>
  <c r="J35" i="4"/>
  <c r="H35" i="4"/>
  <c r="F35" i="4"/>
  <c r="D35" i="4"/>
  <c r="AY35" i="4"/>
  <c r="AW35" i="4"/>
  <c r="AU35" i="4"/>
  <c r="AS35" i="4"/>
  <c r="AQ35" i="4"/>
  <c r="AO35" i="4"/>
  <c r="AM35" i="4"/>
  <c r="AK35" i="4"/>
  <c r="AI35" i="4"/>
  <c r="AG35" i="4"/>
  <c r="AE35" i="4"/>
  <c r="AC35" i="4"/>
  <c r="AA35" i="4"/>
  <c r="Y35" i="4"/>
  <c r="W35" i="4"/>
  <c r="U35" i="4"/>
  <c r="S35" i="4"/>
  <c r="Q35" i="4"/>
  <c r="O35" i="4"/>
  <c r="M35" i="4"/>
  <c r="K35" i="4"/>
  <c r="I35" i="4"/>
  <c r="G35" i="4"/>
  <c r="E35" i="4"/>
  <c r="C29" i="4"/>
  <c r="AQ34" i="3"/>
  <c r="U34" i="3"/>
  <c r="AA34" i="3"/>
  <c r="AV34" i="3"/>
  <c r="AS34" i="3"/>
  <c r="X34" i="3"/>
  <c r="E34" i="3"/>
  <c r="AN34" i="3"/>
  <c r="S34" i="3"/>
  <c r="AK34" i="3"/>
  <c r="P34" i="3"/>
  <c r="AI34" i="3"/>
  <c r="M34" i="3"/>
  <c r="K34" i="3"/>
  <c r="AF34" i="3"/>
  <c r="AY34" i="3"/>
  <c r="AC34" i="3"/>
  <c r="H34" i="3"/>
  <c r="AX34" i="3"/>
  <c r="AP34" i="3"/>
  <c r="AH34" i="3"/>
  <c r="Z34" i="3"/>
  <c r="R34" i="3"/>
  <c r="J34" i="3"/>
  <c r="AW34" i="3"/>
  <c r="AO34" i="3"/>
  <c r="AG34" i="3"/>
  <c r="Y34" i="3"/>
  <c r="Q34" i="3"/>
  <c r="I34" i="3"/>
  <c r="AU34" i="3"/>
  <c r="AM34" i="3"/>
  <c r="AE34" i="3"/>
  <c r="W34" i="3"/>
  <c r="O34" i="3"/>
  <c r="G34" i="3"/>
  <c r="AT34" i="3"/>
  <c r="AL34" i="3"/>
  <c r="AD34" i="3"/>
  <c r="V34" i="3"/>
  <c r="N34" i="3"/>
  <c r="F34" i="3"/>
  <c r="AR34" i="3"/>
  <c r="AJ34" i="3"/>
  <c r="AB34" i="3"/>
  <c r="T34" i="3"/>
  <c r="L34" i="3"/>
  <c r="D34" i="3"/>
  <c r="D12" i="3"/>
  <c r="E11" i="3"/>
  <c r="F21" i="3"/>
  <c r="E30" i="4" l="1"/>
  <c r="D47" i="4"/>
  <c r="C46" i="4"/>
  <c r="C45" i="4" s="1"/>
  <c r="C34" i="4" s="1"/>
  <c r="E47" i="4"/>
  <c r="F23" i="4"/>
  <c r="E22" i="4"/>
  <c r="E44" i="4"/>
  <c r="E43" i="4" s="1"/>
  <c r="D29" i="4"/>
  <c r="G46" i="4"/>
  <c r="K46" i="4"/>
  <c r="O46" i="4"/>
  <c r="W46" i="4"/>
  <c r="AA46" i="4"/>
  <c r="AE46" i="4"/>
  <c r="AI46" i="4"/>
  <c r="AQ46" i="4"/>
  <c r="AU46" i="4"/>
  <c r="AY46" i="4"/>
  <c r="E46" i="4"/>
  <c r="I46" i="4"/>
  <c r="M46" i="4"/>
  <c r="Q46" i="4"/>
  <c r="U46" i="4"/>
  <c r="Y46" i="4"/>
  <c r="AC46" i="4"/>
  <c r="AG46" i="4"/>
  <c r="AK46" i="4"/>
  <c r="AO46" i="4"/>
  <c r="AS46" i="4"/>
  <c r="AW46" i="4"/>
  <c r="D46" i="4"/>
  <c r="H46" i="4"/>
  <c r="L46" i="4"/>
  <c r="P46" i="4"/>
  <c r="T46" i="4"/>
  <c r="X46" i="4"/>
  <c r="AB46" i="4"/>
  <c r="AF46" i="4"/>
  <c r="AJ46" i="4"/>
  <c r="AN46" i="4"/>
  <c r="AR46" i="4"/>
  <c r="AV46" i="4"/>
  <c r="AZ46" i="4"/>
  <c r="S46" i="4"/>
  <c r="AM46" i="4"/>
  <c r="F46" i="4"/>
  <c r="J46" i="4"/>
  <c r="N46" i="4"/>
  <c r="R46" i="4"/>
  <c r="V46" i="4"/>
  <c r="Z46" i="4"/>
  <c r="AD46" i="4"/>
  <c r="AH46" i="4"/>
  <c r="AL46" i="4"/>
  <c r="AP46" i="4"/>
  <c r="AT46" i="4"/>
  <c r="AX46" i="4"/>
  <c r="G21" i="3"/>
  <c r="E12" i="3"/>
  <c r="F11" i="3"/>
  <c r="E29" i="4" l="1"/>
  <c r="F31" i="4"/>
  <c r="F30" i="4"/>
  <c r="AK47" i="4"/>
  <c r="F47" i="4"/>
  <c r="AP47" i="4"/>
  <c r="AS47" i="4"/>
  <c r="AV47" i="4"/>
  <c r="T47" i="4"/>
  <c r="AC47" i="4"/>
  <c r="AO47" i="4"/>
  <c r="V47" i="4"/>
  <c r="AQ47" i="4"/>
  <c r="X47" i="4"/>
  <c r="AF47" i="4"/>
  <c r="I47" i="4"/>
  <c r="AW47" i="4"/>
  <c r="G47" i="4"/>
  <c r="S47" i="4"/>
  <c r="Z47" i="4"/>
  <c r="AT47" i="4"/>
  <c r="P47" i="4"/>
  <c r="AZ47" i="4"/>
  <c r="Q47" i="4"/>
  <c r="W47" i="4"/>
  <c r="AI47" i="4"/>
  <c r="AN47" i="4"/>
  <c r="AE47" i="4"/>
  <c r="AY47" i="4"/>
  <c r="K47" i="4"/>
  <c r="N47" i="4"/>
  <c r="AX47" i="4"/>
  <c r="M47" i="4"/>
  <c r="AM47" i="4"/>
  <c r="R47" i="4"/>
  <c r="AU47" i="4"/>
  <c r="O47" i="4"/>
  <c r="AA47" i="4"/>
  <c r="J47" i="4"/>
  <c r="AB47" i="4"/>
  <c r="Y47" i="4"/>
  <c r="AG47" i="4"/>
  <c r="AH47" i="4"/>
  <c r="U47" i="4"/>
  <c r="H47" i="4"/>
  <c r="L47" i="4"/>
  <c r="AD47" i="4"/>
  <c r="AJ47" i="4"/>
  <c r="AL47" i="4"/>
  <c r="AR47" i="4"/>
  <c r="G23" i="4"/>
  <c r="F22" i="4"/>
  <c r="F44" i="4"/>
  <c r="F43" i="4" s="1"/>
  <c r="F12" i="3"/>
  <c r="G11" i="3"/>
  <c r="H21" i="3"/>
  <c r="G31" i="4" l="1"/>
  <c r="G30" i="4"/>
  <c r="F29" i="4"/>
  <c r="H23" i="4"/>
  <c r="G44" i="4"/>
  <c r="I21" i="3"/>
  <c r="G12" i="3"/>
  <c r="H11" i="3"/>
  <c r="G29" i="4" l="1"/>
  <c r="H31" i="4"/>
  <c r="H30" i="4"/>
  <c r="I23" i="4"/>
  <c r="H44" i="4"/>
  <c r="J21" i="3"/>
  <c r="H12" i="3"/>
  <c r="I11" i="3"/>
  <c r="I31" i="4" l="1"/>
  <c r="I30" i="4"/>
  <c r="H29" i="4"/>
  <c r="J23" i="4"/>
  <c r="I44" i="4"/>
  <c r="I12" i="3"/>
  <c r="J11" i="3"/>
  <c r="K21" i="3"/>
  <c r="I29" i="4" l="1"/>
  <c r="J31" i="4"/>
  <c r="J30" i="4"/>
  <c r="K23" i="4"/>
  <c r="J44" i="4"/>
  <c r="L21" i="3"/>
  <c r="K11" i="3"/>
  <c r="J12" i="3"/>
  <c r="K31" i="4" l="1"/>
  <c r="K30" i="4"/>
  <c r="J29" i="4"/>
  <c r="L23" i="4"/>
  <c r="K44" i="4"/>
  <c r="K12" i="3"/>
  <c r="L11" i="3"/>
  <c r="M21" i="3"/>
  <c r="L31" i="4" l="1"/>
  <c r="L30" i="4"/>
  <c r="K29" i="4"/>
  <c r="M23" i="4"/>
  <c r="L44" i="4"/>
  <c r="L12" i="3"/>
  <c r="M11" i="3"/>
  <c r="N21" i="3"/>
  <c r="L29" i="4" l="1"/>
  <c r="M31" i="4"/>
  <c r="M30" i="4"/>
  <c r="N23" i="4"/>
  <c r="M44" i="4"/>
  <c r="M12" i="3"/>
  <c r="N11" i="3"/>
  <c r="O21" i="3"/>
  <c r="N31" i="4" l="1"/>
  <c r="N30" i="4"/>
  <c r="M29" i="4"/>
  <c r="O23" i="4"/>
  <c r="N44" i="4"/>
  <c r="P21" i="3"/>
  <c r="N12" i="3"/>
  <c r="O11" i="3"/>
  <c r="N29" i="4" l="1"/>
  <c r="O31" i="4"/>
  <c r="O30" i="4"/>
  <c r="P23" i="4"/>
  <c r="O44" i="4"/>
  <c r="O12" i="3"/>
  <c r="P11" i="3"/>
  <c r="Q21" i="3"/>
  <c r="O29" i="4" l="1"/>
  <c r="P31" i="4"/>
  <c r="P30" i="4"/>
  <c r="Q23" i="4"/>
  <c r="P44" i="4"/>
  <c r="P12" i="3"/>
  <c r="Q11" i="3"/>
  <c r="R21" i="3"/>
  <c r="P29" i="4" l="1"/>
  <c r="Q31" i="4"/>
  <c r="Q30" i="4"/>
  <c r="R23" i="4"/>
  <c r="Q44" i="4"/>
  <c r="S21" i="3"/>
  <c r="Q12" i="3"/>
  <c r="R11" i="3"/>
  <c r="Q29" i="4" l="1"/>
  <c r="R31" i="4"/>
  <c r="R30" i="4"/>
  <c r="S23" i="4"/>
  <c r="R44" i="4"/>
  <c r="S11" i="3"/>
  <c r="R12" i="3"/>
  <c r="T21" i="3"/>
  <c r="S31" i="4" l="1"/>
  <c r="S30" i="4"/>
  <c r="R29" i="4"/>
  <c r="T23" i="4"/>
  <c r="S44" i="4"/>
  <c r="U21" i="3"/>
  <c r="S12" i="3"/>
  <c r="T11" i="3"/>
  <c r="S29" i="4" l="1"/>
  <c r="T31" i="4"/>
  <c r="T30" i="4"/>
  <c r="U23" i="4"/>
  <c r="T44" i="4"/>
  <c r="V21" i="3"/>
  <c r="T12" i="3"/>
  <c r="U11" i="3"/>
  <c r="U31" i="4" l="1"/>
  <c r="U30" i="4"/>
  <c r="T29" i="4"/>
  <c r="V23" i="4"/>
  <c r="U44" i="4"/>
  <c r="W21" i="3"/>
  <c r="U12" i="3"/>
  <c r="V11" i="3"/>
  <c r="V31" i="4" l="1"/>
  <c r="V30" i="4"/>
  <c r="U29" i="4"/>
  <c r="W23" i="4"/>
  <c r="V44" i="4"/>
  <c r="V12" i="3"/>
  <c r="W11" i="3"/>
  <c r="X21" i="3"/>
  <c r="W31" i="4" l="1"/>
  <c r="W30" i="4"/>
  <c r="V29" i="4"/>
  <c r="X23" i="4"/>
  <c r="W44" i="4"/>
  <c r="Y21" i="3"/>
  <c r="W12" i="3"/>
  <c r="X11" i="3"/>
  <c r="X31" i="4" l="1"/>
  <c r="X30" i="4"/>
  <c r="W29" i="4"/>
  <c r="Y23" i="4"/>
  <c r="X44" i="4"/>
  <c r="X12" i="3"/>
  <c r="Y11" i="3"/>
  <c r="Z21" i="3"/>
  <c r="Y31" i="4" l="1"/>
  <c r="Y30" i="4"/>
  <c r="X29" i="4"/>
  <c r="Z23" i="4"/>
  <c r="Y44" i="4"/>
  <c r="AA21" i="3"/>
  <c r="Y12" i="3"/>
  <c r="Z11" i="3"/>
  <c r="Z31" i="4" l="1"/>
  <c r="Z30" i="4"/>
  <c r="Y29" i="4"/>
  <c r="AA23" i="4"/>
  <c r="Z44" i="4"/>
  <c r="AB21" i="3"/>
  <c r="AA11" i="3"/>
  <c r="Z12" i="3"/>
  <c r="AA31" i="4" l="1"/>
  <c r="AA30" i="4"/>
  <c r="Z29" i="4"/>
  <c r="AB23" i="4"/>
  <c r="AA44" i="4"/>
  <c r="AC21" i="3"/>
  <c r="AA12" i="3"/>
  <c r="AB11" i="3"/>
  <c r="AB31" i="4" l="1"/>
  <c r="AB30" i="4"/>
  <c r="AA29" i="4"/>
  <c r="AC23" i="4"/>
  <c r="AB44" i="4"/>
  <c r="AD21" i="3"/>
  <c r="AB12" i="3"/>
  <c r="AC11" i="3"/>
  <c r="AB29" i="4" l="1"/>
  <c r="AC31" i="4"/>
  <c r="AC30" i="4"/>
  <c r="AD23" i="4"/>
  <c r="AC44" i="4"/>
  <c r="AC12" i="3"/>
  <c r="AD11" i="3"/>
  <c r="AE21" i="3"/>
  <c r="AD31" i="4" l="1"/>
  <c r="AD30" i="4"/>
  <c r="AC29" i="4"/>
  <c r="AE23" i="4"/>
  <c r="AD44" i="4"/>
  <c r="AF21" i="3"/>
  <c r="AD12" i="3"/>
  <c r="AE11" i="3"/>
  <c r="AE31" i="4" l="1"/>
  <c r="AE30" i="4"/>
  <c r="AD29" i="4"/>
  <c r="AF23" i="4"/>
  <c r="AE44" i="4"/>
  <c r="AE12" i="3"/>
  <c r="AF11" i="3"/>
  <c r="AG21" i="3"/>
  <c r="AF31" i="4" l="1"/>
  <c r="AF30" i="4"/>
  <c r="AE29" i="4"/>
  <c r="AG23" i="4"/>
  <c r="AF44" i="4"/>
  <c r="AF12" i="3"/>
  <c r="AG11" i="3"/>
  <c r="AH21" i="3"/>
  <c r="AF29" i="4" l="1"/>
  <c r="AG31" i="4"/>
  <c r="AG30" i="4"/>
  <c r="AH23" i="4"/>
  <c r="AG44" i="4"/>
  <c r="AI21" i="3"/>
  <c r="AG12" i="3"/>
  <c r="AH11" i="3"/>
  <c r="AG29" i="4" l="1"/>
  <c r="AH31" i="4"/>
  <c r="AH30" i="4"/>
  <c r="AI23" i="4"/>
  <c r="AH44" i="4"/>
  <c r="AI11" i="3"/>
  <c r="AH12" i="3"/>
  <c r="AJ21" i="3"/>
  <c r="AI31" i="4" l="1"/>
  <c r="AI30" i="4"/>
  <c r="AH29" i="4"/>
  <c r="AJ23" i="4"/>
  <c r="AI44" i="4"/>
  <c r="AK21" i="3"/>
  <c r="AI12" i="3"/>
  <c r="AJ11" i="3"/>
  <c r="AI29" i="4" l="1"/>
  <c r="AJ31" i="4"/>
  <c r="AJ30" i="4"/>
  <c r="AK23" i="4"/>
  <c r="AJ44" i="4"/>
  <c r="AL21" i="3"/>
  <c r="AJ12" i="3"/>
  <c r="AK11" i="3"/>
  <c r="AK31" i="4" l="1"/>
  <c r="AK30" i="4"/>
  <c r="AJ29" i="4"/>
  <c r="AL23" i="4"/>
  <c r="AK44" i="4"/>
  <c r="AK12" i="3"/>
  <c r="AL11" i="3"/>
  <c r="AM21" i="3"/>
  <c r="AL31" i="4" l="1"/>
  <c r="AL30" i="4"/>
  <c r="AK29" i="4"/>
  <c r="AM23" i="4"/>
  <c r="AL44" i="4"/>
  <c r="AN21" i="3"/>
  <c r="AL12" i="3"/>
  <c r="AM11" i="3"/>
  <c r="AM31" i="4" l="1"/>
  <c r="AM30" i="4"/>
  <c r="AL29" i="4"/>
  <c r="AN23" i="4"/>
  <c r="AM44" i="4"/>
  <c r="AM12" i="3"/>
  <c r="AN11" i="3"/>
  <c r="AO21" i="3"/>
  <c r="AN31" i="4" l="1"/>
  <c r="AN30" i="4"/>
  <c r="AM29" i="4"/>
  <c r="AO23" i="4"/>
  <c r="AN44" i="4"/>
  <c r="AN12" i="3"/>
  <c r="AO11" i="3"/>
  <c r="AP21" i="3"/>
  <c r="AO31" i="4" l="1"/>
  <c r="AO30" i="4"/>
  <c r="AN29" i="4"/>
  <c r="AP23" i="4"/>
  <c r="AO44" i="4"/>
  <c r="AQ21" i="3"/>
  <c r="AO12" i="3"/>
  <c r="AP11" i="3"/>
  <c r="AP31" i="4" l="1"/>
  <c r="AP30" i="4"/>
  <c r="AO29" i="4"/>
  <c r="AQ23" i="4"/>
  <c r="AP44" i="4"/>
  <c r="AQ11" i="3"/>
  <c r="AP12" i="3"/>
  <c r="AR21" i="3"/>
  <c r="AQ31" i="4" l="1"/>
  <c r="AQ30" i="4"/>
  <c r="AP29" i="4"/>
  <c r="AR23" i="4"/>
  <c r="AQ44" i="4"/>
  <c r="AS21" i="3"/>
  <c r="AQ12" i="3"/>
  <c r="AR11" i="3"/>
  <c r="AQ29" i="4" l="1"/>
  <c r="AR31" i="4"/>
  <c r="AR30" i="4"/>
  <c r="AS23" i="4"/>
  <c r="AR44" i="4"/>
  <c r="AT21" i="3"/>
  <c r="AR12" i="3"/>
  <c r="AS11" i="3"/>
  <c r="AS31" i="4" l="1"/>
  <c r="AS30" i="4"/>
  <c r="AR29" i="4"/>
  <c r="AT23" i="4"/>
  <c r="AS44" i="4"/>
  <c r="AS12" i="3"/>
  <c r="AT11" i="3"/>
  <c r="AU21" i="3"/>
  <c r="AT31" i="4" l="1"/>
  <c r="AT30" i="4"/>
  <c r="AS29" i="4"/>
  <c r="AU23" i="4"/>
  <c r="AT44" i="4"/>
  <c r="AV21" i="3"/>
  <c r="AT12" i="3"/>
  <c r="AU11" i="3"/>
  <c r="AT29" i="4" l="1"/>
  <c r="AU31" i="4"/>
  <c r="AU30" i="4"/>
  <c r="AV23" i="4"/>
  <c r="AU44" i="4"/>
  <c r="AW21" i="3"/>
  <c r="AU12" i="3"/>
  <c r="AV11" i="3"/>
  <c r="AV31" i="4" l="1"/>
  <c r="AV30" i="4"/>
  <c r="AU29" i="4"/>
  <c r="AW23" i="4"/>
  <c r="AV44" i="4"/>
  <c r="AV12" i="3"/>
  <c r="AW11" i="3"/>
  <c r="AX21" i="3"/>
  <c r="AW31" i="4" l="1"/>
  <c r="AW30" i="4"/>
  <c r="AV29" i="4"/>
  <c r="AX23" i="4"/>
  <c r="AW44" i="4"/>
  <c r="AW12" i="3"/>
  <c r="AX11" i="3"/>
  <c r="AY21" i="3"/>
  <c r="AX31" i="4" l="1"/>
  <c r="AX30" i="4"/>
  <c r="AW29" i="4"/>
  <c r="AY23" i="4"/>
  <c r="AX44" i="4"/>
  <c r="AY11" i="3"/>
  <c r="AX12" i="3"/>
  <c r="AZ21" i="3"/>
  <c r="AY31" i="4" l="1"/>
  <c r="AY30" i="4"/>
  <c r="AX29" i="4"/>
  <c r="AZ23" i="4"/>
  <c r="AY44" i="4"/>
  <c r="AY12" i="3"/>
  <c r="AZ11" i="3"/>
  <c r="AZ31" i="4" l="1"/>
  <c r="C10" i="5" s="1"/>
  <c r="C17" i="5" s="1"/>
  <c r="AZ30" i="4"/>
  <c r="AY29" i="4"/>
  <c r="AZ22" i="4"/>
  <c r="AZ44" i="4"/>
  <c r="AZ43" i="4" s="1"/>
  <c r="AZ12" i="3"/>
  <c r="AZ29" i="4" l="1"/>
  <c r="D17" i="4"/>
  <c r="D8" i="4"/>
  <c r="C8" i="4" s="1"/>
  <c r="D9" i="4"/>
  <c r="C9" i="4" s="1"/>
  <c r="D10" i="4"/>
  <c r="C10" i="4" s="1"/>
  <c r="AZ45" i="4"/>
  <c r="AZ34" i="4" s="1"/>
  <c r="G45" i="4"/>
  <c r="G34" i="4" s="1"/>
  <c r="AG45" i="4"/>
  <c r="AG34" i="4" s="1"/>
  <c r="AT45" i="4"/>
  <c r="AT34" i="4" s="1"/>
  <c r="R45" i="4"/>
  <c r="R34" i="4" s="1"/>
  <c r="AJ45" i="4"/>
  <c r="AJ34" i="4" s="1"/>
  <c r="U45" i="4"/>
  <c r="U34" i="4" s="1"/>
  <c r="H45" i="4"/>
  <c r="H34" i="4" s="1"/>
  <c r="AQ45" i="4"/>
  <c r="AQ34" i="4" s="1"/>
  <c r="J45" i="4"/>
  <c r="J34" i="4" s="1"/>
  <c r="W45" i="4"/>
  <c r="W34" i="4" s="1"/>
  <c r="T45" i="4"/>
  <c r="T34" i="4" s="1"/>
  <c r="D45" i="4"/>
  <c r="AK45" i="4"/>
  <c r="AK34" i="4" s="1"/>
  <c r="AH45" i="4"/>
  <c r="AH34" i="4" s="1"/>
  <c r="AP45" i="4"/>
  <c r="AP34" i="4" s="1"/>
  <c r="AW45" i="4"/>
  <c r="AW34" i="4" s="1"/>
  <c r="AD45" i="4"/>
  <c r="AD34" i="4" s="1"/>
  <c r="AV45" i="4"/>
  <c r="AV34" i="4" s="1"/>
  <c r="AI45" i="4"/>
  <c r="AI34" i="4" s="1"/>
  <c r="AX45" i="4"/>
  <c r="AX34" i="4" s="1"/>
  <c r="Y45" i="4"/>
  <c r="Y34" i="4" s="1"/>
  <c r="AC45" i="4"/>
  <c r="AC34" i="4" s="1"/>
  <c r="D17" i="5" l="1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D34" i="4"/>
  <c r="AU45" i="4"/>
  <c r="AU34" i="4" s="1"/>
  <c r="P45" i="4"/>
  <c r="P34" i="4" s="1"/>
  <c r="M45" i="4"/>
  <c r="M34" i="4" s="1"/>
  <c r="AM45" i="4"/>
  <c r="AM34" i="4" s="1"/>
  <c r="F45" i="4"/>
  <c r="F34" i="4" s="1"/>
  <c r="AS45" i="4"/>
  <c r="AS34" i="4" s="1"/>
  <c r="S45" i="4"/>
  <c r="S34" i="4" s="1"/>
  <c r="X45" i="4"/>
  <c r="X34" i="4" s="1"/>
  <c r="V45" i="4"/>
  <c r="V34" i="4" s="1"/>
  <c r="L45" i="4"/>
  <c r="L34" i="4" s="1"/>
  <c r="AO45" i="4"/>
  <c r="AO34" i="4" s="1"/>
  <c r="AY45" i="4"/>
  <c r="AY34" i="4" s="1"/>
  <c r="N45" i="4"/>
  <c r="N34" i="4" s="1"/>
  <c r="AN45" i="4"/>
  <c r="AN34" i="4" s="1"/>
  <c r="AR45" i="4"/>
  <c r="AR34" i="4" s="1"/>
  <c r="K45" i="4"/>
  <c r="K34" i="4" s="1"/>
  <c r="Q45" i="4"/>
  <c r="Q34" i="4" s="1"/>
  <c r="AE45" i="4"/>
  <c r="AE34" i="4" s="1"/>
  <c r="AL45" i="4"/>
  <c r="AL34" i="4" s="1"/>
  <c r="I45" i="4"/>
  <c r="I34" i="4" s="1"/>
  <c r="AF45" i="4"/>
  <c r="AF34" i="4" s="1"/>
  <c r="Z45" i="4"/>
  <c r="Z34" i="4" s="1"/>
  <c r="AY27" i="4"/>
  <c r="AQ27" i="4"/>
  <c r="AI27" i="4"/>
  <c r="AA27" i="4"/>
  <c r="S27" i="4"/>
  <c r="K27" i="4"/>
  <c r="C27" i="4"/>
  <c r="AX27" i="4"/>
  <c r="AP27" i="4"/>
  <c r="AH27" i="4"/>
  <c r="Z27" i="4"/>
  <c r="R27" i="4"/>
  <c r="J27" i="4"/>
  <c r="AW27" i="4"/>
  <c r="AO27" i="4"/>
  <c r="AG27" i="4"/>
  <c r="Y27" i="4"/>
  <c r="Q27" i="4"/>
  <c r="I27" i="4"/>
  <c r="AV27" i="4"/>
  <c r="AN27" i="4"/>
  <c r="AF27" i="4"/>
  <c r="X27" i="4"/>
  <c r="P27" i="4"/>
  <c r="H27" i="4"/>
  <c r="AT27" i="4"/>
  <c r="AL27" i="4"/>
  <c r="AD27" i="4"/>
  <c r="V27" i="4"/>
  <c r="N27" i="4"/>
  <c r="F27" i="4"/>
  <c r="AS27" i="4"/>
  <c r="AK27" i="4"/>
  <c r="AC27" i="4"/>
  <c r="U27" i="4"/>
  <c r="M27" i="4"/>
  <c r="E27" i="4"/>
  <c r="AU27" i="4"/>
  <c r="O27" i="4"/>
  <c r="AR27" i="4"/>
  <c r="L27" i="4"/>
  <c r="AM27" i="4"/>
  <c r="G27" i="4"/>
  <c r="AJ27" i="4"/>
  <c r="D27" i="4"/>
  <c r="AE27" i="4"/>
  <c r="AB27" i="4"/>
  <c r="AZ27" i="4"/>
  <c r="T27" i="4"/>
  <c r="W27" i="4"/>
  <c r="E45" i="4"/>
  <c r="E34" i="4" s="1"/>
  <c r="O45" i="4"/>
  <c r="O34" i="4" s="1"/>
  <c r="AB45" i="4"/>
  <c r="AB34" i="4" s="1"/>
  <c r="AA45" i="4"/>
  <c r="AA34" i="4" s="1"/>
  <c r="E12" i="4" l="1"/>
  <c r="D12" i="4" s="1"/>
  <c r="C12" i="4" l="1"/>
  <c r="C33" i="4" l="1"/>
  <c r="C39" i="4" l="1"/>
  <c r="C27" i="5" s="1"/>
  <c r="D50" i="4"/>
  <c r="D36" i="4" l="1"/>
  <c r="D33" i="4" s="1"/>
  <c r="E50" i="4" l="1"/>
  <c r="D39" i="4"/>
  <c r="D27" i="5" s="1"/>
  <c r="E36" i="4" l="1"/>
  <c r="E33" i="4" s="1"/>
  <c r="E39" i="4" l="1"/>
  <c r="E27" i="5" s="1"/>
  <c r="F50" i="4"/>
  <c r="F36" i="4" l="1"/>
  <c r="F33" i="4" s="1"/>
  <c r="G50" i="4" s="1"/>
  <c r="G36" i="4" l="1"/>
  <c r="G33" i="4" s="1"/>
  <c r="G39" i="4" s="1"/>
  <c r="G27" i="5" s="1"/>
  <c r="F39" i="4"/>
  <c r="F27" i="5" s="1"/>
  <c r="H50" i="4" l="1"/>
  <c r="H36" i="4" l="1"/>
  <c r="H33" i="4" s="1"/>
  <c r="H39" i="4" s="1"/>
  <c r="H27" i="5" s="1"/>
  <c r="I50" i="4" l="1"/>
  <c r="I36" i="4" s="1"/>
  <c r="I33" i="4" s="1"/>
  <c r="J50" i="4" s="1"/>
  <c r="J36" i="4" l="1"/>
  <c r="J33" i="4" s="1"/>
  <c r="K50" i="4" s="1"/>
  <c r="I39" i="4"/>
  <c r="I27" i="5" s="1"/>
  <c r="K36" i="4" l="1"/>
  <c r="K33" i="4" s="1"/>
  <c r="L50" i="4" s="1"/>
  <c r="J39" i="4"/>
  <c r="J27" i="5" s="1"/>
  <c r="K39" i="4" l="1"/>
  <c r="K27" i="5" s="1"/>
  <c r="L36" i="4"/>
  <c r="L33" i="4" s="1"/>
  <c r="M50" i="4" s="1"/>
  <c r="L39" i="4" l="1"/>
  <c r="L27" i="5" s="1"/>
  <c r="M36" i="4"/>
  <c r="M33" i="4" s="1"/>
  <c r="N50" i="4" s="1"/>
  <c r="M39" i="4" l="1"/>
  <c r="M27" i="5" s="1"/>
  <c r="N36" i="4"/>
  <c r="N33" i="4" s="1"/>
  <c r="O50" i="4" s="1"/>
  <c r="N39" i="4" l="1"/>
  <c r="N27" i="5" s="1"/>
  <c r="O36" i="4"/>
  <c r="O33" i="4" s="1"/>
  <c r="P50" i="4" s="1"/>
  <c r="O39" i="4" l="1"/>
  <c r="O27" i="5" s="1"/>
  <c r="P36" i="4"/>
  <c r="P33" i="4" s="1"/>
  <c r="Q50" i="4" s="1"/>
  <c r="P39" i="4" l="1"/>
  <c r="P27" i="5" s="1"/>
  <c r="Q36" i="4"/>
  <c r="Q33" i="4" s="1"/>
  <c r="R50" i="4" s="1"/>
  <c r="Q39" i="4" l="1"/>
  <c r="Q27" i="5" s="1"/>
  <c r="R36" i="4"/>
  <c r="R33" i="4" s="1"/>
  <c r="S50" i="4" s="1"/>
  <c r="R39" i="4" l="1"/>
  <c r="R27" i="5" s="1"/>
  <c r="S36" i="4"/>
  <c r="S33" i="4" s="1"/>
  <c r="T50" i="4" s="1"/>
  <c r="S39" i="4" l="1"/>
  <c r="S27" i="5" s="1"/>
  <c r="T36" i="4"/>
  <c r="T33" i="4" s="1"/>
  <c r="U50" i="4" s="1"/>
  <c r="T39" i="4" l="1"/>
  <c r="T27" i="5" s="1"/>
  <c r="U36" i="4"/>
  <c r="U33" i="4" s="1"/>
  <c r="V50" i="4" s="1"/>
  <c r="U39" i="4" l="1"/>
  <c r="U27" i="5" s="1"/>
  <c r="V36" i="4"/>
  <c r="V33" i="4" s="1"/>
  <c r="W50" i="4" s="1"/>
  <c r="V39" i="4" l="1"/>
  <c r="V27" i="5" s="1"/>
  <c r="W36" i="4"/>
  <c r="W33" i="4" s="1"/>
  <c r="W39" i="4" s="1"/>
  <c r="W27" i="5" s="1"/>
  <c r="X50" i="4" l="1"/>
  <c r="X36" i="4" s="1"/>
  <c r="X33" i="4" s="1"/>
  <c r="Y50" i="4" s="1"/>
  <c r="X39" i="4" l="1"/>
  <c r="X27" i="5" s="1"/>
  <c r="Y36" i="4"/>
  <c r="Y33" i="4" s="1"/>
  <c r="Y39" i="4" s="1"/>
  <c r="Y27" i="5" s="1"/>
  <c r="Z50" i="4" l="1"/>
  <c r="Z36" i="4" s="1"/>
  <c r="Z33" i="4" s="1"/>
  <c r="Z39" i="4" s="1"/>
  <c r="Z27" i="5" s="1"/>
  <c r="AA50" i="4" l="1"/>
  <c r="AA36" i="4" s="1"/>
  <c r="AA33" i="4" s="1"/>
  <c r="AA39" i="4" l="1"/>
  <c r="AA27" i="5" s="1"/>
  <c r="AB50" i="4"/>
  <c r="AB36" i="4" s="1"/>
  <c r="AB33" i="4" s="1"/>
  <c r="AC50" i="4" s="1"/>
  <c r="AB39" i="4" l="1"/>
  <c r="AB27" i="5" s="1"/>
  <c r="AC36" i="4"/>
  <c r="AC33" i="4" s="1"/>
  <c r="AD50" i="4" s="1"/>
  <c r="AC39" i="4" l="1"/>
  <c r="AC27" i="5" s="1"/>
  <c r="AD36" i="4"/>
  <c r="AD33" i="4" s="1"/>
  <c r="AD39" i="4" s="1"/>
  <c r="AD27" i="5" s="1"/>
  <c r="AE50" i="4" l="1"/>
  <c r="AE36" i="4" s="1"/>
  <c r="AE33" i="4" s="1"/>
  <c r="AE39" i="4" s="1"/>
  <c r="AE27" i="5" s="1"/>
  <c r="AF50" i="4" l="1"/>
  <c r="AF36" i="4" s="1"/>
  <c r="AF33" i="4" s="1"/>
  <c r="AF39" i="4" s="1"/>
  <c r="AF27" i="5" s="1"/>
  <c r="AG50" i="4" l="1"/>
  <c r="AG36" i="4" s="1"/>
  <c r="AG33" i="4" s="1"/>
  <c r="AG39" i="4" s="1"/>
  <c r="AG27" i="5" s="1"/>
  <c r="AH50" i="4" l="1"/>
  <c r="AH36" i="4" s="1"/>
  <c r="AH33" i="4" s="1"/>
  <c r="AI50" i="4" s="1"/>
  <c r="AH39" i="4" l="1"/>
  <c r="AH27" i="5" s="1"/>
  <c r="AI36" i="4"/>
  <c r="AI33" i="4" s="1"/>
  <c r="AI39" i="4" s="1"/>
  <c r="AI27" i="5" s="1"/>
  <c r="AJ50" i="4" l="1"/>
  <c r="AJ36" i="4" s="1"/>
  <c r="AJ33" i="4" s="1"/>
  <c r="AJ39" i="4" s="1"/>
  <c r="AJ27" i="5" s="1"/>
  <c r="AK50" i="4" l="1"/>
  <c r="AK36" i="4" s="1"/>
  <c r="AK33" i="4" s="1"/>
  <c r="AL50" i="4" s="1"/>
  <c r="AL36" i="4" s="1"/>
  <c r="AL33" i="4" s="1"/>
  <c r="AL39" i="4" s="1"/>
  <c r="AL27" i="5" s="1"/>
  <c r="AM50" i="4" l="1"/>
  <c r="AM36" i="4" s="1"/>
  <c r="AM33" i="4" s="1"/>
  <c r="AM39" i="4" s="1"/>
  <c r="AM27" i="5" s="1"/>
  <c r="AK39" i="4"/>
  <c r="AK27" i="5" s="1"/>
  <c r="AN50" i="4" l="1"/>
  <c r="AN36" i="4" l="1"/>
  <c r="AN33" i="4" s="1"/>
  <c r="AO50" i="4" s="1"/>
  <c r="AN39" i="4" l="1"/>
  <c r="AN27" i="5" s="1"/>
  <c r="AO36" i="4"/>
  <c r="AO33" i="4" s="1"/>
  <c r="AP50" i="4" s="1"/>
  <c r="AO39" i="4" l="1"/>
  <c r="AO27" i="5" s="1"/>
  <c r="AP36" i="4"/>
  <c r="AP33" i="4" s="1"/>
  <c r="AQ50" i="4" s="1"/>
  <c r="AQ36" i="4" s="1"/>
  <c r="AQ33" i="4" s="1"/>
  <c r="AR50" i="4" s="1"/>
  <c r="AP39" i="4" l="1"/>
  <c r="AP27" i="5" s="1"/>
  <c r="AQ39" i="4"/>
  <c r="AQ27" i="5" s="1"/>
  <c r="AR36" i="4"/>
  <c r="AR33" i="4" s="1"/>
  <c r="AS50" i="4" s="1"/>
  <c r="AR39" i="4" l="1"/>
  <c r="AR27" i="5" s="1"/>
  <c r="AS36" i="4"/>
  <c r="AS33" i="4" s="1"/>
  <c r="AT50" i="4" s="1"/>
  <c r="AS39" i="4" l="1"/>
  <c r="AS27" i="5" s="1"/>
  <c r="AT36" i="4"/>
  <c r="AT33" i="4" s="1"/>
  <c r="AT39" i="4" s="1"/>
  <c r="AT27" i="5" s="1"/>
  <c r="AU50" i="4" l="1"/>
  <c r="AU36" i="4" l="1"/>
  <c r="AU33" i="4" s="1"/>
  <c r="AU39" i="4" s="1"/>
  <c r="AU27" i="5" s="1"/>
  <c r="AV50" i="4" l="1"/>
  <c r="AV36" i="4" s="1"/>
  <c r="AV33" i="4" s="1"/>
  <c r="AV39" i="4" s="1"/>
  <c r="AV27" i="5" s="1"/>
  <c r="AW50" i="4" l="1"/>
  <c r="AW36" i="4" s="1"/>
  <c r="AW33" i="4" s="1"/>
  <c r="AX50" i="4" s="1"/>
  <c r="AX36" i="4" s="1"/>
  <c r="AX33" i="4" s="1"/>
  <c r="AW39" i="4" l="1"/>
  <c r="AW27" i="5" s="1"/>
  <c r="AX39" i="4"/>
  <c r="AX27" i="5" s="1"/>
  <c r="AY50" i="4"/>
  <c r="AY36" i="4" l="1"/>
  <c r="AY33" i="4" s="1"/>
  <c r="AZ50" i="4" s="1"/>
  <c r="AY39" i="4" l="1"/>
  <c r="AY27" i="5" s="1"/>
  <c r="AZ36" i="4"/>
  <c r="AZ33" i="4" s="1"/>
  <c r="AZ39" i="4" l="1"/>
  <c r="AZ27" i="5" s="1"/>
  <c r="AZ40" i="4"/>
  <c r="E17" i="4" s="1"/>
  <c r="C17" i="4" s="1"/>
  <c r="E16" i="4" l="1"/>
  <c r="C22" i="5"/>
  <c r="C11" i="5" l="1"/>
  <c r="D16" i="4"/>
  <c r="C16" i="4" s="1"/>
  <c r="C18" i="4" s="1"/>
  <c r="H18" i="5" l="1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W18" i="5"/>
  <c r="V18" i="5"/>
  <c r="Y18" i="5"/>
  <c r="X18" i="5"/>
  <c r="Z18" i="5"/>
  <c r="AA18" i="5"/>
  <c r="AB18" i="5"/>
  <c r="AD18" i="5"/>
  <c r="AC18" i="5"/>
  <c r="AE18" i="5"/>
  <c r="AF18" i="5"/>
  <c r="AG18" i="5"/>
  <c r="AI18" i="5"/>
  <c r="AH18" i="5"/>
  <c r="AJ18" i="5"/>
  <c r="AL18" i="5"/>
  <c r="AK18" i="5"/>
  <c r="AM18" i="5"/>
  <c r="AN18" i="5"/>
  <c r="AO18" i="5"/>
  <c r="AQ18" i="5"/>
  <c r="AP18" i="5"/>
  <c r="AR18" i="5"/>
  <c r="AT18" i="5"/>
  <c r="AS18" i="5"/>
  <c r="AU18" i="5"/>
  <c r="AV18" i="5"/>
  <c r="AX18" i="5"/>
  <c r="AW18" i="5"/>
  <c r="AY18" i="5"/>
  <c r="AZ18" i="5"/>
  <c r="D18" i="5"/>
  <c r="E18" i="5"/>
  <c r="F18" i="5"/>
  <c r="G18" i="5"/>
  <c r="C18" i="5"/>
  <c r="C14" i="4"/>
  <c r="C13" i="4" s="1"/>
  <c r="C3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<sst xmlns="http://schemas.openxmlformats.org/spreadsheetml/2006/main" count="5650" uniqueCount="588">
  <si>
    <t>Version</t>
  </si>
  <si>
    <t>Sprache auswählen; Choisir la langue; Select language</t>
  </si>
  <si>
    <t>DE</t>
  </si>
  <si>
    <t>CHF</t>
  </si>
  <si>
    <t>Configuration</t>
  </si>
  <si>
    <t>CHF Zeros  1-5 Y</t>
  </si>
  <si>
    <t>CHF Zeros  6-19 Y</t>
  </si>
  <si>
    <t>CHF Zeros  20-50 Y</t>
  </si>
  <si>
    <t>check</t>
  </si>
  <si>
    <t>Eingaben für das SST-Nonlife-Template und für das SST-Template / Entrées pour le SST-Nonlife-Template ainsi que pour le SST-Template</t>
  </si>
  <si>
    <t>Eingabe für den SST-Nonlife-Template / Entrées pour SST-Nonlife-Template</t>
  </si>
  <si>
    <t xml:space="preserve">Eingabe für das Blatt "NL_Segments_CH_direct" / Eingangsrückstellungen
Entrées pour la feuille Excel "NL_Segments_CH_direct" / Provisions initiales pour sinistres </t>
  </si>
  <si>
    <t>Eingangsschadenrückstellung / Provisions initiales pour sinistres (1.1.2024)</t>
  </si>
  <si>
    <t>No.</t>
  </si>
  <si>
    <t>SST-Standardversicherungsbranche
Branche standard SST</t>
  </si>
  <si>
    <t>nominal, brutto, nicht diskontiert
nominal, brut, non actualisé</t>
  </si>
  <si>
    <t>in Mio. CHF</t>
  </si>
  <si>
    <t>5a</t>
  </si>
  <si>
    <t>UVG, nicht verrentete Fälle / LAA, cas sans rentes</t>
  </si>
  <si>
    <t>5b</t>
  </si>
  <si>
    <t>UVG-Renten / LAA, rentes</t>
  </si>
  <si>
    <t>Eingabe für das Blatt "NL_Segments_CH_direct" / Benutzte inkrementelle Zahlungsmuster PY
Entrées pour la feuille Excel "NL_Segments_CH_direct" / cadence de paiements incrémentielle sélectionnée pour les années d'occurrence précédentes PY</t>
  </si>
  <si>
    <t xml:space="preserve">SST-Standardversicherungsbranche
Branche standard SST
</t>
  </si>
  <si>
    <t>Wert des Teuerungsfonds am Ende der Abwicklung: undiskontiert
Valeur du fonds de renchérissement: non actualisé</t>
  </si>
  <si>
    <t>Best Estimate der Verpflichtungen des UVG-Bestandes: Brutto
Best estimate des engagements actuariels du portefeuille LAA</t>
  </si>
  <si>
    <t>Eingabe für das Blatt "Delta Terms" / Entrées pour la feuille Excel "Delta Terms"</t>
  </si>
  <si>
    <t xml:space="preserve">separates Output aus dem R-Paket
</t>
  </si>
  <si>
    <t>name</t>
  </si>
  <si>
    <t>col</t>
  </si>
  <si>
    <t>type</t>
  </si>
  <si>
    <t>isValueRequired</t>
  </si>
  <si>
    <t>isReplacementZero</t>
  </si>
  <si>
    <t>excludeNA</t>
  </si>
  <si>
    <t>characteristic</t>
  </si>
  <si>
    <t>dataSelection</t>
  </si>
  <si>
    <t>filterValue</t>
  </si>
  <si>
    <t>Warning</t>
  </si>
  <si>
    <t>Error</t>
  </si>
  <si>
    <t>keyword</t>
  </si>
  <si>
    <t>description</t>
  </si>
  <si>
    <t>sheet</t>
  </si>
  <si>
    <t>row</t>
  </si>
  <si>
    <t>endRow</t>
  </si>
  <si>
    <t>isValue</t>
  </si>
  <si>
    <t>isEmptyAllowed</t>
  </si>
  <si>
    <t>isDropEmptyRows</t>
  </si>
  <si>
    <t>isCorrelation</t>
  </si>
  <si>
    <t>Y1</t>
  </si>
  <si>
    <t>3</t>
  </si>
  <si>
    <t>Numeric</t>
  </si>
  <si>
    <t>TRUE</t>
  </si>
  <si>
    <t>FALSE</t>
  </si>
  <si>
    <t/>
  </si>
  <si>
    <t>interestRates</t>
  </si>
  <si>
    <t>Risikolose Zinskurven r(t)</t>
  </si>
  <si>
    <t>Inputparam</t>
  </si>
  <si>
    <t>7</t>
  </si>
  <si>
    <t>Y2</t>
  </si>
  <si>
    <t>4</t>
  </si>
  <si>
    <t>Y3</t>
  </si>
  <si>
    <t>5</t>
  </si>
  <si>
    <t>Y4</t>
  </si>
  <si>
    <t>6</t>
  </si>
  <si>
    <t>Y5</t>
  </si>
  <si>
    <t>Y6</t>
  </si>
  <si>
    <t>8</t>
  </si>
  <si>
    <t>Y7</t>
  </si>
  <si>
    <t>9</t>
  </si>
  <si>
    <t>Y8</t>
  </si>
  <si>
    <t>10</t>
  </si>
  <si>
    <t>Y9</t>
  </si>
  <si>
    <t>11</t>
  </si>
  <si>
    <t>Y10</t>
  </si>
  <si>
    <t>12</t>
  </si>
  <si>
    <t>Y11</t>
  </si>
  <si>
    <t>13</t>
  </si>
  <si>
    <t>Y12</t>
  </si>
  <si>
    <t>14</t>
  </si>
  <si>
    <t>Y13</t>
  </si>
  <si>
    <t>15</t>
  </si>
  <si>
    <t>Y14</t>
  </si>
  <si>
    <t>16</t>
  </si>
  <si>
    <t>Y15</t>
  </si>
  <si>
    <t>17</t>
  </si>
  <si>
    <t>Y16</t>
  </si>
  <si>
    <t>18</t>
  </si>
  <si>
    <t>Y17</t>
  </si>
  <si>
    <t>19</t>
  </si>
  <si>
    <t>Y18</t>
  </si>
  <si>
    <t>20</t>
  </si>
  <si>
    <t>Y19</t>
  </si>
  <si>
    <t>21</t>
  </si>
  <si>
    <t>Y20</t>
  </si>
  <si>
    <t>22</t>
  </si>
  <si>
    <t>Y21</t>
  </si>
  <si>
    <t>23</t>
  </si>
  <si>
    <t>Y22</t>
  </si>
  <si>
    <t>24</t>
  </si>
  <si>
    <t>Y23</t>
  </si>
  <si>
    <t>25</t>
  </si>
  <si>
    <t>Y24</t>
  </si>
  <si>
    <t>26</t>
  </si>
  <si>
    <t>Y25</t>
  </si>
  <si>
    <t>27</t>
  </si>
  <si>
    <t>Y26</t>
  </si>
  <si>
    <t>28</t>
  </si>
  <si>
    <t>Y27</t>
  </si>
  <si>
    <t>29</t>
  </si>
  <si>
    <t>Y28</t>
  </si>
  <si>
    <t>30</t>
  </si>
  <si>
    <t>Y29</t>
  </si>
  <si>
    <t>31</t>
  </si>
  <si>
    <t>Y30</t>
  </si>
  <si>
    <t>32</t>
  </si>
  <si>
    <t>Y31</t>
  </si>
  <si>
    <t>33</t>
  </si>
  <si>
    <t>Y32</t>
  </si>
  <si>
    <t>34</t>
  </si>
  <si>
    <t>Y33</t>
  </si>
  <si>
    <t>35</t>
  </si>
  <si>
    <t>Y34</t>
  </si>
  <si>
    <t>36</t>
  </si>
  <si>
    <t>Y35</t>
  </si>
  <si>
    <t>37</t>
  </si>
  <si>
    <t>Y36</t>
  </si>
  <si>
    <t>38</t>
  </si>
  <si>
    <t>Y37</t>
  </si>
  <si>
    <t>39</t>
  </si>
  <si>
    <t>Y38</t>
  </si>
  <si>
    <t>40</t>
  </si>
  <si>
    <t>Y39</t>
  </si>
  <si>
    <t>41</t>
  </si>
  <si>
    <t>Y40</t>
  </si>
  <si>
    <t>42</t>
  </si>
  <si>
    <t>Y41</t>
  </si>
  <si>
    <t>43</t>
  </si>
  <si>
    <t>Y42</t>
  </si>
  <si>
    <t>44</t>
  </si>
  <si>
    <t>Y43</t>
  </si>
  <si>
    <t>45</t>
  </si>
  <si>
    <t>Y44</t>
  </si>
  <si>
    <t>46</t>
  </si>
  <si>
    <t>Y45</t>
  </si>
  <si>
    <t>47</t>
  </si>
  <si>
    <t>Y46</t>
  </si>
  <si>
    <t>48</t>
  </si>
  <si>
    <t>Y47</t>
  </si>
  <si>
    <t>49</t>
  </si>
  <si>
    <t>Y48</t>
  </si>
  <si>
    <t>50</t>
  </si>
  <si>
    <t>Y49</t>
  </si>
  <si>
    <t>51</t>
  </si>
  <si>
    <t>Y50</t>
  </si>
  <si>
    <t>52</t>
  </si>
  <si>
    <t>zahlungenTeuerungszulagen</t>
  </si>
  <si>
    <t>Zahlungen der Teuerungszulagen</t>
  </si>
  <si>
    <t>UVG_Calculations</t>
  </si>
  <si>
    <t>Deckungskapital</t>
  </si>
  <si>
    <t>Langfristleistungen</t>
  </si>
  <si>
    <t>Kurzfristleistungen</t>
  </si>
  <si>
    <t>none</t>
  </si>
  <si>
    <t>Zero,Negative</t>
  </si>
  <si>
    <t>AuszahlungAnAnderenPoolmitgleider</t>
  </si>
  <si>
    <t>Durchschnittliche Auszahlung an anderen Poolmitglieder</t>
  </si>
  <si>
    <t>UVG_Input_Data</t>
  </si>
  <si>
    <t>D1</t>
  </si>
  <si>
    <t>Text</t>
  </si>
  <si>
    <t>Direction</t>
  </si>
  <si>
    <t>Gives the correct wording for the Auslenkungs richtung depending on the language selected</t>
  </si>
  <si>
    <t>D2</t>
  </si>
  <si>
    <t>GuthabenDesTeuerungsfonds</t>
  </si>
  <si>
    <t>geaeufnetes Guthaben des Teuerungsfonds</t>
  </si>
  <si>
    <t>Umlagebeitraege</t>
  </si>
  <si>
    <t>UVGZins</t>
  </si>
  <si>
    <t>UVG technischer Zins</t>
  </si>
  <si>
    <t>Y-10</t>
  </si>
  <si>
    <t>TenYReturn</t>
  </si>
  <si>
    <t>Return of 10 year Swiss Gov Bonds</t>
  </si>
  <si>
    <t>Y-9</t>
  </si>
  <si>
    <t>Y-8</t>
  </si>
  <si>
    <t>Y-7</t>
  </si>
  <si>
    <t>Y-6</t>
  </si>
  <si>
    <t>Y-5</t>
  </si>
  <si>
    <t>Y-4</t>
  </si>
  <si>
    <t>Y-3</t>
  </si>
  <si>
    <t>Y-2</t>
  </si>
  <si>
    <t>Y-1</t>
  </si>
  <si>
    <t>CHFkurzfristigerZinssatz</t>
  </si>
  <si>
    <t>CHF Zeros  1-5 Y : CHF kurzfristiger Zinssatz</t>
  </si>
  <si>
    <t>CHFmittelfristigerZinssatz</t>
  </si>
  <si>
    <t>CHF Zeros  6-19 Y : CHF mittelfristiger Zinssatz</t>
  </si>
  <si>
    <t>CHFlangfristigerZinssatz</t>
  </si>
  <si>
    <t>CHF Zeros  20-50 Y : CHF langfristiger Zinssatz</t>
  </si>
  <si>
    <t>Auslenkungsintensitaet</t>
  </si>
  <si>
    <t>Value</t>
  </si>
  <si>
    <t>Label</t>
  </si>
  <si>
    <t>Deutsch</t>
  </si>
  <si>
    <t>Français</t>
  </si>
  <si>
    <t>English</t>
  </si>
  <si>
    <t>T.01.9</t>
  </si>
  <si>
    <t>SST-Template für die Bewertung des UVG-Bestandes</t>
  </si>
  <si>
    <t>Modèle SST pour l'évaluation du portefeuille LAA</t>
  </si>
  <si>
    <t>SST template for valuation of the mandatory accident insurance liabilities under the Federal Accident Insurance Act (UVG)</t>
  </si>
  <si>
    <t>_million</t>
  </si>
  <si>
    <t>en mio. CHF</t>
  </si>
  <si>
    <t>in mio. CHF</t>
  </si>
  <si>
    <t>_million1</t>
  </si>
  <si>
    <t xml:space="preserve"> (in Mio. CHF)</t>
  </si>
  <si>
    <t xml:space="preserve"> (en mio. CHF)</t>
  </si>
  <si>
    <t xml:space="preserve"> (in mio. CHF)</t>
  </si>
  <si>
    <t>T.01.1</t>
  </si>
  <si>
    <t>SST-Währung</t>
  </si>
  <si>
    <t>Monnaie du SST</t>
  </si>
  <si>
    <t>SST currency</t>
  </si>
  <si>
    <t>T.01.2</t>
  </si>
  <si>
    <t>Bemerkungen</t>
  </si>
  <si>
    <t>Remarques</t>
  </si>
  <si>
    <t>Comment</t>
  </si>
  <si>
    <t>T.01.3</t>
  </si>
  <si>
    <t>Angaben</t>
  </si>
  <si>
    <t>Données</t>
  </si>
  <si>
    <t>Data</t>
  </si>
  <si>
    <t>T.01.4</t>
  </si>
  <si>
    <t>Parameter</t>
  </si>
  <si>
    <t>Paramètres</t>
  </si>
  <si>
    <t>Parameters</t>
  </si>
  <si>
    <t>T.01.5</t>
  </si>
  <si>
    <t>Eingabe</t>
  </si>
  <si>
    <t>Entrée</t>
  </si>
  <si>
    <t>Input</t>
  </si>
  <si>
    <t>T.01.6</t>
  </si>
  <si>
    <t>Name der Versicherungsgesellschaft</t>
  </si>
  <si>
    <t>Nom de la société d'assurance</t>
  </si>
  <si>
    <t>Name of the insurance company</t>
  </si>
  <si>
    <t>T.01.7</t>
  </si>
  <si>
    <t>Wert</t>
  </si>
  <si>
    <t>Valeur</t>
  </si>
  <si>
    <t>T.01.8</t>
  </si>
  <si>
    <t>Exponierung</t>
  </si>
  <si>
    <t>Exposition</t>
  </si>
  <si>
    <t>Exposure</t>
  </si>
  <si>
    <t>T.01.12</t>
  </si>
  <si>
    <t>Dieses SST-Template enthält Tabellenblätter mit verschiedenen Registerfarben. Es wird die folgende Farbenkonvention verwendet:</t>
  </si>
  <si>
    <t>Ce template SST contient des feuilles avec des onglets de différentes couleurs. La convention suivante s'applique:</t>
  </si>
  <si>
    <t>This SST template includes worksheets with different tab colors. The following color convention is used.</t>
  </si>
  <si>
    <t>T.01.13</t>
  </si>
  <si>
    <t>Tabellenblätter, die vom Versicherungsunternehmen auszufüllen sind.</t>
  </si>
  <si>
    <t>Feuilles que la société d'assurance doit compléter.</t>
  </si>
  <si>
    <t>Worksheets that are to be completed by the insurance company.</t>
  </si>
  <si>
    <t>T.01.14</t>
  </si>
  <si>
    <t xml:space="preserve">Tabellenblätter mit Informationen, Parametern oder Berechnungen. </t>
  </si>
  <si>
    <t>Feuilles avec informations, paramètres ou calculs.</t>
  </si>
  <si>
    <t>Worksheets with information, parameters or calculations.</t>
  </si>
  <si>
    <t>T.01.15</t>
  </si>
  <si>
    <t>En principe ces feuilles ne doivent pas être modifiées.</t>
  </si>
  <si>
    <t>Worksheet nessesary for configuration of this tool. Normally, these worksheets are not to be modified.</t>
  </si>
  <si>
    <t>T.01.16</t>
  </si>
  <si>
    <t>Eingabefelder: In diesen Feldern werden versicherungsspezifische Angaben erwartet.</t>
  </si>
  <si>
    <t>Champs d'entrée: dans ces cellules les données spécifiques à la société d'assurance doivent être entrées.</t>
  </si>
  <si>
    <t>Input fields: These cells ask for insurance company specific information.</t>
  </si>
  <si>
    <t>T.02.1</t>
  </si>
  <si>
    <t>Finanzvariablen und SST-Parameter</t>
  </si>
  <si>
    <t>Variables financières et paramètres SST</t>
  </si>
  <si>
    <t>Financial variables and SST parameters</t>
  </si>
  <si>
    <t>_maturity</t>
  </si>
  <si>
    <t>Fälligkeit (in Jahren)</t>
  </si>
  <si>
    <t>échéance (en années)</t>
  </si>
  <si>
    <t>Time to maturity (in years)</t>
  </si>
  <si>
    <t>_up</t>
  </si>
  <si>
    <t>nach oben</t>
  </si>
  <si>
    <t>en haut</t>
  </si>
  <si>
    <t>up</t>
  </si>
  <si>
    <t>_down</t>
  </si>
  <si>
    <t>nach unten</t>
  </si>
  <si>
    <t>en bas</t>
  </si>
  <si>
    <t>down</t>
  </si>
  <si>
    <t>_shortTerm</t>
  </si>
  <si>
    <t>CHF kurzfristiger Zinssatz</t>
  </si>
  <si>
    <t>CHF taux à court terme</t>
  </si>
  <si>
    <t>CHF short term rate</t>
  </si>
  <si>
    <t>_middleTerm</t>
  </si>
  <si>
    <t>CHF mittelfristiger Zinssatz</t>
  </si>
  <si>
    <t>CHF taux à moyen terme</t>
  </si>
  <si>
    <t>CHF middle term rate</t>
  </si>
  <si>
    <t>_longTerm</t>
  </si>
  <si>
    <t>CHF langfristiger Zinssatz</t>
  </si>
  <si>
    <t>CHF taux à long terme</t>
  </si>
  <si>
    <t>CHF long term rate</t>
  </si>
  <si>
    <t>T.02.2</t>
  </si>
  <si>
    <t>T.02.3</t>
  </si>
  <si>
    <t>Diskontfaktoren auf Basis der risikolosen Zinskurve r(t); Diskontfunktion n(t) = (1+r(t))^(-t)</t>
  </si>
  <si>
    <t>Facteurs d'actualisation basés sur les taux d'interêts sans risque r(t); 
fonction d'actualisation n(t) = (1+r(t))^(-t)</t>
  </si>
  <si>
    <t>Discount factors based on the risk-free interest rates r(t); discount function n(t) = (1+r(t))^(-t)</t>
  </si>
  <si>
    <t>T.02.4</t>
  </si>
  <si>
    <t>Historische Rendite Bundesobligationen Eidgenossenschaft</t>
  </si>
  <si>
    <t>Rendement des obligations de la Confédération</t>
  </si>
  <si>
    <t>Yield on Swiss Confederation bonds</t>
  </si>
  <si>
    <t>T.02.5</t>
  </si>
  <si>
    <t>Kassazinssatz bei einer Laufzeit von 10 Jahre</t>
  </si>
  <si>
    <t>Taux d'intérêt au comptant pour une durée résiduelle de 10 ans</t>
  </si>
  <si>
    <t>Spot interest rate for 10-year maturities</t>
  </si>
  <si>
    <t>T.02.6</t>
  </si>
  <si>
    <t>Moyenne des rendements des obligations de la Confédération à 10 ans sur les 10 dernières années au 31.12.2023</t>
  </si>
  <si>
    <t>T.02.7</t>
  </si>
  <si>
    <t>phi 10/10-Zinsen</t>
  </si>
  <si>
    <t>Taux phi 10/10</t>
  </si>
  <si>
    <t>phi 10/10-rates</t>
  </si>
  <si>
    <t>T.02.8</t>
  </si>
  <si>
    <t>T.02.9</t>
  </si>
  <si>
    <t xml:space="preserve">Verbraucherpreisinflation CHF </t>
  </si>
  <si>
    <t>Inflation CHF</t>
  </si>
  <si>
    <t>Consumer price inflation CHF</t>
  </si>
  <si>
    <t>T.02.10</t>
  </si>
  <si>
    <t>UVG technischer Zins z(0) und Diskontfaktoren auf Basis z(0); Diskontfunktion: n(t) = (1+z(0))^(-t)</t>
  </si>
  <si>
    <t>Taux technique de la LAA z(0) et facteurs d'actualisation sur la base z(0); fonction d'actualisation: n(t) = (1+z(0))^(-t)</t>
  </si>
  <si>
    <t>UVG technical rate z(0) and discount factors based on z(0): Discounting function: n(t) = (1+z(0))^(-t)</t>
  </si>
  <si>
    <t>T.02.11</t>
  </si>
  <si>
    <t xml:space="preserve">UVG technischer Zins </t>
  </si>
  <si>
    <t>Taux technique de la LAA</t>
  </si>
  <si>
    <t>UVG technical rate</t>
  </si>
  <si>
    <t>T.02.12</t>
  </si>
  <si>
    <t>Diskonfaktoren</t>
  </si>
  <si>
    <t xml:space="preserve">Facteurs d'actualisation </t>
  </si>
  <si>
    <t>Discounting rates</t>
  </si>
  <si>
    <t>T.02.13</t>
  </si>
  <si>
    <t>Pourcentage pour les contributions de répartition (supplément de prime) au 1.01.2024</t>
  </si>
  <si>
    <t>T.02.14</t>
  </si>
  <si>
    <t xml:space="preserve">Déviation des taux d'intérêt: CHF </t>
  </si>
  <si>
    <t>Change in risk factors: CHF interest rates</t>
  </si>
  <si>
    <t>T.02.15</t>
  </si>
  <si>
    <t>Auslenkungsintensität in bp</t>
  </si>
  <si>
    <t>Intensité de la déviation en points de base</t>
  </si>
  <si>
    <t>Change intensity in bp</t>
  </si>
  <si>
    <t>T.02.16</t>
  </si>
  <si>
    <t>Risikofaktor</t>
  </si>
  <si>
    <t>Facteur de risque</t>
  </si>
  <si>
    <t>Risk factor</t>
  </si>
  <si>
    <t>T.02.17</t>
  </si>
  <si>
    <t>Auslenkungs richtung</t>
  </si>
  <si>
    <t xml:space="preserve">Sens de la déviation </t>
  </si>
  <si>
    <t>Change direction</t>
  </si>
  <si>
    <t>T.02.18</t>
  </si>
  <si>
    <t>Zinsinterval</t>
  </si>
  <si>
    <t xml:space="preserve">Intervalle </t>
  </si>
  <si>
    <t>Interval</t>
  </si>
  <si>
    <t>T.02.19</t>
  </si>
  <si>
    <t>Jahr</t>
  </si>
  <si>
    <t>Année</t>
  </si>
  <si>
    <t>Year</t>
  </si>
  <si>
    <t>T.03.1</t>
  </si>
  <si>
    <t>UVG-Inputdaten</t>
  </si>
  <si>
    <t xml:space="preserve">Données d'entrée LAA </t>
  </si>
  <si>
    <t>UVG Input Data</t>
  </si>
  <si>
    <t>_neurente</t>
  </si>
  <si>
    <t xml:space="preserve">Neurente im Jahr </t>
  </si>
  <si>
    <t xml:space="preserve">Nouvelles rentes de l'année </t>
  </si>
  <si>
    <t xml:space="preserve">New annuities in year </t>
  </si>
  <si>
    <t>T.03.2</t>
  </si>
  <si>
    <t>Stichtag</t>
  </si>
  <si>
    <t>Date de référence</t>
  </si>
  <si>
    <t>Reporting date</t>
  </si>
  <si>
    <t>T.03.3</t>
  </si>
  <si>
    <t>Réserve mathématique (capital de couverture) pour la rente de base</t>
  </si>
  <si>
    <t>T.03.4</t>
  </si>
  <si>
    <t>Best Estimate-Wert der Grundrente</t>
  </si>
  <si>
    <t>Valeur best estimate de la rente de base</t>
  </si>
  <si>
    <t>T.03.5</t>
  </si>
  <si>
    <t>T.03.6</t>
  </si>
  <si>
    <t>T.03.7</t>
  </si>
  <si>
    <t>T.03.8</t>
  </si>
  <si>
    <t>T.03.9</t>
  </si>
  <si>
    <t xml:space="preserve">          übrige Langfristleistungen</t>
  </si>
  <si>
    <t xml:space="preserve">      Remaining log term liabilities</t>
  </si>
  <si>
    <t>T.03.10</t>
  </si>
  <si>
    <t>T.03.11</t>
  </si>
  <si>
    <t>geäufnetes Guthaben des Teuerungsfonds</t>
  </si>
  <si>
    <t>Avoir accumulé du fonds de renchérissement</t>
  </si>
  <si>
    <t>Accrued assets of the dearness funds</t>
  </si>
  <si>
    <t>T.03.12</t>
  </si>
  <si>
    <t>T.03.13</t>
  </si>
  <si>
    <t>T.03.14</t>
  </si>
  <si>
    <t>Zahlungsströme</t>
  </si>
  <si>
    <t>Cash flows</t>
  </si>
  <si>
    <t>T.03.15</t>
  </si>
  <si>
    <t>T.03.16</t>
  </si>
  <si>
    <t>T.03.17</t>
  </si>
  <si>
    <t>T.03.18</t>
  </si>
  <si>
    <t>Durchschnittliche Auszahlung an andere Poolmitglieder (in Mio. CHF)</t>
  </si>
  <si>
    <t>Average payment to other pool members (in mio. CHF)</t>
  </si>
  <si>
    <t>T.03.19</t>
  </si>
  <si>
    <t>T.03.20</t>
  </si>
  <si>
    <t xml:space="preserve">Verpflichtungen des UVG-Bestandes </t>
  </si>
  <si>
    <t>Engagements du portefeuille LAA</t>
  </si>
  <si>
    <t>Obligations of the UVG portfolio</t>
  </si>
  <si>
    <t>T.03.21</t>
  </si>
  <si>
    <t>Valeurs statutaires</t>
  </si>
  <si>
    <t>T.03.22</t>
  </si>
  <si>
    <t>Valeurs best estimate non actualisées</t>
  </si>
  <si>
    <t>T.03.24</t>
  </si>
  <si>
    <t>Schadenrückstellung Total</t>
  </si>
  <si>
    <t>Provision totale</t>
  </si>
  <si>
    <t>Claim provision total</t>
  </si>
  <si>
    <t>T.03.25</t>
  </si>
  <si>
    <t>Année de versement</t>
  </si>
  <si>
    <t>Payment year</t>
  </si>
  <si>
    <t>T.04.1</t>
  </si>
  <si>
    <t>LAA évaluation à t=0</t>
  </si>
  <si>
    <t>Valuation of the UVG Liabilities at t=0</t>
  </si>
  <si>
    <t>T.04.2</t>
  </si>
  <si>
    <t>T.04.3</t>
  </si>
  <si>
    <t>Barwertfaktor</t>
  </si>
  <si>
    <t>Facteur d'actualisation</t>
  </si>
  <si>
    <t>Present values factor</t>
  </si>
  <si>
    <t>T.04.4</t>
  </si>
  <si>
    <t>Valeur actualisée</t>
  </si>
  <si>
    <t>discounted</t>
  </si>
  <si>
    <t>T.04.5</t>
  </si>
  <si>
    <t xml:space="preserve">Valeur non actualisée </t>
  </si>
  <si>
    <t xml:space="preserve">non-discounted </t>
  </si>
  <si>
    <t>T.04.6</t>
  </si>
  <si>
    <t>Best Estimate-Wert der Teuerungszulagen</t>
  </si>
  <si>
    <t>Valeur best estimate de compris les allocations de renchérissement</t>
  </si>
  <si>
    <t>Best Estimate value of the inflation allowance</t>
  </si>
  <si>
    <t>T.04.7</t>
  </si>
  <si>
    <t>Barwert des Teuerungsfonds am Ende der Abwicklung</t>
  </si>
  <si>
    <t>Valeur actualisée fonds de renchérissement</t>
  </si>
  <si>
    <t>Present value of the Inflation Funds at the end of runoff</t>
  </si>
  <si>
    <t>T.04.8</t>
  </si>
  <si>
    <t>Total UVG-Verpflichtungen</t>
  </si>
  <si>
    <t>engagements du portefeuille LAA</t>
  </si>
  <si>
    <t>Total obligations of the UVG portfolio</t>
  </si>
  <si>
    <t>T.04.9</t>
  </si>
  <si>
    <t>Paiements pour les pensions existantes au 1.01.2024</t>
  </si>
  <si>
    <t>T.04.10</t>
  </si>
  <si>
    <t>Paiements pour les nouvelles pensions à partir du 1.01.2024</t>
  </si>
  <si>
    <t>T.04.11</t>
  </si>
  <si>
    <t>Zahlungen der Teuerungszulagen, davon</t>
  </si>
  <si>
    <t>Paiements des allocations de renchérissement, dont</t>
  </si>
  <si>
    <t>Payments of inflation allowence, thereof</t>
  </si>
  <si>
    <t>T.04.12</t>
  </si>
  <si>
    <t>Allocations de renchérissement accordées jusqu'au 1.01.2024</t>
  </si>
  <si>
    <t>T.04.13</t>
  </si>
  <si>
    <t>Allocations de renchérissement attribuées à partir du 1.01.2024, dont</t>
  </si>
  <si>
    <t>T.04.14</t>
  </si>
  <si>
    <t>für bisherigen Renten</t>
  </si>
  <si>
    <t>pour les anciennes rentes</t>
  </si>
  <si>
    <t>for previous annuities</t>
  </si>
  <si>
    <t>T.04.15</t>
  </si>
  <si>
    <t>für neue Renten</t>
  </si>
  <si>
    <t>pour les nouvelles rentes</t>
  </si>
  <si>
    <t>for new annuities</t>
  </si>
  <si>
    <t>T.04.16</t>
  </si>
  <si>
    <t>Zinseinnahmen, davon</t>
  </si>
  <si>
    <t>Recettes d'intérêt, dont</t>
  </si>
  <si>
    <t>Interest income, thereof</t>
  </si>
  <si>
    <t>T.04.17</t>
  </si>
  <si>
    <t>Zinsüberschüsse</t>
  </si>
  <si>
    <t>Excédents d'intérêt</t>
  </si>
  <si>
    <r>
      <t>Inte</t>
    </r>
    <r>
      <rPr>
        <sz val="9"/>
        <color rgb="FF181818"/>
        <rFont val="Arial"/>
        <family val="2"/>
      </rPr>
      <t>res</t>
    </r>
    <r>
      <rPr>
        <sz val="9"/>
        <color rgb="FF0C0C0C"/>
        <rFont val="Arial"/>
        <family val="2"/>
      </rPr>
      <t>t surpluses </t>
    </r>
  </si>
  <si>
    <t>T.04.18</t>
  </si>
  <si>
    <t>Zusatzfinanzierung</t>
  </si>
  <si>
    <t>Financement de l'intérêt supplémentaire</t>
  </si>
  <si>
    <t>Additional financing</t>
  </si>
  <si>
    <t>T.04.19</t>
  </si>
  <si>
    <t>Zinserträge auf Teuerungsfonds</t>
  </si>
  <si>
    <t>Fonds de renchérissement</t>
  </si>
  <si>
    <t>Interest income on Inflation Funds</t>
  </si>
  <si>
    <t>T.04.20</t>
  </si>
  <si>
    <t>Umlagebeiträge</t>
  </si>
  <si>
    <t>Contributions de répartition</t>
  </si>
  <si>
    <t>Premium surcharge</t>
  </si>
  <si>
    <t>T.04.21</t>
  </si>
  <si>
    <t>Ausgleichszahlungen</t>
  </si>
  <si>
    <t>Payements de compensation</t>
  </si>
  <si>
    <t xml:space="preserve">Financial compensation </t>
  </si>
  <si>
    <t>T.04.22</t>
  </si>
  <si>
    <t>Auszahlung des Teuerungsfonds am Ende der Abwicklung</t>
  </si>
  <si>
    <t>Inflation Funds</t>
  </si>
  <si>
    <t>T.04.23</t>
  </si>
  <si>
    <t>Inkrementelle Zahlungsflüsse (in Mio. CHF; jeweils am Ende des Jahres)</t>
  </si>
  <si>
    <t>Cash flows Cash flows incrémentaux (en millions de CHF ; à la fin de chaque année)</t>
  </si>
  <si>
    <t>Incremental cash flows (in mio. CHF; by end of the year)</t>
  </si>
  <si>
    <t>T.04.24</t>
  </si>
  <si>
    <t>Entwicklung der Verpflichtungen über die Zeit (in Mio. CHF; jeweils am Anfang des Jahres)</t>
  </si>
  <si>
    <t>Évolution des engagements dans le temps (en millions de CHF ; au début de chaque année)</t>
  </si>
  <si>
    <t>Liability run off over the time (in mio. CHF; at the beginning of the year)</t>
  </si>
  <si>
    <t>T.04.25</t>
  </si>
  <si>
    <t>Statutarische Deckungskapital für Grundrente, davon</t>
  </si>
  <si>
    <t xml:space="preserve">Réserve mathématique (capital de couverture) pour la rente de base, </t>
  </si>
  <si>
    <t>Statutory reserve for the base annuitiy, thereof</t>
  </si>
  <si>
    <t>T.04.26</t>
  </si>
  <si>
    <t>Stand des Teuerungsfonds</t>
  </si>
  <si>
    <t>_start</t>
  </si>
  <si>
    <t xml:space="preserve">Anfang </t>
  </si>
  <si>
    <t>Début</t>
  </si>
  <si>
    <t xml:space="preserve">Beginn of </t>
  </si>
  <si>
    <t>_end</t>
  </si>
  <si>
    <t xml:space="preserve">Ende </t>
  </si>
  <si>
    <t xml:space="preserve">Fin </t>
  </si>
  <si>
    <t xml:space="preserve">End of </t>
  </si>
  <si>
    <t>Statutarisches Deckungskapital für künftige Neurenten ab dem Jahr 2024 (in Mio. CHF; jeweils am Ende des Jahres)</t>
  </si>
  <si>
    <t>Inflationskurve CHF (spot rates)</t>
  </si>
  <si>
    <t>T.03.26</t>
  </si>
  <si>
    <t>Statutory reserve for the base annuity</t>
  </si>
  <si>
    <t>Best estimate of the base annuity</t>
  </si>
  <si>
    <t>Statutory reserve for the future annuities (in mio. CHF; at the end of each year)</t>
  </si>
  <si>
    <t>T.02.20</t>
  </si>
  <si>
    <t>Inflation curve CHF (spot rates)</t>
  </si>
  <si>
    <t>Inflation CHF (spot rates)</t>
  </si>
  <si>
    <t>Allocations de renchérissement fixées</t>
  </si>
  <si>
    <t>Stipulated dearness allowances</t>
  </si>
  <si>
    <t>Festgesetzte Teuerungszulagen</t>
  </si>
  <si>
    <t xml:space="preserve">          künftige Rentenfälle</t>
  </si>
  <si>
    <t xml:space="preserve">      Future annuities</t>
  </si>
  <si>
    <t>autres préstations à long terme</t>
  </si>
  <si>
    <t>Schadenrückstellung für Langfristleistungen</t>
  </si>
  <si>
    <t>Schadenrückstellung für Kurzfristleistungen</t>
  </si>
  <si>
    <t>Schadenrückstellung für Langfristleistungen, davon</t>
  </si>
  <si>
    <t>Übrige Schadenrückstellung für Langfristleistungen</t>
  </si>
  <si>
    <t>T.03.27</t>
  </si>
  <si>
    <t>ULAE Rückstellungen</t>
  </si>
  <si>
    <t>ULAE reserves</t>
  </si>
  <si>
    <t>Other reserves of long term liabilities</t>
  </si>
  <si>
    <t>Entry provision for long term benefits</t>
  </si>
  <si>
    <t>Entry provision for short term benefits</t>
  </si>
  <si>
    <t>Provision for long term benefits, thereof</t>
  </si>
  <si>
    <t>Provision initiale pour les prestations à long terme</t>
  </si>
  <si>
    <t>Provision initiale pour les prestations à court terme</t>
  </si>
  <si>
    <t>Provision pour les prestations à long terme, dont</t>
  </si>
  <si>
    <t>Statutarisches Deckungskapital für Grundrente</t>
  </si>
  <si>
    <t>T.04.27</t>
  </si>
  <si>
    <t>Best Estimate-Wert der Ausgleichszahlungen</t>
  </si>
  <si>
    <t xml:space="preserve">Best Estimate value of the financial compensation </t>
  </si>
  <si>
    <t>eigenfinanziert</t>
  </si>
  <si>
    <t>T.03.28</t>
  </si>
  <si>
    <t>Valeurs best estimate actualisées</t>
  </si>
  <si>
    <t>Best estimate values discounted</t>
  </si>
  <si>
    <t>Best estimate values non-discounted</t>
  </si>
  <si>
    <t>Tabellenblatt, der für Steuerung des Tools notwendig ist. Die Tabelle ist nicht zu ändern.</t>
  </si>
  <si>
    <t>Auslenkung der Risikofaktoren: CHF-Zinssatz</t>
  </si>
  <si>
    <t>Bewertung der UVG-Verpflichtungen am t=0</t>
  </si>
  <si>
    <t>Eingabe für das Blatt "NL_Input_SST_Template" / II.b Versicherungstechnische Zahlungsflüsse aus dem Risikomodell
Entrées pour la feuille Excel "NL_Input_SST_Template" / II.b cash flows d'assurance issus du modèle de risque comme</t>
  </si>
  <si>
    <t>Auszahlungsjahr</t>
  </si>
  <si>
    <t>T.04.28</t>
  </si>
  <si>
    <t>T.04.29</t>
  </si>
  <si>
    <t>rentes futures</t>
  </si>
  <si>
    <t xml:space="preserve">Provision restante </t>
  </si>
  <si>
    <t xml:space="preserve">Provision ULAE </t>
  </si>
  <si>
    <t>Valeur best estimate des payements de compensation</t>
  </si>
  <si>
    <t>autofinancée</t>
  </si>
  <si>
    <t>T.04.30</t>
  </si>
  <si>
    <t>Best Estimate-Wert der Umlagebeiträge</t>
  </si>
  <si>
    <t>Valeur best estimate des contributions de répartition</t>
  </si>
  <si>
    <t>Best Estimate value of the premium surcharge</t>
  </si>
  <si>
    <t>finanziert durch eingehende Umlagebeitäge und Ausgleichszahlungen</t>
  </si>
  <si>
    <t>Deckungskapital fuer Grundrente am 1.1</t>
  </si>
  <si>
    <t>Eingangsschadenrueckstellung fuer Langfristleistungen am 1.1</t>
  </si>
  <si>
    <t>Eingangsschadenrueckstellung fuer Kurzfristleistungen am 1.1</t>
  </si>
  <si>
    <t>Auslenkungsintensiteat in bp</t>
  </si>
  <si>
    <t>Neurente im Jahr 2024</t>
  </si>
  <si>
    <t>Neurente im Jahr 2025</t>
  </si>
  <si>
    <t>Neurente im Jahr 2026</t>
  </si>
  <si>
    <t>Neurente im Jahr 2027</t>
  </si>
  <si>
    <t>Neurente im Jahr 2028</t>
  </si>
  <si>
    <t>Neurente im Jahr 2029</t>
  </si>
  <si>
    <t>Neurente im Jahr 2030</t>
  </si>
  <si>
    <t>Neurente im Jahr 2031</t>
  </si>
  <si>
    <t>Neurente im Jahr 2032</t>
  </si>
  <si>
    <t>Neurente im Jahr 2033</t>
  </si>
  <si>
    <t>Neurente im Jahr 2034</t>
  </si>
  <si>
    <t>Neurente im Jahr 2035</t>
  </si>
  <si>
    <t>Neurente im Jahr 2036</t>
  </si>
  <si>
    <t>Neurente im Jahr 2037</t>
  </si>
  <si>
    <t>Neurente im Jahr 2038</t>
  </si>
  <si>
    <t>Neurente im Jahr 2039</t>
  </si>
  <si>
    <t>Neurente im Jahr 2040</t>
  </si>
  <si>
    <t>Neurente im Jahr 2041</t>
  </si>
  <si>
    <t>Neurente im Jahr 2042</t>
  </si>
  <si>
    <t>Neurente im Jahr 2043</t>
  </si>
  <si>
    <t>Neurente im Jahr 2044</t>
  </si>
  <si>
    <t>Bewertungsjahr</t>
  </si>
  <si>
    <t>Eingabe für das SST-Template  / Entrées pour SST-Template</t>
  </si>
  <si>
    <t>Eingabe für das Blatt "NL_Input_SST_Template" / III. Vorgeschlagene Zahlungsflüsse PY, CY &amp; URR 
Entrées pour la feuille Excel "NL_Input_SST_Template" / III. Flux de paiements proposés PY, CY &amp; URR</t>
  </si>
  <si>
    <t>T.03.29</t>
  </si>
  <si>
    <t>Valuation year</t>
  </si>
  <si>
    <t>Année d'évaluation</t>
  </si>
  <si>
    <t>Check der Bilanzposition (145) im SST-Template  / Vérification de l'entrée (145) du SST-Template</t>
  </si>
  <si>
    <t>financée par des contributions de répartition et des payements de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</si>
</sst>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-* #,##0.0_-;\-* #,##0.0_-;_-* &quot;-&quot;??_-;_-@_-"/>
    <numFmt numFmtId="167" formatCode="0.0%"/>
    <numFmt numFmtId="168" formatCode="0.0000000"/>
    <numFmt numFmtId="169" formatCode="0.000000"/>
    <numFmt numFmtId="170" formatCode="[$-807]d/\ mmmm\ yyyy;@"/>
    <numFmt numFmtId="171" formatCode="0.000%"/>
    <numFmt numFmtId="172" formatCode="_(* #,##0.000_);_(* \(#,##0.000\);_(* &quot;-&quot;??_);_(@_)"/>
    <numFmt numFmtId="173" formatCode="_ * #,##0.000000_ ;_ * \-#,##0.000000_ ;_ * &quot;-&quot;??_ ;_ @_ "/>
    <numFmt numFmtId="174" formatCode="0.00000"/>
    <numFmt numFmtId="175" formatCode="0.000000000000"/>
  </numFmts>
  <fonts count="2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u/>
      <sz val="16"/>
      <color rgb="FF002D64"/>
      <name val="Arial"/>
      <family val="2"/>
    </font>
    <font>
      <sz val="11"/>
      <color theme="1"/>
      <name val="Calibri"/>
      <family val="2"/>
      <scheme val="minor"/>
    </font>
    <font>
      <b/>
      <sz val="16"/>
      <color rgb="FF002D6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6"/>
      <color rgb="FF002060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 Unicode MS"/>
    </font>
    <font>
      <sz val="8"/>
      <name val="Arial"/>
      <family val="2"/>
    </font>
    <font>
      <sz val="9"/>
      <color rgb="FF181818"/>
      <name val="Arial"/>
      <family val="2"/>
    </font>
    <font>
      <sz val="9"/>
      <color rgb="FF0C0C0C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539E"/>
        <bgColor indexed="64"/>
      </patternFill>
    </fill>
    <fill>
      <patternFill patternType="solid">
        <fgColor rgb="FFD4ECF9"/>
        <bgColor indexed="64"/>
      </patternFill>
    </fill>
    <fill>
      <patternFill patternType="solid">
        <fgColor rgb="FFFDE2C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D3EE"/>
        <bgColor indexed="64"/>
      </patternFill>
    </fill>
    <fill>
      <patternFill patternType="solid">
        <fgColor rgb="FF3E3E5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/>
      <top style="thin">
        <color rgb="FFBFBFBF"/>
      </top>
      <bottom style="thin">
        <color rgb="FFBFBFB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rgb="FFBFBFB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rgb="FFBFBFBF"/>
      </bottom>
      <diagonal/>
    </border>
    <border>
      <left/>
      <right/>
      <top style="thin">
        <color rgb="FFFFFFF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BFBFBF"/>
      </top>
      <bottom style="thin">
        <color theme="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7B1BD"/>
      </top>
      <bottom style="thin">
        <color rgb="FFA7B1BD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</cellStyleXfs>
  <cellXfs count="234">
    <xf numFmtId="0" fontId="0" fillId="0" borderId="0" xfId="0"/>
    <xf numFmtId="0" fontId="6" fillId="0" borderId="0" xfId="3" applyFont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9" fillId="0" borderId="0" xfId="4" applyFont="1"/>
    <xf numFmtId="0" fontId="10" fillId="2" borderId="0" xfId="0" applyFont="1" applyFill="1"/>
    <xf numFmtId="0" fontId="11" fillId="2" borderId="0" xfId="0" applyFont="1" applyFill="1"/>
    <xf numFmtId="0" fontId="0" fillId="3" borderId="2" xfId="0" applyFill="1" applyBorder="1"/>
    <xf numFmtId="0" fontId="13" fillId="3" borderId="3" xfId="0" applyFont="1" applyFill="1" applyBorder="1" applyAlignment="1">
      <alignment horizontal="center" wrapText="1"/>
    </xf>
    <xf numFmtId="0" fontId="0" fillId="3" borderId="3" xfId="0" applyFill="1" applyBorder="1"/>
    <xf numFmtId="0" fontId="13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0" fillId="0" borderId="5" xfId="0" applyBorder="1"/>
    <xf numFmtId="2" fontId="0" fillId="0" borderId="0" xfId="0" applyNumberFormat="1"/>
    <xf numFmtId="165" fontId="0" fillId="0" borderId="0" xfId="0" applyNumberFormat="1"/>
    <xf numFmtId="0" fontId="13" fillId="0" borderId="0" xfId="6"/>
    <xf numFmtId="0" fontId="0" fillId="3" borderId="1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/>
    <xf numFmtId="0" fontId="0" fillId="3" borderId="9" xfId="0" applyFill="1" applyBorder="1"/>
    <xf numFmtId="0" fontId="0" fillId="0" borderId="1" xfId="0" applyBorder="1"/>
    <xf numFmtId="0" fontId="0" fillId="3" borderId="6" xfId="0" applyFill="1" applyBorder="1" applyAlignment="1">
      <alignment horizontal="left"/>
    </xf>
    <xf numFmtId="167" fontId="0" fillId="4" borderId="13" xfId="0" applyNumberFormat="1" applyFill="1" applyBorder="1"/>
    <xf numFmtId="167" fontId="0" fillId="4" borderId="0" xfId="0" applyNumberFormat="1" applyFill="1"/>
    <xf numFmtId="167" fontId="0" fillId="4" borderId="6" xfId="0" applyNumberFormat="1" applyFill="1" applyBorder="1"/>
    <xf numFmtId="167" fontId="0" fillId="4" borderId="9" xfId="0" applyNumberFormat="1" applyFill="1" applyBorder="1"/>
    <xf numFmtId="0" fontId="13" fillId="0" borderId="0" xfId="5"/>
    <xf numFmtId="0" fontId="13" fillId="3" borderId="14" xfId="0" applyFont="1" applyFill="1" applyBorder="1" applyAlignment="1">
      <alignment horizontal="right"/>
    </xf>
    <xf numFmtId="0" fontId="10" fillId="0" borderId="0" xfId="0" applyFont="1"/>
    <xf numFmtId="0" fontId="12" fillId="0" borderId="0" xfId="0" applyFont="1" applyAlignment="1">
      <alignment horizontal="right"/>
    </xf>
    <xf numFmtId="164" fontId="2" fillId="6" borderId="16" xfId="0" applyNumberFormat="1" applyFont="1" applyFill="1" applyBorder="1"/>
    <xf numFmtId="0" fontId="0" fillId="6" borderId="0" xfId="0" applyFill="1"/>
    <xf numFmtId="0" fontId="0" fillId="6" borderId="0" xfId="0" applyFill="1" applyAlignment="1">
      <alignment horizontal="left"/>
    </xf>
    <xf numFmtId="0" fontId="15" fillId="2" borderId="0" xfId="0" applyFont="1" applyFill="1"/>
    <xf numFmtId="0" fontId="2" fillId="0" borderId="0" xfId="0" applyFont="1"/>
    <xf numFmtId="0" fontId="13" fillId="0" borderId="0" xfId="0" applyFont="1" applyAlignment="1">
      <alignment horizontal="right"/>
    </xf>
    <xf numFmtId="167" fontId="0" fillId="0" borderId="0" xfId="0" applyNumberFormat="1"/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0" fillId="3" borderId="9" xfId="0" applyFill="1" applyBorder="1" applyAlignment="1">
      <alignment horizontal="left"/>
    </xf>
    <xf numFmtId="0" fontId="0" fillId="4" borderId="17" xfId="0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vertical="center" wrapText="1"/>
    </xf>
    <xf numFmtId="0" fontId="12" fillId="7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left" indent="1"/>
    </xf>
    <xf numFmtId="0" fontId="4" fillId="0" borderId="0" xfId="0" applyFont="1"/>
    <xf numFmtId="0" fontId="13" fillId="0" borderId="0" xfId="8"/>
    <xf numFmtId="0" fontId="4" fillId="2" borderId="0" xfId="0" applyFont="1" applyFill="1" applyAlignment="1">
      <alignment horizontal="left"/>
    </xf>
    <xf numFmtId="0" fontId="14" fillId="0" borderId="0" xfId="8" applyFont="1" applyAlignment="1">
      <alignment vertical="center"/>
    </xf>
    <xf numFmtId="0" fontId="3" fillId="3" borderId="3" xfId="0" applyFont="1" applyFill="1" applyBorder="1" applyAlignment="1">
      <alignment horizontal="right" wrapText="1"/>
    </xf>
    <xf numFmtId="0" fontId="0" fillId="3" borderId="7" xfId="0" applyFill="1" applyBorder="1"/>
    <xf numFmtId="168" fontId="13" fillId="0" borderId="0" xfId="5" applyNumberFormat="1"/>
    <xf numFmtId="1" fontId="13" fillId="0" borderId="0" xfId="5" applyNumberFormat="1"/>
    <xf numFmtId="169" fontId="13" fillId="0" borderId="0" xfId="5" applyNumberFormat="1"/>
    <xf numFmtId="0" fontId="3" fillId="3" borderId="7" xfId="0" applyFont="1" applyFill="1" applyBorder="1"/>
    <xf numFmtId="0" fontId="3" fillId="3" borderId="3" xfId="0" applyFont="1" applyFill="1" applyBorder="1"/>
    <xf numFmtId="0" fontId="0" fillId="3" borderId="3" xfId="0" applyFill="1" applyBorder="1" applyAlignment="1">
      <alignment horizontal="right" wrapText="1"/>
    </xf>
    <xf numFmtId="10" fontId="13" fillId="0" borderId="5" xfId="2" applyNumberFormat="1" applyFont="1" applyFill="1" applyBorder="1" applyAlignment="1">
      <alignment horizontal="center"/>
    </xf>
    <xf numFmtId="10" fontId="13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6" fontId="0" fillId="0" borderId="0" xfId="1" applyNumberFormat="1" applyFont="1" applyFill="1" applyBorder="1"/>
    <xf numFmtId="10" fontId="13" fillId="0" borderId="0" xfId="7" applyNumberFormat="1" applyFont="1" applyFill="1" applyBorder="1"/>
    <xf numFmtId="0" fontId="11" fillId="0" borderId="0" xfId="0" applyFont="1"/>
    <xf numFmtId="0" fontId="0" fillId="0" borderId="6" xfId="0" applyBorder="1" applyAlignment="1">
      <alignment horizontal="left"/>
    </xf>
    <xf numFmtId="167" fontId="0" fillId="0" borderId="13" xfId="0" applyNumberFormat="1" applyBorder="1"/>
    <xf numFmtId="0" fontId="0" fillId="3" borderId="22" xfId="0" applyFill="1" applyBorder="1"/>
    <xf numFmtId="0" fontId="0" fillId="0" borderId="22" xfId="0" applyBorder="1"/>
    <xf numFmtId="0" fontId="0" fillId="0" borderId="23" xfId="0" applyBorder="1"/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0" borderId="27" xfId="0" applyBorder="1"/>
    <xf numFmtId="0" fontId="0" fillId="5" borderId="21" xfId="0" applyFill="1" applyBorder="1"/>
    <xf numFmtId="0" fontId="0" fillId="6" borderId="21" xfId="0" applyFill="1" applyBorder="1"/>
    <xf numFmtId="0" fontId="13" fillId="3" borderId="15" xfId="0" applyFont="1" applyFill="1" applyBorder="1"/>
    <xf numFmtId="0" fontId="13" fillId="0" borderId="0" xfId="0" applyFont="1"/>
    <xf numFmtId="0" fontId="13" fillId="3" borderId="3" xfId="0" applyFont="1" applyFill="1" applyBorder="1" applyAlignment="1">
      <alignment horizontal="left"/>
    </xf>
    <xf numFmtId="164" fontId="13" fillId="0" borderId="16" xfId="0" applyNumberFormat="1" applyFont="1" applyBorder="1"/>
    <xf numFmtId="164" fontId="13" fillId="6" borderId="16" xfId="0" applyNumberFormat="1" applyFont="1" applyFill="1" applyBorder="1"/>
    <xf numFmtId="0" fontId="13" fillId="3" borderId="10" xfId="0" applyFont="1" applyFill="1" applyBorder="1" applyAlignment="1">
      <alignment horizontal="left"/>
    </xf>
    <xf numFmtId="0" fontId="0" fillId="0" borderId="28" xfId="0" applyBorder="1"/>
    <xf numFmtId="0" fontId="13" fillId="6" borderId="0" xfId="5" applyFill="1"/>
    <xf numFmtId="0" fontId="13" fillId="6" borderId="3" xfId="0" applyFont="1" applyFill="1" applyBorder="1" applyAlignment="1">
      <alignment horizontal="left"/>
    </xf>
    <xf numFmtId="0" fontId="13" fillId="6" borderId="0" xfId="0" applyFont="1" applyFill="1"/>
    <xf numFmtId="0" fontId="13" fillId="6" borderId="0" xfId="0" applyFont="1" applyFill="1" applyAlignment="1">
      <alignment horizontal="left"/>
    </xf>
    <xf numFmtId="164" fontId="13" fillId="6" borderId="0" xfId="0" applyNumberFormat="1" applyFont="1" applyFill="1"/>
    <xf numFmtId="164" fontId="0" fillId="0" borderId="0" xfId="0" applyNumberFormat="1"/>
    <xf numFmtId="43" fontId="0" fillId="0" borderId="0" xfId="0" applyNumberFormat="1"/>
    <xf numFmtId="2" fontId="13" fillId="0" borderId="0" xfId="1" applyNumberFormat="1" applyFont="1" applyFill="1" applyBorder="1"/>
    <xf numFmtId="165" fontId="13" fillId="6" borderId="0" xfId="1" applyNumberFormat="1" applyFont="1" applyFill="1" applyBorder="1"/>
    <xf numFmtId="0" fontId="0" fillId="3" borderId="8" xfId="0" applyFill="1" applyBorder="1"/>
    <xf numFmtId="9" fontId="13" fillId="0" borderId="5" xfId="2" applyFont="1" applyFill="1" applyBorder="1"/>
    <xf numFmtId="0" fontId="2" fillId="6" borderId="6" xfId="0" applyFont="1" applyFill="1" applyBorder="1" applyAlignment="1">
      <alignment horizontal="left"/>
    </xf>
    <xf numFmtId="167" fontId="2" fillId="6" borderId="4" xfId="0" applyNumberFormat="1" applyFont="1" applyFill="1" applyBorder="1"/>
    <xf numFmtId="167" fontId="2" fillId="6" borderId="0" xfId="0" applyNumberFormat="1" applyFont="1" applyFill="1"/>
    <xf numFmtId="1" fontId="0" fillId="3" borderId="0" xfId="0" applyNumberFormat="1" applyFill="1"/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0" fontId="18" fillId="8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4" fillId="3" borderId="3" xfId="0" applyFont="1" applyFill="1" applyBorder="1" applyAlignment="1">
      <alignment horizontal="right" wrapText="1"/>
    </xf>
    <xf numFmtId="0" fontId="13" fillId="3" borderId="3" xfId="0" applyFont="1" applyFill="1" applyBorder="1" applyAlignment="1">
      <alignment horizontal="right" wrapText="1"/>
    </xf>
    <xf numFmtId="2" fontId="13" fillId="0" borderId="12" xfId="8" applyNumberFormat="1" applyBorder="1" applyAlignment="1">
      <alignment horizontal="right"/>
    </xf>
    <xf numFmtId="2" fontId="13" fillId="0" borderId="5" xfId="8" applyNumberFormat="1" applyBorder="1" applyAlignment="1">
      <alignment horizontal="right"/>
    </xf>
    <xf numFmtId="10" fontId="13" fillId="0" borderId="19" xfId="2" applyNumberFormat="1" applyFont="1" applyFill="1" applyBorder="1" applyAlignment="1">
      <alignment horizontal="right" indent="1"/>
    </xf>
    <xf numFmtId="10" fontId="13" fillId="0" borderId="20" xfId="2" applyNumberFormat="1" applyFont="1" applyFill="1" applyBorder="1" applyAlignment="1">
      <alignment horizontal="right"/>
    </xf>
    <xf numFmtId="10" fontId="13" fillId="0" borderId="5" xfId="2" applyNumberFormat="1" applyFont="1" applyFill="1" applyBorder="1" applyAlignment="1">
      <alignment horizontal="right"/>
    </xf>
    <xf numFmtId="165" fontId="13" fillId="0" borderId="12" xfId="8" applyNumberFormat="1" applyBorder="1" applyAlignment="1">
      <alignment horizontal="right"/>
    </xf>
    <xf numFmtId="9" fontId="13" fillId="0" borderId="5" xfId="2" applyFont="1" applyFill="1" applyBorder="1" applyAlignment="1">
      <alignment horizontal="right"/>
    </xf>
    <xf numFmtId="1" fontId="13" fillId="0" borderId="12" xfId="8" applyNumberFormat="1" applyBorder="1" applyAlignment="1">
      <alignment horizontal="right"/>
    </xf>
    <xf numFmtId="0" fontId="19" fillId="0" borderId="0" xfId="0" applyFont="1"/>
    <xf numFmtId="0" fontId="0" fillId="6" borderId="17" xfId="0" applyFill="1" applyBorder="1" applyAlignment="1">
      <alignment vertical="center"/>
    </xf>
    <xf numFmtId="10" fontId="13" fillId="0" borderId="0" xfId="2" applyNumberFormat="1" applyFont="1" applyFill="1" applyBorder="1" applyAlignment="1">
      <alignment horizontal="right" indent="1"/>
    </xf>
    <xf numFmtId="0" fontId="13" fillId="3" borderId="3" xfId="0" applyFont="1" applyFill="1" applyBorder="1" applyAlignment="1">
      <alignment horizontal="left" indent="2"/>
    </xf>
    <xf numFmtId="0" fontId="0" fillId="0" borderId="0" xfId="4" applyFont="1"/>
    <xf numFmtId="0" fontId="0" fillId="3" borderId="21" xfId="0" applyFill="1" applyBorder="1"/>
    <xf numFmtId="0" fontId="3" fillId="3" borderId="21" xfId="4" applyFont="1" applyFill="1" applyBorder="1"/>
    <xf numFmtId="0" fontId="0" fillId="0" borderId="32" xfId="4" applyFont="1" applyBorder="1"/>
    <xf numFmtId="0" fontId="0" fillId="0" borderId="32" xfId="4" applyFont="1" applyBorder="1" applyAlignment="1">
      <alignment wrapText="1"/>
    </xf>
    <xf numFmtId="0" fontId="0" fillId="0" borderId="33" xfId="0" applyBorder="1" applyAlignment="1">
      <alignment vertical="top" wrapText="1"/>
    </xf>
    <xf numFmtId="0" fontId="8" fillId="0" borderId="0" xfId="3" applyFont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8" fillId="0" borderId="0" xfId="3" applyFont="1" applyAlignment="1">
      <alignment horizontal="center" vertical="center"/>
    </xf>
    <xf numFmtId="0" fontId="0" fillId="0" borderId="0" xfId="4" applyFont="1" applyAlignment="1">
      <alignment vertical="top"/>
    </xf>
    <xf numFmtId="0" fontId="0" fillId="6" borderId="0" xfId="4" applyFont="1" applyFill="1"/>
    <xf numFmtId="0" fontId="1" fillId="6" borderId="0" xfId="4" applyFont="1" applyFill="1"/>
    <xf numFmtId="170" fontId="0" fillId="0" borderId="0" xfId="0" applyNumberFormat="1" applyAlignment="1">
      <alignment horizontal="center"/>
    </xf>
    <xf numFmtId="0" fontId="13" fillId="6" borderId="0" xfId="4" applyFont="1" applyFill="1"/>
    <xf numFmtId="0" fontId="13" fillId="6" borderId="32" xfId="4" applyFont="1" applyFill="1" applyBorder="1" applyAlignment="1">
      <alignment wrapText="1"/>
    </xf>
    <xf numFmtId="0" fontId="0" fillId="3" borderId="11" xfId="0" applyFill="1" applyBorder="1" applyAlignment="1">
      <alignment vertical="center"/>
    </xf>
    <xf numFmtId="0" fontId="13" fillId="0" borderId="0" xfId="4" applyFont="1"/>
    <xf numFmtId="0" fontId="13" fillId="0" borderId="32" xfId="4" applyFont="1" applyBorder="1" applyAlignment="1">
      <alignment wrapText="1"/>
    </xf>
    <xf numFmtId="0" fontId="1" fillId="0" borderId="0" xfId="4" applyFont="1"/>
    <xf numFmtId="0" fontId="3" fillId="7" borderId="0" xfId="4" applyFont="1" applyFill="1"/>
    <xf numFmtId="0" fontId="3" fillId="7" borderId="21" xfId="4" applyFont="1" applyFill="1" applyBorder="1" applyAlignment="1">
      <alignment vertical="top"/>
    </xf>
    <xf numFmtId="0" fontId="3" fillId="7" borderId="21" xfId="4" applyFont="1" applyFill="1" applyBorder="1" applyAlignment="1">
      <alignment vertical="top" wrapText="1"/>
    </xf>
    <xf numFmtId="0" fontId="3" fillId="7" borderId="0" xfId="4" applyFont="1" applyFill="1" applyAlignment="1">
      <alignment vertical="top"/>
    </xf>
    <xf numFmtId="0" fontId="3" fillId="7" borderId="21" xfId="4" applyFont="1" applyFill="1" applyBorder="1" applyAlignment="1">
      <alignment wrapText="1"/>
    </xf>
    <xf numFmtId="0" fontId="13" fillId="6" borderId="32" xfId="4" applyFont="1" applyFill="1" applyBorder="1" applyAlignment="1">
      <alignment vertical="top" wrapText="1"/>
    </xf>
    <xf numFmtId="0" fontId="1" fillId="6" borderId="0" xfId="4" applyFont="1" applyFill="1" applyAlignment="1">
      <alignment vertical="top"/>
    </xf>
    <xf numFmtId="0" fontId="1" fillId="0" borderId="21" xfId="4" applyFont="1" applyBorder="1"/>
    <xf numFmtId="0" fontId="0" fillId="3" borderId="11" xfId="0" applyFill="1" applyBorder="1" applyAlignment="1">
      <alignment horizontal="center" vertical="center"/>
    </xf>
    <xf numFmtId="0" fontId="13" fillId="0" borderId="0" xfId="4" applyFont="1" applyAlignment="1">
      <alignment wrapText="1"/>
    </xf>
    <xf numFmtId="0" fontId="13" fillId="3" borderId="3" xfId="0" applyFont="1" applyFill="1" applyBorder="1" applyAlignment="1">
      <alignment horizontal="left" indent="1"/>
    </xf>
    <xf numFmtId="0" fontId="13" fillId="3" borderId="3" xfId="0" applyFont="1" applyFill="1" applyBorder="1" applyAlignment="1">
      <alignment horizontal="left" indent="3"/>
    </xf>
    <xf numFmtId="0" fontId="13" fillId="0" borderId="3" xfId="0" applyFont="1" applyBorder="1" applyAlignment="1">
      <alignment horizontal="left"/>
    </xf>
    <xf numFmtId="0" fontId="0" fillId="3" borderId="3" xfId="0" applyFill="1" applyBorder="1" applyAlignment="1">
      <alignment wrapText="1"/>
    </xf>
    <xf numFmtId="0" fontId="24" fillId="0" borderId="0" xfId="4" applyFont="1" applyAlignment="1">
      <alignment horizontal="left" vertical="center"/>
    </xf>
    <xf numFmtId="0" fontId="0" fillId="6" borderId="33" xfId="0" applyFill="1" applyBorder="1" applyAlignment="1">
      <alignment vertical="top" wrapText="1"/>
    </xf>
    <xf numFmtId="0" fontId="0" fillId="6" borderId="32" xfId="4" applyFont="1" applyFill="1" applyBorder="1" applyAlignment="1">
      <alignment wrapText="1"/>
    </xf>
    <xf numFmtId="0" fontId="13" fillId="3" borderId="8" xfId="0" applyFont="1" applyFill="1" applyBorder="1"/>
    <xf numFmtId="0" fontId="2" fillId="0" borderId="34" xfId="0" applyFont="1" applyBorder="1" applyAlignment="1">
      <alignment horizontal="center" vertical="center" wrapText="1"/>
    </xf>
    <xf numFmtId="0" fontId="20" fillId="6" borderId="0" xfId="0" applyFont="1" applyFill="1"/>
    <xf numFmtId="4" fontId="0" fillId="4" borderId="13" xfId="0" applyNumberFormat="1" applyFill="1" applyBorder="1"/>
    <xf numFmtId="171" fontId="13" fillId="0" borderId="12" xfId="0" applyNumberFormat="1" applyFont="1" applyBorder="1"/>
    <xf numFmtId="171" fontId="13" fillId="0" borderId="19" xfId="2" applyNumberFormat="1" applyFont="1" applyFill="1" applyBorder="1" applyAlignment="1">
      <alignment horizontal="right" indent="1"/>
    </xf>
    <xf numFmtId="171" fontId="13" fillId="0" borderId="19" xfId="2" applyNumberFormat="1" applyFont="1" applyFill="1" applyBorder="1" applyAlignment="1">
      <alignment horizontal="right"/>
    </xf>
    <xf numFmtId="171" fontId="13" fillId="0" borderId="20" xfId="2" applyNumberFormat="1" applyFont="1" applyFill="1" applyBorder="1" applyAlignment="1">
      <alignment horizontal="right"/>
    </xf>
    <xf numFmtId="173" fontId="0" fillId="5" borderId="21" xfId="0" applyNumberFormat="1" applyFill="1" applyBorder="1"/>
    <xf numFmtId="0" fontId="0" fillId="6" borderId="35" xfId="0" applyFill="1" applyBorder="1"/>
    <xf numFmtId="1" fontId="0" fillId="3" borderId="21" xfId="0" applyNumberFormat="1" applyFill="1" applyBorder="1"/>
    <xf numFmtId="1" fontId="0" fillId="3" borderId="36" xfId="0" applyNumberFormat="1" applyFill="1" applyBorder="1"/>
    <xf numFmtId="43" fontId="0" fillId="9" borderId="35" xfId="0" applyNumberFormat="1" applyFill="1" applyBorder="1"/>
    <xf numFmtId="174" fontId="13" fillId="0" borderId="12" xfId="8" applyNumberFormat="1" applyBorder="1" applyAlignment="1">
      <alignment horizontal="right"/>
    </xf>
    <xf numFmtId="173" fontId="0" fillId="6" borderId="21" xfId="0" applyNumberFormat="1" applyFill="1" applyBorder="1"/>
    <xf numFmtId="173" fontId="0" fillId="0" borderId="0" xfId="0" applyNumberFormat="1"/>
    <xf numFmtId="173" fontId="0" fillId="6" borderId="0" xfId="0" applyNumberFormat="1" applyFill="1"/>
    <xf numFmtId="175" fontId="0" fillId="0" borderId="0" xfId="0" applyNumberFormat="1"/>
    <xf numFmtId="174" fontId="0" fillId="0" borderId="0" xfId="0" applyNumberFormat="1"/>
    <xf numFmtId="10" fontId="13" fillId="0" borderId="12" xfId="0" applyNumberFormat="1" applyFont="1" applyBorder="1"/>
    <xf numFmtId="10" fontId="13" fillId="0" borderId="4" xfId="0" applyNumberFormat="1" applyFont="1" applyFill="1" applyBorder="1" applyAlignment="1">
      <alignment horizontal="right"/>
    </xf>
    <xf numFmtId="164" fontId="13" fillId="0" borderId="16" xfId="0" applyNumberFormat="1" applyFont="1" applyFill="1" applyBorder="1"/>
    <xf numFmtId="172" fontId="13" fillId="0" borderId="16" xfId="0" applyNumberFormat="1" applyFont="1" applyFill="1" applyBorder="1"/>
    <xf numFmtId="0" fontId="13" fillId="6" borderId="32" xfId="4" applyFont="1" applyFill="1" applyBorder="1" applyAlignment="1">
      <alignment horizontal="left" wrapText="1" indent="3"/>
    </xf>
    <xf numFmtId="4" fontId="0" fillId="9" borderId="13" xfId="0" applyNumberFormat="1" applyFill="1" applyBorder="1"/>
    <xf numFmtId="0" fontId="3" fillId="0" borderId="30" xfId="0" applyFont="1" applyBorder="1" applyAlignment="1">
      <alignment horizontal="center"/>
    </xf>
    <xf numFmtId="4" fontId="13" fillId="0" borderId="5" xfId="5" applyNumberFormat="1" applyBorder="1"/>
    <xf numFmtId="4" fontId="0" fillId="0" borderId="0" xfId="0" applyNumberFormat="1"/>
    <xf numFmtId="4" fontId="1" fillId="0" borderId="5" xfId="5" applyNumberFormat="1" applyFont="1" applyBorder="1" applyAlignment="1">
      <alignment horizontal="right"/>
    </xf>
    <xf numFmtId="4" fontId="1" fillId="9" borderId="5" xfId="5" applyNumberFormat="1" applyFont="1" applyFill="1" applyBorder="1" applyAlignment="1">
      <alignment horizontal="right"/>
    </xf>
    <xf numFmtId="4" fontId="0" fillId="0" borderId="5" xfId="0" applyNumberFormat="1" applyBorder="1"/>
    <xf numFmtId="4" fontId="0" fillId="0" borderId="5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4" borderId="4" xfId="1" applyNumberFormat="1" applyFont="1" applyFill="1" applyBorder="1"/>
    <xf numFmtId="4" fontId="0" fillId="0" borderId="4" xfId="0" applyNumberFormat="1" applyBorder="1"/>
    <xf numFmtId="4" fontId="0" fillId="4" borderId="5" xfId="1" applyNumberFormat="1" applyFont="1" applyFill="1" applyBorder="1"/>
    <xf numFmtId="4" fontId="13" fillId="0" borderId="5" xfId="1" applyNumberFormat="1" applyFont="1" applyFill="1" applyBorder="1"/>
    <xf numFmtId="4" fontId="13" fillId="0" borderId="5" xfId="1" applyNumberFormat="1" applyFont="1" applyFill="1" applyBorder="1" applyAlignment="1">
      <alignment horizontal="right"/>
    </xf>
    <xf numFmtId="4" fontId="14" fillId="0" borderId="5" xfId="5" applyNumberFormat="1" applyFont="1" applyBorder="1" applyAlignment="1">
      <alignment horizontal="right"/>
    </xf>
    <xf numFmtId="0" fontId="13" fillId="0" borderId="32" xfId="4" applyFont="1" applyBorder="1" applyAlignment="1">
      <alignment horizontal="left" wrapText="1" indent="1"/>
    </xf>
    <xf numFmtId="0" fontId="0" fillId="3" borderId="3" xfId="0" applyFill="1" applyBorder="1" applyAlignment="1">
      <alignment horizontal="left" indent="4"/>
    </xf>
    <xf numFmtId="0" fontId="0" fillId="0" borderId="3" xfId="0" applyFill="1" applyBorder="1" applyAlignment="1">
      <alignment horizontal="left" indent="1"/>
    </xf>
    <xf numFmtId="0" fontId="13" fillId="0" borderId="32" xfId="4" applyFont="1" applyFill="1" applyBorder="1" applyAlignment="1">
      <alignment horizontal="left" wrapText="1" indent="3"/>
    </xf>
    <xf numFmtId="0" fontId="13" fillId="0" borderId="32" xfId="4" applyFont="1" applyFill="1" applyBorder="1" applyAlignment="1">
      <alignment wrapText="1"/>
    </xf>
    <xf numFmtId="0" fontId="13" fillId="0" borderId="32" xfId="4" applyFont="1" applyFill="1" applyBorder="1" applyAlignment="1">
      <alignment vertical="top" wrapText="1"/>
    </xf>
    <xf numFmtId="0" fontId="13" fillId="0" borderId="32" xfId="4" applyFont="1" applyFill="1" applyBorder="1" applyAlignment="1">
      <alignment horizontal="left" wrapText="1" indent="1"/>
    </xf>
    <xf numFmtId="0" fontId="2" fillId="0" borderId="31" xfId="0" applyFont="1" applyBorder="1"/>
    <xf numFmtId="1" fontId="0" fillId="0" borderId="0" xfId="0" applyNumberFormat="1"/>
    <xf numFmtId="0" fontId="10" fillId="6" borderId="0" xfId="0" applyFont="1" applyFill="1" applyAlignment="1">
      <alignment horizontal="left"/>
    </xf>
    <xf numFmtId="0" fontId="0" fillId="10" borderId="0" xfId="0" applyFill="1"/>
    <xf numFmtId="0" fontId="0" fillId="0" borderId="0" xfId="0" applyBorder="1"/>
    <xf numFmtId="4" fontId="13" fillId="0" borderId="0" xfId="1" applyNumberFormat="1" applyFont="1" applyFill="1" applyBorder="1"/>
    <xf numFmtId="9" fontId="13" fillId="0" borderId="0" xfId="2" applyFont="1" applyFill="1" applyBorder="1"/>
    <xf numFmtId="0" fontId="8" fillId="0" borderId="0" xfId="0" applyFont="1" applyAlignment="1">
      <alignment horizontal="left" vertical="center" wrapText="1"/>
    </xf>
    <xf numFmtId="0" fontId="0" fillId="3" borderId="6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10" fillId="2" borderId="0" xfId="0" applyFont="1" applyFill="1" applyAlignment="1">
      <alignment horizontal="left"/>
    </xf>
    <xf numFmtId="0" fontId="13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indent="4"/>
    </xf>
    <xf numFmtId="4" fontId="13" fillId="0" borderId="5" xfId="5" applyNumberFormat="1" applyFont="1" applyBorder="1" applyAlignment="1">
      <alignment horizontal="right"/>
    </xf>
    <xf numFmtId="4" fontId="13" fillId="0" borderId="5" xfId="0" applyNumberFormat="1" applyFont="1" applyBorder="1" applyAlignment="1">
      <alignment horizontal="right"/>
    </xf>
    <xf numFmtId="4" fontId="13" fillId="0" borderId="5" xfId="5" applyNumberFormat="1" applyFont="1" applyBorder="1"/>
    <xf numFmtId="0" fontId="13" fillId="10" borderId="0" xfId="0" applyFont="1" applyFill="1"/>
    <xf numFmtId="0" fontId="13" fillId="0" borderId="32" xfId="4" applyFont="1" applyFill="1" applyBorder="1" applyAlignment="1">
      <alignment horizontal="left" wrapText="1"/>
    </xf>
  </cellXfs>
  <cellStyles count="9">
    <cellStyle name="Comma" xfId="1" builtinId="3"/>
    <cellStyle name="Hyperlink" xfId="3" builtinId="8"/>
    <cellStyle name="Normal" xfId="0" builtinId="0"/>
    <cellStyle name="Normal 2" xfId="5" xr:uid="{532DD6F1-74F5-49AE-8CDA-03DB0F0BDB69}"/>
    <cellStyle name="Normal 3" xfId="4" xr:uid="{83DFEA95-45F4-4592-A33D-CB8ADD852DCF}"/>
    <cellStyle name="Normal_Repli-change for BPV" xfId="6" xr:uid="{D14FD436-3FC6-4869-B6F1-49698BB8F2BF}"/>
    <cellStyle name="Percent" xfId="2" builtinId="5"/>
    <cellStyle name="Prozent 3" xfId="7" xr:uid="{B37603C5-0A9B-4386-9E4D-0AA11FA1F179}"/>
    <cellStyle name="Standard 2 2" xfId="8" xr:uid="{94E8E4EE-29D3-4198-99C3-2C6D302044E7}"/>
  </cellStyles>
  <dxfs count="0"/>
  <tableStyles count="0" defaultTableStyle="TableStyleMedium2" defaultPivotStyle="PivotStyleLight16"/>
  <colors>
    <mruColors>
      <color rgb="FFA2D3EE"/>
      <color rgb="FF3E3E5A"/>
      <color rgb="FF005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10133\Downloads\SST%20Nonlife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_SM_Nonlife"/>
      <sheetName val="Update"/>
      <sheetName val="list_of_sheets"/>
      <sheetName val="Glossary"/>
      <sheetName val="Inputparam"/>
      <sheetName val="NL_LOB"/>
      <sheetName val="NL_SST_Default_Payment_Pattern"/>
      <sheetName val="NL_Default_Parameter"/>
      <sheetName val="NL_Default_Correlations"/>
      <sheetName val="NL_Segments_CH_direct"/>
      <sheetName val="NL_Segments_Non-CH_direct"/>
      <sheetName val="NL_Segments_active_RI"/>
      <sheetName val="NL_UVG"/>
      <sheetName val="NL_Insurance_Risk"/>
      <sheetName val="NL_Insurance_Risk_default"/>
      <sheetName val="NL_MVM"/>
      <sheetName val="NL_ExpecdtRes"/>
      <sheetName val="NL_Distributions"/>
      <sheetName val="NL_Input_SST_Template"/>
      <sheetName val="NL_Tests"/>
      <sheetName val="ValuesCH"/>
      <sheetName val="ValuesNon_CH"/>
      <sheetName val="ValuesRI"/>
      <sheetName val="Names"/>
    </sheetNames>
    <sheetDataSet>
      <sheetData sheetId="0"/>
      <sheetData sheetId="1"/>
      <sheetData sheetId="2"/>
      <sheetData sheetId="3">
        <row r="160">
          <cell r="C160" t="str">
            <v>Provisions pour sinistres initiales au 1.1.2024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E78D31-5B56-4974-9EA5-5D575B039A06}" name="Table1" displayName="Table1" ref="A1:T281" totalsRowShown="0">
  <autoFilter ref="A1:T281" xr:uid="{19E78D31-5B56-4974-9EA5-5D575B039A06}"/>
  <tableColumns count="20">
    <tableColumn id="1" xr3:uid="{B64E6FCA-76ED-4467-809C-8159D24C87CB}" name="name"/>
    <tableColumn id="2" xr3:uid="{4F020BB3-D0E6-4ABF-8280-F33E8B93AAD8}" name="col"/>
    <tableColumn id="3" xr3:uid="{0ABD9B30-7111-4492-8AFB-A529BF19D011}" name="type"/>
    <tableColumn id="4" xr3:uid="{94E91A6F-D761-463E-94D7-F61C853B134A}" name="isValueRequired"/>
    <tableColumn id="5" xr3:uid="{CFCA5F0A-ED28-4BCF-949E-93CF1F587E75}" name="isReplacementZero"/>
    <tableColumn id="6" xr3:uid="{AD001FFF-5CF6-49E6-B31B-64456C6F80A2}" name="excludeNA"/>
    <tableColumn id="7" xr3:uid="{AC75C31C-004E-4C87-8801-E43366E41D6C}" name="characteristic"/>
    <tableColumn id="8" xr3:uid="{479B74D7-5C0C-4388-B3F7-3035BF101787}" name="dataSelection"/>
    <tableColumn id="9" xr3:uid="{BF80D5AE-7511-4F48-83AD-09B787B1F8DB}" name="filterValue"/>
    <tableColumn id="10" xr3:uid="{ED2CB4AA-40E2-4BC1-92F8-3F7F6B1BD9A9}" name="Warning"/>
    <tableColumn id="11" xr3:uid="{16836D38-4FBC-4ED9-90D8-7FD3C754C63D}" name="Error"/>
    <tableColumn id="12" xr3:uid="{163260E4-73B8-46A2-BBE4-E2AA28250C7A}" name="keyword"/>
    <tableColumn id="13" xr3:uid="{E25AD989-6A76-4BC3-A1D2-BACBC11DC556}" name="description"/>
    <tableColumn id="14" xr3:uid="{8FAA71FD-5122-435F-87BB-B8B9C753258F}" name="sheet"/>
    <tableColumn id="15" xr3:uid="{820A1BE6-9015-4EEA-9D0E-3A5EBF52858D}" name="row"/>
    <tableColumn id="16" xr3:uid="{3038BAE0-D83A-42A4-B9D8-95D30DD2ACF3}" name="endRow"/>
    <tableColumn id="17" xr3:uid="{4B6B6577-1FC1-4EAC-8AEA-0EAC736E1CA7}" name="isValue"/>
    <tableColumn id="18" xr3:uid="{A20D2EA3-2CBE-46CF-A11C-528BAE9CDB92}" name="isEmptyAllowed"/>
    <tableColumn id="19" xr3:uid="{D3EBEEE9-5E74-444F-B9DE-135CAB521567}" name="isDropEmptyRows"/>
    <tableColumn id="20" xr3:uid="{D73D229E-A341-44A7-B270-A958B33BDBC1}" name="isCorrelat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8C7F-FD16-4B0C-8039-553132CAC167}">
  <sheetPr>
    <tabColor rgb="FFA2D3EE"/>
  </sheetPr>
  <dimension ref="A1:K44"/>
  <sheetViews>
    <sheetView showGridLines="0" tabSelected="1" zoomScale="90" zoomScaleNormal="90" workbookViewId="0">
      <selection activeCell="A2" sqref="A2"/>
    </sheetView>
  </sheetViews>
  <sheetFormatPr defaultColWidth="9.140625" defaultRowHeight="12.75"/>
  <cols>
    <col min="1" max="1" width="5.5703125" customWidth="1"/>
    <col min="2" max="2" width="17.5703125" customWidth="1"/>
    <col min="3" max="3" width="40.42578125" customWidth="1"/>
    <col min="4" max="4" width="24.42578125" customWidth="1"/>
    <col min="5" max="5" width="60" customWidth="1"/>
    <col min="6" max="6" width="29.5703125" customWidth="1"/>
    <col min="7" max="7" width="14.140625" customWidth="1"/>
    <col min="8" max="8" width="39.5703125" customWidth="1"/>
    <col min="9" max="9" width="2.5703125" customWidth="1"/>
  </cols>
  <sheetData>
    <row r="1" spans="1:5" ht="75" customHeight="1">
      <c r="A1" s="132">
        <v>1</v>
      </c>
      <c r="B1" s="215" t="str">
        <f>VLOOKUP("T.01.9", Translation,IF(Language="DE",2,IF(Language="FR",3,4)),FALSE)</f>
        <v>SST-Template für die Bewertung des UVG-Bestandes</v>
      </c>
      <c r="C1" s="215"/>
      <c r="D1" s="215"/>
      <c r="E1" s="38">
        <v>2024</v>
      </c>
    </row>
    <row r="3" spans="1:5" ht="20.25">
      <c r="A3" s="39"/>
      <c r="B3" s="40" t="s">
        <v>0</v>
      </c>
      <c r="C3" s="133">
        <v>45596</v>
      </c>
    </row>
    <row r="6" spans="1:5">
      <c r="B6" s="41" t="s">
        <v>1</v>
      </c>
      <c r="C6" s="41"/>
      <c r="D6" s="41"/>
      <c r="E6" s="42" t="s">
        <v>2</v>
      </c>
    </row>
    <row r="7" spans="1:5">
      <c r="B7" s="43"/>
      <c r="E7" s="44"/>
    </row>
    <row r="8" spans="1:5">
      <c r="B8" s="45" t="str">
        <f>VLOOKUP("T.01.6", Translation,IF(Language="DE",2,IF(Language="FR",3,4)),FALSE)</f>
        <v>Name der Versicherungsgesellschaft</v>
      </c>
      <c r="C8" s="45"/>
      <c r="D8" s="45"/>
      <c r="E8" s="42"/>
    </row>
    <row r="9" spans="1:5">
      <c r="E9" s="46"/>
    </row>
    <row r="10" spans="1:5">
      <c r="B10" s="41" t="str">
        <f>VLOOKUP("T.01.1", Translation,IF(Language="DE",2,IF(Language="FR",3,4)),FALSE)</f>
        <v>SST-Währung</v>
      </c>
      <c r="C10" s="45"/>
      <c r="D10" s="41"/>
      <c r="E10" s="123" t="s">
        <v>3</v>
      </c>
    </row>
    <row r="11" spans="1:5">
      <c r="B11" s="47"/>
      <c r="C11" s="47"/>
      <c r="D11" s="46"/>
    </row>
    <row r="12" spans="1:5">
      <c r="D12" s="46"/>
    </row>
    <row r="13" spans="1:5">
      <c r="D13" s="46"/>
    </row>
    <row r="16" spans="1:5">
      <c r="B16" s="48" t="str">
        <f>VLOOKUP("T.01.2", Translation,IF(Language="DE",2,IF(Language="FR",3,4)),FALSE)</f>
        <v>Bemerkungen</v>
      </c>
      <c r="C16" s="49"/>
    </row>
    <row r="17" spans="1:11">
      <c r="A17" s="46"/>
      <c r="B17" s="50" t="str">
        <f>VLOOKUP("T.01.12", Translation,IF(Language="DE",2,IF(Language="FR",3,4)),FALSE)</f>
        <v>Dieses SST-Template enthält Tabellenblätter mit verschiedenen Registerfarben. Es wird die folgende Farbenkonvention verwendet:</v>
      </c>
      <c r="C17" s="51"/>
      <c r="D17" s="51"/>
      <c r="E17" s="49"/>
      <c r="F17" s="51"/>
      <c r="G17" s="51"/>
      <c r="H17" s="51"/>
      <c r="I17" s="51"/>
      <c r="J17" s="51"/>
      <c r="K17" s="51"/>
    </row>
    <row r="18" spans="1:11">
      <c r="A18" s="46"/>
      <c r="B18" s="46"/>
      <c r="D18" s="49"/>
      <c r="E18" s="49"/>
    </row>
    <row r="19" spans="1:11" ht="20.100000000000001" customHeight="1">
      <c r="B19" s="52" t="str">
        <f>VLOOKUP("T.01.3", Translation,IF(Language="DE",2,IF(Language="FR",3,4)),FALSE)</f>
        <v>Angaben</v>
      </c>
      <c r="C19" s="50" t="str">
        <f>VLOOKUP("T.01.13", Translation,IF(Language="DE",2,IF(Language="FR",3,4)),FALSE)</f>
        <v>Tabellenblätter, die vom Versicherungsunternehmen auszufüllen sind.</v>
      </c>
    </row>
    <row r="20" spans="1:11" ht="20.100000000000001" customHeight="1">
      <c r="B20" s="53" t="str">
        <f>VLOOKUP("T.01.4", Translation,IF(Language="DE",2,IF(Language="FR",3,4)),FALSE)</f>
        <v>Parameter</v>
      </c>
      <c r="C20" s="50" t="str">
        <f>VLOOKUP("T.01.14", Translation,IF(Language="DE",2,IF(Language="FR",3,4)),FALSE)</f>
        <v xml:space="preserve">Tabellenblätter mit Informationen, Parametern oder Berechnungen. </v>
      </c>
      <c r="F20" s="35"/>
    </row>
    <row r="21" spans="1:11" ht="20.100000000000001" customHeight="1">
      <c r="B21" s="110" t="s">
        <v>4</v>
      </c>
      <c r="C21" s="50" t="str">
        <f>VLOOKUP("T.01.15", Translation,IF(Language="DE",2,IF(Language="FR",3,4)),FALSE)</f>
        <v>Tabellenblatt, der für Steuerung des Tools notwendig ist. Die Tabelle ist nicht zu ändern.</v>
      </c>
    </row>
    <row r="22" spans="1:11" ht="20.100000000000001" customHeight="1">
      <c r="C22" s="50"/>
    </row>
    <row r="23" spans="1:11" s="46" customFormat="1" ht="20.100000000000001" customHeight="1">
      <c r="B23" s="54" t="str">
        <f>VLOOKUP("T.01.5", Translation,IF(Language="DE",2,IF(Language="FR",3,4)),FALSE)</f>
        <v>Eingabe</v>
      </c>
      <c r="C23" s="50" t="str">
        <f>VLOOKUP("T.01.16", Translation,IF(Language="DE",2,IF(Language="FR",3,4)),FALSE)</f>
        <v>Eingabefelder: In diesen Feldern werden versicherungsspezifische Angaben erwartet.</v>
      </c>
    </row>
    <row r="26" spans="1:11">
      <c r="B26" s="55"/>
    </row>
    <row r="44" spans="5:5">
      <c r="E44" s="56"/>
    </row>
  </sheetData>
  <mergeCells count="1">
    <mergeCell ref="B1:D1"/>
  </mergeCells>
  <dataValidations count="1">
    <dataValidation type="list" allowBlank="1" showInputMessage="1" showErrorMessage="1" sqref="E6 C13" xr:uid="{7EEE8C1A-389C-4F59-8C68-57743026F514}">
      <formula1>"DE, FR, EN"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A795-27A2-4200-A0F2-4D7A72BDACED}">
  <sheetPr>
    <tabColor rgb="FF00539E"/>
  </sheetPr>
  <dimension ref="A1:BA51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5.5703125" customWidth="1"/>
    <col min="2" max="2" width="58.28515625" customWidth="1"/>
    <col min="3" max="3" width="17.85546875" customWidth="1"/>
    <col min="4" max="5" width="10.140625" bestFit="1" customWidth="1"/>
  </cols>
  <sheetData>
    <row r="1" spans="1:53" s="3" customFormat="1" ht="20.100000000000001" customHeight="1">
      <c r="A1" s="134">
        <v>2</v>
      </c>
      <c r="B1" s="2" t="str">
        <f>VLOOKUP("T.02.1", Translation,IF(Language="DE",2,IF(Language="FR",3,4)),FALSE)</f>
        <v>Finanzvariablen und SST-Parameter</v>
      </c>
    </row>
    <row r="4" spans="1:53" s="57" customFormat="1">
      <c r="B4" s="58" t="str">
        <f>VLOOKUP("T.02.2", Translation,IF(Language="DE",2,IF(Language="FR",3,4)),FALSE)</f>
        <v>Risikolose Zinskurve r(t) per 31.12.2023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1:53" s="57" customFormat="1" ht="8.1" customHeight="1"/>
    <row r="6" spans="1:53" s="59" customFormat="1">
      <c r="B6" s="60" t="str" cm="1">
        <f t="array" ref="B6">_maturity</f>
        <v>Fälligkeit (in Jahren)</v>
      </c>
      <c r="C6" s="61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8">
        <v>42</v>
      </c>
      <c r="AS6" s="8">
        <v>43</v>
      </c>
      <c r="AT6" s="8">
        <v>44</v>
      </c>
      <c r="AU6" s="8">
        <v>45</v>
      </c>
      <c r="AV6" s="8">
        <v>46</v>
      </c>
      <c r="AW6" s="8">
        <v>47</v>
      </c>
      <c r="AX6" s="8">
        <v>48</v>
      </c>
      <c r="AY6" s="8">
        <v>49</v>
      </c>
      <c r="AZ6" s="8">
        <v>50</v>
      </c>
      <c r="BA6" s="57"/>
    </row>
    <row r="7" spans="1:53" s="57" customFormat="1">
      <c r="B7" s="112" t="s">
        <v>3</v>
      </c>
      <c r="C7" s="168">
        <v>1.2552906673953368E-2</v>
      </c>
      <c r="D7" s="169">
        <v>9.924402445420144E-3</v>
      </c>
      <c r="E7" s="169">
        <v>8.4294214560367564E-3</v>
      </c>
      <c r="F7" s="169">
        <v>7.601194002552214E-3</v>
      </c>
      <c r="G7" s="117">
        <v>7.1448094522301719E-3</v>
      </c>
      <c r="H7" s="117">
        <v>6.89155108479933E-3</v>
      </c>
      <c r="I7" s="117">
        <v>6.7476641233279455E-3</v>
      </c>
      <c r="J7" s="117">
        <v>6.6611464586359137E-3</v>
      </c>
      <c r="K7" s="117">
        <v>6.6029315686653156E-3</v>
      </c>
      <c r="L7" s="117">
        <v>6.5566620593309199E-3</v>
      </c>
      <c r="M7" s="117">
        <v>6.4881331718653623E-3</v>
      </c>
      <c r="N7" s="117">
        <v>6.4111868984957354E-3</v>
      </c>
      <c r="O7" s="117">
        <v>6.3453237541470919E-3</v>
      </c>
      <c r="P7" s="117">
        <v>6.3039839971597011E-3</v>
      </c>
      <c r="Q7" s="117">
        <v>6.29673937054398E-3</v>
      </c>
      <c r="R7" s="117">
        <v>6.3277016775480366E-3</v>
      </c>
      <c r="S7" s="117">
        <v>6.388972424950623E-3</v>
      </c>
      <c r="T7" s="117">
        <v>6.4721551587130222E-3</v>
      </c>
      <c r="U7" s="117">
        <v>6.5709782633056601E-3</v>
      </c>
      <c r="V7" s="117">
        <v>6.6807205545769133E-3</v>
      </c>
      <c r="W7" s="117">
        <v>6.7978071665710793E-3</v>
      </c>
      <c r="X7" s="117">
        <v>6.9195204799945564E-3</v>
      </c>
      <c r="Y7" s="117">
        <v>7.0437902805831065E-3</v>
      </c>
      <c r="Z7" s="117">
        <v>7.1690394310437444E-3</v>
      </c>
      <c r="AA7" s="117">
        <v>7.2940690443898948E-3</v>
      </c>
      <c r="AB7" s="117">
        <v>7.4179721583444991E-3</v>
      </c>
      <c r="AC7" s="117">
        <v>7.5400682337005698E-3</v>
      </c>
      <c r="AD7" s="117">
        <v>7.6598530415883381E-3</v>
      </c>
      <c r="AE7" s="117">
        <v>7.7769600413304385E-3</v>
      </c>
      <c r="AF7" s="117">
        <v>7.8911304192104126E-3</v>
      </c>
      <c r="AG7" s="117">
        <v>8.0021897115420959E-3</v>
      </c>
      <c r="AH7" s="117">
        <v>8.1100294726521582E-3</v>
      </c>
      <c r="AI7" s="117">
        <v>8.214592835970258E-3</v>
      </c>
      <c r="AJ7" s="117">
        <v>8.3158630990101123E-3</v>
      </c>
      <c r="AK7" s="117">
        <v>8.4138546710452733E-3</v>
      </c>
      <c r="AL7" s="117">
        <v>8.5086058768315542E-3</v>
      </c>
      <c r="AM7" s="117">
        <v>8.6001732254898933E-3</v>
      </c>
      <c r="AN7" s="117">
        <v>8.6886268410804046E-3</v>
      </c>
      <c r="AO7" s="117">
        <v>8.7740468178787445E-3</v>
      </c>
      <c r="AP7" s="117">
        <v>8.856520314286298E-3</v>
      </c>
      <c r="AQ7" s="117">
        <v>8.9361392385465255E-3</v>
      </c>
      <c r="AR7" s="117">
        <v>9.0129984098779037E-3</v>
      </c>
      <c r="AS7" s="117">
        <v>9.0871941023533687E-3</v>
      </c>
      <c r="AT7" s="117">
        <v>9.1588228974750496E-3</v>
      </c>
      <c r="AU7" s="117">
        <v>9.2279807860322638E-3</v>
      </c>
      <c r="AV7" s="117">
        <v>9.2947624714476706E-3</v>
      </c>
      <c r="AW7" s="117">
        <v>9.3592608360248963E-3</v>
      </c>
      <c r="AX7" s="117">
        <v>9.4215665388821535E-3</v>
      </c>
      <c r="AY7" s="117">
        <v>9.4817677202463369E-3</v>
      </c>
      <c r="AZ7" s="117">
        <v>9.5399497915298337E-3</v>
      </c>
    </row>
    <row r="8" spans="1:53" s="57" customFormat="1"/>
    <row r="9" spans="1:53" s="57" customFormat="1">
      <c r="B9" s="58" t="str">
        <f>VLOOKUP("T.02.3", Translation,IF(Language="DE",2,IF(Language="FR",3,4)),FALSE)</f>
        <v>Diskontfaktoren auf Basis der risikolosen Zinskurve r(t); Diskontfunktion n(t) = (1+r(t))^(-t)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53" s="57" customFormat="1"/>
    <row r="11" spans="1:53" s="59" customFormat="1">
      <c r="B11" s="60" t="str">
        <f>_maturity</f>
        <v>Fälligkeit (in Jahren)</v>
      </c>
      <c r="C11" s="61">
        <v>1</v>
      </c>
      <c r="D11" s="8">
        <f t="shared" ref="D11:AZ11" si="0">1+C11</f>
        <v>2</v>
      </c>
      <c r="E11" s="8">
        <f t="shared" si="0"/>
        <v>3</v>
      </c>
      <c r="F11" s="8">
        <f t="shared" si="0"/>
        <v>4</v>
      </c>
      <c r="G11" s="8">
        <f t="shared" si="0"/>
        <v>5</v>
      </c>
      <c r="H11" s="8">
        <f t="shared" si="0"/>
        <v>6</v>
      </c>
      <c r="I11" s="8">
        <f t="shared" si="0"/>
        <v>7</v>
      </c>
      <c r="J11" s="8">
        <f t="shared" si="0"/>
        <v>8</v>
      </c>
      <c r="K11" s="8">
        <f t="shared" si="0"/>
        <v>9</v>
      </c>
      <c r="L11" s="8">
        <f t="shared" si="0"/>
        <v>10</v>
      </c>
      <c r="M11" s="8">
        <f t="shared" si="0"/>
        <v>11</v>
      </c>
      <c r="N11" s="8">
        <f t="shared" si="0"/>
        <v>12</v>
      </c>
      <c r="O11" s="8">
        <f t="shared" si="0"/>
        <v>13</v>
      </c>
      <c r="P11" s="8">
        <f t="shared" si="0"/>
        <v>14</v>
      </c>
      <c r="Q11" s="8">
        <f t="shared" si="0"/>
        <v>15</v>
      </c>
      <c r="R11" s="8">
        <f t="shared" si="0"/>
        <v>16</v>
      </c>
      <c r="S11" s="8">
        <f t="shared" si="0"/>
        <v>17</v>
      </c>
      <c r="T11" s="8">
        <f t="shared" si="0"/>
        <v>18</v>
      </c>
      <c r="U11" s="8">
        <f t="shared" si="0"/>
        <v>19</v>
      </c>
      <c r="V11" s="8">
        <f t="shared" si="0"/>
        <v>20</v>
      </c>
      <c r="W11" s="8">
        <f t="shared" si="0"/>
        <v>21</v>
      </c>
      <c r="X11" s="8">
        <f t="shared" si="0"/>
        <v>22</v>
      </c>
      <c r="Y11" s="8">
        <f t="shared" si="0"/>
        <v>23</v>
      </c>
      <c r="Z11" s="8">
        <f t="shared" si="0"/>
        <v>24</v>
      </c>
      <c r="AA11" s="8">
        <f t="shared" si="0"/>
        <v>25</v>
      </c>
      <c r="AB11" s="8">
        <f t="shared" si="0"/>
        <v>26</v>
      </c>
      <c r="AC11" s="8">
        <f t="shared" si="0"/>
        <v>27</v>
      </c>
      <c r="AD11" s="8">
        <f t="shared" si="0"/>
        <v>28</v>
      </c>
      <c r="AE11" s="8">
        <f t="shared" si="0"/>
        <v>29</v>
      </c>
      <c r="AF11" s="8">
        <f t="shared" si="0"/>
        <v>30</v>
      </c>
      <c r="AG11" s="8">
        <f t="shared" si="0"/>
        <v>31</v>
      </c>
      <c r="AH11" s="8">
        <f t="shared" si="0"/>
        <v>32</v>
      </c>
      <c r="AI11" s="8">
        <f t="shared" si="0"/>
        <v>33</v>
      </c>
      <c r="AJ11" s="8">
        <f t="shared" si="0"/>
        <v>34</v>
      </c>
      <c r="AK11" s="8">
        <f t="shared" si="0"/>
        <v>35</v>
      </c>
      <c r="AL11" s="8">
        <f t="shared" si="0"/>
        <v>36</v>
      </c>
      <c r="AM11" s="8">
        <f t="shared" si="0"/>
        <v>37</v>
      </c>
      <c r="AN11" s="8">
        <f t="shared" si="0"/>
        <v>38</v>
      </c>
      <c r="AO11" s="8">
        <f t="shared" si="0"/>
        <v>39</v>
      </c>
      <c r="AP11" s="8">
        <f t="shared" si="0"/>
        <v>40</v>
      </c>
      <c r="AQ11" s="8">
        <f t="shared" si="0"/>
        <v>41</v>
      </c>
      <c r="AR11" s="8">
        <f t="shared" si="0"/>
        <v>42</v>
      </c>
      <c r="AS11" s="8">
        <f t="shared" si="0"/>
        <v>43</v>
      </c>
      <c r="AT11" s="8">
        <f t="shared" si="0"/>
        <v>44</v>
      </c>
      <c r="AU11" s="8">
        <f t="shared" si="0"/>
        <v>45</v>
      </c>
      <c r="AV11" s="8">
        <f t="shared" si="0"/>
        <v>46</v>
      </c>
      <c r="AW11" s="8">
        <f t="shared" si="0"/>
        <v>47</v>
      </c>
      <c r="AX11" s="8">
        <f t="shared" si="0"/>
        <v>48</v>
      </c>
      <c r="AY11" s="8">
        <f t="shared" si="0"/>
        <v>49</v>
      </c>
      <c r="AZ11" s="8">
        <f t="shared" si="0"/>
        <v>50</v>
      </c>
      <c r="BA11" s="57"/>
    </row>
    <row r="12" spans="1:53" s="57" customFormat="1">
      <c r="B12" s="60" t="s">
        <v>3</v>
      </c>
      <c r="C12" s="114">
        <f>(1+C7)^(-C$11)</f>
        <v>0.98760271528409582</v>
      </c>
      <c r="D12" s="115">
        <f t="shared" ref="D12:AH12" si="1">(1+D7)^(-D$11)</f>
        <v>0.98044281436791059</v>
      </c>
      <c r="E12" s="115">
        <f t="shared" si="1"/>
        <v>0.97513215181937152</v>
      </c>
      <c r="F12" s="115">
        <f t="shared" si="1"/>
        <v>0.97016433726988094</v>
      </c>
      <c r="G12" s="115">
        <f t="shared" si="1"/>
        <v>0.96502909180346796</v>
      </c>
      <c r="H12" s="115">
        <f t="shared" si="1"/>
        <v>0.95963000782745567</v>
      </c>
      <c r="I12" s="115">
        <f t="shared" si="1"/>
        <v>0.95401584016933672</v>
      </c>
      <c r="J12" s="115">
        <f t="shared" si="1"/>
        <v>0.94827335187966111</v>
      </c>
      <c r="K12" s="115">
        <f t="shared" si="1"/>
        <v>0.94248898255274882</v>
      </c>
      <c r="L12" s="115">
        <f t="shared" si="1"/>
        <v>0.93673710556795975</v>
      </c>
      <c r="M12" s="115">
        <f t="shared" si="1"/>
        <v>0.93133248920471134</v>
      </c>
      <c r="N12" s="115">
        <f t="shared" si="1"/>
        <v>0.92617815399362657</v>
      </c>
      <c r="O12" s="115">
        <f t="shared" si="1"/>
        <v>0.92106137973398605</v>
      </c>
      <c r="P12" s="115">
        <f t="shared" si="1"/>
        <v>0.9157803294657314</v>
      </c>
      <c r="Q12" s="115">
        <f t="shared" si="1"/>
        <v>0.91014171025788204</v>
      </c>
      <c r="R12" s="115">
        <f t="shared" si="1"/>
        <v>0.90400150547283176</v>
      </c>
      <c r="S12" s="115">
        <f t="shared" si="1"/>
        <v>0.89738792527502131</v>
      </c>
      <c r="T12" s="115">
        <f t="shared" si="1"/>
        <v>0.89036533427425746</v>
      </c>
      <c r="U12" s="115">
        <f t="shared" si="1"/>
        <v>0.88299107465141324</v>
      </c>
      <c r="V12" s="115">
        <f t="shared" si="1"/>
        <v>0.87531621552323968</v>
      </c>
      <c r="W12" s="115">
        <f t="shared" si="1"/>
        <v>0.86738622254599129</v>
      </c>
      <c r="X12" s="115">
        <f t="shared" si="1"/>
        <v>0.85924155624490517</v>
      </c>
      <c r="Y12" s="115">
        <f t="shared" si="1"/>
        <v>0.85091820665373696</v>
      </c>
      <c r="Z12" s="115">
        <f t="shared" si="1"/>
        <v>0.84244817104131409</v>
      </c>
      <c r="AA12" s="115">
        <f t="shared" si="1"/>
        <v>0.83385988078125184</v>
      </c>
      <c r="AB12" s="115">
        <f t="shared" si="1"/>
        <v>0.82517858277637035</v>
      </c>
      <c r="AC12" s="115">
        <f t="shared" si="1"/>
        <v>0.81642668027366316</v>
      </c>
      <c r="AD12" s="115">
        <f t="shared" si="1"/>
        <v>0.80762403739104538</v>
      </c>
      <c r="AE12" s="115">
        <f t="shared" si="1"/>
        <v>0.79878825121741903</v>
      </c>
      <c r="AF12" s="115">
        <f t="shared" si="1"/>
        <v>0.78993489493652258</v>
      </c>
      <c r="AG12" s="115">
        <f t="shared" si="1"/>
        <v>0.78107773505815892</v>
      </c>
      <c r="AH12" s="115">
        <f t="shared" si="1"/>
        <v>0.77222892551200484</v>
      </c>
      <c r="AI12" s="115">
        <f t="shared" ref="AI12:AZ12" si="2">(1+AI7)^(-AI$11)</f>
        <v>0.76339918106627835</v>
      </c>
      <c r="AJ12" s="115">
        <f t="shared" si="2"/>
        <v>0.75459793227132499</v>
      </c>
      <c r="AK12" s="115">
        <f t="shared" si="2"/>
        <v>0.74583346389436789</v>
      </c>
      <c r="AL12" s="115">
        <f t="shared" si="2"/>
        <v>0.73711303860210797</v>
      </c>
      <c r="AM12" s="115">
        <f t="shared" si="2"/>
        <v>0.7284430074612529</v>
      </c>
      <c r="AN12" s="115">
        <f t="shared" si="2"/>
        <v>0.71982890865977844</v>
      </c>
      <c r="AO12" s="115">
        <f t="shared" si="2"/>
        <v>0.71127555570257017</v>
      </c>
      <c r="AP12" s="115">
        <f t="shared" si="2"/>
        <v>0.7027871162016508</v>
      </c>
      <c r="AQ12" s="115">
        <f t="shared" si="2"/>
        <v>0.69436718226205407</v>
      </c>
      <c r="AR12" s="115">
        <f t="shared" si="2"/>
        <v>0.68601883335775393</v>
      </c>
      <c r="AS12" s="115">
        <f t="shared" si="2"/>
        <v>0.6777446924971483</v>
      </c>
      <c r="AT12" s="115">
        <f t="shared" si="2"/>
        <v>0.66954697639214467</v>
      </c>
      <c r="AU12" s="115">
        <f t="shared" si="2"/>
        <v>0.66142754026935346</v>
      </c>
      <c r="AV12" s="115">
        <f t="shared" si="2"/>
        <v>0.653387917893543</v>
      </c>
      <c r="AW12" s="115">
        <f t="shared" si="2"/>
        <v>0.64542935731315509</v>
      </c>
      <c r="AX12" s="115">
        <f t="shared" si="2"/>
        <v>0.63755285278324236</v>
      </c>
      <c r="AY12" s="115">
        <f t="shared" si="2"/>
        <v>0.62975917327282283</v>
      </c>
      <c r="AZ12" s="115">
        <f t="shared" si="2"/>
        <v>0.62204888792028257</v>
      </c>
    </row>
    <row r="13" spans="1:53" s="57" customFormat="1"/>
    <row r="14" spans="1:53" s="27" customFormat="1">
      <c r="A14" s="57"/>
      <c r="B14" s="58" t="str">
        <f>VLOOKUP("T.02.4", Translation,IF(Language="DE",2,IF(Language="FR",3,4)),FALSE)</f>
        <v>Historische Rendite Bundesobligationen Eidgenossenschaft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62"/>
      <c r="T14" s="62"/>
      <c r="U14" s="62"/>
      <c r="X14" s="63"/>
      <c r="Y14" s="64"/>
    </row>
    <row r="15" spans="1:53" s="57" customFormat="1"/>
    <row r="16" spans="1:53" s="57" customFormat="1">
      <c r="B16" s="60" t="str">
        <f>VLOOKUP("T.02.19", Translation,IF(Language="DE",2,IF(Language="FR",3,4)),FALSE)</f>
        <v>Jahr</v>
      </c>
      <c r="C16" s="65">
        <f>Intro_SM_UVG_Valuation!E1 - 10</f>
        <v>2014</v>
      </c>
      <c r="D16" s="66">
        <f>C16+1</f>
        <v>2015</v>
      </c>
      <c r="E16" s="66">
        <f t="shared" ref="E16" si="3">D16+1</f>
        <v>2016</v>
      </c>
      <c r="F16" s="66">
        <f t="shared" ref="F16" si="4">E16+1</f>
        <v>2017</v>
      </c>
      <c r="G16" s="66">
        <f t="shared" ref="G16" si="5">F16+1</f>
        <v>2018</v>
      </c>
      <c r="H16" s="66">
        <f t="shared" ref="H16" si="6">G16+1</f>
        <v>2019</v>
      </c>
      <c r="I16" s="66">
        <f t="shared" ref="I16" si="7">H16+1</f>
        <v>2020</v>
      </c>
      <c r="J16" s="66">
        <f t="shared" ref="J16" si="8">I16+1</f>
        <v>2021</v>
      </c>
      <c r="K16" s="66">
        <f t="shared" ref="K16" si="9">J16+1</f>
        <v>2022</v>
      </c>
      <c r="L16" s="66">
        <f t="shared" ref="L16" si="10">K16+1</f>
        <v>2023</v>
      </c>
    </row>
    <row r="17" spans="1:53" s="57" customFormat="1">
      <c r="B17" s="113" t="str">
        <f>VLOOKUP("T.02.5", Translation,IF(Language="DE",2,IF(Language="FR",3,4)),FALSE)</f>
        <v>Kassazinssatz bei einer Laufzeit von 10 Jahre</v>
      </c>
      <c r="C17" s="167">
        <v>7.3000000000000001E-3</v>
      </c>
      <c r="D17" s="167">
        <v>-6.9999999999999999E-4</v>
      </c>
      <c r="E17" s="167">
        <v>-3.4883835856338321E-3</v>
      </c>
      <c r="F17" s="116">
        <v>-7.9207171314741036E-4</v>
      </c>
      <c r="G17" s="116">
        <v>4.3741379310344793E-4</v>
      </c>
      <c r="H17" s="116">
        <v>-4.719919678714859E-3</v>
      </c>
      <c r="I17" s="116">
        <v>-5.0178571428571416E-3</v>
      </c>
      <c r="J17" s="116">
        <v>-2.5981889763779533E-3</v>
      </c>
      <c r="K17" s="116">
        <v>7.8316153846153865E-3</v>
      </c>
      <c r="L17" s="167">
        <v>1.0522538461538455E-2</v>
      </c>
    </row>
    <row r="18" spans="1:53" s="57" customFormat="1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53" s="27" customFormat="1">
      <c r="A19" s="57"/>
      <c r="B19" s="58" t="str">
        <f>VLOOKUP("T.02.6", Translation,IF(Language="DE",2,IF(Language="FR",3,4)),FALSE)</f>
        <v>Durchschnitt der 10-jährigen Renditen Bundesobligationen der letzten 10 Jahre per 31.12.2023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62"/>
      <c r="T19" s="62"/>
      <c r="U19" s="62"/>
      <c r="X19" s="63"/>
      <c r="Y19" s="64"/>
    </row>
    <row r="20" spans="1:53" s="57" customFormat="1"/>
    <row r="21" spans="1:53" s="27" customFormat="1" ht="12.75" customHeight="1">
      <c r="A21" s="57"/>
      <c r="B21" s="60" t="str">
        <f>_maturity</f>
        <v>Fälligkeit (in Jahren)</v>
      </c>
      <c r="C21" s="65">
        <v>1</v>
      </c>
      <c r="D21" s="66">
        <f>C21+1</f>
        <v>2</v>
      </c>
      <c r="E21" s="66">
        <f t="shared" ref="E21:AZ21" si="11">D21+1</f>
        <v>3</v>
      </c>
      <c r="F21" s="66">
        <f t="shared" si="11"/>
        <v>4</v>
      </c>
      <c r="G21" s="66">
        <f t="shared" si="11"/>
        <v>5</v>
      </c>
      <c r="H21" s="66">
        <f t="shared" si="11"/>
        <v>6</v>
      </c>
      <c r="I21" s="66">
        <f t="shared" si="11"/>
        <v>7</v>
      </c>
      <c r="J21" s="66">
        <f t="shared" si="11"/>
        <v>8</v>
      </c>
      <c r="K21" s="66">
        <f t="shared" si="11"/>
        <v>9</v>
      </c>
      <c r="L21" s="66">
        <f t="shared" si="11"/>
        <v>10</v>
      </c>
      <c r="M21" s="66">
        <f t="shared" si="11"/>
        <v>11</v>
      </c>
      <c r="N21" s="66">
        <f t="shared" si="11"/>
        <v>12</v>
      </c>
      <c r="O21" s="66">
        <f t="shared" si="11"/>
        <v>13</v>
      </c>
      <c r="P21" s="66">
        <f t="shared" si="11"/>
        <v>14</v>
      </c>
      <c r="Q21" s="66">
        <f t="shared" si="11"/>
        <v>15</v>
      </c>
      <c r="R21" s="66">
        <f t="shared" si="11"/>
        <v>16</v>
      </c>
      <c r="S21" s="66">
        <f t="shared" si="11"/>
        <v>17</v>
      </c>
      <c r="T21" s="66">
        <f t="shared" si="11"/>
        <v>18</v>
      </c>
      <c r="U21" s="66">
        <f t="shared" si="11"/>
        <v>19</v>
      </c>
      <c r="V21" s="66">
        <f t="shared" si="11"/>
        <v>20</v>
      </c>
      <c r="W21" s="66">
        <f t="shared" si="11"/>
        <v>21</v>
      </c>
      <c r="X21" s="66">
        <f t="shared" si="11"/>
        <v>22</v>
      </c>
      <c r="Y21" s="66">
        <f t="shared" si="11"/>
        <v>23</v>
      </c>
      <c r="Z21" s="66">
        <f t="shared" si="11"/>
        <v>24</v>
      </c>
      <c r="AA21" s="66">
        <f t="shared" si="11"/>
        <v>25</v>
      </c>
      <c r="AB21" s="66">
        <f t="shared" si="11"/>
        <v>26</v>
      </c>
      <c r="AC21" s="66">
        <f t="shared" si="11"/>
        <v>27</v>
      </c>
      <c r="AD21" s="66">
        <f t="shared" si="11"/>
        <v>28</v>
      </c>
      <c r="AE21" s="66">
        <f t="shared" si="11"/>
        <v>29</v>
      </c>
      <c r="AF21" s="66">
        <f t="shared" si="11"/>
        <v>30</v>
      </c>
      <c r="AG21" s="66">
        <f t="shared" si="11"/>
        <v>31</v>
      </c>
      <c r="AH21" s="66">
        <f t="shared" si="11"/>
        <v>32</v>
      </c>
      <c r="AI21" s="66">
        <f t="shared" si="11"/>
        <v>33</v>
      </c>
      <c r="AJ21" s="66">
        <f t="shared" si="11"/>
        <v>34</v>
      </c>
      <c r="AK21" s="66">
        <f t="shared" si="11"/>
        <v>35</v>
      </c>
      <c r="AL21" s="66">
        <f t="shared" si="11"/>
        <v>36</v>
      </c>
      <c r="AM21" s="66">
        <f t="shared" si="11"/>
        <v>37</v>
      </c>
      <c r="AN21" s="66">
        <f t="shared" si="11"/>
        <v>38</v>
      </c>
      <c r="AO21" s="66">
        <f t="shared" si="11"/>
        <v>39</v>
      </c>
      <c r="AP21" s="66">
        <f t="shared" si="11"/>
        <v>40</v>
      </c>
      <c r="AQ21" s="66">
        <f t="shared" si="11"/>
        <v>41</v>
      </c>
      <c r="AR21" s="66">
        <f t="shared" si="11"/>
        <v>42</v>
      </c>
      <c r="AS21" s="66">
        <f t="shared" si="11"/>
        <v>43</v>
      </c>
      <c r="AT21" s="66">
        <f t="shared" si="11"/>
        <v>44</v>
      </c>
      <c r="AU21" s="66">
        <f t="shared" si="11"/>
        <v>45</v>
      </c>
      <c r="AV21" s="66">
        <f t="shared" si="11"/>
        <v>46</v>
      </c>
      <c r="AW21" s="66">
        <f t="shared" si="11"/>
        <v>47</v>
      </c>
      <c r="AX21" s="66">
        <f t="shared" si="11"/>
        <v>48</v>
      </c>
      <c r="AY21" s="66">
        <f t="shared" si="11"/>
        <v>49</v>
      </c>
      <c r="AZ21" s="66">
        <f t="shared" si="11"/>
        <v>50</v>
      </c>
    </row>
    <row r="22" spans="1:53" s="27" customFormat="1" ht="16.5" customHeight="1">
      <c r="A22" s="57"/>
      <c r="B22" s="113" t="str">
        <f>VLOOKUP("T.02.7", Translation,IF(Language="DE",2,IF(Language="FR",3,4)),FALSE)</f>
        <v>phi 10/10-Zinsen</v>
      </c>
      <c r="C22" s="166">
        <v>8.7751465425260926E-4</v>
      </c>
      <c r="D22" s="166">
        <v>8.0318086018570122E-4</v>
      </c>
      <c r="E22" s="166">
        <v>1.461546592553969E-3</v>
      </c>
      <c r="F22" s="166">
        <v>2.3813861230095237E-3</v>
      </c>
      <c r="G22" s="166">
        <v>3.0326867687694215E-3</v>
      </c>
      <c r="H22" s="166">
        <v>3.5675021626678481E-3</v>
      </c>
      <c r="I22" s="166">
        <v>4.6267913467917029E-3</v>
      </c>
      <c r="J22" s="166">
        <v>5.7275314215359989E-3</v>
      </c>
      <c r="K22" s="166">
        <v>6.6011467469987246E-3</v>
      </c>
      <c r="L22" s="166">
        <v>6.450083975104921E-3</v>
      </c>
      <c r="M22" s="166">
        <v>6.0520522445234089E-3</v>
      </c>
      <c r="N22" s="166">
        <v>6.0768654725983362E-3</v>
      </c>
      <c r="O22" s="166">
        <v>6.2023556012339668E-3</v>
      </c>
      <c r="P22" s="166">
        <v>6.3843404001748373E-3</v>
      </c>
      <c r="Q22" s="166">
        <v>6.6074990817754919E-3</v>
      </c>
      <c r="R22" s="166">
        <v>6.8670789570851824E-3</v>
      </c>
      <c r="S22" s="166">
        <v>7.1589734599297513E-3</v>
      </c>
      <c r="T22" s="166">
        <v>7.4765053382561007E-3</v>
      </c>
      <c r="U22" s="166">
        <v>7.8127042638678652E-3</v>
      </c>
      <c r="V22" s="166">
        <v>8.1607297234183255E-3</v>
      </c>
      <c r="W22" s="166">
        <v>8.5137383621832988E-3</v>
      </c>
      <c r="X22" s="166">
        <v>8.8648907287510511E-3</v>
      </c>
      <c r="Y22" s="166">
        <v>9.2046433410327699E-3</v>
      </c>
      <c r="Z22" s="166">
        <v>9.5250679955068748E-3</v>
      </c>
      <c r="AA22" s="166">
        <v>9.8210765429320723E-3</v>
      </c>
      <c r="AB22" s="166">
        <v>1.009029695166439E-2</v>
      </c>
      <c r="AC22" s="166">
        <v>1.0332982026554128E-2</v>
      </c>
      <c r="AD22" s="166">
        <v>1.0551474039883945E-2</v>
      </c>
      <c r="AE22" s="166">
        <v>1.0748281837477646E-2</v>
      </c>
      <c r="AF22" s="166">
        <v>1.0925636077328415E-2</v>
      </c>
      <c r="AG22" s="166">
        <v>1.1085523391026485E-2</v>
      </c>
      <c r="AH22" s="166">
        <v>1.1229715753285619E-2</v>
      </c>
      <c r="AI22" s="166">
        <v>1.1359795835726504E-2</v>
      </c>
      <c r="AJ22" s="166">
        <v>1.1477178977693115E-2</v>
      </c>
      <c r="AK22" s="166">
        <v>1.1583132293039511E-2</v>
      </c>
      <c r="AL22" s="166">
        <v>1.1678791340869044E-2</v>
      </c>
      <c r="AM22" s="166">
        <v>1.1765174715095372E-2</v>
      </c>
      <c r="AN22" s="166">
        <v>1.1843196848586568E-2</v>
      </c>
      <c r="AO22" s="166">
        <v>1.1913679279608869E-2</v>
      </c>
      <c r="AP22" s="166">
        <v>1.1977360589021834E-2</v>
      </c>
      <c r="AQ22" s="166">
        <v>1.2034905184430201E-2</v>
      </c>
      <c r="AR22" s="166">
        <v>1.2086911080883823E-2</v>
      </c>
      <c r="AS22" s="166">
        <v>1.2086911080883823E-2</v>
      </c>
      <c r="AT22" s="166">
        <v>1.2086911080883823E-2</v>
      </c>
      <c r="AU22" s="166">
        <v>1.2086911080883823E-2</v>
      </c>
      <c r="AV22" s="166">
        <v>1.2086911080883823E-2</v>
      </c>
      <c r="AW22" s="166">
        <v>1.2086911080883823E-2</v>
      </c>
      <c r="AX22" s="166">
        <v>1.2086911080883823E-2</v>
      </c>
      <c r="AY22" s="166">
        <v>1.2086911080883823E-2</v>
      </c>
      <c r="AZ22" s="166">
        <v>1.2086911080883823E-2</v>
      </c>
    </row>
    <row r="23" spans="1:53" s="27" customFormat="1" ht="12.75" customHeight="1">
      <c r="A23" s="57"/>
      <c r="B23" s="36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3" s="27" customFormat="1">
      <c r="A24" s="57"/>
      <c r="B24" s="58" t="str">
        <f>VLOOKUP("T.02.8", Translation,IF(Language="DE",2,IF(Language="FR",3,4)),FALSE)</f>
        <v>Verbraucherpreisinflation per 31.12.2023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2"/>
      <c r="T24" s="62"/>
      <c r="U24" s="62"/>
      <c r="X24" s="63"/>
      <c r="Y24" s="64"/>
    </row>
    <row r="25" spans="1:53" s="27" customFormat="1">
      <c r="A25" s="57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62"/>
      <c r="T25" s="62"/>
      <c r="U25" s="62"/>
      <c r="X25" s="63"/>
      <c r="Y25" s="64"/>
    </row>
    <row r="26" spans="1:53" s="59" customFormat="1">
      <c r="B26" s="60" t="str">
        <f>_maturity</f>
        <v>Fälligkeit (in Jahren)</v>
      </c>
      <c r="C26" s="61">
        <v>1</v>
      </c>
      <c r="D26" s="8">
        <f t="shared" ref="D26" si="12">1+C26</f>
        <v>2</v>
      </c>
      <c r="E26" s="8">
        <f t="shared" ref="E26" si="13">1+D26</f>
        <v>3</v>
      </c>
      <c r="F26" s="8">
        <f t="shared" ref="F26" si="14">1+E26</f>
        <v>4</v>
      </c>
      <c r="G26" s="8">
        <f t="shared" ref="G26" si="15">1+F26</f>
        <v>5</v>
      </c>
      <c r="H26" s="8">
        <f t="shared" ref="H26" si="16">1+G26</f>
        <v>6</v>
      </c>
      <c r="I26" s="8">
        <f t="shared" ref="I26" si="17">1+H26</f>
        <v>7</v>
      </c>
      <c r="J26" s="8">
        <f t="shared" ref="J26" si="18">1+I26</f>
        <v>8</v>
      </c>
      <c r="K26" s="8">
        <f t="shared" ref="K26" si="19">1+J26</f>
        <v>9</v>
      </c>
      <c r="L26" s="8">
        <f t="shared" ref="L26" si="20">1+K26</f>
        <v>10</v>
      </c>
      <c r="M26" s="8">
        <f t="shared" ref="M26" si="21">1+L26</f>
        <v>11</v>
      </c>
      <c r="N26" s="8">
        <f t="shared" ref="N26" si="22">1+M26</f>
        <v>12</v>
      </c>
      <c r="O26" s="8">
        <f t="shared" ref="O26" si="23">1+N26</f>
        <v>13</v>
      </c>
      <c r="P26" s="8">
        <f t="shared" ref="P26" si="24">1+O26</f>
        <v>14</v>
      </c>
      <c r="Q26" s="8">
        <f t="shared" ref="Q26" si="25">1+P26</f>
        <v>15</v>
      </c>
      <c r="R26" s="8">
        <f t="shared" ref="R26" si="26">1+Q26</f>
        <v>16</v>
      </c>
      <c r="S26" s="8">
        <f t="shared" ref="S26" si="27">1+R26</f>
        <v>17</v>
      </c>
      <c r="T26" s="8">
        <f t="shared" ref="T26" si="28">1+S26</f>
        <v>18</v>
      </c>
      <c r="U26" s="8">
        <f t="shared" ref="U26" si="29">1+T26</f>
        <v>19</v>
      </c>
      <c r="V26" s="8">
        <f t="shared" ref="V26" si="30">1+U26</f>
        <v>20</v>
      </c>
      <c r="W26" s="8">
        <f t="shared" ref="W26" si="31">1+V26</f>
        <v>21</v>
      </c>
      <c r="X26" s="8">
        <f t="shared" ref="X26" si="32">1+W26</f>
        <v>22</v>
      </c>
      <c r="Y26" s="8">
        <f t="shared" ref="Y26" si="33">1+X26</f>
        <v>23</v>
      </c>
      <c r="Z26" s="8">
        <f t="shared" ref="Z26" si="34">1+Y26</f>
        <v>24</v>
      </c>
      <c r="AA26" s="8">
        <f t="shared" ref="AA26" si="35">1+Z26</f>
        <v>25</v>
      </c>
      <c r="AB26" s="8">
        <f t="shared" ref="AB26" si="36">1+AA26</f>
        <v>26</v>
      </c>
      <c r="AC26" s="8">
        <f t="shared" ref="AC26" si="37">1+AB26</f>
        <v>27</v>
      </c>
      <c r="AD26" s="8">
        <f t="shared" ref="AD26" si="38">1+AC26</f>
        <v>28</v>
      </c>
      <c r="AE26" s="8">
        <f t="shared" ref="AE26" si="39">1+AD26</f>
        <v>29</v>
      </c>
      <c r="AF26" s="8">
        <f t="shared" ref="AF26" si="40">1+AE26</f>
        <v>30</v>
      </c>
      <c r="AG26" s="8">
        <f t="shared" ref="AG26" si="41">1+AF26</f>
        <v>31</v>
      </c>
      <c r="AH26" s="8">
        <f t="shared" ref="AH26" si="42">1+AG26</f>
        <v>32</v>
      </c>
      <c r="AI26" s="8">
        <f t="shared" ref="AI26" si="43">1+AH26</f>
        <v>33</v>
      </c>
      <c r="AJ26" s="8">
        <f t="shared" ref="AJ26" si="44">1+AI26</f>
        <v>34</v>
      </c>
      <c r="AK26" s="8">
        <f t="shared" ref="AK26" si="45">1+AJ26</f>
        <v>35</v>
      </c>
      <c r="AL26" s="8">
        <f t="shared" ref="AL26" si="46">1+AK26</f>
        <v>36</v>
      </c>
      <c r="AM26" s="8">
        <f t="shared" ref="AM26" si="47">1+AL26</f>
        <v>37</v>
      </c>
      <c r="AN26" s="8">
        <f t="shared" ref="AN26" si="48">1+AM26</f>
        <v>38</v>
      </c>
      <c r="AO26" s="8">
        <f t="shared" ref="AO26" si="49">1+AN26</f>
        <v>39</v>
      </c>
      <c r="AP26" s="8">
        <f t="shared" ref="AP26" si="50">1+AO26</f>
        <v>40</v>
      </c>
      <c r="AQ26" s="8">
        <f t="shared" ref="AQ26" si="51">1+AP26</f>
        <v>41</v>
      </c>
      <c r="AR26" s="8">
        <f t="shared" ref="AR26" si="52">1+AQ26</f>
        <v>42</v>
      </c>
      <c r="AS26" s="8">
        <f t="shared" ref="AS26" si="53">1+AR26</f>
        <v>43</v>
      </c>
      <c r="AT26" s="8">
        <f t="shared" ref="AT26" si="54">1+AS26</f>
        <v>44</v>
      </c>
      <c r="AU26" s="8">
        <f t="shared" ref="AU26" si="55">1+AT26</f>
        <v>45</v>
      </c>
      <c r="AV26" s="8">
        <f t="shared" ref="AV26" si="56">1+AU26</f>
        <v>46</v>
      </c>
      <c r="AW26" s="8">
        <f t="shared" ref="AW26" si="57">1+AV26</f>
        <v>47</v>
      </c>
      <c r="AX26" s="8">
        <f t="shared" ref="AX26" si="58">1+AW26</f>
        <v>48</v>
      </c>
      <c r="AY26" s="8">
        <f t="shared" ref="AY26" si="59">1+AX26</f>
        <v>49</v>
      </c>
      <c r="AZ26" s="8">
        <f t="shared" ref="AZ26" si="60">1+AY26</f>
        <v>50</v>
      </c>
      <c r="BA26" s="57"/>
    </row>
    <row r="27" spans="1:53" s="59" customFormat="1" ht="17.25" customHeight="1">
      <c r="B27" s="67" t="str">
        <f>VLOOKUP("T.02.9", Translation,IF(Language="DE",2,IF(Language="FR",3,4)),FALSE)</f>
        <v xml:space="preserve">Verbraucherpreisinflation CHF </v>
      </c>
      <c r="C27" s="181">
        <v>1.9400000000000001E-2</v>
      </c>
      <c r="D27" s="181">
        <v>1.61E-2</v>
      </c>
      <c r="E27" s="181">
        <v>1.38E-2</v>
      </c>
      <c r="F27" s="181">
        <v>1.24E-2</v>
      </c>
      <c r="G27" s="181">
        <v>1.15E-2</v>
      </c>
      <c r="H27" s="181">
        <v>1.0999999999999999E-2</v>
      </c>
      <c r="I27" s="181">
        <v>1.0800000000000001E-2</v>
      </c>
      <c r="J27" s="181">
        <v>1.0699999999999999E-2</v>
      </c>
      <c r="K27" s="181">
        <v>1.0699999999999999E-2</v>
      </c>
      <c r="L27" s="181">
        <v>1.0800000000000001E-2</v>
      </c>
      <c r="M27" s="181">
        <v>1.0800000000000001E-2</v>
      </c>
      <c r="N27" s="181">
        <v>1.09E-2</v>
      </c>
      <c r="O27" s="181">
        <v>1.0999999999999999E-2</v>
      </c>
      <c r="P27" s="181">
        <v>1.11E-2</v>
      </c>
      <c r="Q27" s="181">
        <v>1.12E-2</v>
      </c>
      <c r="R27" s="181">
        <v>1.12E-2</v>
      </c>
      <c r="S27" s="181">
        <v>1.12E-2</v>
      </c>
      <c r="T27" s="181">
        <v>1.1299999999999999E-2</v>
      </c>
      <c r="U27" s="181">
        <v>1.1299999999999999E-2</v>
      </c>
      <c r="V27" s="181">
        <v>1.12E-2</v>
      </c>
      <c r="W27" s="181">
        <v>1.12E-2</v>
      </c>
      <c r="X27" s="181">
        <v>1.12E-2</v>
      </c>
      <c r="Y27" s="181">
        <v>1.12E-2</v>
      </c>
      <c r="Z27" s="181">
        <v>1.11E-2</v>
      </c>
      <c r="AA27" s="181">
        <v>1.11E-2</v>
      </c>
      <c r="AB27" s="181">
        <v>1.0999999999999999E-2</v>
      </c>
      <c r="AC27" s="181">
        <v>1.0999999999999999E-2</v>
      </c>
      <c r="AD27" s="181">
        <v>1.09E-2</v>
      </c>
      <c r="AE27" s="181">
        <v>1.09E-2</v>
      </c>
      <c r="AF27" s="181">
        <v>1.0800000000000001E-2</v>
      </c>
      <c r="AG27" s="181">
        <v>1.0800000000000001E-2</v>
      </c>
      <c r="AH27" s="181">
        <v>1.0699999999999999E-2</v>
      </c>
      <c r="AI27" s="181">
        <v>1.0699999999999999E-2</v>
      </c>
      <c r="AJ27" s="181">
        <v>1.06E-2</v>
      </c>
      <c r="AK27" s="181">
        <v>1.06E-2</v>
      </c>
      <c r="AL27" s="181">
        <v>1.0500000000000001E-2</v>
      </c>
      <c r="AM27" s="181">
        <v>1.0500000000000001E-2</v>
      </c>
      <c r="AN27" s="181">
        <v>1.0500000000000001E-2</v>
      </c>
      <c r="AO27" s="181">
        <v>1.04E-2</v>
      </c>
      <c r="AP27" s="181">
        <v>1.04E-2</v>
      </c>
      <c r="AQ27" s="181">
        <v>1.03E-2</v>
      </c>
      <c r="AR27" s="181">
        <v>1.03E-2</v>
      </c>
      <c r="AS27" s="181">
        <v>1.03E-2</v>
      </c>
      <c r="AT27" s="181">
        <v>1.03E-2</v>
      </c>
      <c r="AU27" s="181">
        <v>1.0200000000000001E-2</v>
      </c>
      <c r="AV27" s="181">
        <v>1.0200000000000001E-2</v>
      </c>
      <c r="AW27" s="181">
        <v>1.0200000000000001E-2</v>
      </c>
      <c r="AX27" s="181">
        <v>1.0200000000000001E-2</v>
      </c>
      <c r="AY27" s="181">
        <v>1.01E-2</v>
      </c>
      <c r="AZ27" s="181">
        <v>1.01E-2</v>
      </c>
      <c r="BA27" s="57"/>
    </row>
    <row r="28" spans="1:53" s="27" customFormat="1" ht="17.25" customHeight="1">
      <c r="A28" s="57"/>
      <c r="B28" s="67" t="str">
        <f>VLOOKUP("T.02.20", Translation,IF(Language="DE",2,IF(Language="FR",3,4)),FALSE)</f>
        <v>Inflationskurve CHF (spot rates)</v>
      </c>
      <c r="C28" s="182">
        <v>1.9400000000000084E-2</v>
      </c>
      <c r="D28" s="182">
        <v>1.7748662489909695E-2</v>
      </c>
      <c r="E28" s="182">
        <v>1.6430735756314707E-2</v>
      </c>
      <c r="F28" s="182">
        <v>1.5421549822684621E-2</v>
      </c>
      <c r="G28" s="182">
        <v>1.4636025443524048E-2</v>
      </c>
      <c r="H28" s="182">
        <v>1.4029114356979067E-2</v>
      </c>
      <c r="I28" s="182">
        <v>1.3567181495588887E-2</v>
      </c>
      <c r="J28" s="182">
        <v>1.3208339469451325E-2</v>
      </c>
      <c r="K28" s="182">
        <v>1.2929327950961467E-2</v>
      </c>
      <c r="L28" s="182">
        <v>1.2716193459915592E-2</v>
      </c>
      <c r="M28" s="182">
        <v>1.2541844051823015E-2</v>
      </c>
      <c r="N28" s="182">
        <v>1.2404921925079693E-2</v>
      </c>
      <c r="O28" s="182">
        <v>1.2296781728826867E-2</v>
      </c>
      <c r="P28" s="182">
        <v>1.221125036162829E-2</v>
      </c>
      <c r="Q28" s="182">
        <v>1.2143802219345412E-2</v>
      </c>
      <c r="R28" s="182">
        <v>1.2084788781645983E-2</v>
      </c>
      <c r="S28" s="182">
        <v>1.2032720958742527E-2</v>
      </c>
      <c r="T28" s="182">
        <v>1.1992000314926532E-2</v>
      </c>
      <c r="U28" s="182">
        <v>1.1955567443501902E-2</v>
      </c>
      <c r="V28" s="182">
        <v>1.1917775666553387E-2</v>
      </c>
      <c r="W28" s="182">
        <v>1.1883584322583296E-2</v>
      </c>
      <c r="X28" s="182">
        <v>1.185250228512702E-2</v>
      </c>
      <c r="Y28" s="182">
        <v>1.182412386736198E-2</v>
      </c>
      <c r="Z28" s="182">
        <v>1.1793941688157394E-2</v>
      </c>
      <c r="AA28" s="182">
        <v>1.1766174878451219E-2</v>
      </c>
      <c r="AB28" s="182">
        <v>1.1736695880080861E-2</v>
      </c>
      <c r="AC28" s="182">
        <v>1.1709401277048004E-2</v>
      </c>
      <c r="AD28" s="182">
        <v>1.1680482932357128E-2</v>
      </c>
      <c r="AE28" s="182">
        <v>1.165355969931392E-2</v>
      </c>
      <c r="AF28" s="182">
        <v>1.16250961001505E-2</v>
      </c>
      <c r="AG28" s="182">
        <v>1.159846958723354E-2</v>
      </c>
      <c r="AH28" s="182">
        <v>1.1570380326605179E-2</v>
      </c>
      <c r="AI28" s="182">
        <v>1.1543994155896575E-2</v>
      </c>
      <c r="AJ28" s="182">
        <v>1.15162170399985E-2</v>
      </c>
      <c r="AK28" s="182">
        <v>1.1490027886494891E-2</v>
      </c>
      <c r="AL28" s="182">
        <v>1.1462514018668157E-2</v>
      </c>
      <c r="AM28" s="182">
        <v>1.1436488075765361E-2</v>
      </c>
      <c r="AN28" s="182">
        <v>1.1411832537063571E-2</v>
      </c>
      <c r="AO28" s="182">
        <v>1.1385875459856143E-2</v>
      </c>
      <c r="AP28" s="182">
        <v>1.1361216853547074E-2</v>
      </c>
      <c r="AQ28" s="182">
        <v>1.1335320258068604E-2</v>
      </c>
      <c r="AR28" s="182">
        <v>1.1310657450291028E-2</v>
      </c>
      <c r="AS28" s="182">
        <v>1.1287142309978737E-2</v>
      </c>
      <c r="AT28" s="182">
        <v>1.1264696549742714E-2</v>
      </c>
      <c r="AU28" s="182">
        <v>1.1241024439716529E-2</v>
      </c>
      <c r="AV28" s="182">
        <v>1.1218382070377286E-2</v>
      </c>
      <c r="AW28" s="182">
        <v>1.1196703681193076E-2</v>
      </c>
      <c r="AX28" s="182">
        <v>1.1175928994321183E-2</v>
      </c>
      <c r="AY28" s="182">
        <v>1.1153959808183345E-2</v>
      </c>
      <c r="AZ28" s="182">
        <v>1.1132869838545334E-2</v>
      </c>
    </row>
    <row r="29" spans="1:53">
      <c r="A29" s="57"/>
    </row>
    <row r="30" spans="1:53" s="27" customFormat="1">
      <c r="A30" s="57"/>
      <c r="B30" s="58" t="str">
        <f>VLOOKUP("T.02.10", Translation,IF(Language="DE",2,IF(Language="FR",3,4)),FALSE)</f>
        <v>UVG technischer Zins z(0) und Diskontfaktoren auf Basis z(0); Diskontfunktion: n(t) = (1+z(0))^(-t)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2"/>
      <c r="T30" s="62"/>
      <c r="U30" s="62"/>
      <c r="X30" s="63"/>
      <c r="Y30" s="64"/>
    </row>
    <row r="31" spans="1:53" s="27" customFormat="1">
      <c r="A31" s="57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62"/>
      <c r="T31" s="62"/>
      <c r="U31" s="62"/>
      <c r="X31" s="63"/>
      <c r="Y31" s="64"/>
    </row>
    <row r="32" spans="1:53" s="59" customFormat="1">
      <c r="B32" s="60" t="str">
        <f>_maturity</f>
        <v>Fälligkeit (in Jahren)</v>
      </c>
      <c r="C32" s="61">
        <v>1</v>
      </c>
      <c r="D32" s="8">
        <f t="shared" ref="D32" si="61">1+C32</f>
        <v>2</v>
      </c>
      <c r="E32" s="8">
        <f t="shared" ref="E32" si="62">1+D32</f>
        <v>3</v>
      </c>
      <c r="F32" s="8">
        <f t="shared" ref="F32" si="63">1+E32</f>
        <v>4</v>
      </c>
      <c r="G32" s="8">
        <f t="shared" ref="G32" si="64">1+F32</f>
        <v>5</v>
      </c>
      <c r="H32" s="8">
        <f t="shared" ref="H32" si="65">1+G32</f>
        <v>6</v>
      </c>
      <c r="I32" s="8">
        <f t="shared" ref="I32" si="66">1+H32</f>
        <v>7</v>
      </c>
      <c r="J32" s="8">
        <f t="shared" ref="J32" si="67">1+I32</f>
        <v>8</v>
      </c>
      <c r="K32" s="8">
        <f t="shared" ref="K32" si="68">1+J32</f>
        <v>9</v>
      </c>
      <c r="L32" s="8">
        <f t="shared" ref="L32" si="69">1+K32</f>
        <v>10</v>
      </c>
      <c r="M32" s="8">
        <f t="shared" ref="M32" si="70">1+L32</f>
        <v>11</v>
      </c>
      <c r="N32" s="8">
        <f t="shared" ref="N32" si="71">1+M32</f>
        <v>12</v>
      </c>
      <c r="O32" s="8">
        <f t="shared" ref="O32" si="72">1+N32</f>
        <v>13</v>
      </c>
      <c r="P32" s="8">
        <f t="shared" ref="P32" si="73">1+O32</f>
        <v>14</v>
      </c>
      <c r="Q32" s="8">
        <f t="shared" ref="Q32" si="74">1+P32</f>
        <v>15</v>
      </c>
      <c r="R32" s="8">
        <f t="shared" ref="R32" si="75">1+Q32</f>
        <v>16</v>
      </c>
      <c r="S32" s="8">
        <f t="shared" ref="S32" si="76">1+R32</f>
        <v>17</v>
      </c>
      <c r="T32" s="8">
        <f t="shared" ref="T32" si="77">1+S32</f>
        <v>18</v>
      </c>
      <c r="U32" s="8">
        <f t="shared" ref="U32" si="78">1+T32</f>
        <v>19</v>
      </c>
      <c r="V32" s="8">
        <f t="shared" ref="V32" si="79">1+U32</f>
        <v>20</v>
      </c>
      <c r="W32" s="8">
        <f t="shared" ref="W32" si="80">1+V32</f>
        <v>21</v>
      </c>
      <c r="X32" s="8">
        <f t="shared" ref="X32" si="81">1+W32</f>
        <v>22</v>
      </c>
      <c r="Y32" s="8">
        <f t="shared" ref="Y32" si="82">1+X32</f>
        <v>23</v>
      </c>
      <c r="Z32" s="8">
        <f t="shared" ref="Z32" si="83">1+Y32</f>
        <v>24</v>
      </c>
      <c r="AA32" s="8">
        <f t="shared" ref="AA32" si="84">1+Z32</f>
        <v>25</v>
      </c>
      <c r="AB32" s="8">
        <f t="shared" ref="AB32" si="85">1+AA32</f>
        <v>26</v>
      </c>
      <c r="AC32" s="8">
        <f t="shared" ref="AC32" si="86">1+AB32</f>
        <v>27</v>
      </c>
      <c r="AD32" s="8">
        <f t="shared" ref="AD32" si="87">1+AC32</f>
        <v>28</v>
      </c>
      <c r="AE32" s="8">
        <f t="shared" ref="AE32" si="88">1+AD32</f>
        <v>29</v>
      </c>
      <c r="AF32" s="8">
        <f t="shared" ref="AF32" si="89">1+AE32</f>
        <v>30</v>
      </c>
      <c r="AG32" s="8">
        <f t="shared" ref="AG32" si="90">1+AF32</f>
        <v>31</v>
      </c>
      <c r="AH32" s="8">
        <f t="shared" ref="AH32" si="91">1+AG32</f>
        <v>32</v>
      </c>
      <c r="AI32" s="8">
        <f t="shared" ref="AI32" si="92">1+AH32</f>
        <v>33</v>
      </c>
      <c r="AJ32" s="8">
        <f t="shared" ref="AJ32" si="93">1+AI32</f>
        <v>34</v>
      </c>
      <c r="AK32" s="8">
        <f t="shared" ref="AK32" si="94">1+AJ32</f>
        <v>35</v>
      </c>
      <c r="AL32" s="8">
        <f t="shared" ref="AL32" si="95">1+AK32</f>
        <v>36</v>
      </c>
      <c r="AM32" s="8">
        <f t="shared" ref="AM32" si="96">1+AL32</f>
        <v>37</v>
      </c>
      <c r="AN32" s="8">
        <f t="shared" ref="AN32" si="97">1+AM32</f>
        <v>38</v>
      </c>
      <c r="AO32" s="8">
        <f t="shared" ref="AO32" si="98">1+AN32</f>
        <v>39</v>
      </c>
      <c r="AP32" s="8">
        <f t="shared" ref="AP32" si="99">1+AO32</f>
        <v>40</v>
      </c>
      <c r="AQ32" s="8">
        <f t="shared" ref="AQ32" si="100">1+AP32</f>
        <v>41</v>
      </c>
      <c r="AR32" s="8">
        <f t="shared" ref="AR32" si="101">1+AQ32</f>
        <v>42</v>
      </c>
      <c r="AS32" s="8">
        <f t="shared" ref="AS32" si="102">1+AR32</f>
        <v>43</v>
      </c>
      <c r="AT32" s="8">
        <f t="shared" ref="AT32" si="103">1+AS32</f>
        <v>44</v>
      </c>
      <c r="AU32" s="8">
        <f t="shared" ref="AU32" si="104">1+AT32</f>
        <v>45</v>
      </c>
      <c r="AV32" s="8">
        <f t="shared" ref="AV32" si="105">1+AU32</f>
        <v>46</v>
      </c>
      <c r="AW32" s="8">
        <f t="shared" ref="AW32" si="106">1+AV32</f>
        <v>47</v>
      </c>
      <c r="AX32" s="8">
        <f t="shared" ref="AX32" si="107">1+AW32</f>
        <v>48</v>
      </c>
      <c r="AY32" s="8">
        <f t="shared" ref="AY32" si="108">1+AX32</f>
        <v>49</v>
      </c>
      <c r="AZ32" s="8">
        <f t="shared" ref="AZ32" si="109">1+AY32</f>
        <v>50</v>
      </c>
      <c r="BA32" s="57"/>
    </row>
    <row r="33" spans="1:52" s="27" customFormat="1" ht="18" customHeight="1">
      <c r="A33" s="57"/>
      <c r="B33" s="67" t="str">
        <f>VLOOKUP("T.02.11", Translation,IF(Language="DE",2,IF(Language="FR",3,4)),FALSE)</f>
        <v xml:space="preserve">UVG technischer Zins </v>
      </c>
      <c r="C33" s="118">
        <v>0.01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</row>
    <row r="34" spans="1:52">
      <c r="B34" s="67" t="str">
        <f>VLOOKUP("T.02.12", Translation,IF(Language="DE",2,IF(Language="FR",3,4)),FALSE)</f>
        <v>Diskonfaktoren</v>
      </c>
      <c r="C34" s="175">
        <f>(1+$C$33)^(-C32)</f>
        <v>0.99009900990099009</v>
      </c>
      <c r="D34" s="119">
        <f t="shared" ref="D34:AZ34" si="110">(1+$C$33)^(-D32)</f>
        <v>0.98029604940692083</v>
      </c>
      <c r="E34" s="119">
        <f t="shared" si="110"/>
        <v>0.97059014792764453</v>
      </c>
      <c r="F34" s="119">
        <f t="shared" si="110"/>
        <v>0.96098034448281622</v>
      </c>
      <c r="G34" s="119">
        <f t="shared" si="110"/>
        <v>0.95146568760674888</v>
      </c>
      <c r="H34" s="119">
        <f t="shared" si="110"/>
        <v>0.94204523525420658</v>
      </c>
      <c r="I34" s="119">
        <f t="shared" si="110"/>
        <v>0.93271805470713554</v>
      </c>
      <c r="J34" s="119">
        <f t="shared" si="110"/>
        <v>0.92348322248231218</v>
      </c>
      <c r="K34" s="119">
        <f t="shared" si="110"/>
        <v>0.91433982423991289</v>
      </c>
      <c r="L34" s="119">
        <f t="shared" si="110"/>
        <v>0.90528695469298315</v>
      </c>
      <c r="M34" s="119">
        <f t="shared" si="110"/>
        <v>0.89632371751780526</v>
      </c>
      <c r="N34" s="119">
        <f t="shared" si="110"/>
        <v>0.88744922526515368</v>
      </c>
      <c r="O34" s="119">
        <f t="shared" si="110"/>
        <v>0.87866259927242929</v>
      </c>
      <c r="P34" s="119">
        <f t="shared" si="110"/>
        <v>0.86996296957666264</v>
      </c>
      <c r="Q34" s="119">
        <f t="shared" si="110"/>
        <v>0.86134947482837909</v>
      </c>
      <c r="R34" s="119">
        <f t="shared" si="110"/>
        <v>0.8528212622063156</v>
      </c>
      <c r="S34" s="119">
        <f t="shared" si="110"/>
        <v>0.84437748733298568</v>
      </c>
      <c r="T34" s="119">
        <f t="shared" si="110"/>
        <v>0.83601731419107495</v>
      </c>
      <c r="U34" s="119">
        <f t="shared" si="110"/>
        <v>0.82773991504066846</v>
      </c>
      <c r="V34" s="119">
        <f t="shared" si="110"/>
        <v>0.81954447033729538</v>
      </c>
      <c r="W34" s="119">
        <f t="shared" si="110"/>
        <v>0.81143016865078765</v>
      </c>
      <c r="X34" s="119">
        <f t="shared" si="110"/>
        <v>0.80339620658493804</v>
      </c>
      <c r="Y34" s="119">
        <f t="shared" si="110"/>
        <v>0.79544178869795856</v>
      </c>
      <c r="Z34" s="119">
        <f t="shared" si="110"/>
        <v>0.78756612742372123</v>
      </c>
      <c r="AA34" s="119">
        <f t="shared" si="110"/>
        <v>0.77976844299378323</v>
      </c>
      <c r="AB34" s="119">
        <f t="shared" si="110"/>
        <v>0.77204796336018144</v>
      </c>
      <c r="AC34" s="119">
        <f t="shared" si="110"/>
        <v>0.76440392411899183</v>
      </c>
      <c r="AD34" s="119">
        <f t="shared" si="110"/>
        <v>0.75683556843464528</v>
      </c>
      <c r="AE34" s="119">
        <f t="shared" si="110"/>
        <v>0.74934214696499535</v>
      </c>
      <c r="AF34" s="119">
        <f t="shared" si="110"/>
        <v>0.74192291778712394</v>
      </c>
      <c r="AG34" s="119">
        <f t="shared" si="110"/>
        <v>0.73457714632388538</v>
      </c>
      <c r="AH34" s="119">
        <f t="shared" si="110"/>
        <v>0.7273041052711734</v>
      </c>
      <c r="AI34" s="119">
        <f t="shared" si="110"/>
        <v>0.72010307452591427</v>
      </c>
      <c r="AJ34" s="119">
        <f t="shared" si="110"/>
        <v>0.71297334111476662</v>
      </c>
      <c r="AK34" s="119">
        <f t="shared" si="110"/>
        <v>0.70591419912353137</v>
      </c>
      <c r="AL34" s="119">
        <f t="shared" si="110"/>
        <v>0.69892494962725871</v>
      </c>
      <c r="AM34" s="119">
        <f t="shared" si="110"/>
        <v>0.69200490062104825</v>
      </c>
      <c r="AN34" s="119">
        <f t="shared" si="110"/>
        <v>0.68515336695153284</v>
      </c>
      <c r="AO34" s="119">
        <f t="shared" si="110"/>
        <v>0.6783696702490426</v>
      </c>
      <c r="AP34" s="119">
        <f t="shared" si="110"/>
        <v>0.67165313886043809</v>
      </c>
      <c r="AQ34" s="119">
        <f t="shared" si="110"/>
        <v>0.66500310778261185</v>
      </c>
      <c r="AR34" s="119">
        <f t="shared" si="110"/>
        <v>0.65841891859664536</v>
      </c>
      <c r="AS34" s="119">
        <f t="shared" si="110"/>
        <v>0.65189991940261938</v>
      </c>
      <c r="AT34" s="119">
        <f t="shared" si="110"/>
        <v>0.64544546475506859</v>
      </c>
      <c r="AU34" s="119">
        <f t="shared" si="110"/>
        <v>0.63905491559907779</v>
      </c>
      <c r="AV34" s="119">
        <f t="shared" si="110"/>
        <v>0.63272763920700759</v>
      </c>
      <c r="AW34" s="119">
        <f t="shared" si="110"/>
        <v>0.6264630091158494</v>
      </c>
      <c r="AX34" s="119">
        <f t="shared" si="110"/>
        <v>0.6202604050651972</v>
      </c>
      <c r="AY34" s="119">
        <f t="shared" si="110"/>
        <v>0.61411921293583871</v>
      </c>
      <c r="AZ34" s="119">
        <f t="shared" si="110"/>
        <v>0.60803882468894921</v>
      </c>
    </row>
    <row r="35" spans="1:52">
      <c r="C35" s="91"/>
    </row>
    <row r="36" spans="1:52">
      <c r="B36" s="87" t="str">
        <f>VLOOKUP("T.02.13", Translation,IF(Language="DE",2,IF(Language="FR",3,4)),FALSE)</f>
        <v>Prozentsatz für Umlagebeiträge (Prämienzuschlag) am 1.01.2024</v>
      </c>
      <c r="C36" s="120">
        <v>0.05</v>
      </c>
    </row>
    <row r="37" spans="1:52">
      <c r="C37" s="109"/>
    </row>
    <row r="38" spans="1:52">
      <c r="B38" s="58" t="str">
        <f>VLOOKUP("T.02.14", Translation,IF(Language="DE",2,IF(Language="FR",3,4)),FALSE)</f>
        <v>Auslenkung der Risikofaktoren: CHF-Zinssatz</v>
      </c>
      <c r="C38" s="109"/>
    </row>
    <row r="39" spans="1:52">
      <c r="C39" s="109"/>
    </row>
    <row r="40" spans="1:52">
      <c r="B40" s="67" t="str">
        <f>VLOOKUP("T.02.15", Translation,IF(Language="DE",2,IF(Language="FR",3,4)),FALSE)</f>
        <v>Auslenkungsintensität in bp</v>
      </c>
      <c r="C40" s="121">
        <v>100</v>
      </c>
    </row>
    <row r="42" spans="1:52" ht="26.1" customHeight="1">
      <c r="B42" s="67" t="str">
        <f>VLOOKUP("T.02.16", Translation,IF(Language="DE",2,IF(Language="FR",3,4)),FALSE)</f>
        <v>Risikofaktor</v>
      </c>
      <c r="C42" s="67" t="str">
        <f>VLOOKUP("T.02.17", Translation,IF(Language="DE",2,IF(Language="FR",3,4)),FALSE)</f>
        <v>Auslenkungs richtung</v>
      </c>
      <c r="D42" s="216" t="str">
        <f>VLOOKUP("T.02.18", Translation,IF(Language="DE",2,IF(Language="FR",3,4)),FALSE)</f>
        <v>Zinsinterval</v>
      </c>
      <c r="E42" s="217"/>
    </row>
    <row r="43" spans="1:52">
      <c r="B43" s="8" t="s">
        <v>5</v>
      </c>
      <c r="C43" s="107"/>
      <c r="D43" s="108"/>
      <c r="E43" s="108"/>
    </row>
    <row r="44" spans="1:52">
      <c r="B44" s="67" t="str">
        <f>_shortTerm</f>
        <v>CHF kurzfristiger Zinssatz</v>
      </c>
      <c r="C44" s="109" t="str">
        <f>_down</f>
        <v>nach unten</v>
      </c>
      <c r="D44">
        <v>1</v>
      </c>
      <c r="E44">
        <v>5</v>
      </c>
    </row>
    <row r="45" spans="1:52">
      <c r="B45" s="67" t="str">
        <f>_shortTerm</f>
        <v>CHF kurzfristiger Zinssatz</v>
      </c>
      <c r="C45" s="109" t="str">
        <f>_up</f>
        <v>nach oben</v>
      </c>
      <c r="D45">
        <v>1</v>
      </c>
      <c r="E45">
        <v>5</v>
      </c>
    </row>
    <row r="46" spans="1:52">
      <c r="B46" s="8" t="s">
        <v>6</v>
      </c>
      <c r="C46" s="109"/>
    </row>
    <row r="47" spans="1:52">
      <c r="B47" s="67" t="str">
        <f>_middleTerm</f>
        <v>CHF mittelfristiger Zinssatz</v>
      </c>
      <c r="C47" s="109" t="str">
        <f>_down</f>
        <v>nach unten</v>
      </c>
      <c r="D47">
        <v>6</v>
      </c>
      <c r="E47">
        <v>19</v>
      </c>
    </row>
    <row r="48" spans="1:52">
      <c r="B48" s="67" t="str">
        <f>_middleTerm</f>
        <v>CHF mittelfristiger Zinssatz</v>
      </c>
      <c r="C48" s="109" t="str">
        <f>_up</f>
        <v>nach oben</v>
      </c>
      <c r="D48">
        <v>6</v>
      </c>
      <c r="E48">
        <v>19</v>
      </c>
    </row>
    <row r="49" spans="2:5">
      <c r="B49" s="8" t="s">
        <v>7</v>
      </c>
      <c r="C49" s="109"/>
    </row>
    <row r="50" spans="2:5">
      <c r="B50" s="67" t="str">
        <f>_LongTerm</f>
        <v>CHF langfristiger Zinssatz</v>
      </c>
      <c r="C50" s="109" t="str">
        <f>_down</f>
        <v>nach unten</v>
      </c>
      <c r="D50">
        <v>20</v>
      </c>
      <c r="E50">
        <v>50</v>
      </c>
    </row>
    <row r="51" spans="2:5">
      <c r="B51" s="67" t="str">
        <f>_LongTerm</f>
        <v>CHF langfristiger Zinssatz</v>
      </c>
      <c r="C51" s="109" t="str">
        <f>_up</f>
        <v>nach oben</v>
      </c>
      <c r="D51">
        <v>20</v>
      </c>
      <c r="E51">
        <v>50</v>
      </c>
    </row>
  </sheetData>
  <mergeCells count="1">
    <mergeCell ref="D42:E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2304-1600-4952-8D0B-56EA2EC47D5D}">
  <sheetPr>
    <tabColor rgb="FFA2D3EE"/>
  </sheetPr>
  <dimension ref="A1:DA73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4.5703125" customWidth="1"/>
    <col min="2" max="2" width="75.5703125" customWidth="1"/>
    <col min="3" max="3" width="29.85546875" customWidth="1"/>
    <col min="4" max="4" width="26.140625" customWidth="1"/>
    <col min="5" max="5" width="20" customWidth="1"/>
    <col min="6" max="6" width="14.7109375" customWidth="1"/>
    <col min="7" max="7" width="13.85546875" customWidth="1"/>
    <col min="8" max="8" width="13.140625" customWidth="1"/>
    <col min="9" max="10" width="12.5703125" customWidth="1"/>
    <col min="11" max="11" width="13.42578125" customWidth="1"/>
    <col min="12" max="52" width="10.85546875" customWidth="1"/>
    <col min="53" max="54" width="6.28515625" customWidth="1"/>
  </cols>
  <sheetData>
    <row r="1" spans="1:14" s="3" customFormat="1" ht="20.100000000000001" customHeight="1">
      <c r="A1" s="134">
        <v>3</v>
      </c>
      <c r="B1" s="2" t="str">
        <f>VLOOKUP("T.03.1", Translation,IF(Language="DE",2,IF(Language="FR",3,4)),FALSE)</f>
        <v>UVG-Inputdaten</v>
      </c>
    </row>
    <row r="3" spans="1:14" ht="14.25">
      <c r="B3" s="4" t="str">
        <f>VLOOKUP("T.03.2", Translation,IF(Language="DE",2,IF(Language="FR",3,4)),FALSE)</f>
        <v>Stichtag</v>
      </c>
      <c r="C3" s="138" t="str">
        <f>"01.01."&amp;current_year</f>
        <v>01.01.2024</v>
      </c>
    </row>
    <row r="5" spans="1:14" ht="15">
      <c r="B5" s="4" t="str">
        <f>VLOOKUP("T.03.15", Translation,IF(Language="DE",2,IF(Language="FR",3,4)),FALSE)</f>
        <v>Barwerte am 1.01.2024 (in Mio. CHF)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B6" s="16"/>
    </row>
    <row r="7" spans="1:14" ht="25.5">
      <c r="B7" s="141" t="str">
        <f>VLOOKUP("T.03.20", Translation,IF(Language="DE",2,IF(Language="FR",3,4)),FALSE)</f>
        <v xml:space="preserve">Verpflichtungen des UVG-Bestandes </v>
      </c>
      <c r="C7" s="12" t="str">
        <f>VLOOKUP("T.03.21", Translation,IF(Language="DE",2,IF(Language="FR",3,4)),FALSE)</f>
        <v>Statutarische Werte</v>
      </c>
      <c r="D7" s="12" t="str">
        <f>VLOOKUP("T.03.22", Translation,IF(Language="DE",2,IF(Language="FR",3,4)),FALSE)</f>
        <v>Best Estimate Werte 
nicht diskontiert</v>
      </c>
    </row>
    <row r="8" spans="1:14">
      <c r="B8" s="8"/>
      <c r="C8" s="7"/>
      <c r="D8" s="7"/>
    </row>
    <row r="9" spans="1:14">
      <c r="B9" s="17" t="str">
        <f>VLOOKUP("T.03.3", Translation,IF(Language="DE",2,IF(Language="FR",3,4)),FALSE)</f>
        <v>Statutarisches Deckungskapital für Grundrente</v>
      </c>
      <c r="C9" s="195"/>
      <c r="D9" s="196"/>
    </row>
    <row r="10" spans="1:14">
      <c r="B10" s="17" t="str">
        <f>VLOOKUP("T.03.4", Translation,IF(Language="DE",2,IF(Language="FR",3,4)),FALSE)</f>
        <v>Best Estimate-Wert der Grundrente</v>
      </c>
      <c r="C10" s="189"/>
      <c r="D10" s="197"/>
    </row>
    <row r="11" spans="1:14">
      <c r="B11" s="17" t="str">
        <f>VLOOKUP("T.03.7", Translation,IF(Language="DE",2,IF(Language="FR",3,4)),FALSE)</f>
        <v>Schadenrückstellung für Langfristleistungen, davon</v>
      </c>
      <c r="C11" s="189"/>
      <c r="D11" s="197"/>
    </row>
    <row r="12" spans="1:14">
      <c r="B12" s="17" t="str">
        <f>VLOOKUP("T.03.8", Translation,IF(Language="DE",2,IF(Language="FR",3,4)),FALSE)</f>
        <v xml:space="preserve">          künftige Rentenfälle</v>
      </c>
      <c r="C12" s="189"/>
      <c r="D12" s="197"/>
      <c r="E12" s="187" t="s">
        <v>8</v>
      </c>
      <c r="F12" s="208" t="b">
        <f>ROUND(D12,2)=ROUND(SUM(C40:AZ60),2)</f>
        <v>1</v>
      </c>
    </row>
    <row r="13" spans="1:14">
      <c r="B13" s="17" t="str">
        <f>VLOOKUP("T.03.9", Translation,IF(Language="DE",2,IF(Language="FR",3,4)),FALSE)</f>
        <v xml:space="preserve">          übrige Langfristleistungen</v>
      </c>
      <c r="C13" s="189"/>
      <c r="D13" s="189">
        <f>D11-D12</f>
        <v>0</v>
      </c>
    </row>
    <row r="14" spans="1:14">
      <c r="B14" s="17" t="str">
        <f>VLOOKUP("T.03.6", Translation,IF(Language="DE",2,IF(Language="FR",3,4)),FALSE)</f>
        <v>Schadenrückstellung für Kurzfristleistungen</v>
      </c>
      <c r="C14" s="189"/>
      <c r="D14" s="197"/>
    </row>
    <row r="15" spans="1:14">
      <c r="B15" s="17" t="str">
        <f>VLOOKUP("T.03.27", Translation,IF(Language="DE",2,IF(Language="FR",3,4)),FALSE)</f>
        <v>ULAE Rückstellungen</v>
      </c>
      <c r="C15" s="189"/>
      <c r="D15" s="197"/>
    </row>
    <row r="16" spans="1:14">
      <c r="B16" s="17" t="str">
        <f>VLOOKUP("T.03.10", Translation,IF(Language="DE",2,IF(Language="FR",3,4)),FALSE)</f>
        <v>Festgesetzte Teuerungszulagen</v>
      </c>
      <c r="C16" s="197"/>
      <c r="D16" s="197"/>
    </row>
    <row r="17" spans="2:54">
      <c r="B17" s="17" t="str">
        <f>VLOOKUP("T.03.11", Translation,IF(Language="DE",2,IF(Language="FR",3,4)),FALSE)</f>
        <v>geäufnetes Guthaben des Teuerungsfonds</v>
      </c>
      <c r="C17" s="197"/>
      <c r="D17" s="189"/>
      <c r="BA17" s="32"/>
      <c r="BB17" s="32"/>
    </row>
    <row r="18" spans="2:54">
      <c r="B18" s="47"/>
      <c r="C18" s="71"/>
      <c r="D18" s="72"/>
      <c r="F18" s="72"/>
      <c r="G18" s="27"/>
      <c r="BA18" s="32"/>
      <c r="BB18" s="32"/>
    </row>
    <row r="19" spans="2:54" ht="15">
      <c r="B19" s="4" t="str">
        <f>VLOOKUP("T.03.16", Translation,IF(Language="DE",2,IF(Language="FR",3,4)),FALSE)</f>
        <v>Inkrementelle Zahlungsmuster für Leistungen am 1.01.2024 (in %)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BA19" s="32"/>
      <c r="BB19" s="32"/>
    </row>
    <row r="20" spans="2:54" ht="15">
      <c r="B20" s="29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BA20" s="32"/>
      <c r="BB20" s="32"/>
    </row>
    <row r="21" spans="2:54">
      <c r="B21" s="19"/>
      <c r="C21" s="19" t="str">
        <f>VLOOKUP("T.03.25", Translation,IF(Language="DE",2,IF(Language="FR",3,4)),FALSE)</f>
        <v>Auszahlungsjahr</v>
      </c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32"/>
      <c r="BB21" s="32"/>
    </row>
    <row r="22" spans="2:54">
      <c r="B22" s="19"/>
      <c r="C22" s="6">
        <f t="shared" ref="C22:AH22" si="0">current_year +C38</f>
        <v>2024</v>
      </c>
      <c r="D22" s="6">
        <f t="shared" si="0"/>
        <v>2025</v>
      </c>
      <c r="E22" s="6">
        <f t="shared" si="0"/>
        <v>2026</v>
      </c>
      <c r="F22" s="6">
        <f t="shared" si="0"/>
        <v>2027</v>
      </c>
      <c r="G22" s="6">
        <f t="shared" si="0"/>
        <v>2028</v>
      </c>
      <c r="H22" s="6">
        <f t="shared" si="0"/>
        <v>2029</v>
      </c>
      <c r="I22" s="6">
        <f t="shared" si="0"/>
        <v>2030</v>
      </c>
      <c r="J22" s="6">
        <f t="shared" si="0"/>
        <v>2031</v>
      </c>
      <c r="K22" s="6">
        <f t="shared" si="0"/>
        <v>2032</v>
      </c>
      <c r="L22" s="6">
        <f t="shared" si="0"/>
        <v>2033</v>
      </c>
      <c r="M22" s="6">
        <f t="shared" si="0"/>
        <v>2034</v>
      </c>
      <c r="N22" s="6">
        <f t="shared" si="0"/>
        <v>2035</v>
      </c>
      <c r="O22" s="6">
        <f t="shared" si="0"/>
        <v>2036</v>
      </c>
      <c r="P22" s="6">
        <f t="shared" si="0"/>
        <v>2037</v>
      </c>
      <c r="Q22" s="6">
        <f t="shared" si="0"/>
        <v>2038</v>
      </c>
      <c r="R22" s="6">
        <f t="shared" si="0"/>
        <v>2039</v>
      </c>
      <c r="S22" s="6">
        <f t="shared" si="0"/>
        <v>2040</v>
      </c>
      <c r="T22" s="6">
        <f t="shared" si="0"/>
        <v>2041</v>
      </c>
      <c r="U22" s="6">
        <f t="shared" si="0"/>
        <v>2042</v>
      </c>
      <c r="V22" s="6">
        <f t="shared" si="0"/>
        <v>2043</v>
      </c>
      <c r="W22" s="6">
        <f t="shared" si="0"/>
        <v>2044</v>
      </c>
      <c r="X22" s="6">
        <f t="shared" si="0"/>
        <v>2045</v>
      </c>
      <c r="Y22" s="6">
        <f t="shared" si="0"/>
        <v>2046</v>
      </c>
      <c r="Z22" s="6">
        <f t="shared" si="0"/>
        <v>2047</v>
      </c>
      <c r="AA22" s="6">
        <f t="shared" si="0"/>
        <v>2048</v>
      </c>
      <c r="AB22" s="6">
        <f t="shared" si="0"/>
        <v>2049</v>
      </c>
      <c r="AC22" s="6">
        <f t="shared" si="0"/>
        <v>2050</v>
      </c>
      <c r="AD22" s="6">
        <f t="shared" si="0"/>
        <v>2051</v>
      </c>
      <c r="AE22" s="6">
        <f t="shared" si="0"/>
        <v>2052</v>
      </c>
      <c r="AF22" s="6">
        <f t="shared" si="0"/>
        <v>2053</v>
      </c>
      <c r="AG22" s="6">
        <f t="shared" si="0"/>
        <v>2054</v>
      </c>
      <c r="AH22" s="6">
        <f t="shared" si="0"/>
        <v>2055</v>
      </c>
      <c r="AI22" s="6">
        <f t="shared" ref="AI22:AZ22" si="1">current_year +AI38</f>
        <v>2056</v>
      </c>
      <c r="AJ22" s="6">
        <f t="shared" si="1"/>
        <v>2057</v>
      </c>
      <c r="AK22" s="6">
        <f t="shared" si="1"/>
        <v>2058</v>
      </c>
      <c r="AL22" s="6">
        <f t="shared" si="1"/>
        <v>2059</v>
      </c>
      <c r="AM22" s="6">
        <f t="shared" si="1"/>
        <v>2060</v>
      </c>
      <c r="AN22" s="6">
        <f t="shared" si="1"/>
        <v>2061</v>
      </c>
      <c r="AO22" s="6">
        <f t="shared" si="1"/>
        <v>2062</v>
      </c>
      <c r="AP22" s="6">
        <f t="shared" si="1"/>
        <v>2063</v>
      </c>
      <c r="AQ22" s="6">
        <f t="shared" si="1"/>
        <v>2064</v>
      </c>
      <c r="AR22" s="6">
        <f t="shared" si="1"/>
        <v>2065</v>
      </c>
      <c r="AS22" s="6">
        <f t="shared" si="1"/>
        <v>2066</v>
      </c>
      <c r="AT22" s="6">
        <f t="shared" si="1"/>
        <v>2067</v>
      </c>
      <c r="AU22" s="6">
        <f t="shared" si="1"/>
        <v>2068</v>
      </c>
      <c r="AV22" s="6">
        <f t="shared" si="1"/>
        <v>2069</v>
      </c>
      <c r="AW22" s="6">
        <f t="shared" si="1"/>
        <v>2070</v>
      </c>
      <c r="AX22" s="6">
        <f t="shared" si="1"/>
        <v>2071</v>
      </c>
      <c r="AY22" s="6">
        <f t="shared" si="1"/>
        <v>2072</v>
      </c>
      <c r="AZ22" s="6">
        <f t="shared" si="1"/>
        <v>2073</v>
      </c>
      <c r="BA22" s="32"/>
      <c r="BB22" s="32"/>
    </row>
    <row r="23" spans="2:54">
      <c r="B23" s="22" t="str">
        <f>VLOOKUP("T.03.4", Translation,IF(Language="DE",2,IF(Language="FR",3,4)),FALSE)</f>
        <v>Best Estimate-Wert der Grundrente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32"/>
      <c r="BB23" s="32"/>
    </row>
    <row r="24" spans="2:54" ht="7.5" customHeight="1">
      <c r="B24" s="74"/>
      <c r="C24" s="7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2"/>
      <c r="BB24" s="32"/>
    </row>
    <row r="25" spans="2:54">
      <c r="B25" s="22" t="str">
        <f>VLOOKUP("T.03.5", Translation,IF(Language="DE",2,IF(Language="FR",3,4)),FALSE)</f>
        <v>Schadenrückstellung für Langfristleistungen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32"/>
      <c r="BB25" s="32"/>
    </row>
    <row r="26" spans="2:54">
      <c r="B26" s="22" t="str">
        <f>VLOOKUP("T.03.6", Translation,IF(Language="DE",2,IF(Language="FR",3,4)),FALSE)</f>
        <v>Schadenrückstellung für Kurzfristleistungen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32"/>
      <c r="BB26" s="32"/>
    </row>
    <row r="27" spans="2:54">
      <c r="B27" s="22" t="str">
        <f>VLOOKUP("T.03.24", Translation,IF(Language="DE",2,IF(Language="FR",3,4)),FALSE)</f>
        <v>Schadenrückstellung Total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32"/>
      <c r="BB27" s="32"/>
    </row>
    <row r="28" spans="2:54" ht="7.5" customHeight="1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32"/>
      <c r="BB28" s="32"/>
    </row>
    <row r="29" spans="2:54">
      <c r="B29" s="22" t="str">
        <f>VLOOKUP("T.03.10", Translation,IF(Language="DE",2,IF(Language="FR",3,4)),FALSE)</f>
        <v>Festgesetzte Teuerungszulagen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32"/>
      <c r="BB29" s="32"/>
    </row>
    <row r="30" spans="2:54" s="32" customFormat="1">
      <c r="B30" s="103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</row>
    <row r="31" spans="2:54" s="32" customFormat="1">
      <c r="B31" s="87" t="str">
        <f>VLOOKUP("T.03.17", Translation,IF(Language="DE",2,IF(Language="FR",3,4)),FALSE)</f>
        <v>Umlagebeitrag im Jahr 2024 (in Mio. CHF)</v>
      </c>
      <c r="C31" s="165"/>
      <c r="D31" s="165"/>
      <c r="E31" s="165"/>
      <c r="F31" s="165"/>
      <c r="G31" s="16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</row>
    <row r="32" spans="2:54" s="32" customFormat="1">
      <c r="B32" s="103"/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</row>
    <row r="33" spans="1:105">
      <c r="B33" s="87" t="str">
        <f>VLOOKUP("T.03.18", Translation,IF(Language="DE",2,IF(Language="FR",3,4)),FALSE)</f>
        <v>Durchschnittliche Auszahlung an andere Poolmitglieder (in Mio. CHF)</v>
      </c>
      <c r="C33" s="186">
        <v>0</v>
      </c>
      <c r="AZ33" s="105"/>
      <c r="BA33" s="32"/>
      <c r="BB33" s="32"/>
      <c r="DA33" s="32"/>
    </row>
    <row r="34" spans="1:105" s="32" customFormat="1">
      <c r="B34" s="95"/>
      <c r="C34" s="96"/>
      <c r="AZ34" s="105"/>
    </row>
    <row r="35" spans="1:105" ht="15">
      <c r="B35" s="4" t="str">
        <f>VLOOKUP("T.03.13", Translation,IF(Language="DE",2,IF(Language="FR",3,4)),FALSE)</f>
        <v>Inkrementelle Zahlungsmuster für künftige Neurenten ab dem Jahr 2024 (in Mio. CHF; jeweils am Ende des Jahres)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AZ35" s="105"/>
      <c r="BA35" s="32"/>
      <c r="BB35" s="32"/>
      <c r="DA35" s="32"/>
    </row>
    <row r="36" spans="1:105">
      <c r="BA36" s="32"/>
      <c r="BB36" s="32"/>
    </row>
    <row r="37" spans="1:105">
      <c r="B37" s="19" t="str">
        <f>VLOOKUP("T.03.14", Translation,IF(Language="DE",2,IF(Language="FR",3,4)),FALSE)</f>
        <v>Zahlungsströme</v>
      </c>
      <c r="C37" s="19" t="str">
        <f>VLOOKUP("T.03.25", Translation,IF(Language="DE",2,IF(Language="FR",3,4)),FALSE)</f>
        <v>Auszahlungsjahr</v>
      </c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32"/>
      <c r="BB37" s="32"/>
    </row>
    <row r="38" spans="1:105">
      <c r="B38" s="19"/>
      <c r="C38" s="79">
        <v>0</v>
      </c>
      <c r="D38" s="80">
        <v>1</v>
      </c>
      <c r="E38" s="80">
        <v>2</v>
      </c>
      <c r="F38" s="80">
        <v>3</v>
      </c>
      <c r="G38" s="80">
        <v>4</v>
      </c>
      <c r="H38" s="80">
        <v>5</v>
      </c>
      <c r="I38" s="80">
        <v>6</v>
      </c>
      <c r="J38" s="80">
        <v>7</v>
      </c>
      <c r="K38" s="80">
        <v>8</v>
      </c>
      <c r="L38" s="80">
        <v>9</v>
      </c>
      <c r="M38" s="80">
        <v>10</v>
      </c>
      <c r="N38" s="80">
        <v>11</v>
      </c>
      <c r="O38" s="80">
        <v>12</v>
      </c>
      <c r="P38" s="80">
        <v>13</v>
      </c>
      <c r="Q38" s="80">
        <v>14</v>
      </c>
      <c r="R38" s="80">
        <v>15</v>
      </c>
      <c r="S38" s="80">
        <v>16</v>
      </c>
      <c r="T38" s="80">
        <v>17</v>
      </c>
      <c r="U38" s="80">
        <v>18</v>
      </c>
      <c r="V38" s="80">
        <v>19</v>
      </c>
      <c r="W38" s="80">
        <v>20</v>
      </c>
      <c r="X38" s="80">
        <v>21</v>
      </c>
      <c r="Y38" s="80">
        <v>22</v>
      </c>
      <c r="Z38" s="80">
        <v>23</v>
      </c>
      <c r="AA38" s="80">
        <v>24</v>
      </c>
      <c r="AB38" s="80">
        <v>25</v>
      </c>
      <c r="AC38" s="80">
        <v>26</v>
      </c>
      <c r="AD38" s="80">
        <v>27</v>
      </c>
      <c r="AE38" s="80">
        <v>28</v>
      </c>
      <c r="AF38" s="80">
        <v>29</v>
      </c>
      <c r="AG38" s="80">
        <v>30</v>
      </c>
      <c r="AH38" s="80">
        <v>31</v>
      </c>
      <c r="AI38" s="80">
        <v>32</v>
      </c>
      <c r="AJ38" s="80">
        <v>33</v>
      </c>
      <c r="AK38" s="80">
        <v>34</v>
      </c>
      <c r="AL38" s="80">
        <v>35</v>
      </c>
      <c r="AM38" s="80">
        <v>36</v>
      </c>
      <c r="AN38" s="80">
        <v>37</v>
      </c>
      <c r="AO38" s="80">
        <v>38</v>
      </c>
      <c r="AP38" s="80">
        <v>39</v>
      </c>
      <c r="AQ38" s="80">
        <v>40</v>
      </c>
      <c r="AR38" s="80">
        <v>41</v>
      </c>
      <c r="AS38" s="80">
        <v>42</v>
      </c>
      <c r="AT38" s="80">
        <v>43</v>
      </c>
      <c r="AU38" s="80">
        <v>44</v>
      </c>
      <c r="AV38" s="80">
        <v>45</v>
      </c>
      <c r="AW38" s="80">
        <v>46</v>
      </c>
      <c r="AX38" s="80">
        <v>47</v>
      </c>
      <c r="AY38" s="80">
        <v>48</v>
      </c>
      <c r="AZ38" s="81">
        <v>49</v>
      </c>
      <c r="BA38" s="32"/>
      <c r="BB38" s="32"/>
    </row>
    <row r="39" spans="1:105">
      <c r="B39" s="19"/>
      <c r="C39" s="106">
        <f>current_year +C38</f>
        <v>2024</v>
      </c>
      <c r="D39" s="106">
        <f t="shared" ref="D39:AH39" si="2">current_year +D38</f>
        <v>2025</v>
      </c>
      <c r="E39" s="106">
        <f t="shared" si="2"/>
        <v>2026</v>
      </c>
      <c r="F39" s="106">
        <f t="shared" si="2"/>
        <v>2027</v>
      </c>
      <c r="G39" s="106">
        <f t="shared" si="2"/>
        <v>2028</v>
      </c>
      <c r="H39" s="106">
        <f t="shared" si="2"/>
        <v>2029</v>
      </c>
      <c r="I39" s="106">
        <f t="shared" si="2"/>
        <v>2030</v>
      </c>
      <c r="J39" s="106">
        <f t="shared" si="2"/>
        <v>2031</v>
      </c>
      <c r="K39" s="106">
        <f t="shared" si="2"/>
        <v>2032</v>
      </c>
      <c r="L39" s="106">
        <f t="shared" si="2"/>
        <v>2033</v>
      </c>
      <c r="M39" s="106">
        <f t="shared" si="2"/>
        <v>2034</v>
      </c>
      <c r="N39" s="106">
        <f t="shared" si="2"/>
        <v>2035</v>
      </c>
      <c r="O39" s="106">
        <f t="shared" si="2"/>
        <v>2036</v>
      </c>
      <c r="P39" s="106">
        <f t="shared" si="2"/>
        <v>2037</v>
      </c>
      <c r="Q39" s="106">
        <f t="shared" si="2"/>
        <v>2038</v>
      </c>
      <c r="R39" s="106">
        <f t="shared" si="2"/>
        <v>2039</v>
      </c>
      <c r="S39" s="106">
        <f t="shared" si="2"/>
        <v>2040</v>
      </c>
      <c r="T39" s="106">
        <f t="shared" si="2"/>
        <v>2041</v>
      </c>
      <c r="U39" s="106">
        <f t="shared" si="2"/>
        <v>2042</v>
      </c>
      <c r="V39" s="106">
        <f t="shared" si="2"/>
        <v>2043</v>
      </c>
      <c r="W39" s="106">
        <f t="shared" si="2"/>
        <v>2044</v>
      </c>
      <c r="X39" s="106">
        <f t="shared" si="2"/>
        <v>2045</v>
      </c>
      <c r="Y39" s="106">
        <f t="shared" si="2"/>
        <v>2046</v>
      </c>
      <c r="Z39" s="106">
        <f t="shared" si="2"/>
        <v>2047</v>
      </c>
      <c r="AA39" s="106">
        <f t="shared" si="2"/>
        <v>2048</v>
      </c>
      <c r="AB39" s="106">
        <f t="shared" si="2"/>
        <v>2049</v>
      </c>
      <c r="AC39" s="106">
        <f t="shared" si="2"/>
        <v>2050</v>
      </c>
      <c r="AD39" s="106">
        <f t="shared" si="2"/>
        <v>2051</v>
      </c>
      <c r="AE39" s="106">
        <f t="shared" si="2"/>
        <v>2052</v>
      </c>
      <c r="AF39" s="106">
        <f t="shared" si="2"/>
        <v>2053</v>
      </c>
      <c r="AG39" s="106">
        <f t="shared" si="2"/>
        <v>2054</v>
      </c>
      <c r="AH39" s="106">
        <f t="shared" si="2"/>
        <v>2055</v>
      </c>
      <c r="AI39" s="106">
        <f t="shared" ref="AI39:AZ39" si="3">current_year +AI38</f>
        <v>2056</v>
      </c>
      <c r="AJ39" s="106">
        <f t="shared" si="3"/>
        <v>2057</v>
      </c>
      <c r="AK39" s="106">
        <f t="shared" si="3"/>
        <v>2058</v>
      </c>
      <c r="AL39" s="106">
        <f t="shared" si="3"/>
        <v>2059</v>
      </c>
      <c r="AM39" s="106">
        <f t="shared" si="3"/>
        <v>2060</v>
      </c>
      <c r="AN39" s="106">
        <f t="shared" si="3"/>
        <v>2061</v>
      </c>
      <c r="AO39" s="106">
        <f t="shared" si="3"/>
        <v>2062</v>
      </c>
      <c r="AP39" s="106">
        <f t="shared" si="3"/>
        <v>2063</v>
      </c>
      <c r="AQ39" s="106">
        <f t="shared" si="3"/>
        <v>2064</v>
      </c>
      <c r="AR39" s="106">
        <f t="shared" si="3"/>
        <v>2065</v>
      </c>
      <c r="AS39" s="106">
        <f t="shared" si="3"/>
        <v>2066</v>
      </c>
      <c r="AT39" s="106">
        <f t="shared" si="3"/>
        <v>2067</v>
      </c>
      <c r="AU39" s="106">
        <f t="shared" si="3"/>
        <v>2068</v>
      </c>
      <c r="AV39" s="106">
        <f t="shared" si="3"/>
        <v>2069</v>
      </c>
      <c r="AW39" s="106">
        <f t="shared" si="3"/>
        <v>2070</v>
      </c>
      <c r="AX39" s="106">
        <f t="shared" si="3"/>
        <v>2071</v>
      </c>
      <c r="AY39" s="106">
        <f t="shared" si="3"/>
        <v>2072</v>
      </c>
      <c r="AZ39" s="106">
        <f t="shared" si="3"/>
        <v>2073</v>
      </c>
      <c r="BA39" s="32"/>
      <c r="BB39" s="32"/>
    </row>
    <row r="40" spans="1:105">
      <c r="A40">
        <v>0</v>
      </c>
      <c r="B40" s="22" t="str">
        <f t="shared" ref="B40:B60" si="4">_neurente &amp; current_year+A40</f>
        <v>Neurente im Jahr 2024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32"/>
      <c r="BB40" s="32"/>
    </row>
    <row r="41" spans="1:105">
      <c r="A41">
        <v>1</v>
      </c>
      <c r="B41" s="22" t="str">
        <f t="shared" si="4"/>
        <v>Neurente im Jahr 2025</v>
      </c>
      <c r="C41" s="176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32"/>
      <c r="BB41" s="32"/>
    </row>
    <row r="42" spans="1:105">
      <c r="A42">
        <v>2</v>
      </c>
      <c r="B42" s="22" t="str">
        <f t="shared" si="4"/>
        <v>Neurente im Jahr 2026</v>
      </c>
      <c r="C42" s="176"/>
      <c r="D42" s="176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32"/>
      <c r="BB42" s="32"/>
    </row>
    <row r="43" spans="1:105">
      <c r="A43">
        <v>3</v>
      </c>
      <c r="B43" s="22" t="str">
        <f t="shared" si="4"/>
        <v>Neurente im Jahr 2027</v>
      </c>
      <c r="C43" s="176"/>
      <c r="D43" s="176"/>
      <c r="E43" s="176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32"/>
      <c r="BB43" s="32"/>
    </row>
    <row r="44" spans="1:105">
      <c r="A44">
        <v>4</v>
      </c>
      <c r="B44" s="22" t="str">
        <f t="shared" si="4"/>
        <v>Neurente im Jahr 2028</v>
      </c>
      <c r="C44" s="176"/>
      <c r="D44" s="176"/>
      <c r="E44" s="176"/>
      <c r="F44" s="176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32"/>
      <c r="BB44" s="32"/>
    </row>
    <row r="45" spans="1:105">
      <c r="A45">
        <v>5</v>
      </c>
      <c r="B45" s="22" t="str">
        <f t="shared" si="4"/>
        <v>Neurente im Jahr 2029</v>
      </c>
      <c r="C45" s="176"/>
      <c r="D45" s="176"/>
      <c r="E45" s="176"/>
      <c r="F45" s="176"/>
      <c r="G45" s="176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32"/>
      <c r="BB45" s="32"/>
    </row>
    <row r="46" spans="1:105">
      <c r="A46">
        <v>6</v>
      </c>
      <c r="B46" s="22" t="str">
        <f t="shared" si="4"/>
        <v>Neurente im Jahr 2030</v>
      </c>
      <c r="C46" s="176"/>
      <c r="D46" s="176"/>
      <c r="E46" s="176"/>
      <c r="F46" s="176"/>
      <c r="G46" s="176"/>
      <c r="H46" s="176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32"/>
      <c r="BB46" s="32"/>
    </row>
    <row r="47" spans="1:105">
      <c r="A47">
        <v>7</v>
      </c>
      <c r="B47" s="22" t="str">
        <f t="shared" si="4"/>
        <v>Neurente im Jahr 2031</v>
      </c>
      <c r="C47" s="176"/>
      <c r="D47" s="176"/>
      <c r="E47" s="176"/>
      <c r="F47" s="176"/>
      <c r="G47" s="176"/>
      <c r="H47" s="176"/>
      <c r="I47" s="176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32"/>
      <c r="BB47" s="32"/>
    </row>
    <row r="48" spans="1:105">
      <c r="A48">
        <v>8</v>
      </c>
      <c r="B48" s="22" t="str">
        <f t="shared" si="4"/>
        <v>Neurente im Jahr 2032</v>
      </c>
      <c r="C48" s="176"/>
      <c r="D48" s="176"/>
      <c r="E48" s="176"/>
      <c r="F48" s="176"/>
      <c r="G48" s="176"/>
      <c r="H48" s="176"/>
      <c r="I48" s="176"/>
      <c r="J48" s="176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0"/>
      <c r="AK48" s="170"/>
      <c r="AL48" s="170"/>
      <c r="AM48" s="170"/>
      <c r="AN48" s="170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32"/>
      <c r="BB48" s="32"/>
    </row>
    <row r="49" spans="1:72">
      <c r="A49">
        <v>9</v>
      </c>
      <c r="B49" s="22" t="str">
        <f t="shared" si="4"/>
        <v>Neurente im Jahr 2033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32"/>
      <c r="BB49" s="32"/>
    </row>
    <row r="50" spans="1:72">
      <c r="A50">
        <v>10</v>
      </c>
      <c r="B50" s="22" t="str">
        <f t="shared" si="4"/>
        <v>Neurente im Jahr 2034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0"/>
      <c r="AK50" s="170"/>
      <c r="AL50" s="170"/>
      <c r="AM50" s="170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32"/>
      <c r="BB50" s="32"/>
    </row>
    <row r="51" spans="1:72">
      <c r="A51">
        <v>11</v>
      </c>
      <c r="B51" s="22" t="str">
        <f t="shared" si="4"/>
        <v>Neurente im Jahr 2035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32"/>
      <c r="BB51" s="32"/>
    </row>
    <row r="52" spans="1:72">
      <c r="A52">
        <v>12</v>
      </c>
      <c r="B52" s="22" t="str">
        <f t="shared" si="4"/>
        <v>Neurente im Jahr 2036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32"/>
      <c r="BB52" s="32"/>
    </row>
    <row r="53" spans="1:72">
      <c r="A53">
        <v>13</v>
      </c>
      <c r="B53" s="22" t="str">
        <f t="shared" si="4"/>
        <v>Neurente im Jahr 2037</v>
      </c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32"/>
      <c r="BB53" s="32"/>
    </row>
    <row r="54" spans="1:72">
      <c r="A54">
        <v>14</v>
      </c>
      <c r="B54" s="22" t="str">
        <f t="shared" si="4"/>
        <v>Neurente im Jahr 2038</v>
      </c>
      <c r="C54" s="177"/>
      <c r="D54" s="178"/>
      <c r="E54" s="178"/>
      <c r="F54" s="177"/>
      <c r="G54" s="178"/>
      <c r="H54" s="177"/>
      <c r="I54" s="178"/>
      <c r="J54" s="177"/>
      <c r="K54" s="178"/>
      <c r="L54" s="177"/>
      <c r="M54" s="178"/>
      <c r="N54" s="178"/>
      <c r="O54" s="177"/>
      <c r="P54" s="177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32"/>
      <c r="BB54" s="32"/>
    </row>
    <row r="55" spans="1:72">
      <c r="A55">
        <v>15</v>
      </c>
      <c r="B55" s="22" t="str">
        <f t="shared" si="4"/>
        <v>Neurente im Jahr 2039</v>
      </c>
      <c r="C55" s="177"/>
      <c r="D55" s="177"/>
      <c r="E55" s="178"/>
      <c r="F55" s="177"/>
      <c r="G55" s="177"/>
      <c r="H55" s="177"/>
      <c r="I55" s="178"/>
      <c r="J55" s="177"/>
      <c r="K55" s="177"/>
      <c r="L55" s="177"/>
      <c r="M55" s="177"/>
      <c r="N55" s="177"/>
      <c r="O55" s="177"/>
      <c r="P55" s="177"/>
      <c r="Q55" s="177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32"/>
      <c r="BB55" s="32"/>
    </row>
    <row r="56" spans="1:72">
      <c r="A56">
        <v>16</v>
      </c>
      <c r="B56" s="22" t="str">
        <f t="shared" si="4"/>
        <v>Neurente im Jahr 2040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0"/>
      <c r="AH56" s="170"/>
      <c r="AI56" s="170"/>
      <c r="AJ56" s="170"/>
      <c r="AK56" s="170"/>
      <c r="AL56" s="170"/>
      <c r="AM56" s="170"/>
      <c r="AN56" s="170"/>
      <c r="AO56" s="170"/>
      <c r="AP56" s="170"/>
      <c r="AQ56" s="170"/>
      <c r="AR56" s="170"/>
      <c r="AS56" s="170"/>
      <c r="AT56" s="170"/>
      <c r="AU56" s="170"/>
      <c r="AV56" s="170"/>
      <c r="AW56" s="170"/>
      <c r="AX56" s="170"/>
      <c r="AY56" s="170"/>
      <c r="AZ56" s="170"/>
      <c r="BA56" s="32"/>
      <c r="BB56" s="32"/>
    </row>
    <row r="57" spans="1:72">
      <c r="A57">
        <v>17</v>
      </c>
      <c r="B57" s="22" t="str">
        <f t="shared" si="4"/>
        <v>Neurente im Jahr 2041</v>
      </c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32"/>
      <c r="BB57" s="32"/>
    </row>
    <row r="58" spans="1:72">
      <c r="A58">
        <v>18</v>
      </c>
      <c r="B58" s="22" t="str">
        <f t="shared" si="4"/>
        <v>Neurente im Jahr 2042</v>
      </c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32"/>
      <c r="BB58" s="32"/>
    </row>
    <row r="59" spans="1:72">
      <c r="A59">
        <v>19</v>
      </c>
      <c r="B59" s="22" t="str">
        <f t="shared" si="4"/>
        <v>Neurente im Jahr 2043</v>
      </c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32"/>
      <c r="BB59" s="32"/>
    </row>
    <row r="60" spans="1:72">
      <c r="A60">
        <v>20</v>
      </c>
      <c r="B60" s="22" t="str">
        <f t="shared" si="4"/>
        <v>Neurente im Jahr 2044</v>
      </c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32"/>
      <c r="BB60" s="32"/>
    </row>
    <row r="61" spans="1:72"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BA61" s="32"/>
      <c r="BB61" s="32"/>
      <c r="BF61" s="84"/>
      <c r="BG61" s="84"/>
      <c r="BH61" s="84"/>
      <c r="BK61" s="84"/>
      <c r="BL61" s="84"/>
      <c r="BM61" s="84"/>
      <c r="BN61" s="84"/>
      <c r="BO61" s="84"/>
      <c r="BS61" s="84"/>
      <c r="BT61" s="84"/>
    </row>
    <row r="62" spans="1:72">
      <c r="BA62" s="32"/>
      <c r="BB62" s="32"/>
      <c r="BN62" s="84"/>
    </row>
    <row r="63" spans="1:72" ht="15">
      <c r="B63" s="4" t="str">
        <f>VLOOKUP("T.03.12", Translation,IF(Language="DE",2,IF(Language="FR",3,4)),FALSE)</f>
        <v>Inkrementelle Zahlungsmuster für restliche Langfristrückstellungen ab dem Jahr 2024 (in %)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BA63" s="32"/>
      <c r="BB63" s="32"/>
    </row>
    <row r="64" spans="1:72">
      <c r="C64" s="37"/>
      <c r="BA64" s="32"/>
      <c r="BB64" s="32"/>
    </row>
    <row r="65" spans="2:55">
      <c r="B65" s="19"/>
      <c r="C65" s="19" t="str">
        <f>VLOOKUP("T.03.25", Translation,IF(Language="DE",2,IF(Language="FR",3,4)),FALSE)</f>
        <v>Auszahlungsjahr</v>
      </c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32"/>
      <c r="BB65" s="32"/>
      <c r="BC65" s="78"/>
    </row>
    <row r="66" spans="2:55">
      <c r="B66" s="19"/>
      <c r="C66" s="106">
        <f>C39</f>
        <v>2024</v>
      </c>
      <c r="D66" s="106">
        <f t="shared" ref="D66:AZ66" si="5">D39</f>
        <v>2025</v>
      </c>
      <c r="E66" s="106">
        <f t="shared" si="5"/>
        <v>2026</v>
      </c>
      <c r="F66" s="106">
        <f t="shared" si="5"/>
        <v>2027</v>
      </c>
      <c r="G66" s="106">
        <f t="shared" si="5"/>
        <v>2028</v>
      </c>
      <c r="H66" s="106">
        <f t="shared" si="5"/>
        <v>2029</v>
      </c>
      <c r="I66" s="106">
        <f t="shared" si="5"/>
        <v>2030</v>
      </c>
      <c r="J66" s="106">
        <f t="shared" si="5"/>
        <v>2031</v>
      </c>
      <c r="K66" s="106">
        <f t="shared" si="5"/>
        <v>2032</v>
      </c>
      <c r="L66" s="106">
        <f t="shared" si="5"/>
        <v>2033</v>
      </c>
      <c r="M66" s="106">
        <f t="shared" si="5"/>
        <v>2034</v>
      </c>
      <c r="N66" s="106">
        <f t="shared" si="5"/>
        <v>2035</v>
      </c>
      <c r="O66" s="106">
        <f t="shared" si="5"/>
        <v>2036</v>
      </c>
      <c r="P66" s="106">
        <f t="shared" si="5"/>
        <v>2037</v>
      </c>
      <c r="Q66" s="106">
        <f t="shared" si="5"/>
        <v>2038</v>
      </c>
      <c r="R66" s="106">
        <f t="shared" si="5"/>
        <v>2039</v>
      </c>
      <c r="S66" s="106">
        <f t="shared" si="5"/>
        <v>2040</v>
      </c>
      <c r="T66" s="106">
        <f t="shared" si="5"/>
        <v>2041</v>
      </c>
      <c r="U66" s="106">
        <f t="shared" si="5"/>
        <v>2042</v>
      </c>
      <c r="V66" s="106">
        <f t="shared" si="5"/>
        <v>2043</v>
      </c>
      <c r="W66" s="106">
        <f t="shared" si="5"/>
        <v>2044</v>
      </c>
      <c r="X66" s="106">
        <f t="shared" si="5"/>
        <v>2045</v>
      </c>
      <c r="Y66" s="106">
        <f t="shared" si="5"/>
        <v>2046</v>
      </c>
      <c r="Z66" s="106">
        <f t="shared" si="5"/>
        <v>2047</v>
      </c>
      <c r="AA66" s="106">
        <f t="shared" si="5"/>
        <v>2048</v>
      </c>
      <c r="AB66" s="106">
        <f t="shared" si="5"/>
        <v>2049</v>
      </c>
      <c r="AC66" s="106">
        <f t="shared" si="5"/>
        <v>2050</v>
      </c>
      <c r="AD66" s="106">
        <f t="shared" si="5"/>
        <v>2051</v>
      </c>
      <c r="AE66" s="106">
        <f t="shared" si="5"/>
        <v>2052</v>
      </c>
      <c r="AF66" s="106">
        <f t="shared" si="5"/>
        <v>2053</v>
      </c>
      <c r="AG66" s="106">
        <f t="shared" si="5"/>
        <v>2054</v>
      </c>
      <c r="AH66" s="106">
        <f t="shared" si="5"/>
        <v>2055</v>
      </c>
      <c r="AI66" s="106">
        <f t="shared" si="5"/>
        <v>2056</v>
      </c>
      <c r="AJ66" s="106">
        <f t="shared" si="5"/>
        <v>2057</v>
      </c>
      <c r="AK66" s="106">
        <f t="shared" si="5"/>
        <v>2058</v>
      </c>
      <c r="AL66" s="106">
        <f t="shared" si="5"/>
        <v>2059</v>
      </c>
      <c r="AM66" s="106">
        <f t="shared" si="5"/>
        <v>2060</v>
      </c>
      <c r="AN66" s="106">
        <f t="shared" si="5"/>
        <v>2061</v>
      </c>
      <c r="AO66" s="106">
        <f t="shared" si="5"/>
        <v>2062</v>
      </c>
      <c r="AP66" s="106">
        <f t="shared" si="5"/>
        <v>2063</v>
      </c>
      <c r="AQ66" s="106">
        <f t="shared" si="5"/>
        <v>2064</v>
      </c>
      <c r="AR66" s="106">
        <f t="shared" si="5"/>
        <v>2065</v>
      </c>
      <c r="AS66" s="106">
        <f t="shared" si="5"/>
        <v>2066</v>
      </c>
      <c r="AT66" s="106">
        <f t="shared" si="5"/>
        <v>2067</v>
      </c>
      <c r="AU66" s="106">
        <f t="shared" si="5"/>
        <v>2068</v>
      </c>
      <c r="AV66" s="106">
        <f t="shared" si="5"/>
        <v>2069</v>
      </c>
      <c r="AW66" s="106">
        <f t="shared" si="5"/>
        <v>2070</v>
      </c>
      <c r="AX66" s="106">
        <f t="shared" si="5"/>
        <v>2071</v>
      </c>
      <c r="AY66" s="106">
        <f t="shared" si="5"/>
        <v>2072</v>
      </c>
      <c r="AZ66" s="106">
        <f t="shared" si="5"/>
        <v>2073</v>
      </c>
      <c r="BA66" s="32"/>
      <c r="BB66" s="32"/>
    </row>
    <row r="67" spans="2:55">
      <c r="B67" s="22" t="str">
        <f>VLOOKUP("T.03.19", Translation,IF(Language="DE",2,IF(Language="FR",3,4)),FALSE)</f>
        <v>Übrige Schadenrückstellung für Langfristleistungen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32"/>
      <c r="BB67" s="32"/>
    </row>
    <row r="68" spans="2:55">
      <c r="BA68" s="32"/>
      <c r="BB68" s="32"/>
    </row>
    <row r="73" spans="2:55">
      <c r="D73" s="17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FCC2-681D-4FD2-ABEB-46352DA9A6F3}">
  <sheetPr>
    <tabColor rgb="FF00539E"/>
  </sheetPr>
  <dimension ref="A1:BF78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4.5703125" customWidth="1"/>
    <col min="2" max="2" width="75.5703125" customWidth="1"/>
    <col min="3" max="3" width="27" customWidth="1"/>
    <col min="4" max="4" width="18.85546875" customWidth="1"/>
    <col min="5" max="5" width="20.7109375" customWidth="1"/>
    <col min="6" max="6" width="13.42578125" customWidth="1"/>
    <col min="7" max="52" width="11.85546875" customWidth="1"/>
  </cols>
  <sheetData>
    <row r="1" spans="1:14" s="3" customFormat="1" ht="20.100000000000001" customHeight="1">
      <c r="A1" s="134">
        <v>4</v>
      </c>
      <c r="B1" s="2" t="str">
        <f>VLOOKUP("T.04.1", Translation,IF(Language="DE",2,IF(Language="FR",3,4)),FALSE)</f>
        <v>Bewertung der UVG-Verpflichtungen am t=0</v>
      </c>
    </row>
    <row r="3" spans="1:14" ht="14.25">
      <c r="B3" s="4" t="str">
        <f>VLOOKUP("T.03.2", Translation,IF(Language="DE",2,IF(Language="FR",3,4)),FALSE)</f>
        <v>Stichtag</v>
      </c>
      <c r="C3" s="138" t="str">
        <f>"01.01."&amp;current_year</f>
        <v>01.01.2024</v>
      </c>
    </row>
    <row r="5" spans="1:14" ht="15">
      <c r="B5" s="4" t="str">
        <f>VLOOKUP("T.04.2", Translation,IF(Language="DE",2,IF(Language="FR",3,4)),FALSE)</f>
        <v>Best Estimate Werte am 1.01.2024 (in Mio. CHF)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B6" s="16"/>
    </row>
    <row r="7" spans="1:14" ht="40.5" customHeight="1">
      <c r="B7" s="141" t="str">
        <f>VLOOKUP("T.03.20", Translation,IF(Language="DE",2,IF(Language="FR",3,4)),FALSE)</f>
        <v xml:space="preserve">Verpflichtungen des UVG-Bestandes </v>
      </c>
      <c r="C7" s="153" t="str">
        <f>VLOOKUP("T.04.4", Translation,IF(Language="DE",2,IF(Language="FR",3,4)),FALSE)</f>
        <v>diskontiert</v>
      </c>
      <c r="D7" s="153" t="str">
        <f>VLOOKUP("T.04.3", Translation,IF(Language="DE",2,IF(Language="FR",3,4)),FALSE)</f>
        <v>Barwertfaktor</v>
      </c>
      <c r="E7" s="153" t="str">
        <f>VLOOKUP("T.04.5", Translation,IF(Language="DE",2,IF(Language="FR",3,4)),FALSE)</f>
        <v>nicht diskontiert</v>
      </c>
    </row>
    <row r="8" spans="1:14">
      <c r="B8" s="18" t="str">
        <f>VLOOKUP("T.03.4", Translation,IF(Language="DE",2,IF(Language="FR",3,4)),FALSE)</f>
        <v>Best Estimate-Wert der Grundrente</v>
      </c>
      <c r="C8" s="188">
        <f>E8*D8</f>
        <v>0</v>
      </c>
      <c r="D8" s="192">
        <f>SUMPRODUCT(UVG_Input_Data!C23:AZ23,Inputparam!$C$12:$AZ$12)</f>
        <v>0</v>
      </c>
      <c r="E8" s="188">
        <f>UVG_Input_Data!D10</f>
        <v>0</v>
      </c>
    </row>
    <row r="9" spans="1:14">
      <c r="B9" s="18" t="str">
        <f>VLOOKUP("T.03.5", Translation,IF(Language="DE",2,IF(Language="FR",3,4)),FALSE)</f>
        <v>Schadenrückstellung für Langfristleistungen</v>
      </c>
      <c r="C9" s="188">
        <f t="shared" ref="C9:C11" si="0">E9*D9</f>
        <v>0</v>
      </c>
      <c r="D9" s="192">
        <f>SUMPRODUCT(UVG_Input_Data!C25:AZ25,Inputparam!$C$12:$AZ$12)</f>
        <v>0</v>
      </c>
      <c r="E9" s="188">
        <f>UVG_Input_Data!D11</f>
        <v>0</v>
      </c>
      <c r="F9" s="97"/>
      <c r="G9" s="98"/>
    </row>
    <row r="10" spans="1:14">
      <c r="B10" s="18" t="str">
        <f>VLOOKUP("T.03.6", Translation,IF(Language="DE",2,IF(Language="FR",3,4)),FALSE)</f>
        <v>Schadenrückstellung für Kurzfristleistungen</v>
      </c>
      <c r="C10" s="188">
        <f t="shared" si="0"/>
        <v>0</v>
      </c>
      <c r="D10" s="192">
        <f>SUMPRODUCT(UVG_Input_Data!C26:AZ26,Inputparam!$C$12:$AZ$12)</f>
        <v>0</v>
      </c>
      <c r="E10" s="188">
        <f>UVG_Input_Data!D14</f>
        <v>0</v>
      </c>
    </row>
    <row r="11" spans="1:14">
      <c r="B11" s="18" t="str">
        <f>VLOOKUP("T.03.27", Translation,IF(Language="DE",2,IF(Language="FR",3,4)),FALSE)</f>
        <v>ULAE Rückstellungen</v>
      </c>
      <c r="C11" s="188">
        <f t="shared" si="0"/>
        <v>0</v>
      </c>
      <c r="D11" s="192">
        <f>SUMPRODUCT(UVG_Input_Data!C27:AZ27,Inputparam!$C$12:$AZ$12)</f>
        <v>0</v>
      </c>
      <c r="E11" s="188">
        <f>UVG_Input_Data!D15</f>
        <v>0</v>
      </c>
    </row>
    <row r="12" spans="1:14">
      <c r="B12" s="18" t="str">
        <f>VLOOKUP("T.04.6", Translation,IF(Language="DE",2,IF(Language="FR",3,4)),FALSE)</f>
        <v>Best Estimate-Wert der Teuerungszulagen</v>
      </c>
      <c r="C12" s="190">
        <f>E12 *D12</f>
        <v>0</v>
      </c>
      <c r="D12" s="193">
        <f>IF(E12=0,0,SUMPRODUCT(C27:AZ27,Inputparam!$C$12:$AZ$12)/E12)</f>
        <v>0</v>
      </c>
      <c r="E12" s="188">
        <f>SUM(C27:AZ27)</f>
        <v>0</v>
      </c>
    </row>
    <row r="13" spans="1:14">
      <c r="B13" s="202" t="str">
        <f>VLOOKUP("T.04.28", Translation,IF(Language="DE",2,IF(Language="FR",3,4)),FALSE)</f>
        <v>eigenfinanziert</v>
      </c>
      <c r="C13" s="191">
        <f ca="1">C12-C14</f>
        <v>0</v>
      </c>
      <c r="D13" s="189"/>
      <c r="E13" s="189"/>
    </row>
    <row r="14" spans="1:14">
      <c r="B14" s="228" t="str">
        <f>VLOOKUP("T.04.29", Translation,IF(Language="DE",2,IF(Language="FR",3,4)),FALSE)</f>
        <v>finanziert durch eingehende Umlagebeitäge und Ausgleichszahlungen</v>
      </c>
      <c r="C14" s="191">
        <f ca="1">-C16</f>
        <v>0</v>
      </c>
      <c r="D14" s="194"/>
      <c r="E14" s="189"/>
    </row>
    <row r="15" spans="1:14">
      <c r="B15" s="87" t="str">
        <f>VLOOKUP("T.04.30", Translation,IF(Language="DE",2,IF(Language="FR",3,4)),FALSE)</f>
        <v>Best Estimate-Wert der Umlagebeiträge</v>
      </c>
      <c r="C15" s="229">
        <f>E15 *D15</f>
        <v>0</v>
      </c>
      <c r="D15" s="230">
        <f>IF(E15=0,0,- ABS(SUMPRODUCT(C38:AZ38,Inputparam!$C$12:$AZ$12))/E15)</f>
        <v>0</v>
      </c>
      <c r="E15" s="231">
        <f xml:space="preserve"> SUM(C38:AZ38)</f>
        <v>0</v>
      </c>
      <c r="G15" s="189"/>
    </row>
    <row r="16" spans="1:14">
      <c r="B16" s="18" t="str">
        <f>VLOOKUP("T.04.27", Translation,IF(Language="DE",2,IF(Language="FR",3,4)),FALSE)</f>
        <v>Best Estimate-Wert der Ausgleichszahlungen</v>
      </c>
      <c r="C16" s="190">
        <f ca="1">E16 *D16</f>
        <v>0</v>
      </c>
      <c r="D16" s="193">
        <f ca="1">IF(E16=0,0,SUMPRODUCT(C39:AZ39,Inputparam!$C$12:$AZ$12)/E16)</f>
        <v>0</v>
      </c>
      <c r="E16" s="188">
        <f ca="1">SUM(C39:AZ39)</f>
        <v>0</v>
      </c>
    </row>
    <row r="17" spans="2:58">
      <c r="B17" s="18" t="str">
        <f>VLOOKUP("T.04.7", Translation,IF(Language="DE",2,IF(Language="FR",3,4)),FALSE)</f>
        <v>Barwert des Teuerungsfonds am Ende der Abwicklung</v>
      </c>
      <c r="C17" s="188">
        <f ca="1">E17 * D17</f>
        <v>0</v>
      </c>
      <c r="D17" s="192">
        <f>Inputparam!AZ12</f>
        <v>0.62204888792028257</v>
      </c>
      <c r="E17" s="188">
        <f ca="1">AZ40</f>
        <v>0</v>
      </c>
    </row>
    <row r="18" spans="2:58">
      <c r="B18" s="111" t="str">
        <f>VLOOKUP("T.04.8", Translation,IF(Language="DE",2,IF(Language="FR",3,4)),FALSE)</f>
        <v>Total UVG-Verpflichtungen</v>
      </c>
      <c r="C18" s="200">
        <f ca="1">SUM(C8:C12,C15:C17)</f>
        <v>0</v>
      </c>
      <c r="D18" s="14"/>
    </row>
    <row r="21" spans="2:58" ht="15">
      <c r="B21" s="4" t="str">
        <f>VLOOKUP("T.04.23", Translation,IF(Language="DE",2,IF(Language="FR",3,4)),FALSE)</f>
        <v>Inkrementelle Zahlungsflüsse (in Mio. CHF; jeweils am Ende des Jahres)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2:58" ht="15">
      <c r="B22" s="29"/>
      <c r="C22" s="30" t="str">
        <f>_end&amp; current_year +C23-1</f>
        <v>Ende 2024</v>
      </c>
      <c r="D22" s="30" t="str">
        <f>_end&amp; current_year +D23-1</f>
        <v>Ende 2025</v>
      </c>
      <c r="E22" s="30" t="str">
        <f>_end&amp; current_year +E23-1</f>
        <v>Ende 2026</v>
      </c>
      <c r="F22" s="30" t="str">
        <f>_end&amp; current_year +F23-1</f>
        <v>Ende 2027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 t="str">
        <f>_end &amp; current_year+AZ23-1</f>
        <v>Ende 2073</v>
      </c>
    </row>
    <row r="23" spans="2:58" s="27" customFormat="1" ht="12.75" customHeight="1">
      <c r="B23" s="28"/>
      <c r="C23" s="85">
        <v>1</v>
      </c>
      <c r="D23" s="85">
        <f>C23+1</f>
        <v>2</v>
      </c>
      <c r="E23" s="85">
        <f t="shared" ref="E23:AZ23" si="1">D23+1</f>
        <v>3</v>
      </c>
      <c r="F23" s="85">
        <f t="shared" si="1"/>
        <v>4</v>
      </c>
      <c r="G23" s="85">
        <f t="shared" si="1"/>
        <v>5</v>
      </c>
      <c r="H23" s="85">
        <f t="shared" si="1"/>
        <v>6</v>
      </c>
      <c r="I23" s="85">
        <f t="shared" si="1"/>
        <v>7</v>
      </c>
      <c r="J23" s="85">
        <f t="shared" si="1"/>
        <v>8</v>
      </c>
      <c r="K23" s="85">
        <f t="shared" si="1"/>
        <v>9</v>
      </c>
      <c r="L23" s="85">
        <f t="shared" si="1"/>
        <v>10</v>
      </c>
      <c r="M23" s="85">
        <f t="shared" si="1"/>
        <v>11</v>
      </c>
      <c r="N23" s="85">
        <f t="shared" si="1"/>
        <v>12</v>
      </c>
      <c r="O23" s="85">
        <f t="shared" si="1"/>
        <v>13</v>
      </c>
      <c r="P23" s="85">
        <f t="shared" si="1"/>
        <v>14</v>
      </c>
      <c r="Q23" s="85">
        <f t="shared" si="1"/>
        <v>15</v>
      </c>
      <c r="R23" s="85">
        <f t="shared" si="1"/>
        <v>16</v>
      </c>
      <c r="S23" s="85">
        <f t="shared" si="1"/>
        <v>17</v>
      </c>
      <c r="T23" s="85">
        <f t="shared" si="1"/>
        <v>18</v>
      </c>
      <c r="U23" s="85">
        <f t="shared" si="1"/>
        <v>19</v>
      </c>
      <c r="V23" s="85">
        <f t="shared" si="1"/>
        <v>20</v>
      </c>
      <c r="W23" s="85">
        <f t="shared" si="1"/>
        <v>21</v>
      </c>
      <c r="X23" s="85">
        <f t="shared" si="1"/>
        <v>22</v>
      </c>
      <c r="Y23" s="85">
        <f t="shared" si="1"/>
        <v>23</v>
      </c>
      <c r="Z23" s="85">
        <f t="shared" si="1"/>
        <v>24</v>
      </c>
      <c r="AA23" s="85">
        <f t="shared" si="1"/>
        <v>25</v>
      </c>
      <c r="AB23" s="85">
        <f t="shared" si="1"/>
        <v>26</v>
      </c>
      <c r="AC23" s="85">
        <f t="shared" si="1"/>
        <v>27</v>
      </c>
      <c r="AD23" s="85">
        <f t="shared" si="1"/>
        <v>28</v>
      </c>
      <c r="AE23" s="85">
        <f t="shared" si="1"/>
        <v>29</v>
      </c>
      <c r="AF23" s="85">
        <f t="shared" si="1"/>
        <v>30</v>
      </c>
      <c r="AG23" s="85">
        <f t="shared" si="1"/>
        <v>31</v>
      </c>
      <c r="AH23" s="85">
        <f t="shared" si="1"/>
        <v>32</v>
      </c>
      <c r="AI23" s="85">
        <f t="shared" si="1"/>
        <v>33</v>
      </c>
      <c r="AJ23" s="85">
        <f t="shared" si="1"/>
        <v>34</v>
      </c>
      <c r="AK23" s="85">
        <f t="shared" si="1"/>
        <v>35</v>
      </c>
      <c r="AL23" s="85">
        <f t="shared" si="1"/>
        <v>36</v>
      </c>
      <c r="AM23" s="85">
        <f t="shared" si="1"/>
        <v>37</v>
      </c>
      <c r="AN23" s="85">
        <f t="shared" si="1"/>
        <v>38</v>
      </c>
      <c r="AO23" s="85">
        <f t="shared" si="1"/>
        <v>39</v>
      </c>
      <c r="AP23" s="85">
        <f t="shared" si="1"/>
        <v>40</v>
      </c>
      <c r="AQ23" s="85">
        <f t="shared" si="1"/>
        <v>41</v>
      </c>
      <c r="AR23" s="85">
        <f t="shared" si="1"/>
        <v>42</v>
      </c>
      <c r="AS23" s="85">
        <f t="shared" si="1"/>
        <v>43</v>
      </c>
      <c r="AT23" s="85">
        <f t="shared" si="1"/>
        <v>44</v>
      </c>
      <c r="AU23" s="85">
        <f t="shared" si="1"/>
        <v>45</v>
      </c>
      <c r="AV23" s="85">
        <f t="shared" si="1"/>
        <v>46</v>
      </c>
      <c r="AW23" s="85">
        <f t="shared" si="1"/>
        <v>47</v>
      </c>
      <c r="AX23" s="85">
        <f t="shared" si="1"/>
        <v>48</v>
      </c>
      <c r="AY23" s="85">
        <f t="shared" si="1"/>
        <v>49</v>
      </c>
      <c r="AZ23" s="85">
        <f t="shared" si="1"/>
        <v>50</v>
      </c>
      <c r="BA23" s="86"/>
      <c r="BB23" s="86"/>
      <c r="BC23" s="86"/>
      <c r="BD23" s="86"/>
      <c r="BE23" s="86"/>
      <c r="BF23" s="86"/>
    </row>
    <row r="24" spans="2:58" s="27" customFormat="1" ht="12.75" customHeight="1">
      <c r="B24" s="87" t="str">
        <f>VLOOKUP("T.04.9", Translation,IF(Language="DE",2,IF(Language="FR",3,4)),FALSE)</f>
        <v>Zahlungen für am 1.01.2024 bestehende Renten</v>
      </c>
      <c r="C24" s="88">
        <f>UVG_Input_Data!$D$10 * UVG_Input_Data!C23</f>
        <v>0</v>
      </c>
      <c r="D24" s="88">
        <f>UVG_Input_Data!$D$10 * UVG_Input_Data!D23</f>
        <v>0</v>
      </c>
      <c r="E24" s="88">
        <f>UVG_Input_Data!$D$10 * UVG_Input_Data!E23</f>
        <v>0</v>
      </c>
      <c r="F24" s="88">
        <f>UVG_Input_Data!$D$10 * UVG_Input_Data!F23</f>
        <v>0</v>
      </c>
      <c r="G24" s="88">
        <f>UVG_Input_Data!$D$10 * UVG_Input_Data!G23</f>
        <v>0</v>
      </c>
      <c r="H24" s="88">
        <f>UVG_Input_Data!$D$10 * UVG_Input_Data!H23</f>
        <v>0</v>
      </c>
      <c r="I24" s="88">
        <f>UVG_Input_Data!$D$10 * UVG_Input_Data!I23</f>
        <v>0</v>
      </c>
      <c r="J24" s="88">
        <f>UVG_Input_Data!$D$10 * UVG_Input_Data!J23</f>
        <v>0</v>
      </c>
      <c r="K24" s="88">
        <f>UVG_Input_Data!$D$10 * UVG_Input_Data!K23</f>
        <v>0</v>
      </c>
      <c r="L24" s="88">
        <f>UVG_Input_Data!$D$10 * UVG_Input_Data!L23</f>
        <v>0</v>
      </c>
      <c r="M24" s="88">
        <f>UVG_Input_Data!$D$10 * UVG_Input_Data!M23</f>
        <v>0</v>
      </c>
      <c r="N24" s="88">
        <f>UVG_Input_Data!$D$10 * UVG_Input_Data!N23</f>
        <v>0</v>
      </c>
      <c r="O24" s="88">
        <f>UVG_Input_Data!$D$10 * UVG_Input_Data!O23</f>
        <v>0</v>
      </c>
      <c r="P24" s="88">
        <f>UVG_Input_Data!$D$10 * UVG_Input_Data!P23</f>
        <v>0</v>
      </c>
      <c r="Q24" s="88">
        <f>UVG_Input_Data!$D$10 * UVG_Input_Data!Q23</f>
        <v>0</v>
      </c>
      <c r="R24" s="88">
        <f>UVG_Input_Data!$D$10 * UVG_Input_Data!R23</f>
        <v>0</v>
      </c>
      <c r="S24" s="88">
        <f>UVG_Input_Data!$D$10 * UVG_Input_Data!S23</f>
        <v>0</v>
      </c>
      <c r="T24" s="88">
        <f>UVG_Input_Data!$D$10 * UVG_Input_Data!T23</f>
        <v>0</v>
      </c>
      <c r="U24" s="88">
        <f>UVG_Input_Data!$D$10 * UVG_Input_Data!U23</f>
        <v>0</v>
      </c>
      <c r="V24" s="88">
        <f>UVG_Input_Data!$D$10 * UVG_Input_Data!V23</f>
        <v>0</v>
      </c>
      <c r="W24" s="88">
        <f>UVG_Input_Data!$D$10 * UVG_Input_Data!W23</f>
        <v>0</v>
      </c>
      <c r="X24" s="88">
        <f>UVG_Input_Data!$D$10 * UVG_Input_Data!X23</f>
        <v>0</v>
      </c>
      <c r="Y24" s="88">
        <f>UVG_Input_Data!$D$10 * UVG_Input_Data!Y23</f>
        <v>0</v>
      </c>
      <c r="Z24" s="88">
        <f>UVG_Input_Data!$D$10 * UVG_Input_Data!Z23</f>
        <v>0</v>
      </c>
      <c r="AA24" s="88">
        <f>UVG_Input_Data!$D$10 * UVG_Input_Data!AA23</f>
        <v>0</v>
      </c>
      <c r="AB24" s="88">
        <f>UVG_Input_Data!$D$10 * UVG_Input_Data!AB23</f>
        <v>0</v>
      </c>
      <c r="AC24" s="88">
        <f>UVG_Input_Data!$D$10 * UVG_Input_Data!AC23</f>
        <v>0</v>
      </c>
      <c r="AD24" s="88">
        <f>UVG_Input_Data!$D$10 * UVG_Input_Data!AD23</f>
        <v>0</v>
      </c>
      <c r="AE24" s="88">
        <f>UVG_Input_Data!$D$10 * UVG_Input_Data!AE23</f>
        <v>0</v>
      </c>
      <c r="AF24" s="88">
        <f>UVG_Input_Data!$D$10 * UVG_Input_Data!AF23</f>
        <v>0</v>
      </c>
      <c r="AG24" s="88">
        <f>UVG_Input_Data!$D$10 * UVG_Input_Data!AG23</f>
        <v>0</v>
      </c>
      <c r="AH24" s="88">
        <f>UVG_Input_Data!$D$10 * UVG_Input_Data!AH23</f>
        <v>0</v>
      </c>
      <c r="AI24" s="88">
        <f>UVG_Input_Data!$D$10 * UVG_Input_Data!AI23</f>
        <v>0</v>
      </c>
      <c r="AJ24" s="88">
        <f>UVG_Input_Data!$D$10 * UVG_Input_Data!AJ23</f>
        <v>0</v>
      </c>
      <c r="AK24" s="88">
        <f>UVG_Input_Data!$D$10 * UVG_Input_Data!AK23</f>
        <v>0</v>
      </c>
      <c r="AL24" s="88">
        <f>UVG_Input_Data!$D$10 * UVG_Input_Data!AL23</f>
        <v>0</v>
      </c>
      <c r="AM24" s="88">
        <f>UVG_Input_Data!$D$10 * UVG_Input_Data!AM23</f>
        <v>0</v>
      </c>
      <c r="AN24" s="88">
        <f>UVG_Input_Data!$D$10 * UVG_Input_Data!AN23</f>
        <v>0</v>
      </c>
      <c r="AO24" s="88">
        <f>UVG_Input_Data!$D$10 * UVG_Input_Data!AO23</f>
        <v>0</v>
      </c>
      <c r="AP24" s="88">
        <f>UVG_Input_Data!$D$10 * UVG_Input_Data!AP23</f>
        <v>0</v>
      </c>
      <c r="AQ24" s="88">
        <f>UVG_Input_Data!$D$10 * UVG_Input_Data!AQ23</f>
        <v>0</v>
      </c>
      <c r="AR24" s="88">
        <f>UVG_Input_Data!$D$10 * UVG_Input_Data!AR23</f>
        <v>0</v>
      </c>
      <c r="AS24" s="88">
        <f>UVG_Input_Data!$D$10 * UVG_Input_Data!AS23</f>
        <v>0</v>
      </c>
      <c r="AT24" s="88">
        <f>UVG_Input_Data!$D$10 * UVG_Input_Data!AT23</f>
        <v>0</v>
      </c>
      <c r="AU24" s="88">
        <f>UVG_Input_Data!$D$10 * UVG_Input_Data!AU23</f>
        <v>0</v>
      </c>
      <c r="AV24" s="88">
        <f>UVG_Input_Data!$D$10 * UVG_Input_Data!AV23</f>
        <v>0</v>
      </c>
      <c r="AW24" s="88">
        <f>UVG_Input_Data!$D$10 * UVG_Input_Data!AW23</f>
        <v>0</v>
      </c>
      <c r="AX24" s="88">
        <f>UVG_Input_Data!$D$10 * UVG_Input_Data!AX23</f>
        <v>0</v>
      </c>
      <c r="AY24" s="88">
        <f>UVG_Input_Data!$D$10 * UVG_Input_Data!AY23</f>
        <v>0</v>
      </c>
      <c r="AZ24" s="88">
        <f>UVG_Input_Data!$D$10 * UVG_Input_Data!AZ23</f>
        <v>0</v>
      </c>
      <c r="BA24" s="86"/>
      <c r="BB24" s="86"/>
      <c r="BC24" s="86"/>
      <c r="BD24" s="86"/>
      <c r="BE24" s="86"/>
      <c r="BF24" s="86"/>
    </row>
    <row r="25" spans="2:58" s="27" customFormat="1" ht="12.75" customHeight="1">
      <c r="B25" s="87" t="str">
        <f>VLOOKUP("T.04.10", Translation,IF(Language="DE",2,IF(Language="FR",3,4)),FALSE)</f>
        <v>Zahlungen für neue Renten ab 1.01.2024</v>
      </c>
      <c r="C25" s="88">
        <f>SUM(UVG_Input_Data!C40:C60)</f>
        <v>0</v>
      </c>
      <c r="D25" s="88">
        <f>SUM(UVG_Input_Data!D40:D60)</f>
        <v>0</v>
      </c>
      <c r="E25" s="88">
        <f>SUM(UVG_Input_Data!E40:E60)</f>
        <v>0</v>
      </c>
      <c r="F25" s="88">
        <f>SUM(UVG_Input_Data!F40:F60)</f>
        <v>0</v>
      </c>
      <c r="G25" s="88">
        <f>SUM(UVG_Input_Data!G40:G60)</f>
        <v>0</v>
      </c>
      <c r="H25" s="88">
        <f>SUM(UVG_Input_Data!H40:H60)</f>
        <v>0</v>
      </c>
      <c r="I25" s="88">
        <f>SUM(UVG_Input_Data!I40:I60)</f>
        <v>0</v>
      </c>
      <c r="J25" s="88">
        <f>SUM(UVG_Input_Data!J40:J60)</f>
        <v>0</v>
      </c>
      <c r="K25" s="88">
        <f>SUM(UVG_Input_Data!K40:K60)</f>
        <v>0</v>
      </c>
      <c r="L25" s="88">
        <f>SUM(UVG_Input_Data!L40:L60)</f>
        <v>0</v>
      </c>
      <c r="M25" s="88">
        <f>SUM(UVG_Input_Data!M40:M60)</f>
        <v>0</v>
      </c>
      <c r="N25" s="88">
        <f>SUM(UVG_Input_Data!N40:N60)</f>
        <v>0</v>
      </c>
      <c r="O25" s="88">
        <f>SUM(UVG_Input_Data!O40:O60)</f>
        <v>0</v>
      </c>
      <c r="P25" s="88">
        <f>SUM(UVG_Input_Data!P40:P60)</f>
        <v>0</v>
      </c>
      <c r="Q25" s="88">
        <f>SUM(UVG_Input_Data!Q40:Q60)</f>
        <v>0</v>
      </c>
      <c r="R25" s="88">
        <f>SUM(UVG_Input_Data!R40:R60)</f>
        <v>0</v>
      </c>
      <c r="S25" s="88">
        <f>SUM(UVG_Input_Data!S40:S60)</f>
        <v>0</v>
      </c>
      <c r="T25" s="88">
        <f>SUM(UVG_Input_Data!T40:T60)</f>
        <v>0</v>
      </c>
      <c r="U25" s="88">
        <f>SUM(UVG_Input_Data!U40:U60)</f>
        <v>0</v>
      </c>
      <c r="V25" s="88">
        <f>SUM(UVG_Input_Data!V40:V60)</f>
        <v>0</v>
      </c>
      <c r="W25" s="88">
        <f>SUM(UVG_Input_Data!W40:W60)</f>
        <v>0</v>
      </c>
      <c r="X25" s="88">
        <f>SUM(UVG_Input_Data!X40:X60)</f>
        <v>0</v>
      </c>
      <c r="Y25" s="88">
        <f>SUM(UVG_Input_Data!Y40:Y60)</f>
        <v>0</v>
      </c>
      <c r="Z25" s="88">
        <f>SUM(UVG_Input_Data!Z40:Z60)</f>
        <v>0</v>
      </c>
      <c r="AA25" s="88">
        <f>SUM(UVG_Input_Data!AA40:AA60)</f>
        <v>0</v>
      </c>
      <c r="AB25" s="88">
        <f>SUM(UVG_Input_Data!AB40:AB60)</f>
        <v>0</v>
      </c>
      <c r="AC25" s="88">
        <f>SUM(UVG_Input_Data!AC40:AC60)</f>
        <v>0</v>
      </c>
      <c r="AD25" s="88">
        <f>SUM(UVG_Input_Data!AD40:AD60)</f>
        <v>0</v>
      </c>
      <c r="AE25" s="88">
        <f>SUM(UVG_Input_Data!AE40:AE60)</f>
        <v>0</v>
      </c>
      <c r="AF25" s="88">
        <f>SUM(UVG_Input_Data!AF40:AF60)</f>
        <v>0</v>
      </c>
      <c r="AG25" s="88">
        <f>SUM(UVG_Input_Data!AG40:AG60)</f>
        <v>0</v>
      </c>
      <c r="AH25" s="88">
        <f>SUM(UVG_Input_Data!AH40:AH60)</f>
        <v>0</v>
      </c>
      <c r="AI25" s="88">
        <f>SUM(UVG_Input_Data!AI40:AI60)</f>
        <v>0</v>
      </c>
      <c r="AJ25" s="88">
        <f>SUM(UVG_Input_Data!AJ40:AJ60)</f>
        <v>0</v>
      </c>
      <c r="AK25" s="88">
        <f>SUM(UVG_Input_Data!AK40:AK60)</f>
        <v>0</v>
      </c>
      <c r="AL25" s="88">
        <f>SUM(UVG_Input_Data!AL40:AL60)</f>
        <v>0</v>
      </c>
      <c r="AM25" s="88">
        <f>SUM(UVG_Input_Data!AM40:AM60)</f>
        <v>0</v>
      </c>
      <c r="AN25" s="88">
        <f>SUM(UVG_Input_Data!AN40:AN60)</f>
        <v>0</v>
      </c>
      <c r="AO25" s="88">
        <f>SUM(UVG_Input_Data!AO40:AO60)</f>
        <v>0</v>
      </c>
      <c r="AP25" s="88">
        <f>SUM(UVG_Input_Data!AP40:AP60)</f>
        <v>0</v>
      </c>
      <c r="AQ25" s="88">
        <f>SUM(UVG_Input_Data!AQ40:AQ60)</f>
        <v>0</v>
      </c>
      <c r="AR25" s="88">
        <f>SUM(UVG_Input_Data!AR40:AR60)</f>
        <v>0</v>
      </c>
      <c r="AS25" s="88">
        <f>SUM(UVG_Input_Data!AS40:AS60)</f>
        <v>0</v>
      </c>
      <c r="AT25" s="88">
        <f>SUM(UVG_Input_Data!AT40:AT60)</f>
        <v>0</v>
      </c>
      <c r="AU25" s="88">
        <f>SUM(UVG_Input_Data!AU40:AU60)</f>
        <v>0</v>
      </c>
      <c r="AV25" s="88">
        <f>SUM(UVG_Input_Data!AV40:AV60)</f>
        <v>0</v>
      </c>
      <c r="AW25" s="88">
        <f>SUM(UVG_Input_Data!AW40:AW60)</f>
        <v>0</v>
      </c>
      <c r="AX25" s="88">
        <f>SUM(UVG_Input_Data!AX40:AX60)</f>
        <v>0</v>
      </c>
      <c r="AY25" s="88">
        <f>SUM(UVG_Input_Data!AY40:AY60)</f>
        <v>0</v>
      </c>
      <c r="AZ25" s="88">
        <f>SUM(UVG_Input_Data!AZ40:AZ60)</f>
        <v>0</v>
      </c>
      <c r="BA25" s="86"/>
      <c r="BB25" s="86"/>
      <c r="BC25" s="86"/>
      <c r="BD25" s="86"/>
      <c r="BE25" s="86"/>
      <c r="BF25" s="86"/>
    </row>
    <row r="26" spans="2:58" s="92" customFormat="1" ht="6" customHeight="1">
      <c r="B26" s="93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94"/>
      <c r="BB26" s="94"/>
      <c r="BC26" s="94"/>
      <c r="BD26" s="94"/>
      <c r="BE26" s="94"/>
      <c r="BF26" s="94"/>
    </row>
    <row r="27" spans="2:58" s="86" customFormat="1">
      <c r="B27" s="87" t="str">
        <f>VLOOKUP("T.04.11", Translation,IF(Language="DE",2,IF(Language="FR",3,4)),FALSE)</f>
        <v>Zahlungen der Teuerungszulagen, davon</v>
      </c>
      <c r="C27" s="88">
        <f>SUM(C28:C29)</f>
        <v>0</v>
      </c>
      <c r="D27" s="88">
        <f t="shared" ref="D27:AZ27" si="2">SUM(D28:D29)</f>
        <v>0</v>
      </c>
      <c r="E27" s="88">
        <f t="shared" si="2"/>
        <v>0</v>
      </c>
      <c r="F27" s="88">
        <f t="shared" si="2"/>
        <v>0</v>
      </c>
      <c r="G27" s="88">
        <f t="shared" si="2"/>
        <v>0</v>
      </c>
      <c r="H27" s="88">
        <f t="shared" si="2"/>
        <v>0</v>
      </c>
      <c r="I27" s="88">
        <f t="shared" si="2"/>
        <v>0</v>
      </c>
      <c r="J27" s="88">
        <f t="shared" si="2"/>
        <v>0</v>
      </c>
      <c r="K27" s="88">
        <f t="shared" si="2"/>
        <v>0</v>
      </c>
      <c r="L27" s="88">
        <f t="shared" si="2"/>
        <v>0</v>
      </c>
      <c r="M27" s="88">
        <f t="shared" si="2"/>
        <v>0</v>
      </c>
      <c r="N27" s="88">
        <f t="shared" si="2"/>
        <v>0</v>
      </c>
      <c r="O27" s="88">
        <f t="shared" si="2"/>
        <v>0</v>
      </c>
      <c r="P27" s="88">
        <f t="shared" si="2"/>
        <v>0</v>
      </c>
      <c r="Q27" s="88">
        <f t="shared" si="2"/>
        <v>0</v>
      </c>
      <c r="R27" s="88">
        <f t="shared" si="2"/>
        <v>0</v>
      </c>
      <c r="S27" s="88">
        <f t="shared" si="2"/>
        <v>0</v>
      </c>
      <c r="T27" s="88">
        <f t="shared" si="2"/>
        <v>0</v>
      </c>
      <c r="U27" s="88">
        <f t="shared" si="2"/>
        <v>0</v>
      </c>
      <c r="V27" s="88">
        <f t="shared" si="2"/>
        <v>0</v>
      </c>
      <c r="W27" s="88">
        <f t="shared" si="2"/>
        <v>0</v>
      </c>
      <c r="X27" s="88">
        <f t="shared" si="2"/>
        <v>0</v>
      </c>
      <c r="Y27" s="88">
        <f t="shared" si="2"/>
        <v>0</v>
      </c>
      <c r="Z27" s="88">
        <f t="shared" si="2"/>
        <v>0</v>
      </c>
      <c r="AA27" s="88">
        <f t="shared" si="2"/>
        <v>0</v>
      </c>
      <c r="AB27" s="88">
        <f t="shared" si="2"/>
        <v>0</v>
      </c>
      <c r="AC27" s="88">
        <f t="shared" si="2"/>
        <v>0</v>
      </c>
      <c r="AD27" s="88">
        <f t="shared" si="2"/>
        <v>0</v>
      </c>
      <c r="AE27" s="88">
        <f t="shared" si="2"/>
        <v>0</v>
      </c>
      <c r="AF27" s="88">
        <f t="shared" si="2"/>
        <v>0</v>
      </c>
      <c r="AG27" s="88">
        <f t="shared" si="2"/>
        <v>0</v>
      </c>
      <c r="AH27" s="88">
        <f t="shared" si="2"/>
        <v>0</v>
      </c>
      <c r="AI27" s="88">
        <f t="shared" si="2"/>
        <v>0</v>
      </c>
      <c r="AJ27" s="88">
        <f t="shared" si="2"/>
        <v>0</v>
      </c>
      <c r="AK27" s="88">
        <f t="shared" si="2"/>
        <v>0</v>
      </c>
      <c r="AL27" s="88">
        <f t="shared" si="2"/>
        <v>0</v>
      </c>
      <c r="AM27" s="88">
        <f t="shared" si="2"/>
        <v>0</v>
      </c>
      <c r="AN27" s="88">
        <f t="shared" si="2"/>
        <v>0</v>
      </c>
      <c r="AO27" s="88">
        <f t="shared" si="2"/>
        <v>0</v>
      </c>
      <c r="AP27" s="88">
        <f t="shared" si="2"/>
        <v>0</v>
      </c>
      <c r="AQ27" s="88">
        <f t="shared" si="2"/>
        <v>0</v>
      </c>
      <c r="AR27" s="88">
        <f t="shared" si="2"/>
        <v>0</v>
      </c>
      <c r="AS27" s="88">
        <f t="shared" si="2"/>
        <v>0</v>
      </c>
      <c r="AT27" s="88">
        <f t="shared" si="2"/>
        <v>0</v>
      </c>
      <c r="AU27" s="88">
        <f t="shared" si="2"/>
        <v>0</v>
      </c>
      <c r="AV27" s="88">
        <f t="shared" si="2"/>
        <v>0</v>
      </c>
      <c r="AW27" s="88">
        <f t="shared" si="2"/>
        <v>0</v>
      </c>
      <c r="AX27" s="88">
        <f t="shared" si="2"/>
        <v>0</v>
      </c>
      <c r="AY27" s="88">
        <f t="shared" si="2"/>
        <v>0</v>
      </c>
      <c r="AZ27" s="88">
        <f t="shared" si="2"/>
        <v>0</v>
      </c>
    </row>
    <row r="28" spans="2:58" s="86" customFormat="1">
      <c r="B28" s="155" t="str">
        <f>VLOOKUP("T.04.12", Translation,IF(Language="DE",2,IF(Language="FR",3,4)),FALSE)</f>
        <v>bis 1.01.2024 gesprochene Teuerungszulagen</v>
      </c>
      <c r="C28" s="88">
        <f>UVG_Input_Data!$D$16 *UVG_Input_Data!C29</f>
        <v>0</v>
      </c>
      <c r="D28" s="88">
        <f>UVG_Input_Data!$D$16 *UVG_Input_Data!D29</f>
        <v>0</v>
      </c>
      <c r="E28" s="88">
        <f>UVG_Input_Data!$D$16 *UVG_Input_Data!E29</f>
        <v>0</v>
      </c>
      <c r="F28" s="88">
        <f>UVG_Input_Data!$D$16 *UVG_Input_Data!F29</f>
        <v>0</v>
      </c>
      <c r="G28" s="88">
        <f>UVG_Input_Data!$D$16 *UVG_Input_Data!G29</f>
        <v>0</v>
      </c>
      <c r="H28" s="88">
        <f>UVG_Input_Data!$D$16 *UVG_Input_Data!H29</f>
        <v>0</v>
      </c>
      <c r="I28" s="88">
        <f>UVG_Input_Data!$D$16 *UVG_Input_Data!I29</f>
        <v>0</v>
      </c>
      <c r="J28" s="88">
        <f>UVG_Input_Data!$D$16 *UVG_Input_Data!J29</f>
        <v>0</v>
      </c>
      <c r="K28" s="88">
        <f>UVG_Input_Data!$D$16 *UVG_Input_Data!K29</f>
        <v>0</v>
      </c>
      <c r="L28" s="88">
        <f>UVG_Input_Data!$D$16 *UVG_Input_Data!L29</f>
        <v>0</v>
      </c>
      <c r="M28" s="88">
        <f>UVG_Input_Data!$D$16 *UVG_Input_Data!M29</f>
        <v>0</v>
      </c>
      <c r="N28" s="88">
        <f>UVG_Input_Data!$D$16 *UVG_Input_Data!N29</f>
        <v>0</v>
      </c>
      <c r="O28" s="88">
        <f>UVG_Input_Data!$D$16 *UVG_Input_Data!O29</f>
        <v>0</v>
      </c>
      <c r="P28" s="88">
        <f>UVG_Input_Data!$D$16 *UVG_Input_Data!P29</f>
        <v>0</v>
      </c>
      <c r="Q28" s="88">
        <f>UVG_Input_Data!$D$16 *UVG_Input_Data!Q29</f>
        <v>0</v>
      </c>
      <c r="R28" s="88">
        <f>UVG_Input_Data!$D$16 *UVG_Input_Data!R29</f>
        <v>0</v>
      </c>
      <c r="S28" s="88">
        <f>UVG_Input_Data!$D$16 *UVG_Input_Data!S29</f>
        <v>0</v>
      </c>
      <c r="T28" s="88">
        <f>UVG_Input_Data!$D$16 *UVG_Input_Data!T29</f>
        <v>0</v>
      </c>
      <c r="U28" s="88">
        <f>UVG_Input_Data!$D$16 *UVG_Input_Data!U29</f>
        <v>0</v>
      </c>
      <c r="V28" s="88">
        <f>UVG_Input_Data!$D$16 *UVG_Input_Data!V29</f>
        <v>0</v>
      </c>
      <c r="W28" s="88">
        <f>UVG_Input_Data!$D$16 *UVG_Input_Data!W29</f>
        <v>0</v>
      </c>
      <c r="X28" s="88">
        <f>UVG_Input_Data!$D$16 *UVG_Input_Data!X29</f>
        <v>0</v>
      </c>
      <c r="Y28" s="88">
        <f>UVG_Input_Data!$D$16 *UVG_Input_Data!Y29</f>
        <v>0</v>
      </c>
      <c r="Z28" s="88">
        <f>UVG_Input_Data!$D$16 *UVG_Input_Data!Z29</f>
        <v>0</v>
      </c>
      <c r="AA28" s="88">
        <f>UVG_Input_Data!$D$16 *UVG_Input_Data!AA29</f>
        <v>0</v>
      </c>
      <c r="AB28" s="88">
        <f>UVG_Input_Data!$D$16 *UVG_Input_Data!AB29</f>
        <v>0</v>
      </c>
      <c r="AC28" s="88">
        <f>UVG_Input_Data!$D$16 *UVG_Input_Data!AC29</f>
        <v>0</v>
      </c>
      <c r="AD28" s="88">
        <f>UVG_Input_Data!$D$16 *UVG_Input_Data!AD29</f>
        <v>0</v>
      </c>
      <c r="AE28" s="88">
        <f>UVG_Input_Data!$D$16 *UVG_Input_Data!AE29</f>
        <v>0</v>
      </c>
      <c r="AF28" s="88">
        <f>UVG_Input_Data!$D$16 *UVG_Input_Data!AF29</f>
        <v>0</v>
      </c>
      <c r="AG28" s="88">
        <f>UVG_Input_Data!$D$16 *UVG_Input_Data!AG29</f>
        <v>0</v>
      </c>
      <c r="AH28" s="88">
        <f>UVG_Input_Data!$D$16 *UVG_Input_Data!AH29</f>
        <v>0</v>
      </c>
      <c r="AI28" s="88">
        <f>UVG_Input_Data!$D$16 *UVG_Input_Data!AI29</f>
        <v>0</v>
      </c>
      <c r="AJ28" s="88">
        <f>UVG_Input_Data!$D$16 *UVG_Input_Data!AJ29</f>
        <v>0</v>
      </c>
      <c r="AK28" s="88">
        <f>UVG_Input_Data!$D$16 *UVG_Input_Data!AK29</f>
        <v>0</v>
      </c>
      <c r="AL28" s="88">
        <f>UVG_Input_Data!$D$16 *UVG_Input_Data!AL29</f>
        <v>0</v>
      </c>
      <c r="AM28" s="88">
        <f>UVG_Input_Data!$D$16 *UVG_Input_Data!AM29</f>
        <v>0</v>
      </c>
      <c r="AN28" s="88">
        <f>UVG_Input_Data!$D$16 *UVG_Input_Data!AN29</f>
        <v>0</v>
      </c>
      <c r="AO28" s="88">
        <f>UVG_Input_Data!$D$16 *UVG_Input_Data!AO29</f>
        <v>0</v>
      </c>
      <c r="AP28" s="88">
        <f>UVG_Input_Data!$D$16 *UVG_Input_Data!AP29</f>
        <v>0</v>
      </c>
      <c r="AQ28" s="88">
        <f>UVG_Input_Data!$D$16 *UVG_Input_Data!AQ29</f>
        <v>0</v>
      </c>
      <c r="AR28" s="88">
        <f>UVG_Input_Data!$D$16 *UVG_Input_Data!AR29</f>
        <v>0</v>
      </c>
      <c r="AS28" s="88">
        <f>UVG_Input_Data!$D$16 *UVG_Input_Data!AS29</f>
        <v>0</v>
      </c>
      <c r="AT28" s="88">
        <f>UVG_Input_Data!$D$16 *UVG_Input_Data!AT29</f>
        <v>0</v>
      </c>
      <c r="AU28" s="88">
        <f>UVG_Input_Data!$D$16 *UVG_Input_Data!AU29</f>
        <v>0</v>
      </c>
      <c r="AV28" s="88">
        <f>UVG_Input_Data!$D$16 *UVG_Input_Data!AV29</f>
        <v>0</v>
      </c>
      <c r="AW28" s="88">
        <f>UVG_Input_Data!$D$16 *UVG_Input_Data!AW29</f>
        <v>0</v>
      </c>
      <c r="AX28" s="88">
        <f>UVG_Input_Data!$D$16 *UVG_Input_Data!AX29</f>
        <v>0</v>
      </c>
      <c r="AY28" s="88">
        <f>UVG_Input_Data!$D$16 *UVG_Input_Data!AY29</f>
        <v>0</v>
      </c>
      <c r="AZ28" s="88">
        <f>UVG_Input_Data!$D$16 *UVG_Input_Data!AZ29</f>
        <v>0</v>
      </c>
    </row>
    <row r="29" spans="2:58" s="86" customFormat="1">
      <c r="B29" s="155" t="str">
        <f>VLOOKUP("T.04.13", Translation,IF(Language="DE",2,IF(Language="FR",3,4)),FALSE)</f>
        <v>ab 1.01.2024 zuerkannte Teuerungszulagen, davon</v>
      </c>
      <c r="C29" s="88">
        <f>SUM(C30:C31)</f>
        <v>0</v>
      </c>
      <c r="D29" s="88">
        <f t="shared" ref="D29:AZ29" si="3">SUM(D30:D31)</f>
        <v>0</v>
      </c>
      <c r="E29" s="88">
        <f t="shared" si="3"/>
        <v>0</v>
      </c>
      <c r="F29" s="88">
        <f t="shared" si="3"/>
        <v>0</v>
      </c>
      <c r="G29" s="88">
        <f t="shared" si="3"/>
        <v>0</v>
      </c>
      <c r="H29" s="88">
        <f t="shared" si="3"/>
        <v>0</v>
      </c>
      <c r="I29" s="88">
        <f t="shared" si="3"/>
        <v>0</v>
      </c>
      <c r="J29" s="88">
        <f t="shared" si="3"/>
        <v>0</v>
      </c>
      <c r="K29" s="88">
        <f t="shared" si="3"/>
        <v>0</v>
      </c>
      <c r="L29" s="88">
        <f t="shared" si="3"/>
        <v>0</v>
      </c>
      <c r="M29" s="88">
        <f t="shared" si="3"/>
        <v>0</v>
      </c>
      <c r="N29" s="88">
        <f t="shared" si="3"/>
        <v>0</v>
      </c>
      <c r="O29" s="88">
        <f t="shared" si="3"/>
        <v>0</v>
      </c>
      <c r="P29" s="88">
        <f t="shared" si="3"/>
        <v>0</v>
      </c>
      <c r="Q29" s="88">
        <f t="shared" si="3"/>
        <v>0</v>
      </c>
      <c r="R29" s="88">
        <f t="shared" si="3"/>
        <v>0</v>
      </c>
      <c r="S29" s="88">
        <f t="shared" si="3"/>
        <v>0</v>
      </c>
      <c r="T29" s="88">
        <f t="shared" si="3"/>
        <v>0</v>
      </c>
      <c r="U29" s="88">
        <f t="shared" si="3"/>
        <v>0</v>
      </c>
      <c r="V29" s="88">
        <f t="shared" si="3"/>
        <v>0</v>
      </c>
      <c r="W29" s="88">
        <f t="shared" si="3"/>
        <v>0</v>
      </c>
      <c r="X29" s="88">
        <f t="shared" si="3"/>
        <v>0</v>
      </c>
      <c r="Y29" s="88">
        <f t="shared" si="3"/>
        <v>0</v>
      </c>
      <c r="Z29" s="88">
        <f t="shared" si="3"/>
        <v>0</v>
      </c>
      <c r="AA29" s="88">
        <f t="shared" si="3"/>
        <v>0</v>
      </c>
      <c r="AB29" s="88">
        <f t="shared" si="3"/>
        <v>0</v>
      </c>
      <c r="AC29" s="88">
        <f t="shared" si="3"/>
        <v>0</v>
      </c>
      <c r="AD29" s="88">
        <f t="shared" si="3"/>
        <v>0</v>
      </c>
      <c r="AE29" s="88">
        <f t="shared" si="3"/>
        <v>0</v>
      </c>
      <c r="AF29" s="88">
        <f t="shared" si="3"/>
        <v>0</v>
      </c>
      <c r="AG29" s="88">
        <f t="shared" si="3"/>
        <v>0</v>
      </c>
      <c r="AH29" s="88">
        <f t="shared" si="3"/>
        <v>0</v>
      </c>
      <c r="AI29" s="88">
        <f t="shared" si="3"/>
        <v>0</v>
      </c>
      <c r="AJ29" s="88">
        <f t="shared" si="3"/>
        <v>0</v>
      </c>
      <c r="AK29" s="88">
        <f t="shared" si="3"/>
        <v>0</v>
      </c>
      <c r="AL29" s="88">
        <f t="shared" si="3"/>
        <v>0</v>
      </c>
      <c r="AM29" s="88">
        <f t="shared" si="3"/>
        <v>0</v>
      </c>
      <c r="AN29" s="88">
        <f t="shared" si="3"/>
        <v>0</v>
      </c>
      <c r="AO29" s="88">
        <f t="shared" si="3"/>
        <v>0</v>
      </c>
      <c r="AP29" s="88">
        <f t="shared" si="3"/>
        <v>0</v>
      </c>
      <c r="AQ29" s="88">
        <f t="shared" si="3"/>
        <v>0</v>
      </c>
      <c r="AR29" s="88">
        <f t="shared" si="3"/>
        <v>0</v>
      </c>
      <c r="AS29" s="88">
        <f t="shared" si="3"/>
        <v>0</v>
      </c>
      <c r="AT29" s="88">
        <f t="shared" si="3"/>
        <v>0</v>
      </c>
      <c r="AU29" s="88">
        <f t="shared" si="3"/>
        <v>0</v>
      </c>
      <c r="AV29" s="88">
        <f t="shared" si="3"/>
        <v>0</v>
      </c>
      <c r="AW29" s="88">
        <f t="shared" si="3"/>
        <v>0</v>
      </c>
      <c r="AX29" s="88">
        <f t="shared" si="3"/>
        <v>0</v>
      </c>
      <c r="AY29" s="88">
        <f t="shared" si="3"/>
        <v>0</v>
      </c>
      <c r="AZ29" s="88">
        <f t="shared" si="3"/>
        <v>0</v>
      </c>
    </row>
    <row r="30" spans="2:58" s="86" customFormat="1">
      <c r="B30" s="156" t="str">
        <f>VLOOKUP("T.04.14", Translation,IF(Language="DE",2,IF(Language="FR",3,4)),FALSE)</f>
        <v>für bisherigen Renten</v>
      </c>
      <c r="C30" s="183">
        <f>C24 *((1+ Inputparam!C28)^C23 - 1)</f>
        <v>0</v>
      </c>
      <c r="D30" s="183">
        <f>D24 *((1+ Inputparam!D28)^D23 - 1)</f>
        <v>0</v>
      </c>
      <c r="E30" s="183">
        <f>E24 *((1+ Inputparam!E28)^E23 - 1)</f>
        <v>0</v>
      </c>
      <c r="F30" s="183">
        <f>F24 *((1+ Inputparam!F28)^F23 - 1)</f>
        <v>0</v>
      </c>
      <c r="G30" s="183">
        <f>G24 *((1+ Inputparam!G28)^G23 - 1)</f>
        <v>0</v>
      </c>
      <c r="H30" s="183">
        <f>H24 *((1+ Inputparam!H28)^H23 - 1)</f>
        <v>0</v>
      </c>
      <c r="I30" s="183">
        <f>I24 *((1+ Inputparam!I28)^I23 - 1)</f>
        <v>0</v>
      </c>
      <c r="J30" s="183">
        <f>J24 *((1+ Inputparam!J28)^J23 - 1)</f>
        <v>0</v>
      </c>
      <c r="K30" s="183">
        <f>K24 *((1+ Inputparam!K28)^K23 - 1)</f>
        <v>0</v>
      </c>
      <c r="L30" s="183">
        <f>L24 *((1+ Inputparam!L28)^L23 - 1)</f>
        <v>0</v>
      </c>
      <c r="M30" s="183">
        <f>M24 *((1+ Inputparam!M28)^M23 - 1)</f>
        <v>0</v>
      </c>
      <c r="N30" s="183">
        <f>N24 *((1+ Inputparam!N28)^N23 - 1)</f>
        <v>0</v>
      </c>
      <c r="O30" s="183">
        <f>O24 *((1+ Inputparam!O28)^O23 - 1)</f>
        <v>0</v>
      </c>
      <c r="P30" s="183">
        <f>P24 *((1+ Inputparam!P28)^P23 - 1)</f>
        <v>0</v>
      </c>
      <c r="Q30" s="183">
        <f>Q24 *((1+ Inputparam!Q28)^Q23 - 1)</f>
        <v>0</v>
      </c>
      <c r="R30" s="183">
        <f>R24 *((1+ Inputparam!R28)^R23 - 1)</f>
        <v>0</v>
      </c>
      <c r="S30" s="183">
        <f>S24 *((1+ Inputparam!S28)^S23 - 1)</f>
        <v>0</v>
      </c>
      <c r="T30" s="183">
        <f>T24 *((1+ Inputparam!T28)^T23 - 1)</f>
        <v>0</v>
      </c>
      <c r="U30" s="183">
        <f>U24 *((1+ Inputparam!U28)^U23 - 1)</f>
        <v>0</v>
      </c>
      <c r="V30" s="183">
        <f>V24 *((1+ Inputparam!V28)^V23 - 1)</f>
        <v>0</v>
      </c>
      <c r="W30" s="183">
        <f>W24 *((1+ Inputparam!W28)^W23 - 1)</f>
        <v>0</v>
      </c>
      <c r="X30" s="183">
        <f>X24 *((1+ Inputparam!X28)^X23 - 1)</f>
        <v>0</v>
      </c>
      <c r="Y30" s="183">
        <f>Y24 *((1+ Inputparam!Y28)^Y23 - 1)</f>
        <v>0</v>
      </c>
      <c r="Z30" s="183">
        <f>Z24 *((1+ Inputparam!Z28)^Z23 - 1)</f>
        <v>0</v>
      </c>
      <c r="AA30" s="183">
        <f>AA24 *((1+ Inputparam!AA28)^AA23 - 1)</f>
        <v>0</v>
      </c>
      <c r="AB30" s="183">
        <f>AB24 *((1+ Inputparam!AB28)^AB23 - 1)</f>
        <v>0</v>
      </c>
      <c r="AC30" s="183">
        <f>AC24 *((1+ Inputparam!AC28)^AC23 - 1)</f>
        <v>0</v>
      </c>
      <c r="AD30" s="183">
        <f>AD24 *((1+ Inputparam!AD28)^AD23 - 1)</f>
        <v>0</v>
      </c>
      <c r="AE30" s="183">
        <f>AE24 *((1+ Inputparam!AE28)^AE23 - 1)</f>
        <v>0</v>
      </c>
      <c r="AF30" s="183">
        <f>AF24 *((1+ Inputparam!AF28)^AF23 - 1)</f>
        <v>0</v>
      </c>
      <c r="AG30" s="183">
        <f>AG24 *((1+ Inputparam!AG28)^AG23 - 1)</f>
        <v>0</v>
      </c>
      <c r="AH30" s="183">
        <f>AH24 *((1+ Inputparam!AH28)^AH23 - 1)</f>
        <v>0</v>
      </c>
      <c r="AI30" s="183">
        <f>AI24 *((1+ Inputparam!AI28)^AI23 - 1)</f>
        <v>0</v>
      </c>
      <c r="AJ30" s="183">
        <f>AJ24 *((1+ Inputparam!AJ28)^AJ23 - 1)</f>
        <v>0</v>
      </c>
      <c r="AK30" s="183">
        <f>AK24 *((1+ Inputparam!AK28)^AK23 - 1)</f>
        <v>0</v>
      </c>
      <c r="AL30" s="183">
        <f>AL24 *((1+ Inputparam!AL28)^AL23 - 1)</f>
        <v>0</v>
      </c>
      <c r="AM30" s="183">
        <f>AM24 *((1+ Inputparam!AM28)^AM23 - 1)</f>
        <v>0</v>
      </c>
      <c r="AN30" s="183">
        <f>AN24 *((1+ Inputparam!AN28)^AN23 - 1)</f>
        <v>0</v>
      </c>
      <c r="AO30" s="183">
        <f>AO24 *((1+ Inputparam!AO28)^AO23 - 1)</f>
        <v>0</v>
      </c>
      <c r="AP30" s="183">
        <f>AP24 *((1+ Inputparam!AP28)^AP23 - 1)</f>
        <v>0</v>
      </c>
      <c r="AQ30" s="183">
        <f>AQ24 *((1+ Inputparam!AQ28)^AQ23 - 1)</f>
        <v>0</v>
      </c>
      <c r="AR30" s="183">
        <f>AR24 *((1+ Inputparam!AR28)^AR23 - 1)</f>
        <v>0</v>
      </c>
      <c r="AS30" s="183">
        <f>AS24 *((1+ Inputparam!AS28)^AS23 - 1)</f>
        <v>0</v>
      </c>
      <c r="AT30" s="183">
        <f>AT24 *((1+ Inputparam!AT28)^AT23 - 1)</f>
        <v>0</v>
      </c>
      <c r="AU30" s="183">
        <f>AU24 *((1+ Inputparam!AU28)^AU23 - 1)</f>
        <v>0</v>
      </c>
      <c r="AV30" s="183">
        <f>AV24 *((1+ Inputparam!AV28)^AV23 - 1)</f>
        <v>0</v>
      </c>
      <c r="AW30" s="183">
        <f>AW24 *((1+ Inputparam!AW28)^AW23 - 1)</f>
        <v>0</v>
      </c>
      <c r="AX30" s="183">
        <f>AX24 *((1+ Inputparam!AX28)^AX23 - 1)</f>
        <v>0</v>
      </c>
      <c r="AY30" s="183">
        <f>AY24 *((1+ Inputparam!AY28)^AY23 - 1)</f>
        <v>0</v>
      </c>
      <c r="AZ30" s="183">
        <f>AZ24 *((1+ Inputparam!AZ28)^AZ23 - 1)</f>
        <v>0</v>
      </c>
    </row>
    <row r="31" spans="2:58" s="86" customFormat="1">
      <c r="B31" s="156" t="str">
        <f>VLOOKUP("T.04.15", Translation,IF(Language="DE",2,IF(Language="FR",3,4)),FALSE)</f>
        <v>für neue Renten</v>
      </c>
      <c r="C31" s="184">
        <f>C25 * ((1+ Inputparam!C28)^C23 - 1)</f>
        <v>0</v>
      </c>
      <c r="D31" s="184">
        <f>D25 * ((1+ Inputparam!D28)^D23 - 1)</f>
        <v>0</v>
      </c>
      <c r="E31" s="184">
        <f>E25 * ((1+ Inputparam!E28)^E23 - 1)</f>
        <v>0</v>
      </c>
      <c r="F31" s="184">
        <f>F25 * ((1+ Inputparam!F28)^F23 - 1)</f>
        <v>0</v>
      </c>
      <c r="G31" s="184">
        <f>G25 * ((1+ Inputparam!G28)^G23 - 1)</f>
        <v>0</v>
      </c>
      <c r="H31" s="184">
        <f>H25 * ((1+ Inputparam!H28)^H23 - 1)</f>
        <v>0</v>
      </c>
      <c r="I31" s="184">
        <f>I25 * ((1+ Inputparam!I28)^I23 - 1)</f>
        <v>0</v>
      </c>
      <c r="J31" s="184">
        <f>J25 * ((1+ Inputparam!J28)^J23 - 1)</f>
        <v>0</v>
      </c>
      <c r="K31" s="184">
        <f>K25 * ((1+ Inputparam!K28)^K23 - 1)</f>
        <v>0</v>
      </c>
      <c r="L31" s="184">
        <f>L25 * ((1+ Inputparam!L28)^L23 - 1)</f>
        <v>0</v>
      </c>
      <c r="M31" s="184">
        <f>M25 * ((1+ Inputparam!M28)^M23 - 1)</f>
        <v>0</v>
      </c>
      <c r="N31" s="184">
        <f>N25 * ((1+ Inputparam!N28)^N23 - 1)</f>
        <v>0</v>
      </c>
      <c r="O31" s="184">
        <f>O25 * ((1+ Inputparam!O28)^O23 - 1)</f>
        <v>0</v>
      </c>
      <c r="P31" s="184">
        <f>P25 * ((1+ Inputparam!P28)^P23 - 1)</f>
        <v>0</v>
      </c>
      <c r="Q31" s="184">
        <f>Q25 * ((1+ Inputparam!Q28)^Q23 - 1)</f>
        <v>0</v>
      </c>
      <c r="R31" s="184">
        <f>R25 * ((1+ Inputparam!R28)^R23 - 1)</f>
        <v>0</v>
      </c>
      <c r="S31" s="184">
        <f>S25 * ((1+ Inputparam!S28)^S23 - 1)</f>
        <v>0</v>
      </c>
      <c r="T31" s="184">
        <f>T25 * ((1+ Inputparam!T28)^T23 - 1)</f>
        <v>0</v>
      </c>
      <c r="U31" s="184">
        <f>U25 * ((1+ Inputparam!U28)^U23 - 1)</f>
        <v>0</v>
      </c>
      <c r="V31" s="184">
        <f>V25 * ((1+ Inputparam!V28)^V23 - 1)</f>
        <v>0</v>
      </c>
      <c r="W31" s="184">
        <f>W25 * ((1+ Inputparam!W28)^W23 - 1)</f>
        <v>0</v>
      </c>
      <c r="X31" s="184">
        <f>X25 * ((1+ Inputparam!X28)^X23 - 1)</f>
        <v>0</v>
      </c>
      <c r="Y31" s="184">
        <f>Y25 * ((1+ Inputparam!Y28)^Y23 - 1)</f>
        <v>0</v>
      </c>
      <c r="Z31" s="184">
        <f>Z25 * ((1+ Inputparam!Z28)^Z23 - 1)</f>
        <v>0</v>
      </c>
      <c r="AA31" s="184">
        <f>AA25 * ((1+ Inputparam!AA28)^AA23 - 1)</f>
        <v>0</v>
      </c>
      <c r="AB31" s="184">
        <f>AB25 * ((1+ Inputparam!AB28)^AB23 - 1)</f>
        <v>0</v>
      </c>
      <c r="AC31" s="184">
        <f>AC25 * ((1+ Inputparam!AC28)^AC23 - 1)</f>
        <v>0</v>
      </c>
      <c r="AD31" s="184">
        <f>AD25 * ((1+ Inputparam!AD28)^AD23 - 1)</f>
        <v>0</v>
      </c>
      <c r="AE31" s="184">
        <f>AE25 * ((1+ Inputparam!AE28)^AE23 - 1)</f>
        <v>0</v>
      </c>
      <c r="AF31" s="184">
        <f>AF25 * ((1+ Inputparam!AF28)^AF23 - 1)</f>
        <v>0</v>
      </c>
      <c r="AG31" s="184">
        <f>AG25 * ((1+ Inputparam!AG28)^AG23 - 1)</f>
        <v>0</v>
      </c>
      <c r="AH31" s="184">
        <f>AH25 * ((1+ Inputparam!AH28)^AH23 - 1)</f>
        <v>0</v>
      </c>
      <c r="AI31" s="184">
        <f>AI25 * ((1+ Inputparam!AI28)^AI23 - 1)</f>
        <v>0</v>
      </c>
      <c r="AJ31" s="184">
        <f>AJ25 * ((1+ Inputparam!AJ28)^AJ23 - 1)</f>
        <v>0</v>
      </c>
      <c r="AK31" s="184">
        <f>AK25 * ((1+ Inputparam!AK28)^AK23 - 1)</f>
        <v>0</v>
      </c>
      <c r="AL31" s="184">
        <f>AL25 * ((1+ Inputparam!AL28)^AL23 - 1)</f>
        <v>0</v>
      </c>
      <c r="AM31" s="184">
        <f>AM25 * ((1+ Inputparam!AM28)^AM23 - 1)</f>
        <v>0</v>
      </c>
      <c r="AN31" s="184">
        <f>AN25 * ((1+ Inputparam!AN28)^AN23 - 1)</f>
        <v>0</v>
      </c>
      <c r="AO31" s="184">
        <f>AO25 * ((1+ Inputparam!AO28)^AO23 - 1)</f>
        <v>0</v>
      </c>
      <c r="AP31" s="184">
        <f>AP25 * ((1+ Inputparam!AP28)^AP23 - 1)</f>
        <v>0</v>
      </c>
      <c r="AQ31" s="184">
        <f>AQ25 * ((1+ Inputparam!AQ28)^AQ23 - 1)</f>
        <v>0</v>
      </c>
      <c r="AR31" s="184">
        <f>AR25 * ((1+ Inputparam!AR28)^AR23 - 1)</f>
        <v>0</v>
      </c>
      <c r="AS31" s="184">
        <f>AS25 * ((1+ Inputparam!AS28)^AS23 - 1)</f>
        <v>0</v>
      </c>
      <c r="AT31" s="184">
        <f>AT25 * ((1+ Inputparam!AT28)^AT23 - 1)</f>
        <v>0</v>
      </c>
      <c r="AU31" s="184">
        <f>AU25 * ((1+ Inputparam!AU28)^AU23 - 1)</f>
        <v>0</v>
      </c>
      <c r="AV31" s="184">
        <f>AV25 * ((1+ Inputparam!AV28)^AV23 - 1)</f>
        <v>0</v>
      </c>
      <c r="AW31" s="184">
        <f>AW25 * ((1+ Inputparam!AW28)^AW23 - 1)</f>
        <v>0</v>
      </c>
      <c r="AX31" s="184">
        <f>AX25 * ((1+ Inputparam!AX28)^AX23 - 1)</f>
        <v>0</v>
      </c>
      <c r="AY31" s="184">
        <f>AY25 * ((1+ Inputparam!AY28)^AY23 - 1)</f>
        <v>0</v>
      </c>
      <c r="AZ31" s="184">
        <f>AZ25 * ((1+ Inputparam!AZ28)^AZ23 - 1)</f>
        <v>0</v>
      </c>
    </row>
    <row r="32" spans="2:58" s="94" customFormat="1" ht="4.5" customHeight="1">
      <c r="B32" s="157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</row>
    <row r="33" spans="1:58" s="86" customFormat="1">
      <c r="B33" s="87" t="str">
        <f>VLOOKUP("T.04.16", Translation,IF(Language="DE",2,IF(Language="FR",3,4)),FALSE)</f>
        <v>Zinseinnahmen, davon</v>
      </c>
      <c r="C33" s="88">
        <f ca="1">SUM(C34:C36)</f>
        <v>0</v>
      </c>
      <c r="D33" s="88">
        <f t="shared" ref="D33:AZ33" ca="1" si="4">SUM(D34:D36)</f>
        <v>0</v>
      </c>
      <c r="E33" s="88">
        <f t="shared" ca="1" si="4"/>
        <v>0</v>
      </c>
      <c r="F33" s="88">
        <f t="shared" ca="1" si="4"/>
        <v>0</v>
      </c>
      <c r="G33" s="88">
        <f t="shared" ca="1" si="4"/>
        <v>0</v>
      </c>
      <c r="H33" s="88">
        <f t="shared" ca="1" si="4"/>
        <v>0</v>
      </c>
      <c r="I33" s="88">
        <f t="shared" ca="1" si="4"/>
        <v>0</v>
      </c>
      <c r="J33" s="88">
        <f t="shared" ca="1" si="4"/>
        <v>0</v>
      </c>
      <c r="K33" s="88">
        <f t="shared" ca="1" si="4"/>
        <v>0</v>
      </c>
      <c r="L33" s="88">
        <f t="shared" ca="1" si="4"/>
        <v>0</v>
      </c>
      <c r="M33" s="88">
        <f t="shared" ca="1" si="4"/>
        <v>0</v>
      </c>
      <c r="N33" s="88">
        <f t="shared" ca="1" si="4"/>
        <v>0</v>
      </c>
      <c r="O33" s="88">
        <f t="shared" ca="1" si="4"/>
        <v>0</v>
      </c>
      <c r="P33" s="88">
        <f t="shared" ca="1" si="4"/>
        <v>0</v>
      </c>
      <c r="Q33" s="88">
        <f t="shared" ca="1" si="4"/>
        <v>0</v>
      </c>
      <c r="R33" s="88">
        <f t="shared" ca="1" si="4"/>
        <v>0</v>
      </c>
      <c r="S33" s="88">
        <f t="shared" ca="1" si="4"/>
        <v>0</v>
      </c>
      <c r="T33" s="88">
        <f t="shared" ca="1" si="4"/>
        <v>0</v>
      </c>
      <c r="U33" s="88">
        <f t="shared" ca="1" si="4"/>
        <v>0</v>
      </c>
      <c r="V33" s="88">
        <f t="shared" ca="1" si="4"/>
        <v>0</v>
      </c>
      <c r="W33" s="88">
        <f t="shared" ca="1" si="4"/>
        <v>0</v>
      </c>
      <c r="X33" s="88">
        <f t="shared" ca="1" si="4"/>
        <v>0</v>
      </c>
      <c r="Y33" s="88">
        <f t="shared" ca="1" si="4"/>
        <v>0</v>
      </c>
      <c r="Z33" s="88">
        <f t="shared" ca="1" si="4"/>
        <v>0</v>
      </c>
      <c r="AA33" s="88">
        <f t="shared" ca="1" si="4"/>
        <v>0</v>
      </c>
      <c r="AB33" s="88">
        <f t="shared" ca="1" si="4"/>
        <v>0</v>
      </c>
      <c r="AC33" s="88">
        <f t="shared" ca="1" si="4"/>
        <v>0</v>
      </c>
      <c r="AD33" s="88">
        <f t="shared" ca="1" si="4"/>
        <v>0</v>
      </c>
      <c r="AE33" s="88">
        <f t="shared" ca="1" si="4"/>
        <v>0</v>
      </c>
      <c r="AF33" s="88">
        <f t="shared" ca="1" si="4"/>
        <v>0</v>
      </c>
      <c r="AG33" s="88">
        <f t="shared" ca="1" si="4"/>
        <v>0</v>
      </c>
      <c r="AH33" s="88">
        <f t="shared" ca="1" si="4"/>
        <v>0</v>
      </c>
      <c r="AI33" s="88">
        <f t="shared" ca="1" si="4"/>
        <v>0</v>
      </c>
      <c r="AJ33" s="88">
        <f t="shared" ca="1" si="4"/>
        <v>0</v>
      </c>
      <c r="AK33" s="88">
        <f t="shared" ca="1" si="4"/>
        <v>0</v>
      </c>
      <c r="AL33" s="88">
        <f t="shared" ca="1" si="4"/>
        <v>0</v>
      </c>
      <c r="AM33" s="88">
        <f t="shared" ca="1" si="4"/>
        <v>0</v>
      </c>
      <c r="AN33" s="88">
        <f t="shared" ca="1" si="4"/>
        <v>0</v>
      </c>
      <c r="AO33" s="88">
        <f t="shared" ca="1" si="4"/>
        <v>0</v>
      </c>
      <c r="AP33" s="88">
        <f t="shared" ca="1" si="4"/>
        <v>0</v>
      </c>
      <c r="AQ33" s="88">
        <f t="shared" ca="1" si="4"/>
        <v>0</v>
      </c>
      <c r="AR33" s="88">
        <f t="shared" ca="1" si="4"/>
        <v>0</v>
      </c>
      <c r="AS33" s="88">
        <f t="shared" ca="1" si="4"/>
        <v>0</v>
      </c>
      <c r="AT33" s="88">
        <f t="shared" ca="1" si="4"/>
        <v>0</v>
      </c>
      <c r="AU33" s="88">
        <f t="shared" ca="1" si="4"/>
        <v>0</v>
      </c>
      <c r="AV33" s="88">
        <f t="shared" ca="1" si="4"/>
        <v>0</v>
      </c>
      <c r="AW33" s="88">
        <f t="shared" ca="1" si="4"/>
        <v>0</v>
      </c>
      <c r="AX33" s="88">
        <f t="shared" ca="1" si="4"/>
        <v>0</v>
      </c>
      <c r="AY33" s="88">
        <f t="shared" ca="1" si="4"/>
        <v>0</v>
      </c>
      <c r="AZ33" s="88">
        <f t="shared" ca="1" si="4"/>
        <v>0</v>
      </c>
    </row>
    <row r="34" spans="1:58" s="86" customFormat="1">
      <c r="B34" s="125" t="str">
        <f>VLOOKUP("T.04.17", Translation,IF(Language="DE",2,IF(Language="FR",3,4)),FALSE)</f>
        <v>Zinsüberschüsse</v>
      </c>
      <c r="C34" s="88">
        <f>(Inputparam!C22 - Inputparam!$C$33)*C45</f>
        <v>0</v>
      </c>
      <c r="D34" s="88">
        <f ca="1">(Inputparam!D22 - Inputparam!$C$33)*D45</f>
        <v>0</v>
      </c>
      <c r="E34" s="88">
        <f ca="1">(Inputparam!E22 - Inputparam!$C$33)*E45</f>
        <v>0</v>
      </c>
      <c r="F34" s="88">
        <f ca="1">(Inputparam!F22 - Inputparam!$C$33)*F45</f>
        <v>0</v>
      </c>
      <c r="G34" s="88">
        <f ca="1">(Inputparam!G22 - Inputparam!$C$33)*G45</f>
        <v>0</v>
      </c>
      <c r="H34" s="88">
        <f ca="1">(Inputparam!H22 - Inputparam!$C$33)*H45</f>
        <v>0</v>
      </c>
      <c r="I34" s="88">
        <f ca="1">(Inputparam!I22 - Inputparam!$C$33)*I45</f>
        <v>0</v>
      </c>
      <c r="J34" s="88">
        <f ca="1">(Inputparam!J22 - Inputparam!$C$33)*J45</f>
        <v>0</v>
      </c>
      <c r="K34" s="88">
        <f ca="1">(Inputparam!K22 - Inputparam!$C$33)*K45</f>
        <v>0</v>
      </c>
      <c r="L34" s="88">
        <f ca="1">(Inputparam!L22 - Inputparam!$C$33)*L45</f>
        <v>0</v>
      </c>
      <c r="M34" s="88">
        <f ca="1">(Inputparam!M22 - Inputparam!$C$33)*M45</f>
        <v>0</v>
      </c>
      <c r="N34" s="88">
        <f ca="1">(Inputparam!N22 - Inputparam!$C$33)*N45</f>
        <v>0</v>
      </c>
      <c r="O34" s="88">
        <f ca="1">(Inputparam!O22 - Inputparam!$C$33)*O45</f>
        <v>0</v>
      </c>
      <c r="P34" s="88">
        <f ca="1">(Inputparam!P22 - Inputparam!$C$33)*P45</f>
        <v>0</v>
      </c>
      <c r="Q34" s="88">
        <f ca="1">(Inputparam!Q22 - Inputparam!$C$33)*Q45</f>
        <v>0</v>
      </c>
      <c r="R34" s="88">
        <f ca="1">(Inputparam!R22 - Inputparam!$C$33)*R45</f>
        <v>0</v>
      </c>
      <c r="S34" s="88">
        <f ca="1">(Inputparam!S22 - Inputparam!$C$33)*S45</f>
        <v>0</v>
      </c>
      <c r="T34" s="88">
        <f ca="1">(Inputparam!T22 - Inputparam!$C$33)*T45</f>
        <v>0</v>
      </c>
      <c r="U34" s="88">
        <f ca="1">(Inputparam!U22 - Inputparam!$C$33)*U45</f>
        <v>0</v>
      </c>
      <c r="V34" s="88">
        <f ca="1">(Inputparam!V22 - Inputparam!$C$33)*V45</f>
        <v>0</v>
      </c>
      <c r="W34" s="88">
        <f ca="1">(Inputparam!W22 - Inputparam!$C$33)*W45</f>
        <v>0</v>
      </c>
      <c r="X34" s="88">
        <f ca="1">(Inputparam!X22 - Inputparam!$C$33)*X45</f>
        <v>0</v>
      </c>
      <c r="Y34" s="88">
        <f ca="1">(Inputparam!Y22 - Inputparam!$C$33)*Y45</f>
        <v>0</v>
      </c>
      <c r="Z34" s="88">
        <f ca="1">(Inputparam!Z22 - Inputparam!$C$33)*Z45</f>
        <v>0</v>
      </c>
      <c r="AA34" s="88">
        <f ca="1">(Inputparam!AA22 - Inputparam!$C$33)*AA45</f>
        <v>0</v>
      </c>
      <c r="AB34" s="88">
        <f ca="1">(Inputparam!AB22 - Inputparam!$C$33)*AB45</f>
        <v>0</v>
      </c>
      <c r="AC34" s="88">
        <f ca="1">(Inputparam!AC22 - Inputparam!$C$33)*AC45</f>
        <v>0</v>
      </c>
      <c r="AD34" s="88">
        <f ca="1">(Inputparam!AD22 - Inputparam!$C$33)*AD45</f>
        <v>0</v>
      </c>
      <c r="AE34" s="88">
        <f ca="1">(Inputparam!AE22 - Inputparam!$C$33)*AE45</f>
        <v>0</v>
      </c>
      <c r="AF34" s="88">
        <f ca="1">(Inputparam!AF22 - Inputparam!$C$33)*AF45</f>
        <v>0</v>
      </c>
      <c r="AG34" s="88">
        <f ca="1">(Inputparam!AG22 - Inputparam!$C$33)*AG45</f>
        <v>0</v>
      </c>
      <c r="AH34" s="88">
        <f ca="1">(Inputparam!AH22 - Inputparam!$C$33)*AH45</f>
        <v>0</v>
      </c>
      <c r="AI34" s="88">
        <f ca="1">(Inputparam!AI22 - Inputparam!$C$33)*AI45</f>
        <v>0</v>
      </c>
      <c r="AJ34" s="88">
        <f ca="1">(Inputparam!AJ22 - Inputparam!$C$33)*AJ45</f>
        <v>0</v>
      </c>
      <c r="AK34" s="88">
        <f ca="1">(Inputparam!AK22 - Inputparam!$C$33)*AK45</f>
        <v>0</v>
      </c>
      <c r="AL34" s="88">
        <f ca="1">(Inputparam!AL22 - Inputparam!$C$33)*AL45</f>
        <v>0</v>
      </c>
      <c r="AM34" s="88">
        <f ca="1">(Inputparam!AM22 - Inputparam!$C$33)*AM45</f>
        <v>0</v>
      </c>
      <c r="AN34" s="88">
        <f ca="1">(Inputparam!AN22 - Inputparam!$C$33)*AN45</f>
        <v>0</v>
      </c>
      <c r="AO34" s="88">
        <f ca="1">(Inputparam!AO22 - Inputparam!$C$33)*AO45</f>
        <v>0</v>
      </c>
      <c r="AP34" s="88">
        <f ca="1">(Inputparam!AP22 - Inputparam!$C$33)*AP45</f>
        <v>0</v>
      </c>
      <c r="AQ34" s="88">
        <f ca="1">(Inputparam!AQ22 - Inputparam!$C$33)*AQ45</f>
        <v>0</v>
      </c>
      <c r="AR34" s="88">
        <f ca="1">(Inputparam!AR22 - Inputparam!$C$33)*AR45</f>
        <v>0</v>
      </c>
      <c r="AS34" s="88">
        <f ca="1">(Inputparam!AS22 - Inputparam!$C$33)*AS45</f>
        <v>0</v>
      </c>
      <c r="AT34" s="88">
        <f ca="1">(Inputparam!AT22 - Inputparam!$C$33)*AT45</f>
        <v>0</v>
      </c>
      <c r="AU34" s="88">
        <f ca="1">(Inputparam!AU22 - Inputparam!$C$33)*AU45</f>
        <v>0</v>
      </c>
      <c r="AV34" s="88">
        <f ca="1">(Inputparam!AV22 - Inputparam!$C$33)*AV45</f>
        <v>0</v>
      </c>
      <c r="AW34" s="88">
        <f ca="1">(Inputparam!AW22 - Inputparam!$C$33)*AW45</f>
        <v>0</v>
      </c>
      <c r="AX34" s="88">
        <f ca="1">(Inputparam!AX22 - Inputparam!$C$33)*AX45</f>
        <v>0</v>
      </c>
      <c r="AY34" s="88">
        <f ca="1">(Inputparam!AY22 - Inputparam!$C$33)*AY45</f>
        <v>0</v>
      </c>
      <c r="AZ34" s="88">
        <f ca="1">(Inputparam!AZ22 - Inputparam!$C$33)*AZ45</f>
        <v>0</v>
      </c>
    </row>
    <row r="35" spans="1:58" s="86" customFormat="1">
      <c r="B35" s="125" t="str">
        <f>VLOOKUP("T.04.18", Translation,IF(Language="DE",2,IF(Language="FR",3,4)),FALSE)</f>
        <v>Zusatzfinanzierung</v>
      </c>
      <c r="C35" s="88">
        <f ca="1">MAX(Inputparam!C22 + 0.01,0) * SUM(C48:C49)</f>
        <v>0</v>
      </c>
      <c r="D35" s="88">
        <f ca="1">MAX(Inputparam!D22 + 0.01,0) * SUM(D48:D49)</f>
        <v>0</v>
      </c>
      <c r="E35" s="88">
        <f ca="1">MAX(Inputparam!E22 + 0.01,0) * SUM(E48:E49)</f>
        <v>0</v>
      </c>
      <c r="F35" s="88">
        <f ca="1">MAX(Inputparam!F22 + 0.01,0) * SUM(F48:F49)</f>
        <v>0</v>
      </c>
      <c r="G35" s="88">
        <f ca="1">MAX(Inputparam!G22 + 0.01,0) * SUM(G48:G49)</f>
        <v>0</v>
      </c>
      <c r="H35" s="88">
        <f ca="1">MAX(Inputparam!H22 + 0.01,0) * SUM(H48:H49)</f>
        <v>0</v>
      </c>
      <c r="I35" s="88">
        <f ca="1">MAX(Inputparam!I22 + 0.01,0) * SUM(I48:I49)</f>
        <v>0</v>
      </c>
      <c r="J35" s="88">
        <f ca="1">MAX(Inputparam!J22 + 0.01,0) * SUM(J48:J49)</f>
        <v>0</v>
      </c>
      <c r="K35" s="88">
        <f ca="1">MAX(Inputparam!K22 + 0.01,0) * SUM(K48:K49)</f>
        <v>0</v>
      </c>
      <c r="L35" s="88">
        <f ca="1">MAX(Inputparam!L22 + 0.01,0) * SUM(L48:L49)</f>
        <v>0</v>
      </c>
      <c r="M35" s="88">
        <f ca="1">MAX(Inputparam!M22 + 0.01,0) * SUM(M48:M49)</f>
        <v>0</v>
      </c>
      <c r="N35" s="88">
        <f ca="1">MAX(Inputparam!N22 + 0.01,0) * SUM(N48:N49)</f>
        <v>0</v>
      </c>
      <c r="O35" s="88">
        <f ca="1">MAX(Inputparam!O22 + 0.01,0) * SUM(O48:O49)</f>
        <v>0</v>
      </c>
      <c r="P35" s="88">
        <f ca="1">MAX(Inputparam!P22 + 0.01,0) * SUM(P48:P49)</f>
        <v>0</v>
      </c>
      <c r="Q35" s="88">
        <f ca="1">MAX(Inputparam!Q22 + 0.01,0) * SUM(Q48:Q49)</f>
        <v>0</v>
      </c>
      <c r="R35" s="88">
        <f ca="1">MAX(Inputparam!R22 + 0.01,0) * SUM(R48:R49)</f>
        <v>0</v>
      </c>
      <c r="S35" s="88">
        <f ca="1">MAX(Inputparam!S22 + 0.01,0) * SUM(S48:S49)</f>
        <v>0</v>
      </c>
      <c r="T35" s="88">
        <f ca="1">MAX(Inputparam!T22 + 0.01,0) * SUM(T48:T49)</f>
        <v>0</v>
      </c>
      <c r="U35" s="88">
        <f ca="1">MAX(Inputparam!U22 + 0.01,0) * SUM(U48:U49)</f>
        <v>0</v>
      </c>
      <c r="V35" s="88">
        <f ca="1">MAX(Inputparam!V22 + 0.01,0) * SUM(V48:V49)</f>
        <v>0</v>
      </c>
      <c r="W35" s="88">
        <f ca="1">MAX(Inputparam!W22 + 0.01,0) * SUM(W48:W49)</f>
        <v>0</v>
      </c>
      <c r="X35" s="88">
        <f ca="1">MAX(Inputparam!X22 + 0.01,0) * SUM(X48:X49)</f>
        <v>0</v>
      </c>
      <c r="Y35" s="88">
        <f ca="1">MAX(Inputparam!Y22 + 0.01,0) * SUM(Y48:Y49)</f>
        <v>0</v>
      </c>
      <c r="Z35" s="88">
        <f ca="1">MAX(Inputparam!Z22 + 0.01,0) * SUM(Z48:Z49)</f>
        <v>0</v>
      </c>
      <c r="AA35" s="88">
        <f ca="1">MAX(Inputparam!AA22 + 0.01,0) * SUM(AA48:AA49)</f>
        <v>0</v>
      </c>
      <c r="AB35" s="88">
        <f ca="1">MAX(Inputparam!AB22 + 0.01,0) * SUM(AB48:AB49)</f>
        <v>0</v>
      </c>
      <c r="AC35" s="88">
        <f ca="1">MAX(Inputparam!AC22 + 0.01,0) * SUM(AC48:AC49)</f>
        <v>0</v>
      </c>
      <c r="AD35" s="88">
        <f ca="1">MAX(Inputparam!AD22 + 0.01,0) * SUM(AD48:AD49)</f>
        <v>0</v>
      </c>
      <c r="AE35" s="88">
        <f ca="1">MAX(Inputparam!AE22 + 0.01,0) * SUM(AE48:AE49)</f>
        <v>0</v>
      </c>
      <c r="AF35" s="88">
        <f ca="1">MAX(Inputparam!AF22 + 0.01,0) * SUM(AF48:AF49)</f>
        <v>0</v>
      </c>
      <c r="AG35" s="88">
        <f ca="1">MAX(Inputparam!AG22 + 0.01,0) * SUM(AG48:AG49)</f>
        <v>0</v>
      </c>
      <c r="AH35" s="88">
        <f ca="1">MAX(Inputparam!AH22 + 0.01,0) * SUM(AH48:AH49)</f>
        <v>0</v>
      </c>
      <c r="AI35" s="88">
        <f ca="1">MAX(Inputparam!AI22 + 0.01,0) * SUM(AI48:AI49)</f>
        <v>0</v>
      </c>
      <c r="AJ35" s="88">
        <f ca="1">MAX(Inputparam!AJ22 + 0.01,0) * SUM(AJ48:AJ49)</f>
        <v>0</v>
      </c>
      <c r="AK35" s="88">
        <f ca="1">MAX(Inputparam!AK22 + 0.01,0) * SUM(AK48:AK49)</f>
        <v>0</v>
      </c>
      <c r="AL35" s="88">
        <f ca="1">MAX(Inputparam!AL22 + 0.01,0) * SUM(AL48:AL49)</f>
        <v>0</v>
      </c>
      <c r="AM35" s="88">
        <f ca="1">MAX(Inputparam!AM22 + 0.01,0) * SUM(AM48:AM49)</f>
        <v>0</v>
      </c>
      <c r="AN35" s="88">
        <f ca="1">MAX(Inputparam!AN22 + 0.01,0) * SUM(AN48:AN49)</f>
        <v>0</v>
      </c>
      <c r="AO35" s="88">
        <f ca="1">MAX(Inputparam!AO22 + 0.01,0) * SUM(AO48:AO49)</f>
        <v>0</v>
      </c>
      <c r="AP35" s="88">
        <f ca="1">MAX(Inputparam!AP22 + 0.01,0) * SUM(AP48:AP49)</f>
        <v>0</v>
      </c>
      <c r="AQ35" s="88">
        <f ca="1">MAX(Inputparam!AQ22 + 0.01,0) * SUM(AQ48:AQ49)</f>
        <v>0</v>
      </c>
      <c r="AR35" s="88">
        <f ca="1">MAX(Inputparam!AR22 + 0.01,0) * SUM(AR48:AR49)</f>
        <v>0</v>
      </c>
      <c r="AS35" s="88">
        <f ca="1">MAX(Inputparam!AS22 + 0.01,0) * SUM(AS48:AS49)</f>
        <v>0</v>
      </c>
      <c r="AT35" s="88">
        <f ca="1">MAX(Inputparam!AT22 + 0.01,0) * SUM(AT48:AT49)</f>
        <v>0</v>
      </c>
      <c r="AU35" s="88">
        <f ca="1">MAX(Inputparam!AU22 + 0.01,0) * SUM(AU48:AU49)</f>
        <v>0</v>
      </c>
      <c r="AV35" s="88">
        <f ca="1">MAX(Inputparam!AV22 + 0.01,0) * SUM(AV48:AV49)</f>
        <v>0</v>
      </c>
      <c r="AW35" s="88">
        <f ca="1">MAX(Inputparam!AW22 + 0.01,0) * SUM(AW48:AW49)</f>
        <v>0</v>
      </c>
      <c r="AX35" s="88">
        <f ca="1">MAX(Inputparam!AX22 + 0.01,0) * SUM(AX48:AX49)</f>
        <v>0</v>
      </c>
      <c r="AY35" s="88">
        <f ca="1">MAX(Inputparam!AY22 + 0.01,0) * SUM(AY48:AY49)</f>
        <v>0</v>
      </c>
      <c r="AZ35" s="88">
        <f ca="1">MAX(Inputparam!AZ22 + 0.01,0) * SUM(AZ48:AZ49)</f>
        <v>0</v>
      </c>
    </row>
    <row r="36" spans="1:58" s="86" customFormat="1">
      <c r="B36" s="125" t="str">
        <f>VLOOKUP("T.04.19", Translation,IF(Language="DE",2,IF(Language="FR",3,4)),FALSE)</f>
        <v>Zinserträge auf Teuerungsfonds</v>
      </c>
      <c r="C36" s="88">
        <f>Inputparam!C22 *C50</f>
        <v>0</v>
      </c>
      <c r="D36" s="88">
        <f ca="1">Inputparam!D22 *D50</f>
        <v>0</v>
      </c>
      <c r="E36" s="88">
        <f ca="1">Inputparam!E22 *E50</f>
        <v>0</v>
      </c>
      <c r="F36" s="88">
        <f ca="1">Inputparam!F22 *F50</f>
        <v>0</v>
      </c>
      <c r="G36" s="88">
        <f ca="1">Inputparam!G22 *G50</f>
        <v>0</v>
      </c>
      <c r="H36" s="88">
        <f ca="1">Inputparam!H22 *H50</f>
        <v>0</v>
      </c>
      <c r="I36" s="88">
        <f ca="1">Inputparam!I22 *I50</f>
        <v>0</v>
      </c>
      <c r="J36" s="88">
        <f ca="1">Inputparam!J22 *J50</f>
        <v>0</v>
      </c>
      <c r="K36" s="88">
        <f ca="1">Inputparam!K22 *K50</f>
        <v>0</v>
      </c>
      <c r="L36" s="88">
        <f ca="1">Inputparam!L22 *L50</f>
        <v>0</v>
      </c>
      <c r="M36" s="88">
        <f ca="1">Inputparam!M22 *M50</f>
        <v>0</v>
      </c>
      <c r="N36" s="88">
        <f ca="1">Inputparam!N22 *N50</f>
        <v>0</v>
      </c>
      <c r="O36" s="88">
        <f ca="1">Inputparam!O22 *O50</f>
        <v>0</v>
      </c>
      <c r="P36" s="88">
        <f ca="1">Inputparam!P22 *P50</f>
        <v>0</v>
      </c>
      <c r="Q36" s="88">
        <f ca="1">Inputparam!Q22 *Q50</f>
        <v>0</v>
      </c>
      <c r="R36" s="88">
        <f ca="1">Inputparam!R22 *R50</f>
        <v>0</v>
      </c>
      <c r="S36" s="88">
        <f ca="1">Inputparam!S22 *S50</f>
        <v>0</v>
      </c>
      <c r="T36" s="88">
        <f ca="1">Inputparam!T22 *T50</f>
        <v>0</v>
      </c>
      <c r="U36" s="88">
        <f ca="1">Inputparam!U22 *U50</f>
        <v>0</v>
      </c>
      <c r="V36" s="88">
        <f ca="1">Inputparam!V22 *V50</f>
        <v>0</v>
      </c>
      <c r="W36" s="88">
        <f ca="1">Inputparam!W22 *W50</f>
        <v>0</v>
      </c>
      <c r="X36" s="88">
        <f ca="1">Inputparam!X22 *X50</f>
        <v>0</v>
      </c>
      <c r="Y36" s="88">
        <f ca="1">Inputparam!Y22 *Y50</f>
        <v>0</v>
      </c>
      <c r="Z36" s="88">
        <f ca="1">Inputparam!Z22 *Z50</f>
        <v>0</v>
      </c>
      <c r="AA36" s="88">
        <f ca="1">Inputparam!AA22 *AA50</f>
        <v>0</v>
      </c>
      <c r="AB36" s="88">
        <f ca="1">Inputparam!AB22 *AB50</f>
        <v>0</v>
      </c>
      <c r="AC36" s="88">
        <f ca="1">Inputparam!AC22 *AC50</f>
        <v>0</v>
      </c>
      <c r="AD36" s="88">
        <f ca="1">Inputparam!AD22 *AD50</f>
        <v>0</v>
      </c>
      <c r="AE36" s="88">
        <f ca="1">Inputparam!AE22 *AE50</f>
        <v>0</v>
      </c>
      <c r="AF36" s="88">
        <f ca="1">Inputparam!AF22 *AF50</f>
        <v>0</v>
      </c>
      <c r="AG36" s="88">
        <f ca="1">Inputparam!AG22 *AG50</f>
        <v>0</v>
      </c>
      <c r="AH36" s="88">
        <f ca="1">Inputparam!AH22 *AH50</f>
        <v>0</v>
      </c>
      <c r="AI36" s="88">
        <f ca="1">Inputparam!AI22 *AI50</f>
        <v>0</v>
      </c>
      <c r="AJ36" s="88">
        <f ca="1">Inputparam!AJ22 *AJ50</f>
        <v>0</v>
      </c>
      <c r="AK36" s="88">
        <f ca="1">Inputparam!AK22 *AK50</f>
        <v>0</v>
      </c>
      <c r="AL36" s="88">
        <f ca="1">Inputparam!AL22 *AL50</f>
        <v>0</v>
      </c>
      <c r="AM36" s="88">
        <f ca="1">Inputparam!AM22 *AM50</f>
        <v>0</v>
      </c>
      <c r="AN36" s="88">
        <f ca="1">Inputparam!AN22 *AN50</f>
        <v>0</v>
      </c>
      <c r="AO36" s="88">
        <f ca="1">Inputparam!AO22 *AO50</f>
        <v>0</v>
      </c>
      <c r="AP36" s="88">
        <f ca="1">Inputparam!AP22 *AP50</f>
        <v>0</v>
      </c>
      <c r="AQ36" s="88">
        <f ca="1">Inputparam!AQ22 *AQ50</f>
        <v>0</v>
      </c>
      <c r="AR36" s="88">
        <f ca="1">Inputparam!AR22 *AR50</f>
        <v>0</v>
      </c>
      <c r="AS36" s="88">
        <f ca="1">Inputparam!AS22 *AS50</f>
        <v>0</v>
      </c>
      <c r="AT36" s="88">
        <f ca="1">Inputparam!AT22 *AT50</f>
        <v>0</v>
      </c>
      <c r="AU36" s="88">
        <f ca="1">Inputparam!AU22 *AU50</f>
        <v>0</v>
      </c>
      <c r="AV36" s="88">
        <f ca="1">Inputparam!AV22 *AV50</f>
        <v>0</v>
      </c>
      <c r="AW36" s="88">
        <f ca="1">Inputparam!AW22 *AW50</f>
        <v>0</v>
      </c>
      <c r="AX36" s="88">
        <f ca="1">Inputparam!AX22 *AX50</f>
        <v>0</v>
      </c>
      <c r="AY36" s="88">
        <f ca="1">Inputparam!AY22 *AY50</f>
        <v>0</v>
      </c>
      <c r="AZ36" s="88">
        <f ca="1">Inputparam!AZ22 *AZ50</f>
        <v>0</v>
      </c>
    </row>
    <row r="37" spans="1:58" s="94" customFormat="1" ht="5.25" customHeight="1">
      <c r="B37" s="157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</row>
    <row r="38" spans="1:58" s="86" customFormat="1">
      <c r="B38" s="87" t="str">
        <f>VLOOKUP("T.04.20", Translation,IF(Language="DE",2,IF(Language="FR",3,4)),FALSE)</f>
        <v>Umlagebeiträge</v>
      </c>
      <c r="C38" s="89">
        <f xml:space="preserve"> - ABS(UVG_Input_Data!C31)</f>
        <v>0</v>
      </c>
      <c r="D38" s="89">
        <f xml:space="preserve"> - ABS(UVG_Input_Data!D31)</f>
        <v>0</v>
      </c>
      <c r="E38" s="89">
        <f xml:space="preserve"> - ABS(UVG_Input_Data!E31)</f>
        <v>0</v>
      </c>
      <c r="F38" s="89">
        <f xml:space="preserve"> - ABS(UVG_Input_Data!F31)</f>
        <v>0</v>
      </c>
      <c r="G38" s="89">
        <f xml:space="preserve"> - ABS(UVG_Input_Data!G31)</f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8" s="86" customFormat="1">
      <c r="B39" s="87" t="str">
        <f>VLOOKUP("T.04.21", Translation,IF(Language="DE",2,IF(Language="FR",3,4)),FALSE)</f>
        <v>Ausgleichszahlungen</v>
      </c>
      <c r="C39" s="88">
        <f ca="1">MIN(UVG_Input_Data!$C$33, C50 + C33 - C38 - C27)</f>
        <v>0</v>
      </c>
      <c r="D39" s="88">
        <f ca="1">MIN(UVG_Input_Data!$C$33, D50 + D33 - D38 - D27)</f>
        <v>0</v>
      </c>
      <c r="E39" s="88">
        <f ca="1">MIN(UVG_Input_Data!$C$33, E50 + E33 - E38 - E27)</f>
        <v>0</v>
      </c>
      <c r="F39" s="88">
        <f ca="1">MIN(UVG_Input_Data!$C$33, F50 + F33 - F38 - F27)</f>
        <v>0</v>
      </c>
      <c r="G39" s="88">
        <f ca="1">MIN(UVG_Input_Data!$C$33, G50 + G33 - G38 - G27)</f>
        <v>0</v>
      </c>
      <c r="H39" s="88">
        <f ca="1">MIN(UVG_Input_Data!$C$33, H50 + H33 - H27)</f>
        <v>0</v>
      </c>
      <c r="I39" s="88">
        <f ca="1">MIN(UVG_Input_Data!$C$33, I50 + I33 - I27)</f>
        <v>0</v>
      </c>
      <c r="J39" s="88">
        <f ca="1">MIN(UVG_Input_Data!$C$33, J50 + J33 - J27)</f>
        <v>0</v>
      </c>
      <c r="K39" s="88">
        <f ca="1">MIN(UVG_Input_Data!$C$33, K50 + K33 - K27)</f>
        <v>0</v>
      </c>
      <c r="L39" s="88">
        <f ca="1">MIN(UVG_Input_Data!$C$33, L50 + L33 - L27)</f>
        <v>0</v>
      </c>
      <c r="M39" s="88">
        <f ca="1">MIN(UVG_Input_Data!$C$33, M50 + M33 - M27)</f>
        <v>0</v>
      </c>
      <c r="N39" s="88">
        <f ca="1">MIN(UVG_Input_Data!$C$33, N50 + N33 - N27)</f>
        <v>0</v>
      </c>
      <c r="O39" s="88">
        <f ca="1">MIN(UVG_Input_Data!$C$33, O50 + O33 - O27)</f>
        <v>0</v>
      </c>
      <c r="P39" s="88">
        <f ca="1">MIN(UVG_Input_Data!$C$33, P50 + P33 - P27)</f>
        <v>0</v>
      </c>
      <c r="Q39" s="88">
        <f ca="1">MIN(UVG_Input_Data!$C$33, Q50 + Q33 - Q27)</f>
        <v>0</v>
      </c>
      <c r="R39" s="88">
        <f ca="1">MIN(UVG_Input_Data!$C$33, R50 + R33 - R27)</f>
        <v>0</v>
      </c>
      <c r="S39" s="88">
        <f ca="1">MIN(UVG_Input_Data!$C$33, S50 + S33 - S27)</f>
        <v>0</v>
      </c>
      <c r="T39" s="88">
        <f ca="1">MIN(UVG_Input_Data!$C$33, T50 + T33 - T27)</f>
        <v>0</v>
      </c>
      <c r="U39" s="88">
        <f ca="1">MIN(UVG_Input_Data!$C$33, U50 + U33 - U27)</f>
        <v>0</v>
      </c>
      <c r="V39" s="88">
        <f ca="1">MIN(UVG_Input_Data!$C$33, V50 + V33 - V27)</f>
        <v>0</v>
      </c>
      <c r="W39" s="88">
        <f ca="1">MIN(UVG_Input_Data!$C$33, W50 + W33 - W27)</f>
        <v>0</v>
      </c>
      <c r="X39" s="88">
        <f ca="1">MIN(UVG_Input_Data!$C$33, X50 + X33 - X27)</f>
        <v>0</v>
      </c>
      <c r="Y39" s="88">
        <f ca="1">MIN(UVG_Input_Data!$C$33, Y50 + Y33 - Y27)</f>
        <v>0</v>
      </c>
      <c r="Z39" s="88">
        <f ca="1">MIN(UVG_Input_Data!$C$33, Z50 + Z33 - Z27)</f>
        <v>0</v>
      </c>
      <c r="AA39" s="88">
        <f ca="1">MIN(UVG_Input_Data!$C$33, AA50 + AA33 - AA27)</f>
        <v>0</v>
      </c>
      <c r="AB39" s="88">
        <f ca="1">MIN(UVG_Input_Data!$C$33, AB50 + AB33 - AB27)</f>
        <v>0</v>
      </c>
      <c r="AC39" s="88">
        <f ca="1">MIN(UVG_Input_Data!$C$33, AC50 + AC33 - AC27)</f>
        <v>0</v>
      </c>
      <c r="AD39" s="88">
        <f ca="1">MIN(UVG_Input_Data!$C$33, AD50 + AD33 - AD27)</f>
        <v>0</v>
      </c>
      <c r="AE39" s="88">
        <f ca="1">MIN(UVG_Input_Data!$C$33, AE50 + AE33 - AE27)</f>
        <v>0</v>
      </c>
      <c r="AF39" s="88">
        <f ca="1">MIN(UVG_Input_Data!$C$33, AF50 + AF33 - AF27)</f>
        <v>0</v>
      </c>
      <c r="AG39" s="88">
        <f ca="1">MIN(UVG_Input_Data!$C$33, AG50 + AG33 - AG27)</f>
        <v>0</v>
      </c>
      <c r="AH39" s="88">
        <f ca="1">MIN(UVG_Input_Data!$C$33, AH50 + AH33 - AH27)</f>
        <v>0</v>
      </c>
      <c r="AI39" s="88">
        <f ca="1">MIN(UVG_Input_Data!$C$33, AI50 + AI33 - AI27)</f>
        <v>0</v>
      </c>
      <c r="AJ39" s="88">
        <f ca="1">MIN(UVG_Input_Data!$C$33, AJ50 + AJ33 - AJ27)</f>
        <v>0</v>
      </c>
      <c r="AK39" s="88">
        <f ca="1">MIN(UVG_Input_Data!$C$33, AK50 + AK33 - AK27)</f>
        <v>0</v>
      </c>
      <c r="AL39" s="88">
        <f ca="1">MIN(UVG_Input_Data!$C$33, AL50 + AL33 - AL27)</f>
        <v>0</v>
      </c>
      <c r="AM39" s="88">
        <f ca="1">MIN(UVG_Input_Data!$C$33, AM50 + AM33 - AM27)</f>
        <v>0</v>
      </c>
      <c r="AN39" s="88">
        <f ca="1">MIN(UVG_Input_Data!$C$33, AN50 + AN33 - AN27)</f>
        <v>0</v>
      </c>
      <c r="AO39" s="88">
        <f ca="1">MIN(UVG_Input_Data!$C$33, AO50 + AO33 - AO27)</f>
        <v>0</v>
      </c>
      <c r="AP39" s="88">
        <f ca="1">MIN(UVG_Input_Data!$C$33, AP50 + AP33 - AP27)</f>
        <v>0</v>
      </c>
      <c r="AQ39" s="88">
        <f ca="1">MIN(UVG_Input_Data!$C$33, AQ50 + AQ33 - AQ27)</f>
        <v>0</v>
      </c>
      <c r="AR39" s="88">
        <f ca="1">MIN(UVG_Input_Data!$C$33, AR50 + AR33 - AR27)</f>
        <v>0</v>
      </c>
      <c r="AS39" s="88">
        <f ca="1">MIN(UVG_Input_Data!$C$33, AS50 + AS33 - AS27)</f>
        <v>0</v>
      </c>
      <c r="AT39" s="88">
        <f ca="1">MIN(UVG_Input_Data!$C$33, AT50 + AT33 - AT27)</f>
        <v>0</v>
      </c>
      <c r="AU39" s="88">
        <f ca="1">MIN(UVG_Input_Data!$C$33, AU50 + AU33 - AU27)</f>
        <v>0</v>
      </c>
      <c r="AV39" s="88">
        <f ca="1">MIN(UVG_Input_Data!$C$33, AV50 + AV33 - AV27)</f>
        <v>0</v>
      </c>
      <c r="AW39" s="88">
        <f ca="1">MIN(UVG_Input_Data!$C$33, AW50 + AW33 - AW27)</f>
        <v>0</v>
      </c>
      <c r="AX39" s="88">
        <f ca="1">MIN(UVG_Input_Data!$C$33, AX50 + AX33 - AX27)</f>
        <v>0</v>
      </c>
      <c r="AY39" s="88">
        <f ca="1">MIN(UVG_Input_Data!$C$33, AY50 + AY33 - AY27)</f>
        <v>0</v>
      </c>
      <c r="AZ39" s="88">
        <f ca="1">MIN(UVG_Input_Data!$C$33, AZ50 + AZ33 - AZ27)</f>
        <v>0</v>
      </c>
    </row>
    <row r="40" spans="1:58" s="94" customFormat="1">
      <c r="B40" s="87" t="str">
        <f>VLOOKUP("T.04.22", Translation,IF(Language="DE",2,IF(Language="FR",3,4)),FALSE)</f>
        <v>Auszahlung des Teuerungsfonds am Ende der Abwicklung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 s="88">
        <f ca="1">MAX(AZ50 + AZ33 - AZ27 - UVG_Input_Data!$C$33, 0)</f>
        <v>0</v>
      </c>
    </row>
    <row r="41" spans="1:58">
      <c r="A41" s="32"/>
      <c r="B41" s="33"/>
    </row>
    <row r="42" spans="1:58" ht="15">
      <c r="B42" s="4" t="str">
        <f>VLOOKUP("T.04.24", Translation,IF(Language="DE",2,IF(Language="FR",3,4)),FALSE)</f>
        <v>Entwicklung der Verpflichtungen über die Zeit (in Mio. CHF; jeweils am Anfang des Jahres)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</row>
    <row r="43" spans="1:58" ht="15">
      <c r="B43" s="35"/>
      <c r="C43" s="30" t="str">
        <f>_start &amp; C44</f>
        <v>Anfang 2024</v>
      </c>
      <c r="D43" s="30" t="str">
        <f>_start &amp; D44</f>
        <v>Anfang 2025</v>
      </c>
      <c r="E43" s="30" t="str">
        <f>_start &amp; E44</f>
        <v>Anfang 2026</v>
      </c>
      <c r="F43" s="30" t="str">
        <f>_start &amp; F44</f>
        <v>Anfang 2027</v>
      </c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0" t="str">
        <f>_start &amp; AZ44</f>
        <v>Anfang 2073</v>
      </c>
    </row>
    <row r="44" spans="1:58" s="27" customFormat="1" ht="12.75" customHeight="1">
      <c r="B44" s="28"/>
      <c r="C44" s="85">
        <f t="shared" ref="C44:AH44" si="5">current_year +C23-1</f>
        <v>2024</v>
      </c>
      <c r="D44" s="85">
        <f t="shared" si="5"/>
        <v>2025</v>
      </c>
      <c r="E44" s="85">
        <f t="shared" si="5"/>
        <v>2026</v>
      </c>
      <c r="F44" s="85">
        <f t="shared" si="5"/>
        <v>2027</v>
      </c>
      <c r="G44" s="85">
        <f t="shared" si="5"/>
        <v>2028</v>
      </c>
      <c r="H44" s="85">
        <f t="shared" si="5"/>
        <v>2029</v>
      </c>
      <c r="I44" s="85">
        <f t="shared" si="5"/>
        <v>2030</v>
      </c>
      <c r="J44" s="85">
        <f t="shared" si="5"/>
        <v>2031</v>
      </c>
      <c r="K44" s="85">
        <f t="shared" si="5"/>
        <v>2032</v>
      </c>
      <c r="L44" s="85">
        <f t="shared" si="5"/>
        <v>2033</v>
      </c>
      <c r="M44" s="85">
        <f t="shared" si="5"/>
        <v>2034</v>
      </c>
      <c r="N44" s="85">
        <f t="shared" si="5"/>
        <v>2035</v>
      </c>
      <c r="O44" s="85">
        <f t="shared" si="5"/>
        <v>2036</v>
      </c>
      <c r="P44" s="85">
        <f t="shared" si="5"/>
        <v>2037</v>
      </c>
      <c r="Q44" s="85">
        <f t="shared" si="5"/>
        <v>2038</v>
      </c>
      <c r="R44" s="85">
        <f t="shared" si="5"/>
        <v>2039</v>
      </c>
      <c r="S44" s="85">
        <f t="shared" si="5"/>
        <v>2040</v>
      </c>
      <c r="T44" s="85">
        <f t="shared" si="5"/>
        <v>2041</v>
      </c>
      <c r="U44" s="85">
        <f t="shared" si="5"/>
        <v>2042</v>
      </c>
      <c r="V44" s="85">
        <f t="shared" si="5"/>
        <v>2043</v>
      </c>
      <c r="W44" s="85">
        <f t="shared" si="5"/>
        <v>2044</v>
      </c>
      <c r="X44" s="85">
        <f t="shared" si="5"/>
        <v>2045</v>
      </c>
      <c r="Y44" s="85">
        <f t="shared" si="5"/>
        <v>2046</v>
      </c>
      <c r="Z44" s="85">
        <f t="shared" si="5"/>
        <v>2047</v>
      </c>
      <c r="AA44" s="85">
        <f t="shared" si="5"/>
        <v>2048</v>
      </c>
      <c r="AB44" s="85">
        <f t="shared" si="5"/>
        <v>2049</v>
      </c>
      <c r="AC44" s="85">
        <f t="shared" si="5"/>
        <v>2050</v>
      </c>
      <c r="AD44" s="85">
        <f t="shared" si="5"/>
        <v>2051</v>
      </c>
      <c r="AE44" s="85">
        <f t="shared" si="5"/>
        <v>2052</v>
      </c>
      <c r="AF44" s="85">
        <f t="shared" si="5"/>
        <v>2053</v>
      </c>
      <c r="AG44" s="85">
        <f t="shared" si="5"/>
        <v>2054</v>
      </c>
      <c r="AH44" s="85">
        <f t="shared" si="5"/>
        <v>2055</v>
      </c>
      <c r="AI44" s="85">
        <f t="shared" ref="AI44:AZ44" si="6">current_year +AI23-1</f>
        <v>2056</v>
      </c>
      <c r="AJ44" s="85">
        <f t="shared" si="6"/>
        <v>2057</v>
      </c>
      <c r="AK44" s="85">
        <f t="shared" si="6"/>
        <v>2058</v>
      </c>
      <c r="AL44" s="85">
        <f t="shared" si="6"/>
        <v>2059</v>
      </c>
      <c r="AM44" s="85">
        <f t="shared" si="6"/>
        <v>2060</v>
      </c>
      <c r="AN44" s="85">
        <f t="shared" si="6"/>
        <v>2061</v>
      </c>
      <c r="AO44" s="85">
        <f t="shared" si="6"/>
        <v>2062</v>
      </c>
      <c r="AP44" s="85">
        <f t="shared" si="6"/>
        <v>2063</v>
      </c>
      <c r="AQ44" s="85">
        <f t="shared" si="6"/>
        <v>2064</v>
      </c>
      <c r="AR44" s="85">
        <f t="shared" si="6"/>
        <v>2065</v>
      </c>
      <c r="AS44" s="85">
        <f t="shared" si="6"/>
        <v>2066</v>
      </c>
      <c r="AT44" s="85">
        <f t="shared" si="6"/>
        <v>2067</v>
      </c>
      <c r="AU44" s="85">
        <f t="shared" si="6"/>
        <v>2068</v>
      </c>
      <c r="AV44" s="85">
        <f t="shared" si="6"/>
        <v>2069</v>
      </c>
      <c r="AW44" s="85">
        <f t="shared" si="6"/>
        <v>2070</v>
      </c>
      <c r="AX44" s="85">
        <f t="shared" si="6"/>
        <v>2071</v>
      </c>
      <c r="AY44" s="85">
        <f t="shared" si="6"/>
        <v>2072</v>
      </c>
      <c r="AZ44" s="85">
        <f t="shared" si="6"/>
        <v>2073</v>
      </c>
      <c r="BA44" s="86"/>
      <c r="BB44" s="86"/>
      <c r="BC44" s="86"/>
      <c r="BD44" s="86"/>
      <c r="BE44" s="86"/>
      <c r="BF44" s="86"/>
    </row>
    <row r="45" spans="1:58" s="86" customFormat="1">
      <c r="B45" s="90" t="str">
        <f>VLOOKUP("T.04.25", Translation,IF(Language="DE",2,IF(Language="FR",3,4)),FALSE)</f>
        <v>Statutarische Deckungskapital für Grundrente, davon</v>
      </c>
      <c r="C45" s="88">
        <f>SUM(C46:C47)</f>
        <v>0</v>
      </c>
      <c r="D45" s="88">
        <f ca="1">SUM(D46:D47)</f>
        <v>0</v>
      </c>
      <c r="E45" s="88">
        <f t="shared" ref="E45:AZ45" ca="1" si="7">SUM(E46:E47)</f>
        <v>0</v>
      </c>
      <c r="F45" s="88">
        <f t="shared" ca="1" si="7"/>
        <v>0</v>
      </c>
      <c r="G45" s="88">
        <f t="shared" ca="1" si="7"/>
        <v>0</v>
      </c>
      <c r="H45" s="88">
        <f t="shared" ca="1" si="7"/>
        <v>0</v>
      </c>
      <c r="I45" s="88">
        <f t="shared" ca="1" si="7"/>
        <v>0</v>
      </c>
      <c r="J45" s="88">
        <f t="shared" ca="1" si="7"/>
        <v>0</v>
      </c>
      <c r="K45" s="88">
        <f t="shared" ca="1" si="7"/>
        <v>0</v>
      </c>
      <c r="L45" s="88">
        <f t="shared" ca="1" si="7"/>
        <v>0</v>
      </c>
      <c r="M45" s="88">
        <f t="shared" ca="1" si="7"/>
        <v>0</v>
      </c>
      <c r="N45" s="88">
        <f t="shared" ca="1" si="7"/>
        <v>0</v>
      </c>
      <c r="O45" s="88">
        <f t="shared" ca="1" si="7"/>
        <v>0</v>
      </c>
      <c r="P45" s="88">
        <f t="shared" ca="1" si="7"/>
        <v>0</v>
      </c>
      <c r="Q45" s="88">
        <f t="shared" ca="1" si="7"/>
        <v>0</v>
      </c>
      <c r="R45" s="88">
        <f t="shared" ca="1" si="7"/>
        <v>0</v>
      </c>
      <c r="S45" s="88">
        <f t="shared" ca="1" si="7"/>
        <v>0</v>
      </c>
      <c r="T45" s="88">
        <f t="shared" ca="1" si="7"/>
        <v>0</v>
      </c>
      <c r="U45" s="88">
        <f t="shared" ca="1" si="7"/>
        <v>0</v>
      </c>
      <c r="V45" s="88">
        <f t="shared" ca="1" si="7"/>
        <v>0</v>
      </c>
      <c r="W45" s="88">
        <f t="shared" ca="1" si="7"/>
        <v>0</v>
      </c>
      <c r="X45" s="88">
        <f t="shared" ca="1" si="7"/>
        <v>0</v>
      </c>
      <c r="Y45" s="88">
        <f t="shared" ca="1" si="7"/>
        <v>0</v>
      </c>
      <c r="Z45" s="88">
        <f t="shared" ca="1" si="7"/>
        <v>0</v>
      </c>
      <c r="AA45" s="88">
        <f t="shared" ca="1" si="7"/>
        <v>0</v>
      </c>
      <c r="AB45" s="88">
        <f t="shared" ca="1" si="7"/>
        <v>0</v>
      </c>
      <c r="AC45" s="88">
        <f t="shared" ca="1" si="7"/>
        <v>0</v>
      </c>
      <c r="AD45" s="88">
        <f t="shared" ca="1" si="7"/>
        <v>0</v>
      </c>
      <c r="AE45" s="88">
        <f t="shared" ca="1" si="7"/>
        <v>0</v>
      </c>
      <c r="AF45" s="88">
        <f t="shared" ca="1" si="7"/>
        <v>0</v>
      </c>
      <c r="AG45" s="88">
        <f t="shared" ca="1" si="7"/>
        <v>0</v>
      </c>
      <c r="AH45" s="88">
        <f t="shared" ca="1" si="7"/>
        <v>0</v>
      </c>
      <c r="AI45" s="88">
        <f t="shared" ca="1" si="7"/>
        <v>0</v>
      </c>
      <c r="AJ45" s="88">
        <f t="shared" ca="1" si="7"/>
        <v>0</v>
      </c>
      <c r="AK45" s="88">
        <f t="shared" ca="1" si="7"/>
        <v>0</v>
      </c>
      <c r="AL45" s="88">
        <f t="shared" ca="1" si="7"/>
        <v>0</v>
      </c>
      <c r="AM45" s="88">
        <f t="shared" ca="1" si="7"/>
        <v>0</v>
      </c>
      <c r="AN45" s="88">
        <f t="shared" ca="1" si="7"/>
        <v>0</v>
      </c>
      <c r="AO45" s="88">
        <f t="shared" ca="1" si="7"/>
        <v>0</v>
      </c>
      <c r="AP45" s="88">
        <f t="shared" ca="1" si="7"/>
        <v>0</v>
      </c>
      <c r="AQ45" s="88">
        <f t="shared" ca="1" si="7"/>
        <v>0</v>
      </c>
      <c r="AR45" s="88">
        <f t="shared" ca="1" si="7"/>
        <v>0</v>
      </c>
      <c r="AS45" s="88">
        <f t="shared" ca="1" si="7"/>
        <v>0</v>
      </c>
      <c r="AT45" s="88">
        <f t="shared" ca="1" si="7"/>
        <v>0</v>
      </c>
      <c r="AU45" s="88">
        <f t="shared" ca="1" si="7"/>
        <v>0</v>
      </c>
      <c r="AV45" s="88">
        <f t="shared" ca="1" si="7"/>
        <v>0</v>
      </c>
      <c r="AW45" s="88">
        <f t="shared" ca="1" si="7"/>
        <v>0</v>
      </c>
      <c r="AX45" s="88">
        <f t="shared" ca="1" si="7"/>
        <v>0</v>
      </c>
      <c r="AY45" s="88">
        <f t="shared" ca="1" si="7"/>
        <v>0</v>
      </c>
      <c r="AZ45" s="88">
        <f t="shared" ca="1" si="7"/>
        <v>0</v>
      </c>
    </row>
    <row r="46" spans="1:58" s="86" customFormat="1">
      <c r="B46" s="156" t="str">
        <f>VLOOKUP("T.04.14", Translation,IF(Language="DE",2,IF(Language="FR",3,4)),FALSE)</f>
        <v>für bisherigen Renten</v>
      </c>
      <c r="C46" s="88">
        <f>UVG_Input_Data!C9</f>
        <v>0</v>
      </c>
      <c r="D46" s="88">
        <f>SUMPRODUCT(D24:BA24,Inputparam!$C$34:$AZ$34)</f>
        <v>0</v>
      </c>
      <c r="E46" s="88">
        <f>SUMPRODUCT(E24:BB24,Inputparam!$C$34:$AZ$34)</f>
        <v>0</v>
      </c>
      <c r="F46" s="88">
        <f>SUMPRODUCT(F24:BC24,Inputparam!$C$34:$AZ$34)</f>
        <v>0</v>
      </c>
      <c r="G46" s="88">
        <f>SUMPRODUCT(G24:BD24,Inputparam!$C$34:$AZ$34)</f>
        <v>0</v>
      </c>
      <c r="H46" s="88">
        <f>SUMPRODUCT(H24:BE24,Inputparam!$C$34:$AZ$34)</f>
        <v>0</v>
      </c>
      <c r="I46" s="88">
        <f>SUMPRODUCT(I24:BF24,Inputparam!$C$34:$AZ$34)</f>
        <v>0</v>
      </c>
      <c r="J46" s="88">
        <f>SUMPRODUCT(J24:BG24,Inputparam!$C$34:$AZ$34)</f>
        <v>0</v>
      </c>
      <c r="K46" s="88">
        <f>SUMPRODUCT(K24:BH24,Inputparam!$C$34:$AZ$34)</f>
        <v>0</v>
      </c>
      <c r="L46" s="88">
        <f>SUMPRODUCT(L24:BI24,Inputparam!$C$34:$AZ$34)</f>
        <v>0</v>
      </c>
      <c r="M46" s="88">
        <f>SUMPRODUCT(M24:BJ24,Inputparam!$C$34:$AZ$34)</f>
        <v>0</v>
      </c>
      <c r="N46" s="88">
        <f>SUMPRODUCT(N24:BK24,Inputparam!$C$34:$AZ$34)</f>
        <v>0</v>
      </c>
      <c r="O46" s="88">
        <f>SUMPRODUCT(O24:BL24,Inputparam!$C$34:$AZ$34)</f>
        <v>0</v>
      </c>
      <c r="P46" s="88">
        <f>SUMPRODUCT(P24:BM24,Inputparam!$C$34:$AZ$34)</f>
        <v>0</v>
      </c>
      <c r="Q46" s="88">
        <f>SUMPRODUCT(Q24:BN24,Inputparam!$C$34:$AZ$34)</f>
        <v>0</v>
      </c>
      <c r="R46" s="88">
        <f>SUMPRODUCT(R24:BO24,Inputparam!$C$34:$AZ$34)</f>
        <v>0</v>
      </c>
      <c r="S46" s="88">
        <f>SUMPRODUCT(S24:BP24,Inputparam!$C$34:$AZ$34)</f>
        <v>0</v>
      </c>
      <c r="T46" s="88">
        <f>SUMPRODUCT(T24:BQ24,Inputparam!$C$34:$AZ$34)</f>
        <v>0</v>
      </c>
      <c r="U46" s="88">
        <f>SUMPRODUCT(U24:BR24,Inputparam!$C$34:$AZ$34)</f>
        <v>0</v>
      </c>
      <c r="V46" s="88">
        <f>SUMPRODUCT(V24:BS24,Inputparam!$C$34:$AZ$34)</f>
        <v>0</v>
      </c>
      <c r="W46" s="88">
        <f>SUMPRODUCT(W24:BT24,Inputparam!$C$34:$AZ$34)</f>
        <v>0</v>
      </c>
      <c r="X46" s="88">
        <f>SUMPRODUCT(X24:BU24,Inputparam!$C$34:$AZ$34)</f>
        <v>0</v>
      </c>
      <c r="Y46" s="88">
        <f>SUMPRODUCT(Y24:BV24,Inputparam!$C$34:$AZ$34)</f>
        <v>0</v>
      </c>
      <c r="Z46" s="88">
        <f>SUMPRODUCT(Z24:BW24,Inputparam!$C$34:$AZ$34)</f>
        <v>0</v>
      </c>
      <c r="AA46" s="88">
        <f>SUMPRODUCT(AA24:BX24,Inputparam!$C$34:$AZ$34)</f>
        <v>0</v>
      </c>
      <c r="AB46" s="88">
        <f>SUMPRODUCT(AB24:BY24,Inputparam!$C$34:$AZ$34)</f>
        <v>0</v>
      </c>
      <c r="AC46" s="88">
        <f>SUMPRODUCT(AC24:BZ24,Inputparam!$C$34:$AZ$34)</f>
        <v>0</v>
      </c>
      <c r="AD46" s="88">
        <f>SUMPRODUCT(AD24:CA24,Inputparam!$C$34:$AZ$34)</f>
        <v>0</v>
      </c>
      <c r="AE46" s="88">
        <f>SUMPRODUCT(AE24:CB24,Inputparam!$C$34:$AZ$34)</f>
        <v>0</v>
      </c>
      <c r="AF46" s="88">
        <f>SUMPRODUCT(AF24:CC24,Inputparam!$C$34:$AZ$34)</f>
        <v>0</v>
      </c>
      <c r="AG46" s="88">
        <f>SUMPRODUCT(AG24:CD24,Inputparam!$C$34:$AZ$34)</f>
        <v>0</v>
      </c>
      <c r="AH46" s="88">
        <f>SUMPRODUCT(AH24:CE24,Inputparam!$C$34:$AZ$34)</f>
        <v>0</v>
      </c>
      <c r="AI46" s="88">
        <f>SUMPRODUCT(AI24:CF24,Inputparam!$C$34:$AZ$34)</f>
        <v>0</v>
      </c>
      <c r="AJ46" s="88">
        <f>SUMPRODUCT(AJ24:CG24,Inputparam!$C$34:$AZ$34)</f>
        <v>0</v>
      </c>
      <c r="AK46" s="88">
        <f>SUMPRODUCT(AK24:CH24,Inputparam!$C$34:$AZ$34)</f>
        <v>0</v>
      </c>
      <c r="AL46" s="88">
        <f>SUMPRODUCT(AL24:CI24,Inputparam!$C$34:$AZ$34)</f>
        <v>0</v>
      </c>
      <c r="AM46" s="88">
        <f>SUMPRODUCT(AM24:CJ24,Inputparam!$C$34:$AZ$34)</f>
        <v>0</v>
      </c>
      <c r="AN46" s="88">
        <f>SUMPRODUCT(AN24:CK24,Inputparam!$C$34:$AZ$34)</f>
        <v>0</v>
      </c>
      <c r="AO46" s="88">
        <f>SUMPRODUCT(AO24:CL24,Inputparam!$C$34:$AZ$34)</f>
        <v>0</v>
      </c>
      <c r="AP46" s="88">
        <f>SUMPRODUCT(AP24:CM24,Inputparam!$C$34:$AZ$34)</f>
        <v>0</v>
      </c>
      <c r="AQ46" s="88">
        <f>SUMPRODUCT(AQ24:CN24,Inputparam!$C$34:$AZ$34)</f>
        <v>0</v>
      </c>
      <c r="AR46" s="88">
        <f>SUMPRODUCT(AR24:CO24,Inputparam!$C$34:$AZ$34)</f>
        <v>0</v>
      </c>
      <c r="AS46" s="88">
        <f>SUMPRODUCT(AS24:CP24,Inputparam!$C$34:$AZ$34)</f>
        <v>0</v>
      </c>
      <c r="AT46" s="88">
        <f>SUMPRODUCT(AT24:CQ24,Inputparam!$C$34:$AZ$34)</f>
        <v>0</v>
      </c>
      <c r="AU46" s="88">
        <f>SUMPRODUCT(AU24:CR24,Inputparam!$C$34:$AZ$34)</f>
        <v>0</v>
      </c>
      <c r="AV46" s="88">
        <f>SUMPRODUCT(AV24:CS24,Inputparam!$C$34:$AZ$34)</f>
        <v>0</v>
      </c>
      <c r="AW46" s="88">
        <f>SUMPRODUCT(AW24:CT24,Inputparam!$C$34:$AZ$34)</f>
        <v>0</v>
      </c>
      <c r="AX46" s="88">
        <f>SUMPRODUCT(AX24:CU24,Inputparam!$C$34:$AZ$34)</f>
        <v>0</v>
      </c>
      <c r="AY46" s="88">
        <f>SUMPRODUCT(AY24:CV24,Inputparam!$C$34:$AZ$34)</f>
        <v>0</v>
      </c>
      <c r="AZ46" s="88">
        <f>SUMPRODUCT(AZ24:CW24,Inputparam!$C$34:$AZ$34)</f>
        <v>0</v>
      </c>
    </row>
    <row r="47" spans="1:58" s="86" customFormat="1">
      <c r="B47" s="156" t="str">
        <f>VLOOKUP("T.04.15", Translation,IF(Language="DE",2,IF(Language="FR",3,4)),FALSE)</f>
        <v>für neue Renten</v>
      </c>
      <c r="C47" s="183">
        <v>0</v>
      </c>
      <c r="D47" s="183">
        <f ca="1" xml:space="preserve"> SUM(UVG_Calculations!C58:C78)</f>
        <v>0</v>
      </c>
      <c r="E47" s="183">
        <f ca="1" xml:space="preserve"> SUM(UVG_Calculations!D58:D78)</f>
        <v>0</v>
      </c>
      <c r="F47" s="183">
        <f ca="1" xml:space="preserve"> SUM(UVG_Calculations!E58:E78)</f>
        <v>0</v>
      </c>
      <c r="G47" s="183">
        <f ca="1" xml:space="preserve"> SUM(UVG_Calculations!F58:F78)</f>
        <v>0</v>
      </c>
      <c r="H47" s="183">
        <f ca="1" xml:space="preserve"> SUM(UVG_Calculations!G58:G78)</f>
        <v>0</v>
      </c>
      <c r="I47" s="183">
        <f ca="1" xml:space="preserve"> SUM(UVG_Calculations!H58:H78)</f>
        <v>0</v>
      </c>
      <c r="J47" s="183">
        <f ca="1" xml:space="preserve"> SUM(UVG_Calculations!I58:I78)</f>
        <v>0</v>
      </c>
      <c r="K47" s="183">
        <f ca="1" xml:space="preserve"> SUM(UVG_Calculations!J58:J78)</f>
        <v>0</v>
      </c>
      <c r="L47" s="183">
        <f ca="1" xml:space="preserve"> SUM(UVG_Calculations!K58:K78)</f>
        <v>0</v>
      </c>
      <c r="M47" s="183">
        <f ca="1" xml:space="preserve"> SUM(UVG_Calculations!L58:L78)</f>
        <v>0</v>
      </c>
      <c r="N47" s="183">
        <f ca="1" xml:space="preserve"> SUM(UVG_Calculations!M58:M78)</f>
        <v>0</v>
      </c>
      <c r="O47" s="183">
        <f ca="1" xml:space="preserve"> SUM(UVG_Calculations!N58:N78)</f>
        <v>0</v>
      </c>
      <c r="P47" s="183">
        <f ca="1" xml:space="preserve"> SUM(UVG_Calculations!O58:O78)</f>
        <v>0</v>
      </c>
      <c r="Q47" s="183">
        <f ca="1" xml:space="preserve"> SUM(UVG_Calculations!P58:P78)</f>
        <v>0</v>
      </c>
      <c r="R47" s="183">
        <f ca="1" xml:space="preserve"> SUM(UVG_Calculations!Q58:Q78)</f>
        <v>0</v>
      </c>
      <c r="S47" s="183">
        <f ca="1" xml:space="preserve"> SUM(UVG_Calculations!R58:R78)</f>
        <v>0</v>
      </c>
      <c r="T47" s="183">
        <f ca="1" xml:space="preserve"> SUM(UVG_Calculations!S58:S78)</f>
        <v>0</v>
      </c>
      <c r="U47" s="183">
        <f ca="1" xml:space="preserve"> SUM(UVG_Calculations!T58:T78)</f>
        <v>0</v>
      </c>
      <c r="V47" s="183">
        <f ca="1" xml:space="preserve"> SUM(UVG_Calculations!U58:U78)</f>
        <v>0</v>
      </c>
      <c r="W47" s="183">
        <f ca="1" xml:space="preserve"> SUM(UVG_Calculations!V58:V78)</f>
        <v>0</v>
      </c>
      <c r="X47" s="183">
        <f ca="1" xml:space="preserve"> SUM(UVG_Calculations!W58:W78)</f>
        <v>0</v>
      </c>
      <c r="Y47" s="183">
        <f ca="1" xml:space="preserve"> SUM(UVG_Calculations!X58:X78)</f>
        <v>0</v>
      </c>
      <c r="Z47" s="183">
        <f ca="1" xml:space="preserve"> SUM(UVG_Calculations!Y58:Y78)</f>
        <v>0</v>
      </c>
      <c r="AA47" s="183">
        <f ca="1" xml:space="preserve"> SUM(UVG_Calculations!Z58:Z78)</f>
        <v>0</v>
      </c>
      <c r="AB47" s="183">
        <f ca="1" xml:space="preserve"> SUM(UVG_Calculations!AA58:AA78)</f>
        <v>0</v>
      </c>
      <c r="AC47" s="183">
        <f ca="1" xml:space="preserve"> SUM(UVG_Calculations!AB58:AB78)</f>
        <v>0</v>
      </c>
      <c r="AD47" s="183">
        <f ca="1" xml:space="preserve"> SUM(UVG_Calculations!AC58:AC78)</f>
        <v>0</v>
      </c>
      <c r="AE47" s="183">
        <f ca="1" xml:space="preserve"> SUM(UVG_Calculations!AD58:AD78)</f>
        <v>0</v>
      </c>
      <c r="AF47" s="183">
        <f ca="1" xml:space="preserve"> SUM(UVG_Calculations!AE58:AE78)</f>
        <v>0</v>
      </c>
      <c r="AG47" s="183">
        <f ca="1" xml:space="preserve"> SUM(UVG_Calculations!AF58:AF78)</f>
        <v>0</v>
      </c>
      <c r="AH47" s="183">
        <f ca="1" xml:space="preserve"> SUM(UVG_Calculations!AG58:AG78)</f>
        <v>0</v>
      </c>
      <c r="AI47" s="183">
        <f ca="1" xml:space="preserve"> SUM(UVG_Calculations!AH58:AH78)</f>
        <v>0</v>
      </c>
      <c r="AJ47" s="183">
        <f ca="1" xml:space="preserve"> SUM(UVG_Calculations!AI58:AI78)</f>
        <v>0</v>
      </c>
      <c r="AK47" s="183">
        <f ca="1" xml:space="preserve"> SUM(UVG_Calculations!AJ58:AJ78)</f>
        <v>0</v>
      </c>
      <c r="AL47" s="183">
        <f ca="1" xml:space="preserve"> SUM(UVG_Calculations!AK58:AK78)</f>
        <v>0</v>
      </c>
      <c r="AM47" s="183">
        <f ca="1" xml:space="preserve"> SUM(UVG_Calculations!AL58:AL78)</f>
        <v>0</v>
      </c>
      <c r="AN47" s="183">
        <f ca="1" xml:space="preserve"> SUM(UVG_Calculations!AM58:AM78)</f>
        <v>0</v>
      </c>
      <c r="AO47" s="183">
        <f ca="1" xml:space="preserve"> SUM(UVG_Calculations!AN58:AN78)</f>
        <v>0</v>
      </c>
      <c r="AP47" s="183">
        <f ca="1" xml:space="preserve"> SUM(UVG_Calculations!AO58:AO78)</f>
        <v>0</v>
      </c>
      <c r="AQ47" s="183">
        <f ca="1" xml:space="preserve"> SUM(UVG_Calculations!AP58:AP78)</f>
        <v>0</v>
      </c>
      <c r="AR47" s="183">
        <f ca="1" xml:space="preserve"> SUM(UVG_Calculations!AQ58:AQ78)</f>
        <v>0</v>
      </c>
      <c r="AS47" s="183">
        <f ca="1" xml:space="preserve"> SUM(UVG_Calculations!AR58:AR78)</f>
        <v>0</v>
      </c>
      <c r="AT47" s="183">
        <f ca="1" xml:space="preserve"> SUM(UVG_Calculations!AS58:AS78)</f>
        <v>0</v>
      </c>
      <c r="AU47" s="183">
        <f ca="1" xml:space="preserve"> SUM(UVG_Calculations!AT58:AT78)</f>
        <v>0</v>
      </c>
      <c r="AV47" s="183">
        <f ca="1" xml:space="preserve"> SUM(UVG_Calculations!AU58:AU78)</f>
        <v>0</v>
      </c>
      <c r="AW47" s="183">
        <f ca="1" xml:space="preserve"> SUM(UVG_Calculations!AV58:AV78)</f>
        <v>0</v>
      </c>
      <c r="AX47" s="183">
        <f ca="1" xml:space="preserve"> SUM(UVG_Calculations!AW58:AW78)</f>
        <v>0</v>
      </c>
      <c r="AY47" s="183">
        <f ca="1" xml:space="preserve"> SUM(UVG_Calculations!AX58:AX78)</f>
        <v>0</v>
      </c>
      <c r="AZ47" s="183">
        <f ca="1" xml:space="preserve"> SUM(UVG_Calculations!AY58:AY78)</f>
        <v>0</v>
      </c>
    </row>
    <row r="48" spans="1:58" s="86" customFormat="1">
      <c r="B48" s="87" t="str">
        <f>VLOOKUP("T.03.5", Translation,IF(Language="DE",2,IF(Language="FR",3,4)),FALSE)</f>
        <v>Schadenrückstellung für Langfristleistungen</v>
      </c>
      <c r="C48" s="183">
        <f ca="1">UVG_Input_Data!$D$13*SUM(UVG_Input_Data!C67:'UVG_Input_Data'!$AZ67) + IF(UVG_Input_Data!C38&gt;20,0, SUM(OFFSET(UVG_Input_Data!$C$40:$AZ$40, UVG_Input_Data!C$38, UVG_Input_Data!C$38, 21-UVG_Input_Data!C$38,50-UVG_Input_Data!C$38)))</f>
        <v>0</v>
      </c>
      <c r="D48" s="183">
        <f ca="1">UVG_Input_Data!$D$13*SUM(UVG_Input_Data!D67:'UVG_Input_Data'!$AZ67) + IF(UVG_Input_Data!D38&gt;20,0, SUM(OFFSET(UVG_Input_Data!$C$40:$AZ$40, UVG_Input_Data!D$38, UVG_Input_Data!D$38, 21-UVG_Input_Data!D$38,50-UVG_Input_Data!D$38)))</f>
        <v>0</v>
      </c>
      <c r="E48" s="183">
        <f ca="1">UVG_Input_Data!$D$13*SUM(UVG_Input_Data!E67:'UVG_Input_Data'!$AZ67) + IF(UVG_Input_Data!E38&gt;20,0, SUM(OFFSET(UVG_Input_Data!$C$40:$AZ$40, UVG_Input_Data!E$38, UVG_Input_Data!E$38, 21-UVG_Input_Data!E$38,50-UVG_Input_Data!E$38)))</f>
        <v>0</v>
      </c>
      <c r="F48" s="183">
        <f ca="1">UVG_Input_Data!$D$13*SUM(UVG_Input_Data!F67:'UVG_Input_Data'!$AZ67) + IF(UVG_Input_Data!F38&gt;20,0, SUM(OFFSET(UVG_Input_Data!$C$40:$AZ$40, UVG_Input_Data!F$38, UVG_Input_Data!F$38, 21-UVG_Input_Data!F$38,50-UVG_Input_Data!F$38)))</f>
        <v>0</v>
      </c>
      <c r="G48" s="183">
        <f ca="1">UVG_Input_Data!$D$13*SUM(UVG_Input_Data!G67:'UVG_Input_Data'!$AZ67) + IF(UVG_Input_Data!G38&gt;20,0, SUM(OFFSET(UVG_Input_Data!$C$40:$AZ$40, UVG_Input_Data!G$38, UVG_Input_Data!G$38, 21-UVG_Input_Data!G$38,50-UVG_Input_Data!G$38)))</f>
        <v>0</v>
      </c>
      <c r="H48" s="183">
        <f ca="1">UVG_Input_Data!$D$13*SUM(UVG_Input_Data!H67:'UVG_Input_Data'!$AZ67) + IF(UVG_Input_Data!H38&gt;20,0, SUM(OFFSET(UVG_Input_Data!$C$40:$AZ$40, UVG_Input_Data!H$38, UVG_Input_Data!H$38, 21-UVG_Input_Data!H$38,50-UVG_Input_Data!H$38)))</f>
        <v>0</v>
      </c>
      <c r="I48" s="183">
        <f ca="1">UVG_Input_Data!$D$13*SUM(UVG_Input_Data!I67:'UVG_Input_Data'!$AZ67) + IF(UVG_Input_Data!I38&gt;20,0, SUM(OFFSET(UVG_Input_Data!$C$40:$AZ$40, UVG_Input_Data!I$38, UVG_Input_Data!I$38, 21-UVG_Input_Data!I$38,50-UVG_Input_Data!I$38)))</f>
        <v>0</v>
      </c>
      <c r="J48" s="183">
        <f ca="1">UVG_Input_Data!$D$13*SUM(UVG_Input_Data!J67:'UVG_Input_Data'!$AZ67) + IF(UVG_Input_Data!J38&gt;20,0, SUM(OFFSET(UVG_Input_Data!$C$40:$AZ$40, UVG_Input_Data!J$38, UVG_Input_Data!J$38, 21-UVG_Input_Data!J$38,50-UVG_Input_Data!J$38)))</f>
        <v>0</v>
      </c>
      <c r="K48" s="183">
        <f ca="1">UVG_Input_Data!$D$13*SUM(UVG_Input_Data!K67:'UVG_Input_Data'!$AZ67) + IF(UVG_Input_Data!K38&gt;20,0, SUM(OFFSET(UVG_Input_Data!$C$40:$AZ$40, UVG_Input_Data!K$38, UVG_Input_Data!K$38, 21-UVG_Input_Data!K$38,50-UVG_Input_Data!K$38)))</f>
        <v>0</v>
      </c>
      <c r="L48" s="183">
        <f ca="1">UVG_Input_Data!$D$13*SUM(UVG_Input_Data!L67:'UVG_Input_Data'!$AZ67) + IF(UVG_Input_Data!L38&gt;20,0, SUM(OFFSET(UVG_Input_Data!$C$40:$AZ$40, UVG_Input_Data!L$38, UVG_Input_Data!L$38, 21-UVG_Input_Data!L$38,50-UVG_Input_Data!L$38)))</f>
        <v>0</v>
      </c>
      <c r="M48" s="183">
        <f ca="1">UVG_Input_Data!$D$13*SUM(UVG_Input_Data!M67:'UVG_Input_Data'!$AZ67) + IF(UVG_Input_Data!M38&gt;20,0, SUM(OFFSET(UVG_Input_Data!$C$40:$AZ$40, UVG_Input_Data!M$38, UVG_Input_Data!M$38, 21-UVG_Input_Data!M$38,50-UVG_Input_Data!M$38)))</f>
        <v>0</v>
      </c>
      <c r="N48" s="183">
        <f ca="1">UVG_Input_Data!$D$13*SUM(UVG_Input_Data!N67:'UVG_Input_Data'!$AZ67) + IF(UVG_Input_Data!N38&gt;20,0, SUM(OFFSET(UVG_Input_Data!$C$40:$AZ$40, UVG_Input_Data!N$38, UVG_Input_Data!N$38, 21-UVG_Input_Data!N$38,50-UVG_Input_Data!N$38)))</f>
        <v>0</v>
      </c>
      <c r="O48" s="183">
        <f ca="1">UVG_Input_Data!$D$13*SUM(UVG_Input_Data!O67:'UVG_Input_Data'!$AZ67) + IF(UVG_Input_Data!O38&gt;20,0, SUM(OFFSET(UVG_Input_Data!$C$40:$AZ$40, UVG_Input_Data!O$38, UVG_Input_Data!O$38, 21-UVG_Input_Data!O$38,50-UVG_Input_Data!O$38)))</f>
        <v>0</v>
      </c>
      <c r="P48" s="183">
        <f ca="1">UVG_Input_Data!$D$13*SUM(UVG_Input_Data!P67:'UVG_Input_Data'!$AZ67) + IF(UVG_Input_Data!P38&gt;20,0, SUM(OFFSET(UVG_Input_Data!$C$40:$AZ$40, UVG_Input_Data!P$38, UVG_Input_Data!P$38, 21-UVG_Input_Data!P$38,50-UVG_Input_Data!P$38)))</f>
        <v>0</v>
      </c>
      <c r="Q48" s="183">
        <f ca="1">UVG_Input_Data!$D$13*SUM(UVG_Input_Data!Q67:'UVG_Input_Data'!$AZ67) + IF(UVG_Input_Data!Q38&gt;20,0, SUM(OFFSET(UVG_Input_Data!$C$40:$AZ$40, UVG_Input_Data!Q$38, UVG_Input_Data!Q$38, 21-UVG_Input_Data!Q$38,50-UVG_Input_Data!Q$38)))</f>
        <v>0</v>
      </c>
      <c r="R48" s="183">
        <f ca="1">UVG_Input_Data!$D$13*SUM(UVG_Input_Data!R67:'UVG_Input_Data'!$AZ67) + IF(UVG_Input_Data!R38&gt;20,0, SUM(OFFSET(UVG_Input_Data!$C$40:$AZ$40, UVG_Input_Data!R$38, UVG_Input_Data!R$38, 21-UVG_Input_Data!R$38,50-UVG_Input_Data!R$38)))</f>
        <v>0</v>
      </c>
      <c r="S48" s="183">
        <f ca="1">UVG_Input_Data!$D$13*SUM(UVG_Input_Data!S67:'UVG_Input_Data'!$AZ67) + IF(UVG_Input_Data!S38&gt;20,0, SUM(OFFSET(UVG_Input_Data!$C$40:$AZ$40, UVG_Input_Data!S$38, UVG_Input_Data!S$38, 21-UVG_Input_Data!S$38,50-UVG_Input_Data!S$38)))</f>
        <v>0</v>
      </c>
      <c r="T48" s="183">
        <f ca="1">UVG_Input_Data!$D$13*SUM(UVG_Input_Data!T67:'UVG_Input_Data'!$AZ67) + IF(UVG_Input_Data!T38&gt;20,0, SUM(OFFSET(UVG_Input_Data!$C$40:$AZ$40, UVG_Input_Data!T$38, UVG_Input_Data!T$38, 21-UVG_Input_Data!T$38,50-UVG_Input_Data!T$38)))</f>
        <v>0</v>
      </c>
      <c r="U48" s="183">
        <f ca="1">UVG_Input_Data!$D$13*SUM(UVG_Input_Data!U67:'UVG_Input_Data'!$AZ67) + IF(UVG_Input_Data!U38&gt;20,0, SUM(OFFSET(UVG_Input_Data!$C$40:$AZ$40, UVG_Input_Data!U$38, UVG_Input_Data!U$38, 21-UVG_Input_Data!U$38,50-UVG_Input_Data!U$38)))</f>
        <v>0</v>
      </c>
      <c r="V48" s="183">
        <f ca="1">UVG_Input_Data!$D$13*SUM(UVG_Input_Data!V67:'UVG_Input_Data'!$AZ67) + IF(UVG_Input_Data!V38&gt;20,0, SUM(OFFSET(UVG_Input_Data!$C$40:$AZ$40, UVG_Input_Data!V$38, UVG_Input_Data!V$38, 21-UVG_Input_Data!V$38,50-UVG_Input_Data!V$38)))</f>
        <v>0</v>
      </c>
      <c r="W48" s="183">
        <f ca="1">UVG_Input_Data!$D$13*SUM(UVG_Input_Data!W67:'UVG_Input_Data'!$AZ67) + IF(UVG_Input_Data!W38&gt;20,0, SUM(OFFSET(UVG_Input_Data!$C$40:$AZ$40, UVG_Input_Data!W$38, UVG_Input_Data!W$38, 21-UVG_Input_Data!W$38,50-UVG_Input_Data!W$38)))</f>
        <v>0</v>
      </c>
      <c r="X48" s="183">
        <f ca="1">UVG_Input_Data!$D$13*SUM(UVG_Input_Data!X67:'UVG_Input_Data'!$AZ67) + IF(UVG_Input_Data!X38&gt;20,0, SUM(OFFSET(UVG_Input_Data!$C$40:$AZ$40, UVG_Input_Data!X$38, UVG_Input_Data!X$38, 21-UVG_Input_Data!X$38,50-UVG_Input_Data!X$38)))</f>
        <v>0</v>
      </c>
      <c r="Y48" s="183">
        <f ca="1">UVG_Input_Data!$D$13*SUM(UVG_Input_Data!Y67:'UVG_Input_Data'!$AZ67) + IF(UVG_Input_Data!Y38&gt;20,0, SUM(OFFSET(UVG_Input_Data!$C$40:$AZ$40, UVG_Input_Data!Y$38, UVG_Input_Data!Y$38, 21-UVG_Input_Data!Y$38,50-UVG_Input_Data!Y$38)))</f>
        <v>0</v>
      </c>
      <c r="Z48" s="183">
        <f ca="1">UVG_Input_Data!$D$13*SUM(UVG_Input_Data!Z67:'UVG_Input_Data'!$AZ67) + IF(UVG_Input_Data!Z38&gt;20,0, SUM(OFFSET(UVG_Input_Data!$C$40:$AZ$40, UVG_Input_Data!Z$38, UVG_Input_Data!Z$38, 21-UVG_Input_Data!Z$38,50-UVG_Input_Data!Z$38)))</f>
        <v>0</v>
      </c>
      <c r="AA48" s="183">
        <f ca="1">UVG_Input_Data!$D$13*SUM(UVG_Input_Data!AA67:'UVG_Input_Data'!$AZ67) + IF(UVG_Input_Data!AA38&gt;20,0, SUM(OFFSET(UVG_Input_Data!$C$40:$AZ$40, UVG_Input_Data!AA$38, UVG_Input_Data!AA$38, 21-UVG_Input_Data!AA$38,50-UVG_Input_Data!AA$38)))</f>
        <v>0</v>
      </c>
      <c r="AB48" s="183">
        <f ca="1">UVG_Input_Data!$D$13*SUM(UVG_Input_Data!AB67:'UVG_Input_Data'!$AZ67) + IF(UVG_Input_Data!AB38&gt;20,0, SUM(OFFSET(UVG_Input_Data!$C$40:$AZ$40, UVG_Input_Data!AB$38, UVG_Input_Data!AB$38, 21-UVG_Input_Data!AB$38,50-UVG_Input_Data!AB$38)))</f>
        <v>0</v>
      </c>
      <c r="AC48" s="183">
        <f ca="1">UVG_Input_Data!$D$13*SUM(UVG_Input_Data!AC67:'UVG_Input_Data'!$AZ67) + IF(UVG_Input_Data!AC38&gt;20,0, SUM(OFFSET(UVG_Input_Data!$C$40:$AZ$40, UVG_Input_Data!AC$38, UVG_Input_Data!AC$38, 21-UVG_Input_Data!AC$38,50-UVG_Input_Data!AC$38)))</f>
        <v>0</v>
      </c>
      <c r="AD48" s="183">
        <f ca="1">UVG_Input_Data!$D$13*SUM(UVG_Input_Data!AD67:'UVG_Input_Data'!$AZ67) + IF(UVG_Input_Data!AD38&gt;20,0, SUM(OFFSET(UVG_Input_Data!$C$40:$AZ$40, UVG_Input_Data!AD$38, UVG_Input_Data!AD$38, 21-UVG_Input_Data!AD$38,50-UVG_Input_Data!AD$38)))</f>
        <v>0</v>
      </c>
      <c r="AE48" s="183">
        <f ca="1">UVG_Input_Data!$D$13*SUM(UVG_Input_Data!AE67:'UVG_Input_Data'!$AZ67) + IF(UVG_Input_Data!AE38&gt;20,0, SUM(OFFSET(UVG_Input_Data!$C$40:$AZ$40, UVG_Input_Data!AE$38, UVG_Input_Data!AE$38, 21-UVG_Input_Data!AE$38,50-UVG_Input_Data!AE$38)))</f>
        <v>0</v>
      </c>
      <c r="AF48" s="183">
        <f ca="1">UVG_Input_Data!$D$13*SUM(UVG_Input_Data!AF67:'UVG_Input_Data'!$AZ67) + IF(UVG_Input_Data!AF38&gt;20,0, SUM(OFFSET(UVG_Input_Data!$C$40:$AZ$40, UVG_Input_Data!AF$38, UVG_Input_Data!AF$38, 21-UVG_Input_Data!AF$38,50-UVG_Input_Data!AF$38)))</f>
        <v>0</v>
      </c>
      <c r="AG48" s="183">
        <f ca="1">UVG_Input_Data!$D$13*SUM(UVG_Input_Data!AG67:'UVG_Input_Data'!$AZ67) + IF(UVG_Input_Data!AG38&gt;20,0, SUM(OFFSET(UVG_Input_Data!$C$40:$AZ$40, UVG_Input_Data!AG$38, UVG_Input_Data!AG$38, 21-UVG_Input_Data!AG$38,50-UVG_Input_Data!AG$38)))</f>
        <v>0</v>
      </c>
      <c r="AH48" s="183">
        <f ca="1">UVG_Input_Data!$D$13*SUM(UVG_Input_Data!AH67:'UVG_Input_Data'!$AZ67) + IF(UVG_Input_Data!AH38&gt;20,0, SUM(OFFSET(UVG_Input_Data!$C$40:$AZ$40, UVG_Input_Data!AH$38, UVG_Input_Data!AH$38, 21-UVG_Input_Data!AH$38,50-UVG_Input_Data!AH$38)))</f>
        <v>0</v>
      </c>
      <c r="AI48" s="183">
        <f ca="1">UVG_Input_Data!$D$13*SUM(UVG_Input_Data!AI67:'UVG_Input_Data'!$AZ67) + IF(UVG_Input_Data!AI38&gt;20,0, SUM(OFFSET(UVG_Input_Data!$C$40:$AZ$40, UVG_Input_Data!AI$38, UVG_Input_Data!AI$38, 21-UVG_Input_Data!AI$38,50-UVG_Input_Data!AI$38)))</f>
        <v>0</v>
      </c>
      <c r="AJ48" s="183">
        <f ca="1">UVG_Input_Data!$D$13*SUM(UVG_Input_Data!AJ67:'UVG_Input_Data'!$AZ67) + IF(UVG_Input_Data!AJ38&gt;20,0, SUM(OFFSET(UVG_Input_Data!$C$40:$AZ$40, UVG_Input_Data!AJ$38, UVG_Input_Data!AJ$38, 21-UVG_Input_Data!AJ$38,50-UVG_Input_Data!AJ$38)))</f>
        <v>0</v>
      </c>
      <c r="AK48" s="183">
        <f ca="1">UVG_Input_Data!$D$13*SUM(UVG_Input_Data!AK67:'UVG_Input_Data'!$AZ67) + IF(UVG_Input_Data!AK38&gt;20,0, SUM(OFFSET(UVG_Input_Data!$C$40:$AZ$40, UVG_Input_Data!AK$38, UVG_Input_Data!AK$38, 21-UVG_Input_Data!AK$38,50-UVG_Input_Data!AK$38)))</f>
        <v>0</v>
      </c>
      <c r="AL48" s="183">
        <f ca="1">UVG_Input_Data!$D$13*SUM(UVG_Input_Data!AL67:'UVG_Input_Data'!$AZ67) + IF(UVG_Input_Data!AL38&gt;20,0, SUM(OFFSET(UVG_Input_Data!$C$40:$AZ$40, UVG_Input_Data!AL$38, UVG_Input_Data!AL$38, 21-UVG_Input_Data!AL$38,50-UVG_Input_Data!AL$38)))</f>
        <v>0</v>
      </c>
      <c r="AM48" s="183">
        <f ca="1">UVG_Input_Data!$D$13*SUM(UVG_Input_Data!AM67:'UVG_Input_Data'!$AZ67) + IF(UVG_Input_Data!AM38&gt;20,0, SUM(OFFSET(UVG_Input_Data!$C$40:$AZ$40, UVG_Input_Data!AM$38, UVG_Input_Data!AM$38, 21-UVG_Input_Data!AM$38,50-UVG_Input_Data!AM$38)))</f>
        <v>0</v>
      </c>
      <c r="AN48" s="183">
        <f ca="1">UVG_Input_Data!$D$13*SUM(UVG_Input_Data!AN67:'UVG_Input_Data'!$AZ67) + IF(UVG_Input_Data!AN38&gt;20,0, SUM(OFFSET(UVG_Input_Data!$C$40:$AZ$40, UVG_Input_Data!AN$38, UVG_Input_Data!AN$38, 21-UVG_Input_Data!AN$38,50-UVG_Input_Data!AN$38)))</f>
        <v>0</v>
      </c>
      <c r="AO48" s="183">
        <f ca="1">UVG_Input_Data!$D$13*SUM(UVG_Input_Data!AO67:'UVG_Input_Data'!$AZ67) + IF(UVG_Input_Data!AO38&gt;20,0, SUM(OFFSET(UVG_Input_Data!$C$40:$AZ$40, UVG_Input_Data!AO$38, UVG_Input_Data!AO$38, 21-UVG_Input_Data!AO$38,50-UVG_Input_Data!AO$38)))</f>
        <v>0</v>
      </c>
      <c r="AP48" s="183">
        <f ca="1">UVG_Input_Data!$D$13*SUM(UVG_Input_Data!AP67:'UVG_Input_Data'!$AZ67) + IF(UVG_Input_Data!AP38&gt;20,0, SUM(OFFSET(UVG_Input_Data!$C$40:$AZ$40, UVG_Input_Data!AP$38, UVG_Input_Data!AP$38, 21-UVG_Input_Data!AP$38,50-UVG_Input_Data!AP$38)))</f>
        <v>0</v>
      </c>
      <c r="AQ48" s="183">
        <f ca="1">UVG_Input_Data!$D$13*SUM(UVG_Input_Data!AQ67:'UVG_Input_Data'!$AZ67) + IF(UVG_Input_Data!AQ38&gt;20,0, SUM(OFFSET(UVG_Input_Data!$C$40:$AZ$40, UVG_Input_Data!AQ$38, UVG_Input_Data!AQ$38, 21-UVG_Input_Data!AQ$38,50-UVG_Input_Data!AQ$38)))</f>
        <v>0</v>
      </c>
      <c r="AR48" s="183">
        <f ca="1">UVG_Input_Data!$D$13*SUM(UVG_Input_Data!AR67:'UVG_Input_Data'!$AZ67) + IF(UVG_Input_Data!AR38&gt;20,0, SUM(OFFSET(UVG_Input_Data!$C$40:$AZ$40, UVG_Input_Data!AR$38, UVG_Input_Data!AR$38, 21-UVG_Input_Data!AR$38,50-UVG_Input_Data!AR$38)))</f>
        <v>0</v>
      </c>
      <c r="AS48" s="183">
        <f ca="1">UVG_Input_Data!$D$13*SUM(UVG_Input_Data!AS67:'UVG_Input_Data'!$AZ67) + IF(UVG_Input_Data!AS38&gt;20,0, SUM(OFFSET(UVG_Input_Data!$C$40:$AZ$40, UVG_Input_Data!AS$38, UVG_Input_Data!AS$38, 21-UVG_Input_Data!AS$38,50-UVG_Input_Data!AS$38)))</f>
        <v>0</v>
      </c>
      <c r="AT48" s="183">
        <f ca="1">UVG_Input_Data!$D$13*SUM(UVG_Input_Data!AT67:'UVG_Input_Data'!$AZ67) + IF(UVG_Input_Data!AT38&gt;20,0, SUM(OFFSET(UVG_Input_Data!$C$40:$AZ$40, UVG_Input_Data!AT$38, UVG_Input_Data!AT$38, 21-UVG_Input_Data!AT$38,50-UVG_Input_Data!AT$38)))</f>
        <v>0</v>
      </c>
      <c r="AU48" s="183">
        <f ca="1">UVG_Input_Data!$D$13*SUM(UVG_Input_Data!AU67:'UVG_Input_Data'!$AZ67) + IF(UVG_Input_Data!AU38&gt;20,0, SUM(OFFSET(UVG_Input_Data!$C$40:$AZ$40, UVG_Input_Data!AU$38, UVG_Input_Data!AU$38, 21-UVG_Input_Data!AU$38,50-UVG_Input_Data!AU$38)))</f>
        <v>0</v>
      </c>
      <c r="AV48" s="183">
        <f ca="1">UVG_Input_Data!$D$13*SUM(UVG_Input_Data!AV67:'UVG_Input_Data'!$AZ67) + IF(UVG_Input_Data!AV38&gt;20,0, SUM(OFFSET(UVG_Input_Data!$C$40:$AZ$40, UVG_Input_Data!AV$38, UVG_Input_Data!AV$38, 21-UVG_Input_Data!AV$38,50-UVG_Input_Data!AV$38)))</f>
        <v>0</v>
      </c>
      <c r="AW48" s="183">
        <f ca="1">UVG_Input_Data!$D$13*SUM(UVG_Input_Data!AW67:'UVG_Input_Data'!$AZ67) + IF(UVG_Input_Data!AW38&gt;20,0, SUM(OFFSET(UVG_Input_Data!$C$40:$AZ$40, UVG_Input_Data!AW$38, UVG_Input_Data!AW$38, 21-UVG_Input_Data!AW$38,50-UVG_Input_Data!AW$38)))</f>
        <v>0</v>
      </c>
      <c r="AX48" s="183">
        <f ca="1">UVG_Input_Data!$D$13*SUM(UVG_Input_Data!AX67:'UVG_Input_Data'!$AZ67) + IF(UVG_Input_Data!AX38&gt;20,0, SUM(OFFSET(UVG_Input_Data!$C$40:$AZ$40, UVG_Input_Data!AX$38, UVG_Input_Data!AX$38, 21-UVG_Input_Data!AX$38,50-UVG_Input_Data!AX$38)))</f>
        <v>0</v>
      </c>
      <c r="AY48" s="183">
        <f ca="1">UVG_Input_Data!$D$13*SUM(UVG_Input_Data!AY67:'UVG_Input_Data'!$AZ67) + IF(UVG_Input_Data!AY38&gt;20,0, SUM(OFFSET(UVG_Input_Data!$C$40:$AZ$40, UVG_Input_Data!AY$38, UVG_Input_Data!AY$38, 21-UVG_Input_Data!AY$38,50-UVG_Input_Data!AY$38)))</f>
        <v>0</v>
      </c>
      <c r="AZ48" s="183">
        <f ca="1">UVG_Input_Data!$D$13*SUM(UVG_Input_Data!AZ67:'UVG_Input_Data'!$AZ67) + IF(UVG_Input_Data!AZ38&gt;20,0, SUM(OFFSET(UVG_Input_Data!$C$40:$AZ$40, UVG_Input_Data!AZ$38, UVG_Input_Data!AZ$38, 21-UVG_Input_Data!AZ$38,50-UVG_Input_Data!AZ$38)))</f>
        <v>0</v>
      </c>
    </row>
    <row r="49" spans="2:53" s="86" customFormat="1">
      <c r="B49" s="87" t="str">
        <f>VLOOKUP("T.03.6", Translation,IF(Language="DE",2,IF(Language="FR",3,4)),FALSE)</f>
        <v>Schadenrückstellung für Kurzfristleistungen</v>
      </c>
      <c r="C49" s="88">
        <f>UVG_Input_Data!$D14 * SUM(UVG_Input_Data!C26:$AZ26)</f>
        <v>0</v>
      </c>
      <c r="D49" s="88">
        <f>UVG_Input_Data!$D14 * SUM(UVG_Input_Data!D26:$AZ26)</f>
        <v>0</v>
      </c>
      <c r="E49" s="88">
        <f>UVG_Input_Data!$D14 * SUM(UVG_Input_Data!E26:$AZ26)</f>
        <v>0</v>
      </c>
      <c r="F49" s="88">
        <f>UVG_Input_Data!$D14 * SUM(UVG_Input_Data!F26:$AZ26)</f>
        <v>0</v>
      </c>
      <c r="G49" s="88">
        <f>UVG_Input_Data!$D14 * SUM(UVG_Input_Data!G26:$AZ26)</f>
        <v>0</v>
      </c>
      <c r="H49" s="88">
        <f>UVG_Input_Data!$D14 * SUM(UVG_Input_Data!H26:$AZ26)</f>
        <v>0</v>
      </c>
      <c r="I49" s="88">
        <f>UVG_Input_Data!$D14 * SUM(UVG_Input_Data!I26:$AZ26)</f>
        <v>0</v>
      </c>
      <c r="J49" s="88">
        <f>UVG_Input_Data!$D14 * SUM(UVG_Input_Data!J26:$AZ26)</f>
        <v>0</v>
      </c>
      <c r="K49" s="88">
        <f>UVG_Input_Data!$D14 * SUM(UVG_Input_Data!K26:$AZ26)</f>
        <v>0</v>
      </c>
      <c r="L49" s="88">
        <f>UVG_Input_Data!$D14 * SUM(UVG_Input_Data!L26:$AZ26)</f>
        <v>0</v>
      </c>
      <c r="M49" s="88">
        <f>UVG_Input_Data!$D14 * SUM(UVG_Input_Data!M26:$AZ26)</f>
        <v>0</v>
      </c>
      <c r="N49" s="88">
        <f>UVG_Input_Data!$D14 * SUM(UVG_Input_Data!N26:$AZ26)</f>
        <v>0</v>
      </c>
      <c r="O49" s="88">
        <f>UVG_Input_Data!$D14 * SUM(UVG_Input_Data!O26:$AZ26)</f>
        <v>0</v>
      </c>
      <c r="P49" s="88">
        <f>UVG_Input_Data!$D14 * SUM(UVG_Input_Data!P26:$AZ26)</f>
        <v>0</v>
      </c>
      <c r="Q49" s="88">
        <f>UVG_Input_Data!$D14 * SUM(UVG_Input_Data!Q26:$AZ26)</f>
        <v>0</v>
      </c>
      <c r="R49" s="88">
        <f>UVG_Input_Data!$D14 * SUM(UVG_Input_Data!R26:$AZ26)</f>
        <v>0</v>
      </c>
      <c r="S49" s="88">
        <f>UVG_Input_Data!$D14 * SUM(UVG_Input_Data!S26:$AZ26)</f>
        <v>0</v>
      </c>
      <c r="T49" s="88">
        <f>UVG_Input_Data!$D14 * SUM(UVG_Input_Data!T26:$AZ26)</f>
        <v>0</v>
      </c>
      <c r="U49" s="88">
        <f>UVG_Input_Data!$D14 * SUM(UVG_Input_Data!U26:$AZ26)</f>
        <v>0</v>
      </c>
      <c r="V49" s="88">
        <f>UVG_Input_Data!$D14 * SUM(UVG_Input_Data!V26:$AZ26)</f>
        <v>0</v>
      </c>
      <c r="W49" s="88">
        <f>UVG_Input_Data!$D14 * SUM(UVG_Input_Data!W26:$AZ26)</f>
        <v>0</v>
      </c>
      <c r="X49" s="88">
        <f>UVG_Input_Data!$D14 * SUM(UVG_Input_Data!X26:$AZ26)</f>
        <v>0</v>
      </c>
      <c r="Y49" s="88">
        <f>UVG_Input_Data!$D14 * SUM(UVG_Input_Data!Y26:$AZ26)</f>
        <v>0</v>
      </c>
      <c r="Z49" s="88">
        <f>UVG_Input_Data!$D14 * SUM(UVG_Input_Data!Z26:$AZ26)</f>
        <v>0</v>
      </c>
      <c r="AA49" s="88">
        <f>UVG_Input_Data!$D14 * SUM(UVG_Input_Data!AA26:$AZ26)</f>
        <v>0</v>
      </c>
      <c r="AB49" s="88">
        <f>UVG_Input_Data!$D14 * SUM(UVG_Input_Data!AB26:$AZ26)</f>
        <v>0</v>
      </c>
      <c r="AC49" s="88">
        <f>UVG_Input_Data!$D14 * SUM(UVG_Input_Data!AC26:$AZ26)</f>
        <v>0</v>
      </c>
      <c r="AD49" s="88">
        <f>UVG_Input_Data!$D14 * SUM(UVG_Input_Data!AD26:$AZ26)</f>
        <v>0</v>
      </c>
      <c r="AE49" s="88">
        <f>UVG_Input_Data!$D14 * SUM(UVG_Input_Data!AE26:$AZ26)</f>
        <v>0</v>
      </c>
      <c r="AF49" s="88">
        <f>UVG_Input_Data!$D14 * SUM(UVG_Input_Data!AF26:$AZ26)</f>
        <v>0</v>
      </c>
      <c r="AG49" s="88">
        <f>UVG_Input_Data!$D14 * SUM(UVG_Input_Data!AG26:$AZ26)</f>
        <v>0</v>
      </c>
      <c r="AH49" s="88">
        <f>UVG_Input_Data!$D14 * SUM(UVG_Input_Data!AH26:$AZ26)</f>
        <v>0</v>
      </c>
      <c r="AI49" s="88">
        <f>UVG_Input_Data!$D14 * SUM(UVG_Input_Data!AI26:$AZ26)</f>
        <v>0</v>
      </c>
      <c r="AJ49" s="88">
        <f>UVG_Input_Data!$D14 * SUM(UVG_Input_Data!AJ26:$AZ26)</f>
        <v>0</v>
      </c>
      <c r="AK49" s="88">
        <f>UVG_Input_Data!$D14 * SUM(UVG_Input_Data!AK26:$AZ26)</f>
        <v>0</v>
      </c>
      <c r="AL49" s="88">
        <f>UVG_Input_Data!$D14 * SUM(UVG_Input_Data!AL26:$AZ26)</f>
        <v>0</v>
      </c>
      <c r="AM49" s="88">
        <f>UVG_Input_Data!$D14 * SUM(UVG_Input_Data!AM26:$AZ26)</f>
        <v>0</v>
      </c>
      <c r="AN49" s="88">
        <f>UVG_Input_Data!$D14 * SUM(UVG_Input_Data!AN26:$AZ26)</f>
        <v>0</v>
      </c>
      <c r="AO49" s="88">
        <f>UVG_Input_Data!$D14 * SUM(UVG_Input_Data!AO26:$AZ26)</f>
        <v>0</v>
      </c>
      <c r="AP49" s="88">
        <f>UVG_Input_Data!$D14 * SUM(UVG_Input_Data!AP26:$AZ26)</f>
        <v>0</v>
      </c>
      <c r="AQ49" s="88">
        <f>UVG_Input_Data!$D14 * SUM(UVG_Input_Data!AQ26:$AZ26)</f>
        <v>0</v>
      </c>
      <c r="AR49" s="88">
        <f>UVG_Input_Data!$D14 * SUM(UVG_Input_Data!AR26:$AZ26)</f>
        <v>0</v>
      </c>
      <c r="AS49" s="88">
        <f>UVG_Input_Data!$D14 * SUM(UVG_Input_Data!AS26:$AZ26)</f>
        <v>0</v>
      </c>
      <c r="AT49" s="88">
        <f>UVG_Input_Data!$D14 * SUM(UVG_Input_Data!AT26:$AZ26)</f>
        <v>0</v>
      </c>
      <c r="AU49" s="88">
        <f>UVG_Input_Data!$D14 * SUM(UVG_Input_Data!AU26:$AZ26)</f>
        <v>0</v>
      </c>
      <c r="AV49" s="88">
        <f>UVG_Input_Data!$D14 * SUM(UVG_Input_Data!AV26:$AZ26)</f>
        <v>0</v>
      </c>
      <c r="AW49" s="88">
        <f>UVG_Input_Data!$D14 * SUM(UVG_Input_Data!AW26:$AZ26)</f>
        <v>0</v>
      </c>
      <c r="AX49" s="88">
        <f>UVG_Input_Data!$D14 * SUM(UVG_Input_Data!AX26:$AZ26)</f>
        <v>0</v>
      </c>
      <c r="AY49" s="88">
        <f>UVG_Input_Data!$D14 * SUM(UVG_Input_Data!AY26:$AZ26)</f>
        <v>0</v>
      </c>
      <c r="AZ49" s="88">
        <f>UVG_Input_Data!$D14 * SUM(UVG_Input_Data!AZ26:$AZ26)</f>
        <v>0</v>
      </c>
    </row>
    <row r="50" spans="2:53" s="86" customFormat="1">
      <c r="B50" s="87" t="str">
        <f>VLOOKUP("T.04.26", Translation,IF(Language="DE",2,IF(Language="FR",3,4)),FALSE)</f>
        <v>Stand des Teuerungsfonds</v>
      </c>
      <c r="C50" s="88">
        <f>UVG_Input_Data!C17</f>
        <v>0</v>
      </c>
      <c r="D50" s="88">
        <f ca="1">MAX(C50 + C33 - C38 - C27 - UVG_Input_Data!$C$33, 0)</f>
        <v>0</v>
      </c>
      <c r="E50" s="88">
        <f ca="1">MAX(D50 + D33 - D38 - D27 - UVG_Input_Data!$C$33, 0)</f>
        <v>0</v>
      </c>
      <c r="F50" s="88">
        <f ca="1">MAX(E50 + E33 - E38 - E27 - UVG_Input_Data!$C$33, 0)</f>
        <v>0</v>
      </c>
      <c r="G50" s="88">
        <f ca="1">MAX(F50 + F33 - F38 - F27 - UVG_Input_Data!$C$33, 0)</f>
        <v>0</v>
      </c>
      <c r="H50" s="88">
        <f ca="1">MAX(G50 + G33 - G38 - G27 - UVG_Input_Data!$C$33, 0)</f>
        <v>0</v>
      </c>
      <c r="I50" s="88">
        <f ca="1">MAX(H50 + H33 - H27 - UVG_Input_Data!$C$33, 0)</f>
        <v>0</v>
      </c>
      <c r="J50" s="88">
        <f ca="1">MAX(I50 + I33 - I27 - UVG_Input_Data!$C$33, 0)</f>
        <v>0</v>
      </c>
      <c r="K50" s="88">
        <f ca="1">MAX(J50 + J33 - J27 - UVG_Input_Data!$C$33, 0)</f>
        <v>0</v>
      </c>
      <c r="L50" s="88">
        <f ca="1">MAX(K50 + K33 - K27 - UVG_Input_Data!$C$33, 0)</f>
        <v>0</v>
      </c>
      <c r="M50" s="88">
        <f ca="1">MAX(L50 + L33 - L27 - UVG_Input_Data!$C$33, 0)</f>
        <v>0</v>
      </c>
      <c r="N50" s="88">
        <f ca="1">MAX(M50 + M33 - M27 - UVG_Input_Data!$C$33, 0)</f>
        <v>0</v>
      </c>
      <c r="O50" s="88">
        <f ca="1">MAX(N50 + N33 - N27 - UVG_Input_Data!$C$33, 0)</f>
        <v>0</v>
      </c>
      <c r="P50" s="88">
        <f ca="1">MAX(O50 + O33 - O27 - UVG_Input_Data!$C$33, 0)</f>
        <v>0</v>
      </c>
      <c r="Q50" s="88">
        <f ca="1">MAX(P50 + P33 - P27 - UVG_Input_Data!$C$33, 0)</f>
        <v>0</v>
      </c>
      <c r="R50" s="88">
        <f ca="1">MAX(Q50 + Q33 - Q27 - UVG_Input_Data!$C$33, 0)</f>
        <v>0</v>
      </c>
      <c r="S50" s="88">
        <f ca="1">MAX(R50 + R33 - R27 - UVG_Input_Data!$C$33, 0)</f>
        <v>0</v>
      </c>
      <c r="T50" s="88">
        <f ca="1">MAX(S50 + S33 - S27 - UVG_Input_Data!$C$33, 0)</f>
        <v>0</v>
      </c>
      <c r="U50" s="88">
        <f ca="1">MAX(T50 + T33 - T27 - UVG_Input_Data!$C$33, 0)</f>
        <v>0</v>
      </c>
      <c r="V50" s="88">
        <f ca="1">MAX(U50 + U33 - U27 - UVG_Input_Data!$C$33, 0)</f>
        <v>0</v>
      </c>
      <c r="W50" s="88">
        <f ca="1">MAX(V50 + V33 - V27 - UVG_Input_Data!$C$33, 0)</f>
        <v>0</v>
      </c>
      <c r="X50" s="88">
        <f ca="1">MAX(W50 + W33 - W27 - UVG_Input_Data!$C$33, 0)</f>
        <v>0</v>
      </c>
      <c r="Y50" s="88">
        <f ca="1">MAX(X50 + X33 - X27 - UVG_Input_Data!$C$33, 0)</f>
        <v>0</v>
      </c>
      <c r="Z50" s="88">
        <f ca="1">MAX(Y50 + Y33 - Y27 - UVG_Input_Data!$C$33, 0)</f>
        <v>0</v>
      </c>
      <c r="AA50" s="88">
        <f ca="1">MAX(Z50 + Z33 - Z27 - UVG_Input_Data!$C$33, 0)</f>
        <v>0</v>
      </c>
      <c r="AB50" s="88">
        <f ca="1">MAX(AA50 + AA33 - AA27 - UVG_Input_Data!$C$33, 0)</f>
        <v>0</v>
      </c>
      <c r="AC50" s="88">
        <f ca="1">MAX(AB50 + AB33 - AB27 - UVG_Input_Data!$C$33, 0)</f>
        <v>0</v>
      </c>
      <c r="AD50" s="88">
        <f ca="1">MAX(AC50 + AC33 - AC27 - UVG_Input_Data!$C$33, 0)</f>
        <v>0</v>
      </c>
      <c r="AE50" s="88">
        <f ca="1">MAX(AD50 + AD33 - AD27 - UVG_Input_Data!$C$33, 0)</f>
        <v>0</v>
      </c>
      <c r="AF50" s="88">
        <f ca="1">MAX(AE50 + AE33 - AE27 - UVG_Input_Data!$C$33, 0)</f>
        <v>0</v>
      </c>
      <c r="AG50" s="88">
        <f ca="1">MAX(AF50 + AF33 - AF27 - UVG_Input_Data!$C$33, 0)</f>
        <v>0</v>
      </c>
      <c r="AH50" s="88">
        <f ca="1">MAX(AG50 + AG33 - AG27 - UVG_Input_Data!$C$33, 0)</f>
        <v>0</v>
      </c>
      <c r="AI50" s="88">
        <f ca="1">MAX(AH50 + AH33 - AH27 - UVG_Input_Data!$C$33, 0)</f>
        <v>0</v>
      </c>
      <c r="AJ50" s="88">
        <f ca="1">MAX(AI50 + AI33 - AI27 - UVG_Input_Data!$C$33, 0)</f>
        <v>0</v>
      </c>
      <c r="AK50" s="88">
        <f ca="1">MAX(AJ50 + AJ33 - AJ27 - UVG_Input_Data!$C$33, 0)</f>
        <v>0</v>
      </c>
      <c r="AL50" s="88">
        <f ca="1">MAX(AK50 + AK33 - AK27 - UVG_Input_Data!$C$33, 0)</f>
        <v>0</v>
      </c>
      <c r="AM50" s="88">
        <f ca="1">MAX(AL50 + AL33 - AL27 - UVG_Input_Data!$C$33, 0)</f>
        <v>0</v>
      </c>
      <c r="AN50" s="88">
        <f ca="1">MAX(AM50 + AM33 - AM27 - UVG_Input_Data!$C$33, 0)</f>
        <v>0</v>
      </c>
      <c r="AO50" s="88">
        <f ca="1">MAX(AN50 + AN33 - AN27 - UVG_Input_Data!$C$33, 0)</f>
        <v>0</v>
      </c>
      <c r="AP50" s="88">
        <f ca="1">MAX(AO50 + AO33 - AO27 - UVG_Input_Data!$C$33, 0)</f>
        <v>0</v>
      </c>
      <c r="AQ50" s="88">
        <f ca="1">MAX(AP50 + AP33 - AP27 - UVG_Input_Data!$C$33, 0)</f>
        <v>0</v>
      </c>
      <c r="AR50" s="88">
        <f ca="1">MAX(AQ50 + AQ33 - AQ27 - UVG_Input_Data!$C$33, 0)</f>
        <v>0</v>
      </c>
      <c r="AS50" s="88">
        <f ca="1">MAX(AR50 + AR33 - AR27 - UVG_Input_Data!$C$33, 0)</f>
        <v>0</v>
      </c>
      <c r="AT50" s="88">
        <f ca="1">MAX(AS50 + AS33 - AS27 - UVG_Input_Data!$C$33, 0)</f>
        <v>0</v>
      </c>
      <c r="AU50" s="88">
        <f ca="1">MAX(AT50 + AT33 - AT27 - UVG_Input_Data!$C$33, 0)</f>
        <v>0</v>
      </c>
      <c r="AV50" s="88">
        <f ca="1">MAX(AU50 + AU33 - AU27 - UVG_Input_Data!$C$33, 0)</f>
        <v>0</v>
      </c>
      <c r="AW50" s="88">
        <f ca="1">MAX(AV50 + AV33 - AV27 - UVG_Input_Data!$C$33, 0)</f>
        <v>0</v>
      </c>
      <c r="AX50" s="88">
        <f ca="1">MAX(AW50 + AW33 - AW27 - UVG_Input_Data!$C$33, 0)</f>
        <v>0</v>
      </c>
      <c r="AY50" s="88">
        <f ca="1">MAX(AX50 + AX33 - AX27 - UVG_Input_Data!$C$33, 0)</f>
        <v>0</v>
      </c>
      <c r="AZ50" s="88">
        <f ca="1">MAX(AY50 + AY33 - AY27 - UVG_Input_Data!$C$33, 0)</f>
        <v>0</v>
      </c>
    </row>
    <row r="51" spans="2:53">
      <c r="BA51" s="86"/>
    </row>
    <row r="52" spans="2:53">
      <c r="C52" s="122"/>
    </row>
    <row r="53" spans="2:53" ht="14.25">
      <c r="B53" s="218" t="str">
        <f>VLOOKUP("T.03.26", Translation,IF(Language="DE",2,IF(Language="FR",3,4)),FALSE)</f>
        <v>Statutarisches Deckungskapital für künftige Neurenten ab dem Jahr 2024 (in Mio. CHF; jeweils am Ende des Jahres)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</row>
    <row r="54" spans="2:53" s="32" customFormat="1" ht="14.25"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</row>
    <row r="55" spans="2:53">
      <c r="B55" s="78"/>
      <c r="C55" s="232" t="str">
        <f>VLOOKUP("T.03.29", Translation,IF(Language="DE",2,IF(Language="FR",3,4)),FALSE)</f>
        <v>Bewertungsjahr</v>
      </c>
      <c r="D55" s="211"/>
    </row>
    <row r="56" spans="2:53">
      <c r="B56" s="82"/>
      <c r="C56" s="79">
        <v>0</v>
      </c>
      <c r="D56" s="80">
        <v>1</v>
      </c>
      <c r="E56" s="80">
        <v>2</v>
      </c>
      <c r="F56" s="80">
        <v>3</v>
      </c>
      <c r="G56" s="80">
        <v>4</v>
      </c>
      <c r="H56" s="80">
        <v>5</v>
      </c>
      <c r="I56" s="80">
        <v>6</v>
      </c>
      <c r="J56" s="80">
        <v>7</v>
      </c>
      <c r="K56" s="80">
        <v>8</v>
      </c>
      <c r="L56" s="80">
        <v>9</v>
      </c>
      <c r="M56" s="80">
        <v>10</v>
      </c>
      <c r="N56" s="80">
        <v>11</v>
      </c>
      <c r="O56" s="80">
        <v>12</v>
      </c>
      <c r="P56" s="80">
        <v>13</v>
      </c>
      <c r="Q56" s="80">
        <v>14</v>
      </c>
      <c r="R56" s="80">
        <v>15</v>
      </c>
      <c r="S56" s="80">
        <v>16</v>
      </c>
      <c r="T56" s="80">
        <v>17</v>
      </c>
      <c r="U56" s="80">
        <v>18</v>
      </c>
      <c r="V56" s="80">
        <v>19</v>
      </c>
      <c r="W56" s="80">
        <v>20</v>
      </c>
      <c r="X56" s="80">
        <v>21</v>
      </c>
      <c r="Y56" s="80">
        <v>22</v>
      </c>
      <c r="Z56" s="80">
        <v>23</v>
      </c>
      <c r="AA56" s="80">
        <v>24</v>
      </c>
      <c r="AB56" s="80">
        <v>25</v>
      </c>
      <c r="AC56" s="80">
        <v>26</v>
      </c>
      <c r="AD56" s="80">
        <v>27</v>
      </c>
      <c r="AE56" s="80">
        <v>28</v>
      </c>
      <c r="AF56" s="80">
        <v>29</v>
      </c>
      <c r="AG56" s="80">
        <v>30</v>
      </c>
      <c r="AH56" s="80">
        <v>31</v>
      </c>
      <c r="AI56" s="80">
        <v>32</v>
      </c>
      <c r="AJ56" s="80">
        <v>33</v>
      </c>
      <c r="AK56" s="80">
        <v>34</v>
      </c>
      <c r="AL56" s="80">
        <v>35</v>
      </c>
      <c r="AM56" s="80">
        <v>36</v>
      </c>
      <c r="AN56" s="80">
        <v>37</v>
      </c>
      <c r="AO56" s="80">
        <v>38</v>
      </c>
      <c r="AP56" s="80">
        <v>39</v>
      </c>
      <c r="AQ56" s="80">
        <v>40</v>
      </c>
      <c r="AR56" s="80">
        <v>41</v>
      </c>
      <c r="AS56" s="80">
        <v>42</v>
      </c>
      <c r="AT56" s="80">
        <v>43</v>
      </c>
      <c r="AU56" s="80">
        <v>44</v>
      </c>
      <c r="AV56" s="80">
        <v>45</v>
      </c>
      <c r="AW56" s="80">
        <v>46</v>
      </c>
      <c r="AX56" s="80">
        <v>47</v>
      </c>
      <c r="AY56" s="80">
        <v>48</v>
      </c>
      <c r="AZ56" s="81">
        <v>49</v>
      </c>
    </row>
    <row r="57" spans="2:53">
      <c r="C57" s="106">
        <f t="shared" ref="C57:AH57" si="8">current_year +C56</f>
        <v>2024</v>
      </c>
      <c r="D57" s="106">
        <f t="shared" si="8"/>
        <v>2025</v>
      </c>
      <c r="E57" s="106">
        <f t="shared" si="8"/>
        <v>2026</v>
      </c>
      <c r="F57" s="106">
        <f t="shared" si="8"/>
        <v>2027</v>
      </c>
      <c r="G57" s="106">
        <f t="shared" si="8"/>
        <v>2028</v>
      </c>
      <c r="H57" s="106">
        <f t="shared" si="8"/>
        <v>2029</v>
      </c>
      <c r="I57" s="106">
        <f t="shared" si="8"/>
        <v>2030</v>
      </c>
      <c r="J57" s="106">
        <f t="shared" si="8"/>
        <v>2031</v>
      </c>
      <c r="K57" s="106">
        <f t="shared" si="8"/>
        <v>2032</v>
      </c>
      <c r="L57" s="106">
        <f t="shared" si="8"/>
        <v>2033</v>
      </c>
      <c r="M57" s="106">
        <f t="shared" si="8"/>
        <v>2034</v>
      </c>
      <c r="N57" s="106">
        <f t="shared" si="8"/>
        <v>2035</v>
      </c>
      <c r="O57" s="106">
        <f t="shared" si="8"/>
        <v>2036</v>
      </c>
      <c r="P57" s="106">
        <f t="shared" si="8"/>
        <v>2037</v>
      </c>
      <c r="Q57" s="106">
        <f t="shared" si="8"/>
        <v>2038</v>
      </c>
      <c r="R57" s="106">
        <f t="shared" si="8"/>
        <v>2039</v>
      </c>
      <c r="S57" s="106">
        <f t="shared" si="8"/>
        <v>2040</v>
      </c>
      <c r="T57" s="106">
        <f t="shared" si="8"/>
        <v>2041</v>
      </c>
      <c r="U57" s="106">
        <f t="shared" si="8"/>
        <v>2042</v>
      </c>
      <c r="V57" s="106">
        <f t="shared" si="8"/>
        <v>2043</v>
      </c>
      <c r="W57" s="106">
        <f t="shared" si="8"/>
        <v>2044</v>
      </c>
      <c r="X57" s="106">
        <f t="shared" si="8"/>
        <v>2045</v>
      </c>
      <c r="Y57" s="106">
        <f t="shared" si="8"/>
        <v>2046</v>
      </c>
      <c r="Z57" s="106">
        <f t="shared" si="8"/>
        <v>2047</v>
      </c>
      <c r="AA57" s="106">
        <f t="shared" si="8"/>
        <v>2048</v>
      </c>
      <c r="AB57" s="106">
        <f t="shared" si="8"/>
        <v>2049</v>
      </c>
      <c r="AC57" s="106">
        <f t="shared" si="8"/>
        <v>2050</v>
      </c>
      <c r="AD57" s="106">
        <f t="shared" si="8"/>
        <v>2051</v>
      </c>
      <c r="AE57" s="106">
        <f t="shared" si="8"/>
        <v>2052</v>
      </c>
      <c r="AF57" s="106">
        <f t="shared" si="8"/>
        <v>2053</v>
      </c>
      <c r="AG57" s="106">
        <f t="shared" si="8"/>
        <v>2054</v>
      </c>
      <c r="AH57" s="106">
        <f t="shared" si="8"/>
        <v>2055</v>
      </c>
      <c r="AI57" s="106">
        <f t="shared" ref="AI57:AZ57" si="9">current_year +AI56</f>
        <v>2056</v>
      </c>
      <c r="AJ57" s="106">
        <f t="shared" si="9"/>
        <v>2057</v>
      </c>
      <c r="AK57" s="106">
        <f t="shared" si="9"/>
        <v>2058</v>
      </c>
      <c r="AL57" s="106">
        <f t="shared" si="9"/>
        <v>2059</v>
      </c>
      <c r="AM57" s="106">
        <f t="shared" si="9"/>
        <v>2060</v>
      </c>
      <c r="AN57" s="106">
        <f t="shared" si="9"/>
        <v>2061</v>
      </c>
      <c r="AO57" s="106">
        <f t="shared" si="9"/>
        <v>2062</v>
      </c>
      <c r="AP57" s="106">
        <f t="shared" si="9"/>
        <v>2063</v>
      </c>
      <c r="AQ57" s="106">
        <f t="shared" si="9"/>
        <v>2064</v>
      </c>
      <c r="AR57" s="106">
        <f t="shared" si="9"/>
        <v>2065</v>
      </c>
      <c r="AS57" s="106">
        <f t="shared" si="9"/>
        <v>2066</v>
      </c>
      <c r="AT57" s="106">
        <f t="shared" si="9"/>
        <v>2067</v>
      </c>
      <c r="AU57" s="106">
        <f t="shared" si="9"/>
        <v>2068</v>
      </c>
      <c r="AV57" s="106">
        <f t="shared" si="9"/>
        <v>2069</v>
      </c>
      <c r="AW57" s="106">
        <f t="shared" si="9"/>
        <v>2070</v>
      </c>
      <c r="AX57" s="106">
        <f t="shared" si="9"/>
        <v>2071</v>
      </c>
      <c r="AY57" s="106">
        <f t="shared" si="9"/>
        <v>2072</v>
      </c>
      <c r="AZ57" s="106">
        <f t="shared" si="9"/>
        <v>2073</v>
      </c>
    </row>
    <row r="58" spans="2:53">
      <c r="B58" s="172" t="s">
        <v>559</v>
      </c>
      <c r="C58" s="174">
        <f ca="1">IFERROR(SUMPRODUCT(UVG_Input_Data!D40:$AZ40,OFFSET(Inputparam!$C$34:$AY$34,0,0,1,49-UVG_Calculations!C$56)), 0)</f>
        <v>0</v>
      </c>
      <c r="D58" s="174">
        <f ca="1">IFERROR(SUMPRODUCT(UVG_Input_Data!E40:$AZ40,OFFSET(Inputparam!$C$34:$AY$34,0,0,1,49-UVG_Calculations!D$56)), 0)</f>
        <v>0</v>
      </c>
      <c r="E58" s="174">
        <f ca="1">IFERROR(SUMPRODUCT(UVG_Input_Data!F40:$AZ40,OFFSET(Inputparam!$C$34:$AY$34,0,0,1,49-UVG_Calculations!E$56)), 0)</f>
        <v>0</v>
      </c>
      <c r="F58" s="174">
        <f ca="1">IFERROR(SUMPRODUCT(UVG_Input_Data!G40:$AZ40,OFFSET(Inputparam!$C$34:$AY$34,0,0,1,49-UVG_Calculations!F$56)), 0)</f>
        <v>0</v>
      </c>
      <c r="G58" s="174">
        <f ca="1">IFERROR(SUMPRODUCT(UVG_Input_Data!H40:$AZ40,OFFSET(Inputparam!$C$34:$AY$34,0,0,1,49-UVG_Calculations!G$56)), 0)</f>
        <v>0</v>
      </c>
      <c r="H58" s="174">
        <f ca="1">IFERROR(SUMPRODUCT(UVG_Input_Data!I40:$AZ40,OFFSET(Inputparam!$C$34:$AY$34,0,0,1,49-UVG_Calculations!H$56)), 0)</f>
        <v>0</v>
      </c>
      <c r="I58" s="174">
        <f ca="1">IFERROR(SUMPRODUCT(UVG_Input_Data!J40:$AZ40,OFFSET(Inputparam!$C$34:$AY$34,0,0,1,49-UVG_Calculations!I$56)), 0)</f>
        <v>0</v>
      </c>
      <c r="J58" s="174">
        <f ca="1">IFERROR(SUMPRODUCT(UVG_Input_Data!K40:$AZ40,OFFSET(Inputparam!$C$34:$AY$34,0,0,1,49-UVG_Calculations!J$56)), 0)</f>
        <v>0</v>
      </c>
      <c r="K58" s="174">
        <f ca="1">IFERROR(SUMPRODUCT(UVG_Input_Data!L40:$AZ40,OFFSET(Inputparam!$C$34:$AY$34,0,0,1,49-UVG_Calculations!K$56)), 0)</f>
        <v>0</v>
      </c>
      <c r="L58" s="174">
        <f ca="1">IFERROR(SUMPRODUCT(UVG_Input_Data!M40:$AZ40,OFFSET(Inputparam!$C$34:$AY$34,0,0,1,49-UVG_Calculations!L$56)), 0)</f>
        <v>0</v>
      </c>
      <c r="M58" s="174">
        <f ca="1">IFERROR(SUMPRODUCT(UVG_Input_Data!N40:$AZ40,OFFSET(Inputparam!$C$34:$AY$34,0,0,1,49-UVG_Calculations!M$56)), 0)</f>
        <v>0</v>
      </c>
      <c r="N58" s="174">
        <f ca="1">IFERROR(SUMPRODUCT(UVG_Input_Data!O40:$AZ40,OFFSET(Inputparam!$C$34:$AY$34,0,0,1,49-UVG_Calculations!N$56)), 0)</f>
        <v>0</v>
      </c>
      <c r="O58" s="174">
        <f ca="1">IFERROR(SUMPRODUCT(UVG_Input_Data!P40:$AZ40,OFFSET(Inputparam!$C$34:$AY$34,0,0,1,49-UVG_Calculations!O$56)), 0)</f>
        <v>0</v>
      </c>
      <c r="P58" s="174">
        <f ca="1">IFERROR(SUMPRODUCT(UVG_Input_Data!Q40:$AZ40,OFFSET(Inputparam!$C$34:$AY$34,0,0,1,49-UVG_Calculations!P$56)), 0)</f>
        <v>0</v>
      </c>
      <c r="Q58" s="174">
        <f ca="1">IFERROR(SUMPRODUCT(UVG_Input_Data!R40:$AZ40,OFFSET(Inputparam!$C$34:$AY$34,0,0,1,49-UVG_Calculations!Q$56)), 0)</f>
        <v>0</v>
      </c>
      <c r="R58" s="174">
        <f ca="1">IFERROR(SUMPRODUCT(UVG_Input_Data!S40:$AZ40,OFFSET(Inputparam!$C$34:$AY$34,0,0,1,49-UVG_Calculations!R$56)), 0)</f>
        <v>0</v>
      </c>
      <c r="S58" s="174">
        <f ca="1">IFERROR(SUMPRODUCT(UVG_Input_Data!T40:$AZ40,OFFSET(Inputparam!$C$34:$AY$34,0,0,1,49-UVG_Calculations!S$56)), 0)</f>
        <v>0</v>
      </c>
      <c r="T58" s="174">
        <f ca="1">IFERROR(SUMPRODUCT(UVG_Input_Data!U40:$AZ40,OFFSET(Inputparam!$C$34:$AY$34,0,0,1,49-UVG_Calculations!T$56)), 0)</f>
        <v>0</v>
      </c>
      <c r="U58" s="174">
        <f ca="1">IFERROR(SUMPRODUCT(UVG_Input_Data!V40:$AZ40,OFFSET(Inputparam!$C$34:$AY$34,0,0,1,49-UVG_Calculations!U$56)), 0)</f>
        <v>0</v>
      </c>
      <c r="V58" s="174">
        <f ca="1">IFERROR(SUMPRODUCT(UVG_Input_Data!W40:$AZ40,OFFSET(Inputparam!$C$34:$AY$34,0,0,1,49-UVG_Calculations!V$56)), 0)</f>
        <v>0</v>
      </c>
      <c r="W58" s="174">
        <f ca="1">IFERROR(SUMPRODUCT(UVG_Input_Data!X40:$AZ40,OFFSET(Inputparam!$C$34:$AY$34,0,0,1,49-UVG_Calculations!W$56)), 0)</f>
        <v>0</v>
      </c>
      <c r="X58" s="174">
        <f ca="1">IFERROR(SUMPRODUCT(UVG_Input_Data!Y40:$AZ40,OFFSET(Inputparam!$C$34:$AY$34,0,0,1,49-UVG_Calculations!X$56)), 0)</f>
        <v>0</v>
      </c>
      <c r="Y58" s="174">
        <f ca="1">IFERROR(SUMPRODUCT(UVG_Input_Data!Z40:$AZ40,OFFSET(Inputparam!$C$34:$AY$34,0,0,1,49-UVG_Calculations!Y$56)), 0)</f>
        <v>0</v>
      </c>
      <c r="Z58" s="174">
        <f ca="1">IFERROR(SUMPRODUCT(UVG_Input_Data!AA40:$AZ40,OFFSET(Inputparam!$C$34:$AY$34,0,0,1,49-UVG_Calculations!Z$56)), 0)</f>
        <v>0</v>
      </c>
      <c r="AA58" s="174">
        <f ca="1">IFERROR(SUMPRODUCT(UVG_Input_Data!AB40:$AZ40,OFFSET(Inputparam!$C$34:$AY$34,0,0,1,49-UVG_Calculations!AA$56)), 0)</f>
        <v>0</v>
      </c>
      <c r="AB58" s="174">
        <f ca="1">IFERROR(SUMPRODUCT(UVG_Input_Data!AC40:$AZ40,OFFSET(Inputparam!$C$34:$AY$34,0,0,1,49-UVG_Calculations!AB$56)), 0)</f>
        <v>0</v>
      </c>
      <c r="AC58" s="174">
        <f ca="1">IFERROR(SUMPRODUCT(UVG_Input_Data!AD40:$AZ40,OFFSET(Inputparam!$C$34:$AY$34,0,0,1,49-UVG_Calculations!AC$56)), 0)</f>
        <v>0</v>
      </c>
      <c r="AD58" s="174">
        <f ca="1">IFERROR(SUMPRODUCT(UVG_Input_Data!AE40:$AZ40,OFFSET(Inputparam!$C$34:$AY$34,0,0,1,49-UVG_Calculations!AD$56)), 0)</f>
        <v>0</v>
      </c>
      <c r="AE58" s="174">
        <f ca="1">IFERROR(SUMPRODUCT(UVG_Input_Data!AF40:$AZ40,OFFSET(Inputparam!$C$34:$AY$34,0,0,1,49-UVG_Calculations!AE$56)), 0)</f>
        <v>0</v>
      </c>
      <c r="AF58" s="174">
        <f ca="1">IFERROR(SUMPRODUCT(UVG_Input_Data!AG40:$AZ40,OFFSET(Inputparam!$C$34:$AY$34,0,0,1,49-UVG_Calculations!AF$56)), 0)</f>
        <v>0</v>
      </c>
      <c r="AG58" s="174">
        <f ca="1">IFERROR(SUMPRODUCT(UVG_Input_Data!AH40:$AZ40,OFFSET(Inputparam!$C$34:$AY$34,0,0,1,49-UVG_Calculations!AG$56)), 0)</f>
        <v>0</v>
      </c>
      <c r="AH58" s="174">
        <f ca="1">IFERROR(SUMPRODUCT(UVG_Input_Data!AI40:$AZ40,OFFSET(Inputparam!$C$34:$AY$34,0,0,1,49-UVG_Calculations!AH$56)), 0)</f>
        <v>0</v>
      </c>
      <c r="AI58" s="174">
        <f ca="1">IFERROR(SUMPRODUCT(UVG_Input_Data!AJ40:$AZ40,OFFSET(Inputparam!$C$34:$AY$34,0,0,1,49-UVG_Calculations!AI$56)), 0)</f>
        <v>0</v>
      </c>
      <c r="AJ58" s="174">
        <f ca="1">IFERROR(SUMPRODUCT(UVG_Input_Data!AK40:$AZ40,OFFSET(Inputparam!$C$34:$AY$34,0,0,1,49-UVG_Calculations!AJ$56)), 0)</f>
        <v>0</v>
      </c>
      <c r="AK58" s="174">
        <f ca="1">IFERROR(SUMPRODUCT(UVG_Input_Data!AL40:$AZ40,OFFSET(Inputparam!$C$34:$AY$34,0,0,1,49-UVG_Calculations!AK$56)), 0)</f>
        <v>0</v>
      </c>
      <c r="AL58" s="174">
        <f ca="1">IFERROR(SUMPRODUCT(UVG_Input_Data!AM40:$AZ40,OFFSET(Inputparam!$C$34:$AY$34,0,0,1,49-UVG_Calculations!AL$56)), 0)</f>
        <v>0</v>
      </c>
      <c r="AM58" s="174">
        <f ca="1">IFERROR(SUMPRODUCT(UVG_Input_Data!AN40:$AZ40,OFFSET(Inputparam!$C$34:$AY$34,0,0,1,49-UVG_Calculations!AM$56)), 0)</f>
        <v>0</v>
      </c>
      <c r="AN58" s="174">
        <f ca="1">IFERROR(SUMPRODUCT(UVG_Input_Data!AO40:$AZ40,OFFSET(Inputparam!$C$34:$AY$34,0,0,1,49-UVG_Calculations!AN$56)), 0)</f>
        <v>0</v>
      </c>
      <c r="AO58" s="174">
        <f ca="1">IFERROR(SUMPRODUCT(UVG_Input_Data!AP40:$AZ40,OFFSET(Inputparam!$C$34:$AY$34,0,0,1,49-UVG_Calculations!AO$56)), 0)</f>
        <v>0</v>
      </c>
      <c r="AP58" s="174">
        <f ca="1">IFERROR(SUMPRODUCT(UVG_Input_Data!AQ40:$AZ40,OFFSET(Inputparam!$C$34:$AY$34,0,0,1,49-UVG_Calculations!AP$56)), 0)</f>
        <v>0</v>
      </c>
      <c r="AQ58" s="174">
        <f ca="1">IFERROR(SUMPRODUCT(UVG_Input_Data!AR40:$AZ40,OFFSET(Inputparam!$C$34:$AY$34,0,0,1,49-UVG_Calculations!AQ$56)), 0)</f>
        <v>0</v>
      </c>
      <c r="AR58" s="174">
        <f ca="1">IFERROR(SUMPRODUCT(UVG_Input_Data!AS40:$AZ40,OFFSET(Inputparam!$C$34:$AY$34,0,0,1,49-UVG_Calculations!AR$56)), 0)</f>
        <v>0</v>
      </c>
      <c r="AS58" s="174">
        <f ca="1">IFERROR(SUMPRODUCT(UVG_Input_Data!AT40:$AZ40,OFFSET(Inputparam!$C$34:$AY$34,0,0,1,49-UVG_Calculations!AS$56)), 0)</f>
        <v>0</v>
      </c>
      <c r="AT58" s="174">
        <f ca="1">IFERROR(SUMPRODUCT(UVG_Input_Data!AU40:$AZ40,OFFSET(Inputparam!$C$34:$AY$34,0,0,1,49-UVG_Calculations!AT$56)), 0)</f>
        <v>0</v>
      </c>
      <c r="AU58" s="174">
        <f ca="1">IFERROR(SUMPRODUCT(UVG_Input_Data!AV40:$AZ40,OFFSET(Inputparam!$C$34:$AY$34,0,0,1,49-UVG_Calculations!AU$56)), 0)</f>
        <v>0</v>
      </c>
      <c r="AV58" s="174">
        <f ca="1">IFERROR(SUMPRODUCT(UVG_Input_Data!AW40:$AZ40,OFFSET(Inputparam!$C$34:$AY$34,0,0,1,49-UVG_Calculations!AV$56)), 0)</f>
        <v>0</v>
      </c>
      <c r="AW58" s="174">
        <f ca="1">IFERROR(SUMPRODUCT(UVG_Input_Data!AX40:$AZ40,OFFSET(Inputparam!$C$34:$AY$34,0,0,1,49-UVG_Calculations!AW$56)), 0)</f>
        <v>0</v>
      </c>
      <c r="AX58" s="174">
        <f ca="1">IFERROR(SUMPRODUCT(UVG_Input_Data!AY40:$AZ40,OFFSET(Inputparam!$C$34:$AY$34,0,0,1,49-UVG_Calculations!AX$56)), 0)</f>
        <v>0</v>
      </c>
      <c r="AY58" s="174">
        <f ca="1">IFERROR(SUMPRODUCT(UVG_Input_Data!AZ40:$AZ40,OFFSET(Inputparam!$C$34:$AY$34,0,0,1,49-UVG_Calculations!AY$56)), 0)</f>
        <v>0</v>
      </c>
      <c r="AZ58" s="174">
        <f ca="1">IFERROR(SUMPRODUCT(UVG_Input_Data!$AZ40:BA40,OFFSET(Inputparam!$C$34:$AY$34,0,0,1,49-UVG_Calculations!AZ$56)), 0)</f>
        <v>0</v>
      </c>
    </row>
    <row r="59" spans="2:53">
      <c r="B59" s="172" t="s">
        <v>560</v>
      </c>
      <c r="C59" s="171"/>
      <c r="D59" s="174">
        <f ca="1">IFERROR(SUMPRODUCT(UVG_Input_Data!E41:$AZ41,OFFSET(Inputparam!$C$34:$AY$34,0,0,1,49-UVG_Calculations!D$56)), 0)</f>
        <v>0</v>
      </c>
      <c r="E59" s="174">
        <f ca="1">IFERROR(SUMPRODUCT(UVG_Input_Data!F41:$AZ41,OFFSET(Inputparam!$C$34:$AY$34,0,0,1,49-UVG_Calculations!E$56)), 0)</f>
        <v>0</v>
      </c>
      <c r="F59" s="174">
        <f ca="1">IFERROR(SUMPRODUCT(UVG_Input_Data!G41:$AZ41,OFFSET(Inputparam!$C$34:$AY$34,0,0,1,49-UVG_Calculations!F$56)), 0)</f>
        <v>0</v>
      </c>
      <c r="G59" s="174">
        <f ca="1">IFERROR(SUMPRODUCT(UVG_Input_Data!H41:$AZ41,OFFSET(Inputparam!$C$34:$AY$34,0,0,1,49-UVG_Calculations!G$56)), 0)</f>
        <v>0</v>
      </c>
      <c r="H59" s="174">
        <f ca="1">IFERROR(SUMPRODUCT(UVG_Input_Data!I41:$AZ41,OFFSET(Inputparam!$C$34:$AY$34,0,0,1,49-UVG_Calculations!H$56)), 0)</f>
        <v>0</v>
      </c>
      <c r="I59" s="174">
        <f ca="1">IFERROR(SUMPRODUCT(UVG_Input_Data!J41:$AZ41,OFFSET(Inputparam!$C$34:$AY$34,0,0,1,49-UVG_Calculations!I$56)), 0)</f>
        <v>0</v>
      </c>
      <c r="J59" s="174">
        <f ca="1">IFERROR(SUMPRODUCT(UVG_Input_Data!K41:$AZ41,OFFSET(Inputparam!$C$34:$AY$34,0,0,1,49-UVG_Calculations!J$56)), 0)</f>
        <v>0</v>
      </c>
      <c r="K59" s="174">
        <f ca="1">IFERROR(SUMPRODUCT(UVG_Input_Data!L41:$AZ41,OFFSET(Inputparam!$C$34:$AY$34,0,0,1,49-UVG_Calculations!K$56)), 0)</f>
        <v>0</v>
      </c>
      <c r="L59" s="174">
        <f ca="1">IFERROR(SUMPRODUCT(UVG_Input_Data!M41:$AZ41,OFFSET(Inputparam!$C$34:$AY$34,0,0,1,49-UVG_Calculations!L$56)), 0)</f>
        <v>0</v>
      </c>
      <c r="M59" s="174">
        <f ca="1">IFERROR(SUMPRODUCT(UVG_Input_Data!N41:$AZ41,OFFSET(Inputparam!$C$34:$AY$34,0,0,1,49-UVG_Calculations!M$56)), 0)</f>
        <v>0</v>
      </c>
      <c r="N59" s="174">
        <f ca="1">IFERROR(SUMPRODUCT(UVG_Input_Data!O41:$AZ41,OFFSET(Inputparam!$C$34:$AY$34,0,0,1,49-UVG_Calculations!N$56)), 0)</f>
        <v>0</v>
      </c>
      <c r="O59" s="174">
        <f ca="1">IFERROR(SUMPRODUCT(UVG_Input_Data!P41:$AZ41,OFFSET(Inputparam!$C$34:$AY$34,0,0,1,49-UVG_Calculations!O$56)), 0)</f>
        <v>0</v>
      </c>
      <c r="P59" s="174">
        <f ca="1">IFERROR(SUMPRODUCT(UVG_Input_Data!Q41:$AZ41,OFFSET(Inputparam!$C$34:$AY$34,0,0,1,49-UVG_Calculations!P$56)), 0)</f>
        <v>0</v>
      </c>
      <c r="Q59" s="174">
        <f ca="1">IFERROR(SUMPRODUCT(UVG_Input_Data!R41:$AZ41,OFFSET(Inputparam!$C$34:$AY$34,0,0,1,49-UVG_Calculations!Q$56)), 0)</f>
        <v>0</v>
      </c>
      <c r="R59" s="174">
        <f ca="1">IFERROR(SUMPRODUCT(UVG_Input_Data!S41:$AZ41,OFFSET(Inputparam!$C$34:$AY$34,0,0,1,49-UVG_Calculations!R$56)), 0)</f>
        <v>0</v>
      </c>
      <c r="S59" s="174">
        <f ca="1">IFERROR(SUMPRODUCT(UVG_Input_Data!T41:$AZ41,OFFSET(Inputparam!$C$34:$AY$34,0,0,1,49-UVG_Calculations!S$56)), 0)</f>
        <v>0</v>
      </c>
      <c r="T59" s="174">
        <f ca="1">IFERROR(SUMPRODUCT(UVG_Input_Data!U41:$AZ41,OFFSET(Inputparam!$C$34:$AY$34,0,0,1,49-UVG_Calculations!T$56)), 0)</f>
        <v>0</v>
      </c>
      <c r="U59" s="174">
        <f ca="1">IFERROR(SUMPRODUCT(UVG_Input_Data!V41:$AZ41,OFFSET(Inputparam!$C$34:$AY$34,0,0,1,49-UVG_Calculations!U$56)), 0)</f>
        <v>0</v>
      </c>
      <c r="V59" s="174">
        <f ca="1">IFERROR(SUMPRODUCT(UVG_Input_Data!W41:$AZ41,OFFSET(Inputparam!$C$34:$AY$34,0,0,1,49-UVG_Calculations!V$56)), 0)</f>
        <v>0</v>
      </c>
      <c r="W59" s="174">
        <f ca="1">IFERROR(SUMPRODUCT(UVG_Input_Data!X41:$AZ41,OFFSET(Inputparam!$C$34:$AY$34,0,0,1,49-UVG_Calculations!W$56)), 0)</f>
        <v>0</v>
      </c>
      <c r="X59" s="174">
        <f ca="1">IFERROR(SUMPRODUCT(UVG_Input_Data!Y41:$AZ41,OFFSET(Inputparam!$C$34:$AY$34,0,0,1,49-UVG_Calculations!X$56)), 0)</f>
        <v>0</v>
      </c>
      <c r="Y59" s="174">
        <f ca="1">IFERROR(SUMPRODUCT(UVG_Input_Data!Z41:$AZ41,OFFSET(Inputparam!$C$34:$AY$34,0,0,1,49-UVG_Calculations!Y$56)), 0)</f>
        <v>0</v>
      </c>
      <c r="Z59" s="174">
        <f ca="1">IFERROR(SUMPRODUCT(UVG_Input_Data!AA41:$AZ41,OFFSET(Inputparam!$C$34:$AY$34,0,0,1,49-UVG_Calculations!Z$56)), 0)</f>
        <v>0</v>
      </c>
      <c r="AA59" s="174">
        <f ca="1">IFERROR(SUMPRODUCT(UVG_Input_Data!AB41:$AZ41,OFFSET(Inputparam!$C$34:$AY$34,0,0,1,49-UVG_Calculations!AA$56)), 0)</f>
        <v>0</v>
      </c>
      <c r="AB59" s="174">
        <f ca="1">IFERROR(SUMPRODUCT(UVG_Input_Data!AC41:$AZ41,OFFSET(Inputparam!$C$34:$AY$34,0,0,1,49-UVG_Calculations!AB$56)), 0)</f>
        <v>0</v>
      </c>
      <c r="AC59" s="174">
        <f ca="1">IFERROR(SUMPRODUCT(UVG_Input_Data!AD41:$AZ41,OFFSET(Inputparam!$C$34:$AY$34,0,0,1,49-UVG_Calculations!AC$56)), 0)</f>
        <v>0</v>
      </c>
      <c r="AD59" s="174">
        <f ca="1">IFERROR(SUMPRODUCT(UVG_Input_Data!AE41:$AZ41,OFFSET(Inputparam!$C$34:$AY$34,0,0,1,49-UVG_Calculations!AD$56)), 0)</f>
        <v>0</v>
      </c>
      <c r="AE59" s="174">
        <f ca="1">IFERROR(SUMPRODUCT(UVG_Input_Data!AF41:$AZ41,OFFSET(Inputparam!$C$34:$AY$34,0,0,1,49-UVG_Calculations!AE$56)), 0)</f>
        <v>0</v>
      </c>
      <c r="AF59" s="174">
        <f ca="1">IFERROR(SUMPRODUCT(UVG_Input_Data!AG41:$AZ41,OFFSET(Inputparam!$C$34:$AY$34,0,0,1,49-UVG_Calculations!AF$56)), 0)</f>
        <v>0</v>
      </c>
      <c r="AG59" s="174">
        <f ca="1">IFERROR(SUMPRODUCT(UVG_Input_Data!AH41:$AZ41,OFFSET(Inputparam!$C$34:$AY$34,0,0,1,49-UVG_Calculations!AG$56)), 0)</f>
        <v>0</v>
      </c>
      <c r="AH59" s="174">
        <f ca="1">IFERROR(SUMPRODUCT(UVG_Input_Data!AI41:$AZ41,OFFSET(Inputparam!$C$34:$AY$34,0,0,1,49-UVG_Calculations!AH$56)), 0)</f>
        <v>0</v>
      </c>
      <c r="AI59" s="174">
        <f ca="1">IFERROR(SUMPRODUCT(UVG_Input_Data!AJ41:$AZ41,OFFSET(Inputparam!$C$34:$AY$34,0,0,1,49-UVG_Calculations!AI$56)), 0)</f>
        <v>0</v>
      </c>
      <c r="AJ59" s="174">
        <f ca="1">IFERROR(SUMPRODUCT(UVG_Input_Data!AK41:$AZ41,OFFSET(Inputparam!$C$34:$AY$34,0,0,1,49-UVG_Calculations!AJ$56)), 0)</f>
        <v>0</v>
      </c>
      <c r="AK59" s="174">
        <f ca="1">IFERROR(SUMPRODUCT(UVG_Input_Data!AL41:$AZ41,OFFSET(Inputparam!$C$34:$AY$34,0,0,1,49-UVG_Calculations!AK$56)), 0)</f>
        <v>0</v>
      </c>
      <c r="AL59" s="174">
        <f ca="1">IFERROR(SUMPRODUCT(UVG_Input_Data!AM41:$AZ41,OFFSET(Inputparam!$C$34:$AY$34,0,0,1,49-UVG_Calculations!AL$56)), 0)</f>
        <v>0</v>
      </c>
      <c r="AM59" s="174">
        <f ca="1">IFERROR(SUMPRODUCT(UVG_Input_Data!AN41:$AZ41,OFFSET(Inputparam!$C$34:$AY$34,0,0,1,49-UVG_Calculations!AM$56)), 0)</f>
        <v>0</v>
      </c>
      <c r="AN59" s="174">
        <f ca="1">IFERROR(SUMPRODUCT(UVG_Input_Data!AO41:$AZ41,OFFSET(Inputparam!$C$34:$AY$34,0,0,1,49-UVG_Calculations!AN$56)), 0)</f>
        <v>0</v>
      </c>
      <c r="AO59" s="174">
        <f ca="1">IFERROR(SUMPRODUCT(UVG_Input_Data!AP41:$AZ41,OFFSET(Inputparam!$C$34:$AY$34,0,0,1,49-UVG_Calculations!AO$56)), 0)</f>
        <v>0</v>
      </c>
      <c r="AP59" s="174">
        <f ca="1">IFERROR(SUMPRODUCT(UVG_Input_Data!AQ41:$AZ41,OFFSET(Inputparam!$C$34:$AY$34,0,0,1,49-UVG_Calculations!AP$56)), 0)</f>
        <v>0</v>
      </c>
      <c r="AQ59" s="174">
        <f ca="1">IFERROR(SUMPRODUCT(UVG_Input_Data!AR41:$AZ41,OFFSET(Inputparam!$C$34:$AY$34,0,0,1,49-UVG_Calculations!AQ$56)), 0)</f>
        <v>0</v>
      </c>
      <c r="AR59" s="174">
        <f ca="1">IFERROR(SUMPRODUCT(UVG_Input_Data!AS41:$AZ41,OFFSET(Inputparam!$C$34:$AY$34,0,0,1,49-UVG_Calculations!AR$56)), 0)</f>
        <v>0</v>
      </c>
      <c r="AS59" s="174">
        <f ca="1">IFERROR(SUMPRODUCT(UVG_Input_Data!AT41:$AZ41,OFFSET(Inputparam!$C$34:$AY$34,0,0,1,49-UVG_Calculations!AS$56)), 0)</f>
        <v>0</v>
      </c>
      <c r="AT59" s="174">
        <f ca="1">IFERROR(SUMPRODUCT(UVG_Input_Data!AU41:$AZ41,OFFSET(Inputparam!$C$34:$AY$34,0,0,1,49-UVG_Calculations!AT$56)), 0)</f>
        <v>0</v>
      </c>
      <c r="AU59" s="174">
        <f ca="1">IFERROR(SUMPRODUCT(UVG_Input_Data!AV41:$AZ41,OFFSET(Inputparam!$C$34:$AY$34,0,0,1,49-UVG_Calculations!AU$56)), 0)</f>
        <v>0</v>
      </c>
      <c r="AV59" s="174">
        <f ca="1">IFERROR(SUMPRODUCT(UVG_Input_Data!AW41:$AZ41,OFFSET(Inputparam!$C$34:$AY$34,0,0,1,49-UVG_Calculations!AV$56)), 0)</f>
        <v>0</v>
      </c>
      <c r="AW59" s="174">
        <f ca="1">IFERROR(SUMPRODUCT(UVG_Input_Data!AX41:$AZ41,OFFSET(Inputparam!$C$34:$AY$34,0,0,1,49-UVG_Calculations!AW$56)), 0)</f>
        <v>0</v>
      </c>
      <c r="AX59" s="174">
        <f ca="1">IFERROR(SUMPRODUCT(UVG_Input_Data!AY41:$AZ41,OFFSET(Inputparam!$C$34:$AY$34,0,0,1,49-UVG_Calculations!AX$56)), 0)</f>
        <v>0</v>
      </c>
      <c r="AY59" s="174">
        <f ca="1">IFERROR(SUMPRODUCT(UVG_Input_Data!AZ41:$AZ41,OFFSET(Inputparam!$C$34:$AY$34,0,0,1,49-UVG_Calculations!AY$56)), 0)</f>
        <v>0</v>
      </c>
      <c r="AZ59" s="174">
        <f ca="1">IFERROR(SUMPRODUCT(UVG_Input_Data!$AZ41:BA41,OFFSET(Inputparam!$C$34:$AY$34,0,0,1,49-UVG_Calculations!AZ$56)), 0)</f>
        <v>0</v>
      </c>
    </row>
    <row r="60" spans="2:53">
      <c r="B60" s="172" t="s">
        <v>561</v>
      </c>
      <c r="C60" s="171"/>
      <c r="D60" s="84"/>
      <c r="E60" s="174">
        <f ca="1">IFERROR(SUMPRODUCT(UVG_Input_Data!F42:$AZ42,OFFSET(Inputparam!$C$34:$AY$34,0,0,1,49-UVG_Calculations!E$56)), 0)</f>
        <v>0</v>
      </c>
      <c r="F60" s="174">
        <f ca="1">IFERROR(SUMPRODUCT(UVG_Input_Data!G42:$AZ42,OFFSET(Inputparam!$C$34:$AY$34,0,0,1,49-UVG_Calculations!F$56)), 0)</f>
        <v>0</v>
      </c>
      <c r="G60" s="174">
        <f ca="1">IFERROR(SUMPRODUCT(UVG_Input_Data!H42:$AZ42,OFFSET(Inputparam!$C$34:$AY$34,0,0,1,49-UVG_Calculations!G$56)), 0)</f>
        <v>0</v>
      </c>
      <c r="H60" s="174">
        <f ca="1">IFERROR(SUMPRODUCT(UVG_Input_Data!I42:$AZ42,OFFSET(Inputparam!$C$34:$AY$34,0,0,1,49-UVG_Calculations!H$56)), 0)</f>
        <v>0</v>
      </c>
      <c r="I60" s="174">
        <f ca="1">IFERROR(SUMPRODUCT(UVG_Input_Data!J42:$AZ42,OFFSET(Inputparam!$C$34:$AY$34,0,0,1,49-UVG_Calculations!I$56)), 0)</f>
        <v>0</v>
      </c>
      <c r="J60" s="174">
        <f ca="1">IFERROR(SUMPRODUCT(UVG_Input_Data!K42:$AZ42,OFFSET(Inputparam!$C$34:$AY$34,0,0,1,49-UVG_Calculations!J$56)), 0)</f>
        <v>0</v>
      </c>
      <c r="K60" s="174">
        <f ca="1">IFERROR(SUMPRODUCT(UVG_Input_Data!L42:$AZ42,OFFSET(Inputparam!$C$34:$AY$34,0,0,1,49-UVG_Calculations!K$56)), 0)</f>
        <v>0</v>
      </c>
      <c r="L60" s="174">
        <f ca="1">IFERROR(SUMPRODUCT(UVG_Input_Data!M42:$AZ42,OFFSET(Inputparam!$C$34:$AY$34,0,0,1,49-UVG_Calculations!L$56)), 0)</f>
        <v>0</v>
      </c>
      <c r="M60" s="174">
        <f ca="1">IFERROR(SUMPRODUCT(UVG_Input_Data!N42:$AZ42,OFFSET(Inputparam!$C$34:$AY$34,0,0,1,49-UVG_Calculations!M$56)), 0)</f>
        <v>0</v>
      </c>
      <c r="N60" s="174">
        <f ca="1">IFERROR(SUMPRODUCT(UVG_Input_Data!O42:$AZ42,OFFSET(Inputparam!$C$34:$AY$34,0,0,1,49-UVG_Calculations!N$56)), 0)</f>
        <v>0</v>
      </c>
      <c r="O60" s="174">
        <f ca="1">IFERROR(SUMPRODUCT(UVG_Input_Data!P42:$AZ42,OFFSET(Inputparam!$C$34:$AY$34,0,0,1,49-UVG_Calculations!O$56)), 0)</f>
        <v>0</v>
      </c>
      <c r="P60" s="174">
        <f ca="1">IFERROR(SUMPRODUCT(UVG_Input_Data!Q42:$AZ42,OFFSET(Inputparam!$C$34:$AY$34,0,0,1,49-UVG_Calculations!P$56)), 0)</f>
        <v>0</v>
      </c>
      <c r="Q60" s="174">
        <f ca="1">IFERROR(SUMPRODUCT(UVG_Input_Data!R42:$AZ42,OFFSET(Inputparam!$C$34:$AY$34,0,0,1,49-UVG_Calculations!Q$56)), 0)</f>
        <v>0</v>
      </c>
      <c r="R60" s="174">
        <f ca="1">IFERROR(SUMPRODUCT(UVG_Input_Data!S42:$AZ42,OFFSET(Inputparam!$C$34:$AY$34,0,0,1,49-UVG_Calculations!R$56)), 0)</f>
        <v>0</v>
      </c>
      <c r="S60" s="174">
        <f ca="1">IFERROR(SUMPRODUCT(UVG_Input_Data!T42:$AZ42,OFFSET(Inputparam!$C$34:$AY$34,0,0,1,49-UVG_Calculations!S$56)), 0)</f>
        <v>0</v>
      </c>
      <c r="T60" s="174">
        <f ca="1">IFERROR(SUMPRODUCT(UVG_Input_Data!U42:$AZ42,OFFSET(Inputparam!$C$34:$AY$34,0,0,1,49-UVG_Calculations!T$56)), 0)</f>
        <v>0</v>
      </c>
      <c r="U60" s="174">
        <f ca="1">IFERROR(SUMPRODUCT(UVG_Input_Data!V42:$AZ42,OFFSET(Inputparam!$C$34:$AY$34,0,0,1,49-UVG_Calculations!U$56)), 0)</f>
        <v>0</v>
      </c>
      <c r="V60" s="174">
        <f ca="1">IFERROR(SUMPRODUCT(UVG_Input_Data!W42:$AZ42,OFFSET(Inputparam!$C$34:$AY$34,0,0,1,49-UVG_Calculations!V$56)), 0)</f>
        <v>0</v>
      </c>
      <c r="W60" s="174">
        <f ca="1">IFERROR(SUMPRODUCT(UVG_Input_Data!X42:$AZ42,OFFSET(Inputparam!$C$34:$AY$34,0,0,1,49-UVG_Calculations!W$56)), 0)</f>
        <v>0</v>
      </c>
      <c r="X60" s="174">
        <f ca="1">IFERROR(SUMPRODUCT(UVG_Input_Data!Y42:$AZ42,OFFSET(Inputparam!$C$34:$AY$34,0,0,1,49-UVG_Calculations!X$56)), 0)</f>
        <v>0</v>
      </c>
      <c r="Y60" s="174">
        <f ca="1">IFERROR(SUMPRODUCT(UVG_Input_Data!Z42:$AZ42,OFFSET(Inputparam!$C$34:$AY$34,0,0,1,49-UVG_Calculations!Y$56)), 0)</f>
        <v>0</v>
      </c>
      <c r="Z60" s="174">
        <f ca="1">IFERROR(SUMPRODUCT(UVG_Input_Data!AA42:$AZ42,OFFSET(Inputparam!$C$34:$AY$34,0,0,1,49-UVG_Calculations!Z$56)), 0)</f>
        <v>0</v>
      </c>
      <c r="AA60" s="174">
        <f ca="1">IFERROR(SUMPRODUCT(UVG_Input_Data!AB42:$AZ42,OFFSET(Inputparam!$C$34:$AY$34,0,0,1,49-UVG_Calculations!AA$56)), 0)</f>
        <v>0</v>
      </c>
      <c r="AB60" s="174">
        <f ca="1">IFERROR(SUMPRODUCT(UVG_Input_Data!AC42:$AZ42,OFFSET(Inputparam!$C$34:$AY$34,0,0,1,49-UVG_Calculations!AB$56)), 0)</f>
        <v>0</v>
      </c>
      <c r="AC60" s="174">
        <f ca="1">IFERROR(SUMPRODUCT(UVG_Input_Data!AD42:$AZ42,OFFSET(Inputparam!$C$34:$AY$34,0,0,1,49-UVG_Calculations!AC$56)), 0)</f>
        <v>0</v>
      </c>
      <c r="AD60" s="174">
        <f ca="1">IFERROR(SUMPRODUCT(UVG_Input_Data!AE42:$AZ42,OFFSET(Inputparam!$C$34:$AY$34,0,0,1,49-UVG_Calculations!AD$56)), 0)</f>
        <v>0</v>
      </c>
      <c r="AE60" s="174">
        <f ca="1">IFERROR(SUMPRODUCT(UVG_Input_Data!AF42:$AZ42,OFFSET(Inputparam!$C$34:$AY$34,0,0,1,49-UVG_Calculations!AE$56)), 0)</f>
        <v>0</v>
      </c>
      <c r="AF60" s="174">
        <f ca="1">IFERROR(SUMPRODUCT(UVG_Input_Data!AG42:$AZ42,OFFSET(Inputparam!$C$34:$AY$34,0,0,1,49-UVG_Calculations!AF$56)), 0)</f>
        <v>0</v>
      </c>
      <c r="AG60" s="174">
        <f ca="1">IFERROR(SUMPRODUCT(UVG_Input_Data!AH42:$AZ42,OFFSET(Inputparam!$C$34:$AY$34,0,0,1,49-UVG_Calculations!AG$56)), 0)</f>
        <v>0</v>
      </c>
      <c r="AH60" s="174">
        <f ca="1">IFERROR(SUMPRODUCT(UVG_Input_Data!AI42:$AZ42,OFFSET(Inputparam!$C$34:$AY$34,0,0,1,49-UVG_Calculations!AH$56)), 0)</f>
        <v>0</v>
      </c>
      <c r="AI60" s="174">
        <f ca="1">IFERROR(SUMPRODUCT(UVG_Input_Data!AJ42:$AZ42,OFFSET(Inputparam!$C$34:$AY$34,0,0,1,49-UVG_Calculations!AI$56)), 0)</f>
        <v>0</v>
      </c>
      <c r="AJ60" s="174">
        <f ca="1">IFERROR(SUMPRODUCT(UVG_Input_Data!AK42:$AZ42,OFFSET(Inputparam!$C$34:$AY$34,0,0,1,49-UVG_Calculations!AJ$56)), 0)</f>
        <v>0</v>
      </c>
      <c r="AK60" s="174">
        <f ca="1">IFERROR(SUMPRODUCT(UVG_Input_Data!AL42:$AZ42,OFFSET(Inputparam!$C$34:$AY$34,0,0,1,49-UVG_Calculations!AK$56)), 0)</f>
        <v>0</v>
      </c>
      <c r="AL60" s="174">
        <f ca="1">IFERROR(SUMPRODUCT(UVG_Input_Data!AM42:$AZ42,OFFSET(Inputparam!$C$34:$AY$34,0,0,1,49-UVG_Calculations!AL$56)), 0)</f>
        <v>0</v>
      </c>
      <c r="AM60" s="174">
        <f ca="1">IFERROR(SUMPRODUCT(UVG_Input_Data!AN42:$AZ42,OFFSET(Inputparam!$C$34:$AY$34,0,0,1,49-UVG_Calculations!AM$56)), 0)</f>
        <v>0</v>
      </c>
      <c r="AN60" s="174">
        <f ca="1">IFERROR(SUMPRODUCT(UVG_Input_Data!AO42:$AZ42,OFFSET(Inputparam!$C$34:$AY$34,0,0,1,49-UVG_Calculations!AN$56)), 0)</f>
        <v>0</v>
      </c>
      <c r="AO60" s="174">
        <f ca="1">IFERROR(SUMPRODUCT(UVG_Input_Data!AP42:$AZ42,OFFSET(Inputparam!$C$34:$AY$34,0,0,1,49-UVG_Calculations!AO$56)), 0)</f>
        <v>0</v>
      </c>
      <c r="AP60" s="174">
        <f ca="1">IFERROR(SUMPRODUCT(UVG_Input_Data!AQ42:$AZ42,OFFSET(Inputparam!$C$34:$AY$34,0,0,1,49-UVG_Calculations!AP$56)), 0)</f>
        <v>0</v>
      </c>
      <c r="AQ60" s="174">
        <f ca="1">IFERROR(SUMPRODUCT(UVG_Input_Data!AR42:$AZ42,OFFSET(Inputparam!$C$34:$AY$34,0,0,1,49-UVG_Calculations!AQ$56)), 0)</f>
        <v>0</v>
      </c>
      <c r="AR60" s="174">
        <f ca="1">IFERROR(SUMPRODUCT(UVG_Input_Data!AS42:$AZ42,OFFSET(Inputparam!$C$34:$AY$34,0,0,1,49-UVG_Calculations!AR$56)), 0)</f>
        <v>0</v>
      </c>
      <c r="AS60" s="174">
        <f ca="1">IFERROR(SUMPRODUCT(UVG_Input_Data!AT42:$AZ42,OFFSET(Inputparam!$C$34:$AY$34,0,0,1,49-UVG_Calculations!AS$56)), 0)</f>
        <v>0</v>
      </c>
      <c r="AT60" s="174">
        <f ca="1">IFERROR(SUMPRODUCT(UVG_Input_Data!AU42:$AZ42,OFFSET(Inputparam!$C$34:$AY$34,0,0,1,49-UVG_Calculations!AT$56)), 0)</f>
        <v>0</v>
      </c>
      <c r="AU60" s="174">
        <f ca="1">IFERROR(SUMPRODUCT(UVG_Input_Data!AV42:$AZ42,OFFSET(Inputparam!$C$34:$AY$34,0,0,1,49-UVG_Calculations!AU$56)), 0)</f>
        <v>0</v>
      </c>
      <c r="AV60" s="174">
        <f ca="1">IFERROR(SUMPRODUCT(UVG_Input_Data!AW42:$AZ42,OFFSET(Inputparam!$C$34:$AY$34,0,0,1,49-UVG_Calculations!AV$56)), 0)</f>
        <v>0</v>
      </c>
      <c r="AW60" s="174">
        <f ca="1">IFERROR(SUMPRODUCT(UVG_Input_Data!AX42:$AZ42,OFFSET(Inputparam!$C$34:$AY$34,0,0,1,49-UVG_Calculations!AW$56)), 0)</f>
        <v>0</v>
      </c>
      <c r="AX60" s="174">
        <f ca="1">IFERROR(SUMPRODUCT(UVG_Input_Data!AY42:$AZ42,OFFSET(Inputparam!$C$34:$AY$34,0,0,1,49-UVG_Calculations!AX$56)), 0)</f>
        <v>0</v>
      </c>
      <c r="AY60" s="174">
        <f ca="1">IFERROR(SUMPRODUCT(UVG_Input_Data!AZ42:$AZ42,OFFSET(Inputparam!$C$34:$AY$34,0,0,1,49-UVG_Calculations!AY$56)), 0)</f>
        <v>0</v>
      </c>
      <c r="AZ60" s="174">
        <f ca="1">IFERROR(SUMPRODUCT(UVG_Input_Data!$AZ42:BA42,OFFSET(Inputparam!$C$34:$AY$34,0,0,1,49-UVG_Calculations!AZ$56)), 0)</f>
        <v>0</v>
      </c>
    </row>
    <row r="61" spans="2:53">
      <c r="B61" s="172" t="s">
        <v>562</v>
      </c>
      <c r="C61" s="171"/>
      <c r="D61" s="84"/>
      <c r="E61" s="84"/>
      <c r="F61" s="174">
        <f ca="1">IFERROR(SUMPRODUCT(UVG_Input_Data!G43:$AZ43,OFFSET(Inputparam!$C$34:$AY$34,0,0,1,49-UVG_Calculations!F$56)), 0)</f>
        <v>0</v>
      </c>
      <c r="G61" s="174">
        <f ca="1">IFERROR(SUMPRODUCT(UVG_Input_Data!H43:$AZ43,OFFSET(Inputparam!$C$34:$AY$34,0,0,1,49-UVG_Calculations!G$56)), 0)</f>
        <v>0</v>
      </c>
      <c r="H61" s="174">
        <f ca="1">IFERROR(SUMPRODUCT(UVG_Input_Data!I43:$AZ43,OFFSET(Inputparam!$C$34:$AY$34,0,0,1,49-UVG_Calculations!H$56)), 0)</f>
        <v>0</v>
      </c>
      <c r="I61" s="174">
        <f ca="1">IFERROR(SUMPRODUCT(UVG_Input_Data!J43:$AZ43,OFFSET(Inputparam!$C$34:$AY$34,0,0,1,49-UVG_Calculations!I$56)), 0)</f>
        <v>0</v>
      </c>
      <c r="J61" s="174">
        <f ca="1">IFERROR(SUMPRODUCT(UVG_Input_Data!K43:$AZ43,OFFSET(Inputparam!$C$34:$AY$34,0,0,1,49-UVG_Calculations!J$56)), 0)</f>
        <v>0</v>
      </c>
      <c r="K61" s="174">
        <f ca="1">IFERROR(SUMPRODUCT(UVG_Input_Data!L43:$AZ43,OFFSET(Inputparam!$C$34:$AY$34,0,0,1,49-UVG_Calculations!K$56)), 0)</f>
        <v>0</v>
      </c>
      <c r="L61" s="174">
        <f ca="1">IFERROR(SUMPRODUCT(UVG_Input_Data!M43:$AZ43,OFFSET(Inputparam!$C$34:$AY$34,0,0,1,49-UVG_Calculations!L$56)), 0)</f>
        <v>0</v>
      </c>
      <c r="M61" s="174">
        <f ca="1">IFERROR(SUMPRODUCT(UVG_Input_Data!N43:$AZ43,OFFSET(Inputparam!$C$34:$AY$34,0,0,1,49-UVG_Calculations!M$56)), 0)</f>
        <v>0</v>
      </c>
      <c r="N61" s="174">
        <f ca="1">IFERROR(SUMPRODUCT(UVG_Input_Data!O43:$AZ43,OFFSET(Inputparam!$C$34:$AY$34,0,0,1,49-UVG_Calculations!N$56)), 0)</f>
        <v>0</v>
      </c>
      <c r="O61" s="174">
        <f ca="1">IFERROR(SUMPRODUCT(UVG_Input_Data!P43:$AZ43,OFFSET(Inputparam!$C$34:$AY$34,0,0,1,49-UVG_Calculations!O$56)), 0)</f>
        <v>0</v>
      </c>
      <c r="P61" s="174">
        <f ca="1">IFERROR(SUMPRODUCT(UVG_Input_Data!Q43:$AZ43,OFFSET(Inputparam!$C$34:$AY$34,0,0,1,49-UVG_Calculations!P$56)), 0)</f>
        <v>0</v>
      </c>
      <c r="Q61" s="174">
        <f ca="1">IFERROR(SUMPRODUCT(UVG_Input_Data!R43:$AZ43,OFFSET(Inputparam!$C$34:$AY$34,0,0,1,49-UVG_Calculations!Q$56)), 0)</f>
        <v>0</v>
      </c>
      <c r="R61" s="174">
        <f ca="1">IFERROR(SUMPRODUCT(UVG_Input_Data!S43:$AZ43,OFFSET(Inputparam!$C$34:$AY$34,0,0,1,49-UVG_Calculations!R$56)), 0)</f>
        <v>0</v>
      </c>
      <c r="S61" s="174">
        <f ca="1">IFERROR(SUMPRODUCT(UVG_Input_Data!T43:$AZ43,OFFSET(Inputparam!$C$34:$AY$34,0,0,1,49-UVG_Calculations!S$56)), 0)</f>
        <v>0</v>
      </c>
      <c r="T61" s="174">
        <f ca="1">IFERROR(SUMPRODUCT(UVG_Input_Data!U43:$AZ43,OFFSET(Inputparam!$C$34:$AY$34,0,0,1,49-UVG_Calculations!T$56)), 0)</f>
        <v>0</v>
      </c>
      <c r="U61" s="174">
        <f ca="1">IFERROR(SUMPRODUCT(UVG_Input_Data!V43:$AZ43,OFFSET(Inputparam!$C$34:$AY$34,0,0,1,49-UVG_Calculations!U$56)), 0)</f>
        <v>0</v>
      </c>
      <c r="V61" s="174">
        <f ca="1">IFERROR(SUMPRODUCT(UVG_Input_Data!W43:$AZ43,OFFSET(Inputparam!$C$34:$AY$34,0,0,1,49-UVG_Calculations!V$56)), 0)</f>
        <v>0</v>
      </c>
      <c r="W61" s="174">
        <f ca="1">IFERROR(SUMPRODUCT(UVG_Input_Data!X43:$AZ43,OFFSET(Inputparam!$C$34:$AY$34,0,0,1,49-UVG_Calculations!W$56)), 0)</f>
        <v>0</v>
      </c>
      <c r="X61" s="174">
        <f ca="1">IFERROR(SUMPRODUCT(UVG_Input_Data!Y43:$AZ43,OFFSET(Inputparam!$C$34:$AY$34,0,0,1,49-UVG_Calculations!X$56)), 0)</f>
        <v>0</v>
      </c>
      <c r="Y61" s="174">
        <f ca="1">IFERROR(SUMPRODUCT(UVG_Input_Data!Z43:$AZ43,OFFSET(Inputparam!$C$34:$AY$34,0,0,1,49-UVG_Calculations!Y$56)), 0)</f>
        <v>0</v>
      </c>
      <c r="Z61" s="174">
        <f ca="1">IFERROR(SUMPRODUCT(UVG_Input_Data!AA43:$AZ43,OFFSET(Inputparam!$C$34:$AY$34,0,0,1,49-UVG_Calculations!Z$56)), 0)</f>
        <v>0</v>
      </c>
      <c r="AA61" s="174">
        <f ca="1">IFERROR(SUMPRODUCT(UVG_Input_Data!AB43:$AZ43,OFFSET(Inputparam!$C$34:$AY$34,0,0,1,49-UVG_Calculations!AA$56)), 0)</f>
        <v>0</v>
      </c>
      <c r="AB61" s="174">
        <f ca="1">IFERROR(SUMPRODUCT(UVG_Input_Data!AC43:$AZ43,OFFSET(Inputparam!$C$34:$AY$34,0,0,1,49-UVG_Calculations!AB$56)), 0)</f>
        <v>0</v>
      </c>
      <c r="AC61" s="174">
        <f ca="1">IFERROR(SUMPRODUCT(UVG_Input_Data!AD43:$AZ43,OFFSET(Inputparam!$C$34:$AY$34,0,0,1,49-UVG_Calculations!AC$56)), 0)</f>
        <v>0</v>
      </c>
      <c r="AD61" s="174">
        <f ca="1">IFERROR(SUMPRODUCT(UVG_Input_Data!AE43:$AZ43,OFFSET(Inputparam!$C$34:$AY$34,0,0,1,49-UVG_Calculations!AD$56)), 0)</f>
        <v>0</v>
      </c>
      <c r="AE61" s="174">
        <f ca="1">IFERROR(SUMPRODUCT(UVG_Input_Data!AF43:$AZ43,OFFSET(Inputparam!$C$34:$AY$34,0,0,1,49-UVG_Calculations!AE$56)), 0)</f>
        <v>0</v>
      </c>
      <c r="AF61" s="174">
        <f ca="1">IFERROR(SUMPRODUCT(UVG_Input_Data!AG43:$AZ43,OFFSET(Inputparam!$C$34:$AY$34,0,0,1,49-UVG_Calculations!AF$56)), 0)</f>
        <v>0</v>
      </c>
      <c r="AG61" s="174">
        <f ca="1">IFERROR(SUMPRODUCT(UVG_Input_Data!AH43:$AZ43,OFFSET(Inputparam!$C$34:$AY$34,0,0,1,49-UVG_Calculations!AG$56)), 0)</f>
        <v>0</v>
      </c>
      <c r="AH61" s="174">
        <f ca="1">IFERROR(SUMPRODUCT(UVG_Input_Data!AI43:$AZ43,OFFSET(Inputparam!$C$34:$AY$34,0,0,1,49-UVG_Calculations!AH$56)), 0)</f>
        <v>0</v>
      </c>
      <c r="AI61" s="174">
        <f ca="1">IFERROR(SUMPRODUCT(UVG_Input_Data!AJ43:$AZ43,OFFSET(Inputparam!$C$34:$AY$34,0,0,1,49-UVG_Calculations!AI$56)), 0)</f>
        <v>0</v>
      </c>
      <c r="AJ61" s="174">
        <f ca="1">IFERROR(SUMPRODUCT(UVG_Input_Data!AK43:$AZ43,OFFSET(Inputparam!$C$34:$AY$34,0,0,1,49-UVG_Calculations!AJ$56)), 0)</f>
        <v>0</v>
      </c>
      <c r="AK61" s="174">
        <f ca="1">IFERROR(SUMPRODUCT(UVG_Input_Data!AL43:$AZ43,OFFSET(Inputparam!$C$34:$AY$34,0,0,1,49-UVG_Calculations!AK$56)), 0)</f>
        <v>0</v>
      </c>
      <c r="AL61" s="174">
        <f ca="1">IFERROR(SUMPRODUCT(UVG_Input_Data!AM43:$AZ43,OFFSET(Inputparam!$C$34:$AY$34,0,0,1,49-UVG_Calculations!AL$56)), 0)</f>
        <v>0</v>
      </c>
      <c r="AM61" s="174">
        <f ca="1">IFERROR(SUMPRODUCT(UVG_Input_Data!AN43:$AZ43,OFFSET(Inputparam!$C$34:$AY$34,0,0,1,49-UVG_Calculations!AM$56)), 0)</f>
        <v>0</v>
      </c>
      <c r="AN61" s="174">
        <f ca="1">IFERROR(SUMPRODUCT(UVG_Input_Data!AO43:$AZ43,OFFSET(Inputparam!$C$34:$AY$34,0,0,1,49-UVG_Calculations!AN$56)), 0)</f>
        <v>0</v>
      </c>
      <c r="AO61" s="174">
        <f ca="1">IFERROR(SUMPRODUCT(UVG_Input_Data!AP43:$AZ43,OFFSET(Inputparam!$C$34:$AY$34,0,0,1,49-UVG_Calculations!AO$56)), 0)</f>
        <v>0</v>
      </c>
      <c r="AP61" s="174">
        <f ca="1">IFERROR(SUMPRODUCT(UVG_Input_Data!AQ43:$AZ43,OFFSET(Inputparam!$C$34:$AY$34,0,0,1,49-UVG_Calculations!AP$56)), 0)</f>
        <v>0</v>
      </c>
      <c r="AQ61" s="174">
        <f ca="1">IFERROR(SUMPRODUCT(UVG_Input_Data!AR43:$AZ43,OFFSET(Inputparam!$C$34:$AY$34,0,0,1,49-UVG_Calculations!AQ$56)), 0)</f>
        <v>0</v>
      </c>
      <c r="AR61" s="174">
        <f ca="1">IFERROR(SUMPRODUCT(UVG_Input_Data!AS43:$AZ43,OFFSET(Inputparam!$C$34:$AY$34,0,0,1,49-UVG_Calculations!AR$56)), 0)</f>
        <v>0</v>
      </c>
      <c r="AS61" s="174">
        <f ca="1">IFERROR(SUMPRODUCT(UVG_Input_Data!AT43:$AZ43,OFFSET(Inputparam!$C$34:$AY$34,0,0,1,49-UVG_Calculations!AS$56)), 0)</f>
        <v>0</v>
      </c>
      <c r="AT61" s="174">
        <f ca="1">IFERROR(SUMPRODUCT(UVG_Input_Data!AU43:$AZ43,OFFSET(Inputparam!$C$34:$AY$34,0,0,1,49-UVG_Calculations!AT$56)), 0)</f>
        <v>0</v>
      </c>
      <c r="AU61" s="174">
        <f ca="1">IFERROR(SUMPRODUCT(UVG_Input_Data!AV43:$AZ43,OFFSET(Inputparam!$C$34:$AY$34,0,0,1,49-UVG_Calculations!AU$56)), 0)</f>
        <v>0</v>
      </c>
      <c r="AV61" s="174">
        <f ca="1">IFERROR(SUMPRODUCT(UVG_Input_Data!AW43:$AZ43,OFFSET(Inputparam!$C$34:$AY$34,0,0,1,49-UVG_Calculations!AV$56)), 0)</f>
        <v>0</v>
      </c>
      <c r="AW61" s="174">
        <f ca="1">IFERROR(SUMPRODUCT(UVG_Input_Data!AX43:$AZ43,OFFSET(Inputparam!$C$34:$AY$34,0,0,1,49-UVG_Calculations!AW$56)), 0)</f>
        <v>0</v>
      </c>
      <c r="AX61" s="174">
        <f ca="1">IFERROR(SUMPRODUCT(UVG_Input_Data!AY43:$AZ43,OFFSET(Inputparam!$C$34:$AY$34,0,0,1,49-UVG_Calculations!AX$56)), 0)</f>
        <v>0</v>
      </c>
      <c r="AY61" s="174">
        <f ca="1">IFERROR(SUMPRODUCT(UVG_Input_Data!AZ43:$AZ43,OFFSET(Inputparam!$C$34:$AY$34,0,0,1,49-UVG_Calculations!AY$56)), 0)</f>
        <v>0</v>
      </c>
      <c r="AZ61" s="174">
        <f ca="1">IFERROR(SUMPRODUCT(UVG_Input_Data!$AZ43:BA43,OFFSET(Inputparam!$C$34:$AY$34,0,0,1,49-UVG_Calculations!AZ$56)), 0)</f>
        <v>0</v>
      </c>
    </row>
    <row r="62" spans="2:53">
      <c r="B62" s="172" t="s">
        <v>563</v>
      </c>
      <c r="C62" s="171"/>
      <c r="D62" s="84"/>
      <c r="E62" s="84"/>
      <c r="F62" s="84"/>
      <c r="G62" s="174">
        <f ca="1">IFERROR(SUMPRODUCT(UVG_Input_Data!H44:$AZ44,OFFSET(Inputparam!$C$34:$AZ$34,0,0,1,49-UVG_Calculations!G$56)), 0)</f>
        <v>0</v>
      </c>
      <c r="H62" s="174">
        <f ca="1">IFERROR(SUMPRODUCT(UVG_Input_Data!I44:$AZ44,OFFSET(Inputparam!$C$34:$AZ$34,0,0,1,49-UVG_Calculations!H$56)), 0)</f>
        <v>0</v>
      </c>
      <c r="I62" s="174">
        <f ca="1">IFERROR(SUMPRODUCT(UVG_Input_Data!J44:$AZ44,OFFSET(Inputparam!$C$34:$AZ$34,0,0,1,49-UVG_Calculations!I$56)), 0)</f>
        <v>0</v>
      </c>
      <c r="J62" s="174">
        <f ca="1">IFERROR(SUMPRODUCT(UVG_Input_Data!K44:$AZ44,OFFSET(Inputparam!$C$34:$AZ$34,0,0,1,49-UVG_Calculations!J$56)), 0)</f>
        <v>0</v>
      </c>
      <c r="K62" s="174">
        <f ca="1">IFERROR(SUMPRODUCT(UVG_Input_Data!L44:$AZ44,OFFSET(Inputparam!$C$34:$AZ$34,0,0,1,49-UVG_Calculations!K$56)), 0)</f>
        <v>0</v>
      </c>
      <c r="L62" s="174">
        <f ca="1">IFERROR(SUMPRODUCT(UVG_Input_Data!M44:$AZ44,OFFSET(Inputparam!$C$34:$AZ$34,0,0,1,49-UVG_Calculations!L$56)), 0)</f>
        <v>0</v>
      </c>
      <c r="M62" s="174">
        <f ca="1">IFERROR(SUMPRODUCT(UVG_Input_Data!N44:$AZ44,OFFSET(Inputparam!$C$34:$AZ$34,0,0,1,49-UVG_Calculations!M$56)), 0)</f>
        <v>0</v>
      </c>
      <c r="N62" s="174">
        <f ca="1">IFERROR(SUMPRODUCT(UVG_Input_Data!O44:$AZ44,OFFSET(Inputparam!$C$34:$AZ$34,0,0,1,49-UVG_Calculations!N$56)), 0)</f>
        <v>0</v>
      </c>
      <c r="O62" s="174">
        <f ca="1">IFERROR(SUMPRODUCT(UVG_Input_Data!P44:$AZ44,OFFSET(Inputparam!$C$34:$AZ$34,0,0,1,49-UVG_Calculations!O$56)), 0)</f>
        <v>0</v>
      </c>
      <c r="P62" s="174">
        <f ca="1">IFERROR(SUMPRODUCT(UVG_Input_Data!Q44:$AZ44,OFFSET(Inputparam!$C$34:$AZ$34,0,0,1,49-UVG_Calculations!P$56)), 0)</f>
        <v>0</v>
      </c>
      <c r="Q62" s="174">
        <f ca="1">IFERROR(SUMPRODUCT(UVG_Input_Data!R44:$AZ44,OFFSET(Inputparam!$C$34:$AZ$34,0,0,1,49-UVG_Calculations!Q$56)), 0)</f>
        <v>0</v>
      </c>
      <c r="R62" s="174">
        <f ca="1">IFERROR(SUMPRODUCT(UVG_Input_Data!S44:$AZ44,OFFSET(Inputparam!$C$34:$AZ$34,0,0,1,49-UVG_Calculations!R$56)), 0)</f>
        <v>0</v>
      </c>
      <c r="S62" s="174">
        <f ca="1">IFERROR(SUMPRODUCT(UVG_Input_Data!T44:$AZ44,OFFSET(Inputparam!$C$34:$AZ$34,0,0,1,49-UVG_Calculations!S$56)), 0)</f>
        <v>0</v>
      </c>
      <c r="T62" s="174">
        <f ca="1">IFERROR(SUMPRODUCT(UVG_Input_Data!U44:$AZ44,OFFSET(Inputparam!$C$34:$AZ$34,0,0,1,49-UVG_Calculations!T$56)), 0)</f>
        <v>0</v>
      </c>
      <c r="U62" s="174">
        <f ca="1">IFERROR(SUMPRODUCT(UVG_Input_Data!V44:$AZ44,OFFSET(Inputparam!$C$34:$AZ$34,0,0,1,49-UVG_Calculations!U$56)), 0)</f>
        <v>0</v>
      </c>
      <c r="V62" s="174">
        <f ca="1">IFERROR(SUMPRODUCT(UVG_Input_Data!W44:$AZ44,OFFSET(Inputparam!$C$34:$AZ$34,0,0,1,49-UVG_Calculations!V$56)), 0)</f>
        <v>0</v>
      </c>
      <c r="W62" s="174">
        <f ca="1">IFERROR(SUMPRODUCT(UVG_Input_Data!X44:$AZ44,OFFSET(Inputparam!$C$34:$AZ$34,0,0,1,49-UVG_Calculations!W$56)), 0)</f>
        <v>0</v>
      </c>
      <c r="X62" s="174">
        <f ca="1">IFERROR(SUMPRODUCT(UVG_Input_Data!Y44:$AZ44,OFFSET(Inputparam!$C$34:$AZ$34,0,0,1,49-UVG_Calculations!X$56)), 0)</f>
        <v>0</v>
      </c>
      <c r="Y62" s="174">
        <f ca="1">IFERROR(SUMPRODUCT(UVG_Input_Data!Z44:$AZ44,OFFSET(Inputparam!$C$34:$AZ$34,0,0,1,49-UVG_Calculations!Y$56)), 0)</f>
        <v>0</v>
      </c>
      <c r="Z62" s="174">
        <f ca="1">IFERROR(SUMPRODUCT(UVG_Input_Data!AA44:$AZ44,OFFSET(Inputparam!$C$34:$AZ$34,0,0,1,49-UVG_Calculations!Z$56)), 0)</f>
        <v>0</v>
      </c>
      <c r="AA62" s="174">
        <f ca="1">IFERROR(SUMPRODUCT(UVG_Input_Data!AB44:$AZ44,OFFSET(Inputparam!$C$34:$AZ$34,0,0,1,49-UVG_Calculations!AA$56)), 0)</f>
        <v>0</v>
      </c>
      <c r="AB62" s="174">
        <f ca="1">IFERROR(SUMPRODUCT(UVG_Input_Data!AC44:$AZ44,OFFSET(Inputparam!$C$34:$AZ$34,0,0,1,49-UVG_Calculations!AB$56)), 0)</f>
        <v>0</v>
      </c>
      <c r="AC62" s="174">
        <f ca="1">IFERROR(SUMPRODUCT(UVG_Input_Data!AD44:$AZ44,OFFSET(Inputparam!$C$34:$AZ$34,0,0,1,49-UVG_Calculations!AC$56)), 0)</f>
        <v>0</v>
      </c>
      <c r="AD62" s="174">
        <f ca="1">IFERROR(SUMPRODUCT(UVG_Input_Data!AE44:$AZ44,OFFSET(Inputparam!$C$34:$AZ$34,0,0,1,49-UVG_Calculations!AD$56)), 0)</f>
        <v>0</v>
      </c>
      <c r="AE62" s="174">
        <f ca="1">IFERROR(SUMPRODUCT(UVG_Input_Data!AF44:$AZ44,OFFSET(Inputparam!$C$34:$AZ$34,0,0,1,49-UVG_Calculations!AE$56)), 0)</f>
        <v>0</v>
      </c>
      <c r="AF62" s="174">
        <f ca="1">IFERROR(SUMPRODUCT(UVG_Input_Data!AG44:$AZ44,OFFSET(Inputparam!$C$34:$AZ$34,0,0,1,49-UVG_Calculations!AF$56)), 0)</f>
        <v>0</v>
      </c>
      <c r="AG62" s="174">
        <f ca="1">IFERROR(SUMPRODUCT(UVG_Input_Data!AH44:$AZ44,OFFSET(Inputparam!$C$34:$AZ$34,0,0,1,49-UVG_Calculations!AG$56)), 0)</f>
        <v>0</v>
      </c>
      <c r="AH62" s="174">
        <f ca="1">IFERROR(SUMPRODUCT(UVG_Input_Data!AI44:$AZ44,OFFSET(Inputparam!$C$34:$AZ$34,0,0,1,49-UVG_Calculations!AH$56)), 0)</f>
        <v>0</v>
      </c>
      <c r="AI62" s="174">
        <f ca="1">IFERROR(SUMPRODUCT(UVG_Input_Data!AJ44:$AZ44,OFFSET(Inputparam!$C$34:$AZ$34,0,0,1,49-UVG_Calculations!AI$56)), 0)</f>
        <v>0</v>
      </c>
      <c r="AJ62" s="174">
        <f ca="1">IFERROR(SUMPRODUCT(UVG_Input_Data!AK44:$AZ44,OFFSET(Inputparam!$C$34:$AZ$34,0,0,1,49-UVG_Calculations!AJ$56)), 0)</f>
        <v>0</v>
      </c>
      <c r="AK62" s="174">
        <f ca="1">IFERROR(SUMPRODUCT(UVG_Input_Data!AL44:$AZ44,OFFSET(Inputparam!$C$34:$AZ$34,0,0,1,49-UVG_Calculations!AK$56)), 0)</f>
        <v>0</v>
      </c>
      <c r="AL62" s="174">
        <f ca="1">IFERROR(SUMPRODUCT(UVG_Input_Data!AM44:$AZ44,OFFSET(Inputparam!$C$34:$AZ$34,0,0,1,49-UVG_Calculations!AL$56)), 0)</f>
        <v>0</v>
      </c>
      <c r="AM62" s="174">
        <f ca="1">IFERROR(SUMPRODUCT(UVG_Input_Data!AN44:$AZ44,OFFSET(Inputparam!$C$34:$AZ$34,0,0,1,49-UVG_Calculations!AM$56)), 0)</f>
        <v>0</v>
      </c>
      <c r="AN62" s="174">
        <f ca="1">IFERROR(SUMPRODUCT(UVG_Input_Data!AO44:$AZ44,OFFSET(Inputparam!$C$34:$AZ$34,0,0,1,49-UVG_Calculations!AN$56)), 0)</f>
        <v>0</v>
      </c>
      <c r="AO62" s="174">
        <f ca="1">IFERROR(SUMPRODUCT(UVG_Input_Data!AP44:$AZ44,OFFSET(Inputparam!$C$34:$AZ$34,0,0,1,49-UVG_Calculations!AO$56)), 0)</f>
        <v>0</v>
      </c>
      <c r="AP62" s="174">
        <f ca="1">IFERROR(SUMPRODUCT(UVG_Input_Data!AQ44:$AZ44,OFFSET(Inputparam!$C$34:$AZ$34,0,0,1,49-UVG_Calculations!AP$56)), 0)</f>
        <v>0</v>
      </c>
      <c r="AQ62" s="174">
        <f ca="1">IFERROR(SUMPRODUCT(UVG_Input_Data!AR44:$AZ44,OFFSET(Inputparam!$C$34:$AZ$34,0,0,1,49-UVG_Calculations!AQ$56)), 0)</f>
        <v>0</v>
      </c>
      <c r="AR62" s="174">
        <f ca="1">IFERROR(SUMPRODUCT(UVG_Input_Data!AS44:$AZ44,OFFSET(Inputparam!$C$34:$AZ$34,0,0,1,49-UVG_Calculations!AR$56)), 0)</f>
        <v>0</v>
      </c>
      <c r="AS62" s="174">
        <f ca="1">IFERROR(SUMPRODUCT(UVG_Input_Data!AT44:$AZ44,OFFSET(Inputparam!$C$34:$AZ$34,0,0,1,49-UVG_Calculations!AS$56)), 0)</f>
        <v>0</v>
      </c>
      <c r="AT62" s="174">
        <f ca="1">IFERROR(SUMPRODUCT(UVG_Input_Data!AU44:$AZ44,OFFSET(Inputparam!$C$34:$AZ$34,0,0,1,49-UVG_Calculations!AT$56)), 0)</f>
        <v>0</v>
      </c>
      <c r="AU62" s="174">
        <f ca="1">IFERROR(SUMPRODUCT(UVG_Input_Data!AV44:$AZ44,OFFSET(Inputparam!$C$34:$AZ$34,0,0,1,49-UVG_Calculations!AU$56)), 0)</f>
        <v>0</v>
      </c>
      <c r="AV62" s="174">
        <f ca="1">IFERROR(SUMPRODUCT(UVG_Input_Data!AW44:$AZ44,OFFSET(Inputparam!$C$34:$AZ$34,0,0,1,49-UVG_Calculations!AV$56)), 0)</f>
        <v>0</v>
      </c>
      <c r="AW62" s="174">
        <f ca="1">IFERROR(SUMPRODUCT(UVG_Input_Data!AX44:$AZ44,OFFSET(Inputparam!$C$34:$AZ$34,0,0,1,49-UVG_Calculations!AW$56)), 0)</f>
        <v>0</v>
      </c>
      <c r="AX62" s="174">
        <f ca="1">IFERROR(SUMPRODUCT(UVG_Input_Data!AY44:$AZ44,OFFSET(Inputparam!$C$34:$AZ$34,0,0,1,49-UVG_Calculations!AX$56)), 0)</f>
        <v>0</v>
      </c>
      <c r="AY62" s="174">
        <f ca="1">IFERROR(SUMPRODUCT(UVG_Input_Data!AZ44:$AZ44,OFFSET(Inputparam!$C$34:$AZ$34,0,0,1,49-UVG_Calculations!AY$56)), 0)</f>
        <v>0</v>
      </c>
      <c r="AZ62" s="174">
        <f ca="1">IFERROR(SUMPRODUCT(UVG_Input_Data!$AZ44:BA44,OFFSET(Inputparam!$C$34:$AZ$34,0,0,1,49-UVG_Calculations!AZ$56)), 0)</f>
        <v>0</v>
      </c>
    </row>
    <row r="63" spans="2:53">
      <c r="B63" s="172" t="s">
        <v>564</v>
      </c>
      <c r="C63" s="171"/>
      <c r="D63" s="84"/>
      <c r="E63" s="84"/>
      <c r="F63" s="84"/>
      <c r="G63" s="84"/>
      <c r="H63" s="174">
        <f ca="1">IFERROR(SUMPRODUCT(UVG_Input_Data!I45:$AZ45,OFFSET(Inputparam!$C$34:$AZ$34,0,0,1,49-UVG_Calculations!H$56)), 0)</f>
        <v>0</v>
      </c>
      <c r="I63" s="174">
        <f ca="1">IFERROR(SUMPRODUCT(UVG_Input_Data!J45:$AZ45,OFFSET(Inputparam!$C$34:$AZ$34,0,0,1,49-UVG_Calculations!I$56)), 0)</f>
        <v>0</v>
      </c>
      <c r="J63" s="174">
        <f ca="1">IFERROR(SUMPRODUCT(UVG_Input_Data!K45:$AZ45,OFFSET(Inputparam!$C$34:$AZ$34,0,0,1,49-UVG_Calculations!J$56)), 0)</f>
        <v>0</v>
      </c>
      <c r="K63" s="174">
        <f ca="1">IFERROR(SUMPRODUCT(UVG_Input_Data!L45:$AZ45,OFFSET(Inputparam!$C$34:$AZ$34,0,0,1,49-UVG_Calculations!K$56)), 0)</f>
        <v>0</v>
      </c>
      <c r="L63" s="174">
        <f ca="1">IFERROR(SUMPRODUCT(UVG_Input_Data!M45:$AZ45,OFFSET(Inputparam!$C$34:$AZ$34,0,0,1,49-UVG_Calculations!L$56)), 0)</f>
        <v>0</v>
      </c>
      <c r="M63" s="174">
        <f ca="1">IFERROR(SUMPRODUCT(UVG_Input_Data!N45:$AZ45,OFFSET(Inputparam!$C$34:$AZ$34,0,0,1,49-UVG_Calculations!M$56)), 0)</f>
        <v>0</v>
      </c>
      <c r="N63" s="174">
        <f ca="1">IFERROR(SUMPRODUCT(UVG_Input_Data!O45:$AZ45,OFFSET(Inputparam!$C$34:$AZ$34,0,0,1,49-UVG_Calculations!N$56)), 0)</f>
        <v>0</v>
      </c>
      <c r="O63" s="174">
        <f ca="1">IFERROR(SUMPRODUCT(UVG_Input_Data!P45:$AZ45,OFFSET(Inputparam!$C$34:$AZ$34,0,0,1,49-UVG_Calculations!O$56)), 0)</f>
        <v>0</v>
      </c>
      <c r="P63" s="174">
        <f ca="1">IFERROR(SUMPRODUCT(UVG_Input_Data!Q45:$AZ45,OFFSET(Inputparam!$C$34:$AZ$34,0,0,1,49-UVG_Calculations!P$56)), 0)</f>
        <v>0</v>
      </c>
      <c r="Q63" s="174">
        <f ca="1">IFERROR(SUMPRODUCT(UVG_Input_Data!R45:$AZ45,OFFSET(Inputparam!$C$34:$AZ$34,0,0,1,49-UVG_Calculations!Q$56)), 0)</f>
        <v>0</v>
      </c>
      <c r="R63" s="174">
        <f ca="1">IFERROR(SUMPRODUCT(UVG_Input_Data!S45:$AZ45,OFFSET(Inputparam!$C$34:$AZ$34,0,0,1,49-UVG_Calculations!R$56)), 0)</f>
        <v>0</v>
      </c>
      <c r="S63" s="174">
        <f ca="1">IFERROR(SUMPRODUCT(UVG_Input_Data!T45:$AZ45,OFFSET(Inputparam!$C$34:$AZ$34,0,0,1,49-UVG_Calculations!S$56)), 0)</f>
        <v>0</v>
      </c>
      <c r="T63" s="174">
        <f ca="1">IFERROR(SUMPRODUCT(UVG_Input_Data!U45:$AZ45,OFFSET(Inputparam!$C$34:$AZ$34,0,0,1,49-UVG_Calculations!T$56)), 0)</f>
        <v>0</v>
      </c>
      <c r="U63" s="174">
        <f ca="1">IFERROR(SUMPRODUCT(UVG_Input_Data!V45:$AZ45,OFFSET(Inputparam!$C$34:$AZ$34,0,0,1,49-UVG_Calculations!U$56)), 0)</f>
        <v>0</v>
      </c>
      <c r="V63" s="174">
        <f ca="1">IFERROR(SUMPRODUCT(UVG_Input_Data!W45:$AZ45,OFFSET(Inputparam!$C$34:$AZ$34,0,0,1,49-UVG_Calculations!V$56)), 0)</f>
        <v>0</v>
      </c>
      <c r="W63" s="174">
        <f ca="1">IFERROR(SUMPRODUCT(UVG_Input_Data!X45:$AZ45,OFFSET(Inputparam!$C$34:$AZ$34,0,0,1,49-UVG_Calculations!W$56)), 0)</f>
        <v>0</v>
      </c>
      <c r="X63" s="174">
        <f ca="1">IFERROR(SUMPRODUCT(UVG_Input_Data!Y45:$AZ45,OFFSET(Inputparam!$C$34:$AZ$34,0,0,1,49-UVG_Calculations!X$56)), 0)</f>
        <v>0</v>
      </c>
      <c r="Y63" s="174">
        <f ca="1">IFERROR(SUMPRODUCT(UVG_Input_Data!Z45:$AZ45,OFFSET(Inputparam!$C$34:$AZ$34,0,0,1,49-UVG_Calculations!Y$56)), 0)</f>
        <v>0</v>
      </c>
      <c r="Z63" s="174">
        <f ca="1">IFERROR(SUMPRODUCT(UVG_Input_Data!AA45:$AZ45,OFFSET(Inputparam!$C$34:$AZ$34,0,0,1,49-UVG_Calculations!Z$56)), 0)</f>
        <v>0</v>
      </c>
      <c r="AA63" s="174">
        <f ca="1">IFERROR(SUMPRODUCT(UVG_Input_Data!AB45:$AZ45,OFFSET(Inputparam!$C$34:$AZ$34,0,0,1,49-UVG_Calculations!AA$56)), 0)</f>
        <v>0</v>
      </c>
      <c r="AB63" s="174">
        <f ca="1">IFERROR(SUMPRODUCT(UVG_Input_Data!AC45:$AZ45,OFFSET(Inputparam!$C$34:$AZ$34,0,0,1,49-UVG_Calculations!AB$56)), 0)</f>
        <v>0</v>
      </c>
      <c r="AC63" s="174">
        <f ca="1">IFERROR(SUMPRODUCT(UVG_Input_Data!AD45:$AZ45,OFFSET(Inputparam!$C$34:$AZ$34,0,0,1,49-UVG_Calculations!AC$56)), 0)</f>
        <v>0</v>
      </c>
      <c r="AD63" s="174">
        <f ca="1">IFERROR(SUMPRODUCT(UVG_Input_Data!AE45:$AZ45,OFFSET(Inputparam!$C$34:$AZ$34,0,0,1,49-UVG_Calculations!AD$56)), 0)</f>
        <v>0</v>
      </c>
      <c r="AE63" s="174">
        <f ca="1">IFERROR(SUMPRODUCT(UVG_Input_Data!AF45:$AZ45,OFFSET(Inputparam!$C$34:$AZ$34,0,0,1,49-UVG_Calculations!AE$56)), 0)</f>
        <v>0</v>
      </c>
      <c r="AF63" s="174">
        <f ca="1">IFERROR(SUMPRODUCT(UVG_Input_Data!AG45:$AZ45,OFFSET(Inputparam!$C$34:$AZ$34,0,0,1,49-UVG_Calculations!AF$56)), 0)</f>
        <v>0</v>
      </c>
      <c r="AG63" s="174">
        <f ca="1">IFERROR(SUMPRODUCT(UVG_Input_Data!AH45:$AZ45,OFFSET(Inputparam!$C$34:$AZ$34,0,0,1,49-UVG_Calculations!AG$56)), 0)</f>
        <v>0</v>
      </c>
      <c r="AH63" s="174">
        <f ca="1">IFERROR(SUMPRODUCT(UVG_Input_Data!AI45:$AZ45,OFFSET(Inputparam!$C$34:$AZ$34,0,0,1,49-UVG_Calculations!AH$56)), 0)</f>
        <v>0</v>
      </c>
      <c r="AI63" s="174">
        <f ca="1">IFERROR(SUMPRODUCT(UVG_Input_Data!AJ45:$AZ45,OFFSET(Inputparam!$C$34:$AZ$34,0,0,1,49-UVG_Calculations!AI$56)), 0)</f>
        <v>0</v>
      </c>
      <c r="AJ63" s="174">
        <f ca="1">IFERROR(SUMPRODUCT(UVG_Input_Data!AK45:$AZ45,OFFSET(Inputparam!$C$34:$AZ$34,0,0,1,49-UVG_Calculations!AJ$56)), 0)</f>
        <v>0</v>
      </c>
      <c r="AK63" s="174">
        <f ca="1">IFERROR(SUMPRODUCT(UVG_Input_Data!AL45:$AZ45,OFFSET(Inputparam!$C$34:$AZ$34,0,0,1,49-UVG_Calculations!AK$56)), 0)</f>
        <v>0</v>
      </c>
      <c r="AL63" s="174">
        <f ca="1">IFERROR(SUMPRODUCT(UVG_Input_Data!AM45:$AZ45,OFFSET(Inputparam!$C$34:$AZ$34,0,0,1,49-UVG_Calculations!AL$56)), 0)</f>
        <v>0</v>
      </c>
      <c r="AM63" s="174">
        <f ca="1">IFERROR(SUMPRODUCT(UVG_Input_Data!AN45:$AZ45,OFFSET(Inputparam!$C$34:$AZ$34,0,0,1,49-UVG_Calculations!AM$56)), 0)</f>
        <v>0</v>
      </c>
      <c r="AN63" s="174">
        <f ca="1">IFERROR(SUMPRODUCT(UVG_Input_Data!AO45:$AZ45,OFFSET(Inputparam!$C$34:$AZ$34,0,0,1,49-UVG_Calculations!AN$56)), 0)</f>
        <v>0</v>
      </c>
      <c r="AO63" s="174">
        <f ca="1">IFERROR(SUMPRODUCT(UVG_Input_Data!AP45:$AZ45,OFFSET(Inputparam!$C$34:$AZ$34,0,0,1,49-UVG_Calculations!AO$56)), 0)</f>
        <v>0</v>
      </c>
      <c r="AP63" s="174">
        <f ca="1">IFERROR(SUMPRODUCT(UVG_Input_Data!AQ45:$AZ45,OFFSET(Inputparam!$C$34:$AZ$34,0,0,1,49-UVG_Calculations!AP$56)), 0)</f>
        <v>0</v>
      </c>
      <c r="AQ63" s="174">
        <f ca="1">IFERROR(SUMPRODUCT(UVG_Input_Data!AR45:$AZ45,OFFSET(Inputparam!$C$34:$AZ$34,0,0,1,49-UVG_Calculations!AQ$56)), 0)</f>
        <v>0</v>
      </c>
      <c r="AR63" s="174">
        <f ca="1">IFERROR(SUMPRODUCT(UVG_Input_Data!AS45:$AZ45,OFFSET(Inputparam!$C$34:$AZ$34,0,0,1,49-UVG_Calculations!AR$56)), 0)</f>
        <v>0</v>
      </c>
      <c r="AS63" s="174">
        <f ca="1">IFERROR(SUMPRODUCT(UVG_Input_Data!AT45:$AZ45,OFFSET(Inputparam!$C$34:$AZ$34,0,0,1,49-UVG_Calculations!AS$56)), 0)</f>
        <v>0</v>
      </c>
      <c r="AT63" s="174">
        <f ca="1">IFERROR(SUMPRODUCT(UVG_Input_Data!AU45:$AZ45,OFFSET(Inputparam!$C$34:$AZ$34,0,0,1,49-UVG_Calculations!AT$56)), 0)</f>
        <v>0</v>
      </c>
      <c r="AU63" s="174">
        <f ca="1">IFERROR(SUMPRODUCT(UVG_Input_Data!AV45:$AZ45,OFFSET(Inputparam!$C$34:$AZ$34,0,0,1,49-UVG_Calculations!AU$56)), 0)</f>
        <v>0</v>
      </c>
      <c r="AV63" s="174">
        <f ca="1">IFERROR(SUMPRODUCT(UVG_Input_Data!AW45:$AZ45,OFFSET(Inputparam!$C$34:$AZ$34,0,0,1,49-UVG_Calculations!AV$56)), 0)</f>
        <v>0</v>
      </c>
      <c r="AW63" s="174">
        <f ca="1">IFERROR(SUMPRODUCT(UVG_Input_Data!AX45:$AZ45,OFFSET(Inputparam!$C$34:$AZ$34,0,0,1,49-UVG_Calculations!AW$56)), 0)</f>
        <v>0</v>
      </c>
      <c r="AX63" s="174">
        <f ca="1">IFERROR(SUMPRODUCT(UVG_Input_Data!AY45:$AZ45,OFFSET(Inputparam!$C$34:$AZ$34,0,0,1,49-UVG_Calculations!AX$56)), 0)</f>
        <v>0</v>
      </c>
      <c r="AY63" s="174">
        <f ca="1">IFERROR(SUMPRODUCT(UVG_Input_Data!AZ45:$AZ45,OFFSET(Inputparam!$C$34:$AZ$34,0,0,1,49-UVG_Calculations!AY$56)), 0)</f>
        <v>0</v>
      </c>
      <c r="AZ63" s="174">
        <f ca="1">IFERROR(SUMPRODUCT(UVG_Input_Data!$AZ45:BA45,OFFSET(Inputparam!$C$34:$AZ$34,0,0,1,49-UVG_Calculations!AZ$56)), 0)</f>
        <v>0</v>
      </c>
    </row>
    <row r="64" spans="2:53">
      <c r="B64" s="172" t="s">
        <v>565</v>
      </c>
      <c r="C64" s="171"/>
      <c r="D64" s="84"/>
      <c r="E64" s="84"/>
      <c r="F64" s="84"/>
      <c r="G64" s="84"/>
      <c r="H64" s="84"/>
      <c r="I64" s="174">
        <f ca="1">IFERROR(SUMPRODUCT(UVG_Input_Data!J46:$AZ46,OFFSET(Inputparam!$C$34:$AZ$34,0,0,1,49-UVG_Calculations!I$56)), 0)</f>
        <v>0</v>
      </c>
      <c r="J64" s="174">
        <f ca="1">IFERROR(SUMPRODUCT(UVG_Input_Data!K46:$AZ46,OFFSET(Inputparam!$C$34:$AZ$34,0,0,1,49-UVG_Calculations!J$56)), 0)</f>
        <v>0</v>
      </c>
      <c r="K64" s="174">
        <f ca="1">IFERROR(SUMPRODUCT(UVG_Input_Data!L46:$AZ46,OFFSET(Inputparam!$C$34:$AZ$34,0,0,1,49-UVG_Calculations!K$56)), 0)</f>
        <v>0</v>
      </c>
      <c r="L64" s="174">
        <f ca="1">IFERROR(SUMPRODUCT(UVG_Input_Data!M46:$AZ46,OFFSET(Inputparam!$C$34:$AZ$34,0,0,1,49-UVG_Calculations!L$56)), 0)</f>
        <v>0</v>
      </c>
      <c r="M64" s="174">
        <f ca="1">IFERROR(SUMPRODUCT(UVG_Input_Data!N46:$AZ46,OFFSET(Inputparam!$C$34:$AZ$34,0,0,1,49-UVG_Calculations!M$56)), 0)</f>
        <v>0</v>
      </c>
      <c r="N64" s="174">
        <f ca="1">IFERROR(SUMPRODUCT(UVG_Input_Data!O46:$AZ46,OFFSET(Inputparam!$C$34:$AZ$34,0,0,1,49-UVG_Calculations!N$56)), 0)</f>
        <v>0</v>
      </c>
      <c r="O64" s="174">
        <f ca="1">IFERROR(SUMPRODUCT(UVG_Input_Data!P46:$AZ46,OFFSET(Inputparam!$C$34:$AZ$34,0,0,1,49-UVG_Calculations!O$56)), 0)</f>
        <v>0</v>
      </c>
      <c r="P64" s="174">
        <f ca="1">IFERROR(SUMPRODUCT(UVG_Input_Data!Q46:$AZ46,OFFSET(Inputparam!$C$34:$AZ$34,0,0,1,49-UVG_Calculations!P$56)), 0)</f>
        <v>0</v>
      </c>
      <c r="Q64" s="174">
        <f ca="1">IFERROR(SUMPRODUCT(UVG_Input_Data!R46:$AZ46,OFFSET(Inputparam!$C$34:$AZ$34,0,0,1,49-UVG_Calculations!Q$56)), 0)</f>
        <v>0</v>
      </c>
      <c r="R64" s="174">
        <f ca="1">IFERROR(SUMPRODUCT(UVG_Input_Data!S46:$AZ46,OFFSET(Inputparam!$C$34:$AZ$34,0,0,1,49-UVG_Calculations!R$56)), 0)</f>
        <v>0</v>
      </c>
      <c r="S64" s="174">
        <f ca="1">IFERROR(SUMPRODUCT(UVG_Input_Data!T46:$AZ46,OFFSET(Inputparam!$C$34:$AZ$34,0,0,1,49-UVG_Calculations!S$56)), 0)</f>
        <v>0</v>
      </c>
      <c r="T64" s="174">
        <f ca="1">IFERROR(SUMPRODUCT(UVG_Input_Data!U46:$AZ46,OFFSET(Inputparam!$C$34:$AZ$34,0,0,1,49-UVG_Calculations!T$56)), 0)</f>
        <v>0</v>
      </c>
      <c r="U64" s="174">
        <f ca="1">IFERROR(SUMPRODUCT(UVG_Input_Data!V46:$AZ46,OFFSET(Inputparam!$C$34:$AZ$34,0,0,1,49-UVG_Calculations!U$56)), 0)</f>
        <v>0</v>
      </c>
      <c r="V64" s="174">
        <f ca="1">IFERROR(SUMPRODUCT(UVG_Input_Data!W46:$AZ46,OFFSET(Inputparam!$C$34:$AZ$34,0,0,1,49-UVG_Calculations!V$56)), 0)</f>
        <v>0</v>
      </c>
      <c r="W64" s="174">
        <f ca="1">IFERROR(SUMPRODUCT(UVG_Input_Data!X46:$AZ46,OFFSET(Inputparam!$C$34:$AZ$34,0,0,1,49-UVG_Calculations!W$56)), 0)</f>
        <v>0</v>
      </c>
      <c r="X64" s="174">
        <f ca="1">IFERROR(SUMPRODUCT(UVG_Input_Data!Y46:$AZ46,OFFSET(Inputparam!$C$34:$AZ$34,0,0,1,49-UVG_Calculations!X$56)), 0)</f>
        <v>0</v>
      </c>
      <c r="Y64" s="174">
        <f ca="1">IFERROR(SUMPRODUCT(UVG_Input_Data!Z46:$AZ46,OFFSET(Inputparam!$C$34:$AZ$34,0,0,1,49-UVG_Calculations!Y$56)), 0)</f>
        <v>0</v>
      </c>
      <c r="Z64" s="174">
        <f ca="1">IFERROR(SUMPRODUCT(UVG_Input_Data!AA46:$AZ46,OFFSET(Inputparam!$C$34:$AZ$34,0,0,1,49-UVG_Calculations!Z$56)), 0)</f>
        <v>0</v>
      </c>
      <c r="AA64" s="174">
        <f ca="1">IFERROR(SUMPRODUCT(UVG_Input_Data!AB46:$AZ46,OFFSET(Inputparam!$C$34:$AZ$34,0,0,1,49-UVG_Calculations!AA$56)), 0)</f>
        <v>0</v>
      </c>
      <c r="AB64" s="174">
        <f ca="1">IFERROR(SUMPRODUCT(UVG_Input_Data!AC46:$AZ46,OFFSET(Inputparam!$C$34:$AZ$34,0,0,1,49-UVG_Calculations!AB$56)), 0)</f>
        <v>0</v>
      </c>
      <c r="AC64" s="174">
        <f ca="1">IFERROR(SUMPRODUCT(UVG_Input_Data!AD46:$AZ46,OFFSET(Inputparam!$C$34:$AZ$34,0,0,1,49-UVG_Calculations!AC$56)), 0)</f>
        <v>0</v>
      </c>
      <c r="AD64" s="174">
        <f ca="1">IFERROR(SUMPRODUCT(UVG_Input_Data!AE46:$AZ46,OFFSET(Inputparam!$C$34:$AZ$34,0,0,1,49-UVG_Calculations!AD$56)), 0)</f>
        <v>0</v>
      </c>
      <c r="AE64" s="174">
        <f ca="1">IFERROR(SUMPRODUCT(UVG_Input_Data!AF46:$AZ46,OFFSET(Inputparam!$C$34:$AZ$34,0,0,1,49-UVG_Calculations!AE$56)), 0)</f>
        <v>0</v>
      </c>
      <c r="AF64" s="174">
        <f ca="1">IFERROR(SUMPRODUCT(UVG_Input_Data!AG46:$AZ46,OFFSET(Inputparam!$C$34:$AZ$34,0,0,1,49-UVG_Calculations!AF$56)), 0)</f>
        <v>0</v>
      </c>
      <c r="AG64" s="174">
        <f ca="1">IFERROR(SUMPRODUCT(UVG_Input_Data!AH46:$AZ46,OFFSET(Inputparam!$C$34:$AZ$34,0,0,1,49-UVG_Calculations!AG$56)), 0)</f>
        <v>0</v>
      </c>
      <c r="AH64" s="174">
        <f ca="1">IFERROR(SUMPRODUCT(UVG_Input_Data!AI46:$AZ46,OFFSET(Inputparam!$C$34:$AZ$34,0,0,1,49-UVG_Calculations!AH$56)), 0)</f>
        <v>0</v>
      </c>
      <c r="AI64" s="174">
        <f ca="1">IFERROR(SUMPRODUCT(UVG_Input_Data!AJ46:$AZ46,OFFSET(Inputparam!$C$34:$AZ$34,0,0,1,49-UVG_Calculations!AI$56)), 0)</f>
        <v>0</v>
      </c>
      <c r="AJ64" s="174">
        <f ca="1">IFERROR(SUMPRODUCT(UVG_Input_Data!AK46:$AZ46,OFFSET(Inputparam!$C$34:$AZ$34,0,0,1,49-UVG_Calculations!AJ$56)), 0)</f>
        <v>0</v>
      </c>
      <c r="AK64" s="174">
        <f ca="1">IFERROR(SUMPRODUCT(UVG_Input_Data!AL46:$AZ46,OFFSET(Inputparam!$C$34:$AZ$34,0,0,1,49-UVG_Calculations!AK$56)), 0)</f>
        <v>0</v>
      </c>
      <c r="AL64" s="174">
        <f ca="1">IFERROR(SUMPRODUCT(UVG_Input_Data!AM46:$AZ46,OFFSET(Inputparam!$C$34:$AZ$34,0,0,1,49-UVG_Calculations!AL$56)), 0)</f>
        <v>0</v>
      </c>
      <c r="AM64" s="174">
        <f ca="1">IFERROR(SUMPRODUCT(UVG_Input_Data!AN46:$AZ46,OFFSET(Inputparam!$C$34:$AZ$34,0,0,1,49-UVG_Calculations!AM$56)), 0)</f>
        <v>0</v>
      </c>
      <c r="AN64" s="174">
        <f ca="1">IFERROR(SUMPRODUCT(UVG_Input_Data!AO46:$AZ46,OFFSET(Inputparam!$C$34:$AZ$34,0,0,1,49-UVG_Calculations!AN$56)), 0)</f>
        <v>0</v>
      </c>
      <c r="AO64" s="174">
        <f ca="1">IFERROR(SUMPRODUCT(UVG_Input_Data!AP46:$AZ46,OFFSET(Inputparam!$C$34:$AZ$34,0,0,1,49-UVG_Calculations!AO$56)), 0)</f>
        <v>0</v>
      </c>
      <c r="AP64" s="174">
        <f ca="1">IFERROR(SUMPRODUCT(UVG_Input_Data!AQ46:$AZ46,OFFSET(Inputparam!$C$34:$AZ$34,0,0,1,49-UVG_Calculations!AP$56)), 0)</f>
        <v>0</v>
      </c>
      <c r="AQ64" s="174">
        <f ca="1">IFERROR(SUMPRODUCT(UVG_Input_Data!AR46:$AZ46,OFFSET(Inputparam!$C$34:$AZ$34,0,0,1,49-UVG_Calculations!AQ$56)), 0)</f>
        <v>0</v>
      </c>
      <c r="AR64" s="174">
        <f ca="1">IFERROR(SUMPRODUCT(UVG_Input_Data!AS46:$AZ46,OFFSET(Inputparam!$C$34:$AZ$34,0,0,1,49-UVG_Calculations!AR$56)), 0)</f>
        <v>0</v>
      </c>
      <c r="AS64" s="174">
        <f ca="1">IFERROR(SUMPRODUCT(UVG_Input_Data!AT46:$AZ46,OFFSET(Inputparam!$C$34:$AZ$34,0,0,1,49-UVG_Calculations!AS$56)), 0)</f>
        <v>0</v>
      </c>
      <c r="AT64" s="174">
        <f ca="1">IFERROR(SUMPRODUCT(UVG_Input_Data!AU46:$AZ46,OFFSET(Inputparam!$C$34:$AZ$34,0,0,1,49-UVG_Calculations!AT$56)), 0)</f>
        <v>0</v>
      </c>
      <c r="AU64" s="174">
        <f ca="1">IFERROR(SUMPRODUCT(UVG_Input_Data!AV46:$AZ46,OFFSET(Inputparam!$C$34:$AZ$34,0,0,1,49-UVG_Calculations!AU$56)), 0)</f>
        <v>0</v>
      </c>
      <c r="AV64" s="174">
        <f ca="1">IFERROR(SUMPRODUCT(UVG_Input_Data!AW46:$AZ46,OFFSET(Inputparam!$C$34:$AZ$34,0,0,1,49-UVG_Calculations!AV$56)), 0)</f>
        <v>0</v>
      </c>
      <c r="AW64" s="174">
        <f ca="1">IFERROR(SUMPRODUCT(UVG_Input_Data!AX46:$AZ46,OFFSET(Inputparam!$C$34:$AZ$34,0,0,1,49-UVG_Calculations!AW$56)), 0)</f>
        <v>0</v>
      </c>
      <c r="AX64" s="174">
        <f ca="1">IFERROR(SUMPRODUCT(UVG_Input_Data!AY46:$AZ46,OFFSET(Inputparam!$C$34:$AZ$34,0,0,1,49-UVG_Calculations!AX$56)), 0)</f>
        <v>0</v>
      </c>
      <c r="AY64" s="174">
        <f ca="1">IFERROR(SUMPRODUCT(UVG_Input_Data!AZ46:$AZ46,OFFSET(Inputparam!$C$34:$AZ$34,0,0,1,49-UVG_Calculations!AY$56)), 0)</f>
        <v>0</v>
      </c>
      <c r="AZ64" s="174">
        <f ca="1">IFERROR(SUMPRODUCT(UVG_Input_Data!$AZ46:BA46,OFFSET(Inputparam!$C$34:$AZ$34,0,0,1,49-UVG_Calculations!AZ$56)), 0)</f>
        <v>0</v>
      </c>
    </row>
    <row r="65" spans="2:52">
      <c r="B65" s="172" t="s">
        <v>566</v>
      </c>
      <c r="C65" s="171"/>
      <c r="D65" s="84"/>
      <c r="E65" s="84"/>
      <c r="F65" s="84"/>
      <c r="G65" s="84"/>
      <c r="H65" s="84"/>
      <c r="I65" s="84"/>
      <c r="J65" s="174">
        <f ca="1">IFERROR(SUMPRODUCT(UVG_Input_Data!K47:$AZ47,OFFSET(Inputparam!$C$34:$AZ$34,0,0,1,49-UVG_Calculations!J$56)), 0)</f>
        <v>0</v>
      </c>
      <c r="K65" s="174">
        <f ca="1">IFERROR(SUMPRODUCT(UVG_Input_Data!L47:$AZ47,OFFSET(Inputparam!$C$34:$AZ$34,0,0,1,49-UVG_Calculations!K$56)), 0)</f>
        <v>0</v>
      </c>
      <c r="L65" s="174">
        <f ca="1">IFERROR(SUMPRODUCT(UVG_Input_Data!M47:$AZ47,OFFSET(Inputparam!$C$34:$AZ$34,0,0,1,49-UVG_Calculations!L$56)), 0)</f>
        <v>0</v>
      </c>
      <c r="M65" s="174">
        <f ca="1">IFERROR(SUMPRODUCT(UVG_Input_Data!N47:$AZ47,OFFSET(Inputparam!$C$34:$AZ$34,0,0,1,49-UVG_Calculations!M$56)), 0)</f>
        <v>0</v>
      </c>
      <c r="N65" s="174">
        <f ca="1">IFERROR(SUMPRODUCT(UVG_Input_Data!O47:$AZ47,OFFSET(Inputparam!$C$34:$AZ$34,0,0,1,49-UVG_Calculations!N$56)), 0)</f>
        <v>0</v>
      </c>
      <c r="O65" s="174">
        <f ca="1">IFERROR(SUMPRODUCT(UVG_Input_Data!P47:$AZ47,OFFSET(Inputparam!$C$34:$AZ$34,0,0,1,49-UVG_Calculations!O$56)), 0)</f>
        <v>0</v>
      </c>
      <c r="P65" s="174">
        <f ca="1">IFERROR(SUMPRODUCT(UVG_Input_Data!Q47:$AZ47,OFFSET(Inputparam!$C$34:$AZ$34,0,0,1,49-UVG_Calculations!P$56)), 0)</f>
        <v>0</v>
      </c>
      <c r="Q65" s="174">
        <f ca="1">IFERROR(SUMPRODUCT(UVG_Input_Data!R47:$AZ47,OFFSET(Inputparam!$C$34:$AZ$34,0,0,1,49-UVG_Calculations!Q$56)), 0)</f>
        <v>0</v>
      </c>
      <c r="R65" s="174">
        <f ca="1">IFERROR(SUMPRODUCT(UVG_Input_Data!S47:$AZ47,OFFSET(Inputparam!$C$34:$AZ$34,0,0,1,49-UVG_Calculations!R$56)), 0)</f>
        <v>0</v>
      </c>
      <c r="S65" s="174">
        <f ca="1">IFERROR(SUMPRODUCT(UVG_Input_Data!T47:$AZ47,OFFSET(Inputparam!$C$34:$AZ$34,0,0,1,49-UVG_Calculations!S$56)), 0)</f>
        <v>0</v>
      </c>
      <c r="T65" s="174">
        <f ca="1">IFERROR(SUMPRODUCT(UVG_Input_Data!U47:$AZ47,OFFSET(Inputparam!$C$34:$AZ$34,0,0,1,49-UVG_Calculations!T$56)), 0)</f>
        <v>0</v>
      </c>
      <c r="U65" s="174">
        <f ca="1">IFERROR(SUMPRODUCT(UVG_Input_Data!V47:$AZ47,OFFSET(Inputparam!$C$34:$AZ$34,0,0,1,49-UVG_Calculations!U$56)), 0)</f>
        <v>0</v>
      </c>
      <c r="V65" s="174">
        <f ca="1">IFERROR(SUMPRODUCT(UVG_Input_Data!W47:$AZ47,OFFSET(Inputparam!$C$34:$AZ$34,0,0,1,49-UVG_Calculations!V$56)), 0)</f>
        <v>0</v>
      </c>
      <c r="W65" s="174">
        <f ca="1">IFERROR(SUMPRODUCT(UVG_Input_Data!X47:$AZ47,OFFSET(Inputparam!$C$34:$AZ$34,0,0,1,49-UVG_Calculations!W$56)), 0)</f>
        <v>0</v>
      </c>
      <c r="X65" s="174">
        <f ca="1">IFERROR(SUMPRODUCT(UVG_Input_Data!Y47:$AZ47,OFFSET(Inputparam!$C$34:$AZ$34,0,0,1,49-UVG_Calculations!X$56)), 0)</f>
        <v>0</v>
      </c>
      <c r="Y65" s="174">
        <f ca="1">IFERROR(SUMPRODUCT(UVG_Input_Data!Z47:$AZ47,OFFSET(Inputparam!$C$34:$AZ$34,0,0,1,49-UVG_Calculations!Y$56)), 0)</f>
        <v>0</v>
      </c>
      <c r="Z65" s="174">
        <f ca="1">IFERROR(SUMPRODUCT(UVG_Input_Data!AA47:$AZ47,OFFSET(Inputparam!$C$34:$AZ$34,0,0,1,49-UVG_Calculations!Z$56)), 0)</f>
        <v>0</v>
      </c>
      <c r="AA65" s="174">
        <f ca="1">IFERROR(SUMPRODUCT(UVG_Input_Data!AB47:$AZ47,OFFSET(Inputparam!$C$34:$AZ$34,0,0,1,49-UVG_Calculations!AA$56)), 0)</f>
        <v>0</v>
      </c>
      <c r="AB65" s="174">
        <f ca="1">IFERROR(SUMPRODUCT(UVG_Input_Data!AC47:$AZ47,OFFSET(Inputparam!$C$34:$AZ$34,0,0,1,49-UVG_Calculations!AB$56)), 0)</f>
        <v>0</v>
      </c>
      <c r="AC65" s="174">
        <f ca="1">IFERROR(SUMPRODUCT(UVG_Input_Data!AD47:$AZ47,OFFSET(Inputparam!$C$34:$AZ$34,0,0,1,49-UVG_Calculations!AC$56)), 0)</f>
        <v>0</v>
      </c>
      <c r="AD65" s="174">
        <f ca="1">IFERROR(SUMPRODUCT(UVG_Input_Data!AE47:$AZ47,OFFSET(Inputparam!$C$34:$AZ$34,0,0,1,49-UVG_Calculations!AD$56)), 0)</f>
        <v>0</v>
      </c>
      <c r="AE65" s="174">
        <f ca="1">IFERROR(SUMPRODUCT(UVG_Input_Data!AF47:$AZ47,OFFSET(Inputparam!$C$34:$AZ$34,0,0,1,49-UVG_Calculations!AE$56)), 0)</f>
        <v>0</v>
      </c>
      <c r="AF65" s="174">
        <f ca="1">IFERROR(SUMPRODUCT(UVG_Input_Data!AG47:$AZ47,OFFSET(Inputparam!$C$34:$AZ$34,0,0,1,49-UVG_Calculations!AF$56)), 0)</f>
        <v>0</v>
      </c>
      <c r="AG65" s="174">
        <f ca="1">IFERROR(SUMPRODUCT(UVG_Input_Data!AH47:$AZ47,OFFSET(Inputparam!$C$34:$AZ$34,0,0,1,49-UVG_Calculations!AG$56)), 0)</f>
        <v>0</v>
      </c>
      <c r="AH65" s="174">
        <f ca="1">IFERROR(SUMPRODUCT(UVG_Input_Data!AI47:$AZ47,OFFSET(Inputparam!$C$34:$AZ$34,0,0,1,49-UVG_Calculations!AH$56)), 0)</f>
        <v>0</v>
      </c>
      <c r="AI65" s="174">
        <f ca="1">IFERROR(SUMPRODUCT(UVG_Input_Data!AJ47:$AZ47,OFFSET(Inputparam!$C$34:$AZ$34,0,0,1,49-UVG_Calculations!AI$56)), 0)</f>
        <v>0</v>
      </c>
      <c r="AJ65" s="174">
        <f ca="1">IFERROR(SUMPRODUCT(UVG_Input_Data!AK47:$AZ47,OFFSET(Inputparam!$C$34:$AZ$34,0,0,1,49-UVG_Calculations!AJ$56)), 0)</f>
        <v>0</v>
      </c>
      <c r="AK65" s="174">
        <f ca="1">IFERROR(SUMPRODUCT(UVG_Input_Data!AL47:$AZ47,OFFSET(Inputparam!$C$34:$AZ$34,0,0,1,49-UVG_Calculations!AK$56)), 0)</f>
        <v>0</v>
      </c>
      <c r="AL65" s="174">
        <f ca="1">IFERROR(SUMPRODUCT(UVG_Input_Data!AM47:$AZ47,OFFSET(Inputparam!$C$34:$AZ$34,0,0,1,49-UVG_Calculations!AL$56)), 0)</f>
        <v>0</v>
      </c>
      <c r="AM65" s="174">
        <f ca="1">IFERROR(SUMPRODUCT(UVG_Input_Data!AN47:$AZ47,OFFSET(Inputparam!$C$34:$AZ$34,0,0,1,49-UVG_Calculations!AM$56)), 0)</f>
        <v>0</v>
      </c>
      <c r="AN65" s="174">
        <f ca="1">IFERROR(SUMPRODUCT(UVG_Input_Data!AO47:$AZ47,OFFSET(Inputparam!$C$34:$AZ$34,0,0,1,49-UVG_Calculations!AN$56)), 0)</f>
        <v>0</v>
      </c>
      <c r="AO65" s="174">
        <f ca="1">IFERROR(SUMPRODUCT(UVG_Input_Data!AP47:$AZ47,OFFSET(Inputparam!$C$34:$AZ$34,0,0,1,49-UVG_Calculations!AO$56)), 0)</f>
        <v>0</v>
      </c>
      <c r="AP65" s="174">
        <f ca="1">IFERROR(SUMPRODUCT(UVG_Input_Data!AQ47:$AZ47,OFFSET(Inputparam!$C$34:$AZ$34,0,0,1,49-UVG_Calculations!AP$56)), 0)</f>
        <v>0</v>
      </c>
      <c r="AQ65" s="174">
        <f ca="1">IFERROR(SUMPRODUCT(UVG_Input_Data!AR47:$AZ47,OFFSET(Inputparam!$C$34:$AZ$34,0,0,1,49-UVG_Calculations!AQ$56)), 0)</f>
        <v>0</v>
      </c>
      <c r="AR65" s="174">
        <f ca="1">IFERROR(SUMPRODUCT(UVG_Input_Data!AS47:$AZ47,OFFSET(Inputparam!$C$34:$AZ$34,0,0,1,49-UVG_Calculations!AR$56)), 0)</f>
        <v>0</v>
      </c>
      <c r="AS65" s="174">
        <f ca="1">IFERROR(SUMPRODUCT(UVG_Input_Data!AT47:$AZ47,OFFSET(Inputparam!$C$34:$AZ$34,0,0,1,49-UVG_Calculations!AS$56)), 0)</f>
        <v>0</v>
      </c>
      <c r="AT65" s="174">
        <f ca="1">IFERROR(SUMPRODUCT(UVG_Input_Data!AU47:$AZ47,OFFSET(Inputparam!$C$34:$AZ$34,0,0,1,49-UVG_Calculations!AT$56)), 0)</f>
        <v>0</v>
      </c>
      <c r="AU65" s="174">
        <f ca="1">IFERROR(SUMPRODUCT(UVG_Input_Data!AV47:$AZ47,OFFSET(Inputparam!$C$34:$AZ$34,0,0,1,49-UVG_Calculations!AU$56)), 0)</f>
        <v>0</v>
      </c>
      <c r="AV65" s="174">
        <f ca="1">IFERROR(SUMPRODUCT(UVG_Input_Data!AW47:$AZ47,OFFSET(Inputparam!$C$34:$AZ$34,0,0,1,49-UVG_Calculations!AV$56)), 0)</f>
        <v>0</v>
      </c>
      <c r="AW65" s="174">
        <f ca="1">IFERROR(SUMPRODUCT(UVG_Input_Data!AX47:$AZ47,OFFSET(Inputparam!$C$34:$AZ$34,0,0,1,49-UVG_Calculations!AW$56)), 0)</f>
        <v>0</v>
      </c>
      <c r="AX65" s="174">
        <f ca="1">IFERROR(SUMPRODUCT(UVG_Input_Data!AY47:$AZ47,OFFSET(Inputparam!$C$34:$AZ$34,0,0,1,49-UVG_Calculations!AX$56)), 0)</f>
        <v>0</v>
      </c>
      <c r="AY65" s="174">
        <f ca="1">IFERROR(SUMPRODUCT(UVG_Input_Data!AZ47:$AZ47,OFFSET(Inputparam!$C$34:$AZ$34,0,0,1,49-UVG_Calculations!AY$56)), 0)</f>
        <v>0</v>
      </c>
      <c r="AZ65" s="174">
        <f ca="1">IFERROR(SUMPRODUCT(UVG_Input_Data!$AZ47:BA47,OFFSET(Inputparam!$C$34:$AZ$34,0,0,1,49-UVG_Calculations!AZ$56)), 0)</f>
        <v>0</v>
      </c>
    </row>
    <row r="66" spans="2:52">
      <c r="B66" s="172" t="s">
        <v>567</v>
      </c>
      <c r="C66" s="171"/>
      <c r="D66" s="84"/>
      <c r="E66" s="84"/>
      <c r="F66" s="84"/>
      <c r="G66" s="84"/>
      <c r="H66" s="84"/>
      <c r="I66" s="84"/>
      <c r="J66" s="84"/>
      <c r="K66" s="174">
        <f ca="1">IFERROR(SUMPRODUCT(UVG_Input_Data!L48:$AZ48,OFFSET(Inputparam!$C$34:$AZ$34,0,0,1,49-UVG_Calculations!K$56)), 0)</f>
        <v>0</v>
      </c>
      <c r="L66" s="174">
        <f ca="1">IFERROR(SUMPRODUCT(UVG_Input_Data!M48:$AZ48,OFFSET(Inputparam!$C$34:$AZ$34,0,0,1,49-UVG_Calculations!L$56)), 0)</f>
        <v>0</v>
      </c>
      <c r="M66" s="174">
        <f ca="1">IFERROR(SUMPRODUCT(UVG_Input_Data!N48:$AZ48,OFFSET(Inputparam!$C$34:$AZ$34,0,0,1,49-UVG_Calculations!M$56)), 0)</f>
        <v>0</v>
      </c>
      <c r="N66" s="174">
        <f ca="1">IFERROR(SUMPRODUCT(UVG_Input_Data!O48:$AZ48,OFFSET(Inputparam!$C$34:$AZ$34,0,0,1,49-UVG_Calculations!N$56)), 0)</f>
        <v>0</v>
      </c>
      <c r="O66" s="174">
        <f ca="1">IFERROR(SUMPRODUCT(UVG_Input_Data!P48:$AZ48,OFFSET(Inputparam!$C$34:$AZ$34,0,0,1,49-UVG_Calculations!O$56)), 0)</f>
        <v>0</v>
      </c>
      <c r="P66" s="174">
        <f ca="1">IFERROR(SUMPRODUCT(UVG_Input_Data!Q48:$AZ48,OFFSET(Inputparam!$C$34:$AZ$34,0,0,1,49-UVG_Calculations!P$56)), 0)</f>
        <v>0</v>
      </c>
      <c r="Q66" s="174">
        <f ca="1">IFERROR(SUMPRODUCT(UVG_Input_Data!R48:$AZ48,OFFSET(Inputparam!$C$34:$AZ$34,0,0,1,49-UVG_Calculations!Q$56)), 0)</f>
        <v>0</v>
      </c>
      <c r="R66" s="174">
        <f ca="1">IFERROR(SUMPRODUCT(UVG_Input_Data!S48:$AZ48,OFFSET(Inputparam!$C$34:$AZ$34,0,0,1,49-UVG_Calculations!R$56)), 0)</f>
        <v>0</v>
      </c>
      <c r="S66" s="174">
        <f ca="1">IFERROR(SUMPRODUCT(UVG_Input_Data!T48:$AZ48,OFFSET(Inputparam!$C$34:$AZ$34,0,0,1,49-UVG_Calculations!S$56)), 0)</f>
        <v>0</v>
      </c>
      <c r="T66" s="174">
        <f ca="1">IFERROR(SUMPRODUCT(UVG_Input_Data!U48:$AZ48,OFFSET(Inputparam!$C$34:$AZ$34,0,0,1,49-UVG_Calculations!T$56)), 0)</f>
        <v>0</v>
      </c>
      <c r="U66" s="174">
        <f ca="1">IFERROR(SUMPRODUCT(UVG_Input_Data!V48:$AZ48,OFFSET(Inputparam!$C$34:$AZ$34,0,0,1,49-UVG_Calculations!U$56)), 0)</f>
        <v>0</v>
      </c>
      <c r="V66" s="174">
        <f ca="1">IFERROR(SUMPRODUCT(UVG_Input_Data!W48:$AZ48,OFFSET(Inputparam!$C$34:$AZ$34,0,0,1,49-UVG_Calculations!V$56)), 0)</f>
        <v>0</v>
      </c>
      <c r="W66" s="174">
        <f ca="1">IFERROR(SUMPRODUCT(UVG_Input_Data!X48:$AZ48,OFFSET(Inputparam!$C$34:$AZ$34,0,0,1,49-UVG_Calculations!W$56)), 0)</f>
        <v>0</v>
      </c>
      <c r="X66" s="174">
        <f ca="1">IFERROR(SUMPRODUCT(UVG_Input_Data!Y48:$AZ48,OFFSET(Inputparam!$C$34:$AZ$34,0,0,1,49-UVG_Calculations!X$56)), 0)</f>
        <v>0</v>
      </c>
      <c r="Y66" s="174">
        <f ca="1">IFERROR(SUMPRODUCT(UVG_Input_Data!Z48:$AZ48,OFFSET(Inputparam!$C$34:$AZ$34,0,0,1,49-UVG_Calculations!Y$56)), 0)</f>
        <v>0</v>
      </c>
      <c r="Z66" s="174">
        <f ca="1">IFERROR(SUMPRODUCT(UVG_Input_Data!AA48:$AZ48,OFFSET(Inputparam!$C$34:$AZ$34,0,0,1,49-UVG_Calculations!Z$56)), 0)</f>
        <v>0</v>
      </c>
      <c r="AA66" s="174">
        <f ca="1">IFERROR(SUMPRODUCT(UVG_Input_Data!AB48:$AZ48,OFFSET(Inputparam!$C$34:$AZ$34,0,0,1,49-UVG_Calculations!AA$56)), 0)</f>
        <v>0</v>
      </c>
      <c r="AB66" s="174">
        <f ca="1">IFERROR(SUMPRODUCT(UVG_Input_Data!AC48:$AZ48,OFFSET(Inputparam!$C$34:$AZ$34,0,0,1,49-UVG_Calculations!AB$56)), 0)</f>
        <v>0</v>
      </c>
      <c r="AC66" s="174">
        <f ca="1">IFERROR(SUMPRODUCT(UVG_Input_Data!AD48:$AZ48,OFFSET(Inputparam!$C$34:$AZ$34,0,0,1,49-UVG_Calculations!AC$56)), 0)</f>
        <v>0</v>
      </c>
      <c r="AD66" s="174">
        <f ca="1">IFERROR(SUMPRODUCT(UVG_Input_Data!AE48:$AZ48,OFFSET(Inputparam!$C$34:$AZ$34,0,0,1,49-UVG_Calculations!AD$56)), 0)</f>
        <v>0</v>
      </c>
      <c r="AE66" s="174">
        <f ca="1">IFERROR(SUMPRODUCT(UVG_Input_Data!AF48:$AZ48,OFFSET(Inputparam!$C$34:$AZ$34,0,0,1,49-UVG_Calculations!AE$56)), 0)</f>
        <v>0</v>
      </c>
      <c r="AF66" s="174">
        <f ca="1">IFERROR(SUMPRODUCT(UVG_Input_Data!AG48:$AZ48,OFFSET(Inputparam!$C$34:$AZ$34,0,0,1,49-UVG_Calculations!AF$56)), 0)</f>
        <v>0</v>
      </c>
      <c r="AG66" s="174">
        <f ca="1">IFERROR(SUMPRODUCT(UVG_Input_Data!AH48:$AZ48,OFFSET(Inputparam!$C$34:$AZ$34,0,0,1,49-UVG_Calculations!AG$56)), 0)</f>
        <v>0</v>
      </c>
      <c r="AH66" s="174">
        <f ca="1">IFERROR(SUMPRODUCT(UVG_Input_Data!AI48:$AZ48,OFFSET(Inputparam!$C$34:$AZ$34,0,0,1,49-UVG_Calculations!AH$56)), 0)</f>
        <v>0</v>
      </c>
      <c r="AI66" s="174">
        <f ca="1">IFERROR(SUMPRODUCT(UVG_Input_Data!AJ48:$AZ48,OFFSET(Inputparam!$C$34:$AZ$34,0,0,1,49-UVG_Calculations!AI$56)), 0)</f>
        <v>0</v>
      </c>
      <c r="AJ66" s="174">
        <f ca="1">IFERROR(SUMPRODUCT(UVG_Input_Data!AK48:$AZ48,OFFSET(Inputparam!$C$34:$AZ$34,0,0,1,49-UVG_Calculations!AJ$56)), 0)</f>
        <v>0</v>
      </c>
      <c r="AK66" s="174">
        <f ca="1">IFERROR(SUMPRODUCT(UVG_Input_Data!AL48:$AZ48,OFFSET(Inputparam!$C$34:$AZ$34,0,0,1,49-UVG_Calculations!AK$56)), 0)</f>
        <v>0</v>
      </c>
      <c r="AL66" s="174">
        <f ca="1">IFERROR(SUMPRODUCT(UVG_Input_Data!AM48:$AZ48,OFFSET(Inputparam!$C$34:$AZ$34,0,0,1,49-UVG_Calculations!AL$56)), 0)</f>
        <v>0</v>
      </c>
      <c r="AM66" s="174">
        <f ca="1">IFERROR(SUMPRODUCT(UVG_Input_Data!AN48:$AZ48,OFFSET(Inputparam!$C$34:$AZ$34,0,0,1,49-UVG_Calculations!AM$56)), 0)</f>
        <v>0</v>
      </c>
      <c r="AN66" s="174">
        <f ca="1">IFERROR(SUMPRODUCT(UVG_Input_Data!AO48:$AZ48,OFFSET(Inputparam!$C$34:$AZ$34,0,0,1,49-UVG_Calculations!AN$56)), 0)</f>
        <v>0</v>
      </c>
      <c r="AO66" s="174">
        <f ca="1">IFERROR(SUMPRODUCT(UVG_Input_Data!AP48:$AZ48,OFFSET(Inputparam!$C$34:$AZ$34,0,0,1,49-UVG_Calculations!AO$56)), 0)</f>
        <v>0</v>
      </c>
      <c r="AP66" s="174">
        <f ca="1">IFERROR(SUMPRODUCT(UVG_Input_Data!AQ48:$AZ48,OFFSET(Inputparam!$C$34:$AZ$34,0,0,1,49-UVG_Calculations!AP$56)), 0)</f>
        <v>0</v>
      </c>
      <c r="AQ66" s="174">
        <f ca="1">IFERROR(SUMPRODUCT(UVG_Input_Data!AR48:$AZ48,OFFSET(Inputparam!$C$34:$AZ$34,0,0,1,49-UVG_Calculations!AQ$56)), 0)</f>
        <v>0</v>
      </c>
      <c r="AR66" s="174">
        <f ca="1">IFERROR(SUMPRODUCT(UVG_Input_Data!AS48:$AZ48,OFFSET(Inputparam!$C$34:$AZ$34,0,0,1,49-UVG_Calculations!AR$56)), 0)</f>
        <v>0</v>
      </c>
      <c r="AS66" s="174">
        <f ca="1">IFERROR(SUMPRODUCT(UVG_Input_Data!AT48:$AZ48,OFFSET(Inputparam!$C$34:$AZ$34,0,0,1,49-UVG_Calculations!AS$56)), 0)</f>
        <v>0</v>
      </c>
      <c r="AT66" s="174">
        <f ca="1">IFERROR(SUMPRODUCT(UVG_Input_Data!AU48:$AZ48,OFFSET(Inputparam!$C$34:$AZ$34,0,0,1,49-UVG_Calculations!AT$56)), 0)</f>
        <v>0</v>
      </c>
      <c r="AU66" s="174">
        <f ca="1">IFERROR(SUMPRODUCT(UVG_Input_Data!AV48:$AZ48,OFFSET(Inputparam!$C$34:$AZ$34,0,0,1,49-UVG_Calculations!AU$56)), 0)</f>
        <v>0</v>
      </c>
      <c r="AV66" s="174">
        <f ca="1">IFERROR(SUMPRODUCT(UVG_Input_Data!AW48:$AZ48,OFFSET(Inputparam!$C$34:$AZ$34,0,0,1,49-UVG_Calculations!AV$56)), 0)</f>
        <v>0</v>
      </c>
      <c r="AW66" s="174">
        <f ca="1">IFERROR(SUMPRODUCT(UVG_Input_Data!AX48:$AZ48,OFFSET(Inputparam!$C$34:$AZ$34,0,0,1,49-UVG_Calculations!AW$56)), 0)</f>
        <v>0</v>
      </c>
      <c r="AX66" s="174">
        <f ca="1">IFERROR(SUMPRODUCT(UVG_Input_Data!AY48:$AZ48,OFFSET(Inputparam!$C$34:$AZ$34,0,0,1,49-UVG_Calculations!AX$56)), 0)</f>
        <v>0</v>
      </c>
      <c r="AY66" s="174">
        <f ca="1">IFERROR(SUMPRODUCT(UVG_Input_Data!AZ48:$AZ48,OFFSET(Inputparam!$C$34:$AZ$34,0,0,1,49-UVG_Calculations!AY$56)), 0)</f>
        <v>0</v>
      </c>
      <c r="AZ66" s="174">
        <f ca="1">IFERROR(SUMPRODUCT(UVG_Input_Data!$AZ48:BA48,OFFSET(Inputparam!$C$34:$AZ$34,0,0,1,49-UVG_Calculations!AZ$56)), 0)</f>
        <v>0</v>
      </c>
    </row>
    <row r="67" spans="2:52">
      <c r="B67" s="172" t="s">
        <v>568</v>
      </c>
      <c r="C67" s="171"/>
      <c r="D67" s="84"/>
      <c r="E67" s="84"/>
      <c r="F67" s="84"/>
      <c r="G67" s="84"/>
      <c r="H67" s="84"/>
      <c r="I67" s="84"/>
      <c r="J67" s="84"/>
      <c r="K67" s="84"/>
      <c r="L67" s="174">
        <f ca="1">IFERROR(SUMPRODUCT(UVG_Input_Data!M49:$AZ49,OFFSET(Inputparam!$C$34:$AZ$34,0,0,1,49-UVG_Calculations!L$56)), 0)</f>
        <v>0</v>
      </c>
      <c r="M67" s="174">
        <f ca="1">IFERROR(SUMPRODUCT(UVG_Input_Data!N49:$AZ49,OFFSET(Inputparam!$C$34:$AZ$34,0,0,1,49-UVG_Calculations!M$56)), 0)</f>
        <v>0</v>
      </c>
      <c r="N67" s="174">
        <f ca="1">IFERROR(SUMPRODUCT(UVG_Input_Data!O49:$AZ49,OFFSET(Inputparam!$C$34:$AZ$34,0,0,1,49-UVG_Calculations!N$56)), 0)</f>
        <v>0</v>
      </c>
      <c r="O67" s="174">
        <f ca="1">IFERROR(SUMPRODUCT(UVG_Input_Data!P49:$AZ49,OFFSET(Inputparam!$C$34:$AZ$34,0,0,1,49-UVG_Calculations!O$56)), 0)</f>
        <v>0</v>
      </c>
      <c r="P67" s="174">
        <f ca="1">IFERROR(SUMPRODUCT(UVG_Input_Data!Q49:$AZ49,OFFSET(Inputparam!$C$34:$AZ$34,0,0,1,49-UVG_Calculations!P$56)), 0)</f>
        <v>0</v>
      </c>
      <c r="Q67" s="174">
        <f ca="1">IFERROR(SUMPRODUCT(UVG_Input_Data!R49:$AZ49,OFFSET(Inputparam!$C$34:$AZ$34,0,0,1,49-UVG_Calculations!Q$56)), 0)</f>
        <v>0</v>
      </c>
      <c r="R67" s="174">
        <f ca="1">IFERROR(SUMPRODUCT(UVG_Input_Data!S49:$AZ49,OFFSET(Inputparam!$C$34:$AZ$34,0,0,1,49-UVG_Calculations!R$56)), 0)</f>
        <v>0</v>
      </c>
      <c r="S67" s="174">
        <f ca="1">IFERROR(SUMPRODUCT(UVG_Input_Data!T49:$AZ49,OFFSET(Inputparam!$C$34:$AZ$34,0,0,1,49-UVG_Calculations!S$56)), 0)</f>
        <v>0</v>
      </c>
      <c r="T67" s="174">
        <f ca="1">IFERROR(SUMPRODUCT(UVG_Input_Data!U49:$AZ49,OFFSET(Inputparam!$C$34:$AZ$34,0,0,1,49-UVG_Calculations!T$56)), 0)</f>
        <v>0</v>
      </c>
      <c r="U67" s="174">
        <f ca="1">IFERROR(SUMPRODUCT(UVG_Input_Data!V49:$AZ49,OFFSET(Inputparam!$C$34:$AZ$34,0,0,1,49-UVG_Calculations!U$56)), 0)</f>
        <v>0</v>
      </c>
      <c r="V67" s="174">
        <f ca="1">IFERROR(SUMPRODUCT(UVG_Input_Data!W49:$AZ49,OFFSET(Inputparam!$C$34:$AZ$34,0,0,1,49-UVG_Calculations!V$56)), 0)</f>
        <v>0</v>
      </c>
      <c r="W67" s="174">
        <f ca="1">IFERROR(SUMPRODUCT(UVG_Input_Data!X49:$AZ49,OFFSET(Inputparam!$C$34:$AZ$34,0,0,1,49-UVG_Calculations!W$56)), 0)</f>
        <v>0</v>
      </c>
      <c r="X67" s="174">
        <f ca="1">IFERROR(SUMPRODUCT(UVG_Input_Data!Y49:$AZ49,OFFSET(Inputparam!$C$34:$AZ$34,0,0,1,49-UVG_Calculations!X$56)), 0)</f>
        <v>0</v>
      </c>
      <c r="Y67" s="174">
        <f ca="1">IFERROR(SUMPRODUCT(UVG_Input_Data!Z49:$AZ49,OFFSET(Inputparam!$C$34:$AZ$34,0,0,1,49-UVG_Calculations!Y$56)), 0)</f>
        <v>0</v>
      </c>
      <c r="Z67" s="174">
        <f ca="1">IFERROR(SUMPRODUCT(UVG_Input_Data!AA49:$AZ49,OFFSET(Inputparam!$C$34:$AZ$34,0,0,1,49-UVG_Calculations!Z$56)), 0)</f>
        <v>0</v>
      </c>
      <c r="AA67" s="174">
        <f ca="1">IFERROR(SUMPRODUCT(UVG_Input_Data!AB49:$AZ49,OFFSET(Inputparam!$C$34:$AZ$34,0,0,1,49-UVG_Calculations!AA$56)), 0)</f>
        <v>0</v>
      </c>
      <c r="AB67" s="174">
        <f ca="1">IFERROR(SUMPRODUCT(UVG_Input_Data!AC49:$AZ49,OFFSET(Inputparam!$C$34:$AZ$34,0,0,1,49-UVG_Calculations!AB$56)), 0)</f>
        <v>0</v>
      </c>
      <c r="AC67" s="174">
        <f ca="1">IFERROR(SUMPRODUCT(UVG_Input_Data!AD49:$AZ49,OFFSET(Inputparam!$C$34:$AZ$34,0,0,1,49-UVG_Calculations!AC$56)), 0)</f>
        <v>0</v>
      </c>
      <c r="AD67" s="174">
        <f ca="1">IFERROR(SUMPRODUCT(UVG_Input_Data!AE49:$AZ49,OFFSET(Inputparam!$C$34:$AZ$34,0,0,1,49-UVG_Calculations!AD$56)), 0)</f>
        <v>0</v>
      </c>
      <c r="AE67" s="174">
        <f ca="1">IFERROR(SUMPRODUCT(UVG_Input_Data!AF49:$AZ49,OFFSET(Inputparam!$C$34:$AZ$34,0,0,1,49-UVG_Calculations!AE$56)), 0)</f>
        <v>0</v>
      </c>
      <c r="AF67" s="174">
        <f ca="1">IFERROR(SUMPRODUCT(UVG_Input_Data!AG49:$AZ49,OFFSET(Inputparam!$C$34:$AZ$34,0,0,1,49-UVG_Calculations!AF$56)), 0)</f>
        <v>0</v>
      </c>
      <c r="AG67" s="174">
        <f ca="1">IFERROR(SUMPRODUCT(UVG_Input_Data!AH49:$AZ49,OFFSET(Inputparam!$C$34:$AZ$34,0,0,1,49-UVG_Calculations!AG$56)), 0)</f>
        <v>0</v>
      </c>
      <c r="AH67" s="174">
        <f ca="1">IFERROR(SUMPRODUCT(UVG_Input_Data!AI49:$AZ49,OFFSET(Inputparam!$C$34:$AZ$34,0,0,1,49-UVG_Calculations!AH$56)), 0)</f>
        <v>0</v>
      </c>
      <c r="AI67" s="174">
        <f ca="1">IFERROR(SUMPRODUCT(UVG_Input_Data!AJ49:$AZ49,OFFSET(Inputparam!$C$34:$AZ$34,0,0,1,49-UVG_Calculations!AI$56)), 0)</f>
        <v>0</v>
      </c>
      <c r="AJ67" s="174">
        <f ca="1">IFERROR(SUMPRODUCT(UVG_Input_Data!AK49:$AZ49,OFFSET(Inputparam!$C$34:$AZ$34,0,0,1,49-UVG_Calculations!AJ$56)), 0)</f>
        <v>0</v>
      </c>
      <c r="AK67" s="174">
        <f ca="1">IFERROR(SUMPRODUCT(UVG_Input_Data!AL49:$AZ49,OFFSET(Inputparam!$C$34:$AZ$34,0,0,1,49-UVG_Calculations!AK$56)), 0)</f>
        <v>0</v>
      </c>
      <c r="AL67" s="174">
        <f ca="1">IFERROR(SUMPRODUCT(UVG_Input_Data!AM49:$AZ49,OFFSET(Inputparam!$C$34:$AZ$34,0,0,1,49-UVG_Calculations!AL$56)), 0)</f>
        <v>0</v>
      </c>
      <c r="AM67" s="174">
        <f ca="1">IFERROR(SUMPRODUCT(UVG_Input_Data!AN49:$AZ49,OFFSET(Inputparam!$C$34:$AZ$34,0,0,1,49-UVG_Calculations!AM$56)), 0)</f>
        <v>0</v>
      </c>
      <c r="AN67" s="174">
        <f ca="1">IFERROR(SUMPRODUCT(UVG_Input_Data!AO49:$AZ49,OFFSET(Inputparam!$C$34:$AZ$34,0,0,1,49-UVG_Calculations!AN$56)), 0)</f>
        <v>0</v>
      </c>
      <c r="AO67" s="174">
        <f ca="1">IFERROR(SUMPRODUCT(UVG_Input_Data!AP49:$AZ49,OFFSET(Inputparam!$C$34:$AZ$34,0,0,1,49-UVG_Calculations!AO$56)), 0)</f>
        <v>0</v>
      </c>
      <c r="AP67" s="174">
        <f ca="1">IFERROR(SUMPRODUCT(UVG_Input_Data!AQ49:$AZ49,OFFSET(Inputparam!$C$34:$AZ$34,0,0,1,49-UVG_Calculations!AP$56)), 0)</f>
        <v>0</v>
      </c>
      <c r="AQ67" s="174">
        <f ca="1">IFERROR(SUMPRODUCT(UVG_Input_Data!AR49:$AZ49,OFFSET(Inputparam!$C$34:$AZ$34,0,0,1,49-UVG_Calculations!AQ$56)), 0)</f>
        <v>0</v>
      </c>
      <c r="AR67" s="174">
        <f ca="1">IFERROR(SUMPRODUCT(UVG_Input_Data!AS49:$AZ49,OFFSET(Inputparam!$C$34:$AZ$34,0,0,1,49-UVG_Calculations!AR$56)), 0)</f>
        <v>0</v>
      </c>
      <c r="AS67" s="174">
        <f ca="1">IFERROR(SUMPRODUCT(UVG_Input_Data!AT49:$AZ49,OFFSET(Inputparam!$C$34:$AZ$34,0,0,1,49-UVG_Calculations!AS$56)), 0)</f>
        <v>0</v>
      </c>
      <c r="AT67" s="174">
        <f ca="1">IFERROR(SUMPRODUCT(UVG_Input_Data!AU49:$AZ49,OFFSET(Inputparam!$C$34:$AZ$34,0,0,1,49-UVG_Calculations!AT$56)), 0)</f>
        <v>0</v>
      </c>
      <c r="AU67" s="174">
        <f ca="1">IFERROR(SUMPRODUCT(UVG_Input_Data!AV49:$AZ49,OFFSET(Inputparam!$C$34:$AZ$34,0,0,1,49-UVG_Calculations!AU$56)), 0)</f>
        <v>0</v>
      </c>
      <c r="AV67" s="174">
        <f ca="1">IFERROR(SUMPRODUCT(UVG_Input_Data!AW49:$AZ49,OFFSET(Inputparam!$C$34:$AZ$34,0,0,1,49-UVG_Calculations!AV$56)), 0)</f>
        <v>0</v>
      </c>
      <c r="AW67" s="174">
        <f ca="1">IFERROR(SUMPRODUCT(UVG_Input_Data!AX49:$AZ49,OFFSET(Inputparam!$C$34:$AZ$34,0,0,1,49-UVG_Calculations!AW$56)), 0)</f>
        <v>0</v>
      </c>
      <c r="AX67" s="174">
        <f ca="1">IFERROR(SUMPRODUCT(UVG_Input_Data!AY49:$AZ49,OFFSET(Inputparam!$C$34:$AZ$34,0,0,1,49-UVG_Calculations!AX$56)), 0)</f>
        <v>0</v>
      </c>
      <c r="AY67" s="174">
        <f ca="1">IFERROR(SUMPRODUCT(UVG_Input_Data!AZ49:$AZ49,OFFSET(Inputparam!$C$34:$AZ$34,0,0,1,49-UVG_Calculations!AY$56)), 0)</f>
        <v>0</v>
      </c>
      <c r="AZ67" s="174">
        <f ca="1">IFERROR(SUMPRODUCT(UVG_Input_Data!$AZ49:BA49,OFFSET(Inputparam!$C$34:$AZ$34,0,0,1,49-UVG_Calculations!AZ$56)), 0)</f>
        <v>0</v>
      </c>
    </row>
    <row r="68" spans="2:52">
      <c r="B68" s="172" t="s">
        <v>569</v>
      </c>
      <c r="C68" s="171"/>
      <c r="D68" s="84"/>
      <c r="E68" s="84"/>
      <c r="F68" s="84"/>
      <c r="G68" s="84"/>
      <c r="H68" s="84"/>
      <c r="I68" s="84"/>
      <c r="J68" s="84"/>
      <c r="K68" s="84"/>
      <c r="L68" s="84"/>
      <c r="M68" s="174">
        <f ca="1">IFERROR(SUMPRODUCT(UVG_Input_Data!N50:$AZ50,OFFSET(Inputparam!$C$34:$AZ$34,0,0,1,49-UVG_Calculations!M$56)), 0)</f>
        <v>0</v>
      </c>
      <c r="N68" s="174">
        <f ca="1">IFERROR(SUMPRODUCT(UVG_Input_Data!O50:$AZ50,OFFSET(Inputparam!$C$34:$AZ$34,0,0,1,49-UVG_Calculations!N$56)), 0)</f>
        <v>0</v>
      </c>
      <c r="O68" s="174">
        <f ca="1">IFERROR(SUMPRODUCT(UVG_Input_Data!P50:$AZ50,OFFSET(Inputparam!$C$34:$AZ$34,0,0,1,49-UVG_Calculations!O$56)), 0)</f>
        <v>0</v>
      </c>
      <c r="P68" s="174">
        <f ca="1">IFERROR(SUMPRODUCT(UVG_Input_Data!Q50:$AZ50,OFFSET(Inputparam!$C$34:$AZ$34,0,0,1,49-UVG_Calculations!P$56)), 0)</f>
        <v>0</v>
      </c>
      <c r="Q68" s="174">
        <f ca="1">IFERROR(SUMPRODUCT(UVG_Input_Data!R50:$AZ50,OFFSET(Inputparam!$C$34:$AZ$34,0,0,1,49-UVG_Calculations!Q$56)), 0)</f>
        <v>0</v>
      </c>
      <c r="R68" s="174">
        <f ca="1">IFERROR(SUMPRODUCT(UVG_Input_Data!S50:$AZ50,OFFSET(Inputparam!$C$34:$AZ$34,0,0,1,49-UVG_Calculations!R$56)), 0)</f>
        <v>0</v>
      </c>
      <c r="S68" s="174">
        <f ca="1">IFERROR(SUMPRODUCT(UVG_Input_Data!T50:$AZ50,OFFSET(Inputparam!$C$34:$AZ$34,0,0,1,49-UVG_Calculations!S$56)), 0)</f>
        <v>0</v>
      </c>
      <c r="T68" s="174">
        <f ca="1">IFERROR(SUMPRODUCT(UVG_Input_Data!U50:$AZ50,OFFSET(Inputparam!$C$34:$AZ$34,0,0,1,49-UVG_Calculations!T$56)), 0)</f>
        <v>0</v>
      </c>
      <c r="U68" s="174">
        <f ca="1">IFERROR(SUMPRODUCT(UVG_Input_Data!V50:$AZ50,OFFSET(Inputparam!$C$34:$AZ$34,0,0,1,49-UVG_Calculations!U$56)), 0)</f>
        <v>0</v>
      </c>
      <c r="V68" s="174">
        <f ca="1">IFERROR(SUMPRODUCT(UVG_Input_Data!W50:$AZ50,OFFSET(Inputparam!$C$34:$AZ$34,0,0,1,49-UVG_Calculations!V$56)), 0)</f>
        <v>0</v>
      </c>
      <c r="W68" s="174">
        <f ca="1">IFERROR(SUMPRODUCT(UVG_Input_Data!X50:$AZ50,OFFSET(Inputparam!$C$34:$AZ$34,0,0,1,49-UVG_Calculations!W$56)), 0)</f>
        <v>0</v>
      </c>
      <c r="X68" s="174">
        <f ca="1">IFERROR(SUMPRODUCT(UVG_Input_Data!Y50:$AZ50,OFFSET(Inputparam!$C$34:$AZ$34,0,0,1,49-UVG_Calculations!X$56)), 0)</f>
        <v>0</v>
      </c>
      <c r="Y68" s="174">
        <f ca="1">IFERROR(SUMPRODUCT(UVG_Input_Data!Z50:$AZ50,OFFSET(Inputparam!$C$34:$AZ$34,0,0,1,49-UVG_Calculations!Y$56)), 0)</f>
        <v>0</v>
      </c>
      <c r="Z68" s="174">
        <f ca="1">IFERROR(SUMPRODUCT(UVG_Input_Data!AA50:$AZ50,OFFSET(Inputparam!$C$34:$AZ$34,0,0,1,49-UVG_Calculations!Z$56)), 0)</f>
        <v>0</v>
      </c>
      <c r="AA68" s="174">
        <f ca="1">IFERROR(SUMPRODUCT(UVG_Input_Data!AB50:$AZ50,OFFSET(Inputparam!$C$34:$AZ$34,0,0,1,49-UVG_Calculations!AA$56)), 0)</f>
        <v>0</v>
      </c>
      <c r="AB68" s="174">
        <f ca="1">IFERROR(SUMPRODUCT(UVG_Input_Data!AC50:$AZ50,OFFSET(Inputparam!$C$34:$AZ$34,0,0,1,49-UVG_Calculations!AB$56)), 0)</f>
        <v>0</v>
      </c>
      <c r="AC68" s="174">
        <f ca="1">IFERROR(SUMPRODUCT(UVG_Input_Data!AD50:$AZ50,OFFSET(Inputparam!$C$34:$AZ$34,0,0,1,49-UVG_Calculations!AC$56)), 0)</f>
        <v>0</v>
      </c>
      <c r="AD68" s="174">
        <f ca="1">IFERROR(SUMPRODUCT(UVG_Input_Data!AE50:$AZ50,OFFSET(Inputparam!$C$34:$AZ$34,0,0,1,49-UVG_Calculations!AD$56)), 0)</f>
        <v>0</v>
      </c>
      <c r="AE68" s="174">
        <f ca="1">IFERROR(SUMPRODUCT(UVG_Input_Data!AF50:$AZ50,OFFSET(Inputparam!$C$34:$AZ$34,0,0,1,49-UVG_Calculations!AE$56)), 0)</f>
        <v>0</v>
      </c>
      <c r="AF68" s="174">
        <f ca="1">IFERROR(SUMPRODUCT(UVG_Input_Data!AG50:$AZ50,OFFSET(Inputparam!$C$34:$AZ$34,0,0,1,49-UVG_Calculations!AF$56)), 0)</f>
        <v>0</v>
      </c>
      <c r="AG68" s="174">
        <f ca="1">IFERROR(SUMPRODUCT(UVG_Input_Data!AH50:$AZ50,OFFSET(Inputparam!$C$34:$AZ$34,0,0,1,49-UVG_Calculations!AG$56)), 0)</f>
        <v>0</v>
      </c>
      <c r="AH68" s="174">
        <f ca="1">IFERROR(SUMPRODUCT(UVG_Input_Data!AI50:$AZ50,OFFSET(Inputparam!$C$34:$AZ$34,0,0,1,49-UVG_Calculations!AH$56)), 0)</f>
        <v>0</v>
      </c>
      <c r="AI68" s="174">
        <f ca="1">IFERROR(SUMPRODUCT(UVG_Input_Data!AJ50:$AZ50,OFFSET(Inputparam!$C$34:$AZ$34,0,0,1,49-UVG_Calculations!AI$56)), 0)</f>
        <v>0</v>
      </c>
      <c r="AJ68" s="174">
        <f ca="1">IFERROR(SUMPRODUCT(UVG_Input_Data!AK50:$AZ50,OFFSET(Inputparam!$C$34:$AZ$34,0,0,1,49-UVG_Calculations!AJ$56)), 0)</f>
        <v>0</v>
      </c>
      <c r="AK68" s="174">
        <f ca="1">IFERROR(SUMPRODUCT(UVG_Input_Data!AL50:$AZ50,OFFSET(Inputparam!$C$34:$AZ$34,0,0,1,49-UVG_Calculations!AK$56)), 0)</f>
        <v>0</v>
      </c>
      <c r="AL68" s="174">
        <f ca="1">IFERROR(SUMPRODUCT(UVG_Input_Data!AM50:$AZ50,OFFSET(Inputparam!$C$34:$AZ$34,0,0,1,49-UVG_Calculations!AL$56)), 0)</f>
        <v>0</v>
      </c>
      <c r="AM68" s="174">
        <f ca="1">IFERROR(SUMPRODUCT(UVG_Input_Data!AN50:$AZ50,OFFSET(Inputparam!$C$34:$AZ$34,0,0,1,49-UVG_Calculations!AM$56)), 0)</f>
        <v>0</v>
      </c>
      <c r="AN68" s="174">
        <f ca="1">IFERROR(SUMPRODUCT(UVG_Input_Data!AO50:$AZ50,OFFSET(Inputparam!$C$34:$AZ$34,0,0,1,49-UVG_Calculations!AN$56)), 0)</f>
        <v>0</v>
      </c>
      <c r="AO68" s="174">
        <f ca="1">IFERROR(SUMPRODUCT(UVG_Input_Data!AP50:$AZ50,OFFSET(Inputparam!$C$34:$AZ$34,0,0,1,49-UVG_Calculations!AO$56)), 0)</f>
        <v>0</v>
      </c>
      <c r="AP68" s="174">
        <f ca="1">IFERROR(SUMPRODUCT(UVG_Input_Data!AQ50:$AZ50,OFFSET(Inputparam!$C$34:$AZ$34,0,0,1,49-UVG_Calculations!AP$56)), 0)</f>
        <v>0</v>
      </c>
      <c r="AQ68" s="174">
        <f ca="1">IFERROR(SUMPRODUCT(UVG_Input_Data!AR50:$AZ50,OFFSET(Inputparam!$C$34:$AZ$34,0,0,1,49-UVG_Calculations!AQ$56)), 0)</f>
        <v>0</v>
      </c>
      <c r="AR68" s="174">
        <f ca="1">IFERROR(SUMPRODUCT(UVG_Input_Data!AS50:$AZ50,OFFSET(Inputparam!$C$34:$AZ$34,0,0,1,49-UVG_Calculations!AR$56)), 0)</f>
        <v>0</v>
      </c>
      <c r="AS68" s="174">
        <f ca="1">IFERROR(SUMPRODUCT(UVG_Input_Data!AT50:$AZ50,OFFSET(Inputparam!$C$34:$AZ$34,0,0,1,49-UVG_Calculations!AS$56)), 0)</f>
        <v>0</v>
      </c>
      <c r="AT68" s="174">
        <f ca="1">IFERROR(SUMPRODUCT(UVG_Input_Data!AU50:$AZ50,OFFSET(Inputparam!$C$34:$AZ$34,0,0,1,49-UVG_Calculations!AT$56)), 0)</f>
        <v>0</v>
      </c>
      <c r="AU68" s="174">
        <f ca="1">IFERROR(SUMPRODUCT(UVG_Input_Data!AV50:$AZ50,OFFSET(Inputparam!$C$34:$AZ$34,0,0,1,49-UVG_Calculations!AU$56)), 0)</f>
        <v>0</v>
      </c>
      <c r="AV68" s="174">
        <f ca="1">IFERROR(SUMPRODUCT(UVG_Input_Data!AW50:$AZ50,OFFSET(Inputparam!$C$34:$AZ$34,0,0,1,49-UVG_Calculations!AV$56)), 0)</f>
        <v>0</v>
      </c>
      <c r="AW68" s="174">
        <f ca="1">IFERROR(SUMPRODUCT(UVG_Input_Data!AX50:$AZ50,OFFSET(Inputparam!$C$34:$AZ$34,0,0,1,49-UVG_Calculations!AW$56)), 0)</f>
        <v>0</v>
      </c>
      <c r="AX68" s="174">
        <f ca="1">IFERROR(SUMPRODUCT(UVG_Input_Data!AY50:$AZ50,OFFSET(Inputparam!$C$34:$AZ$34,0,0,1,49-UVG_Calculations!AX$56)), 0)</f>
        <v>0</v>
      </c>
      <c r="AY68" s="174">
        <f ca="1">IFERROR(SUMPRODUCT(UVG_Input_Data!AZ50:$AZ50,OFFSET(Inputparam!$C$34:$AZ$34,0,0,1,49-UVG_Calculations!AY$56)), 0)</f>
        <v>0</v>
      </c>
      <c r="AZ68" s="174">
        <f ca="1">IFERROR(SUMPRODUCT(UVG_Input_Data!$AZ50:BA50,OFFSET(Inputparam!$C$34:$AZ$34,0,0,1,49-UVG_Calculations!AZ$56)), 0)</f>
        <v>0</v>
      </c>
    </row>
    <row r="69" spans="2:52">
      <c r="B69" s="172" t="s">
        <v>570</v>
      </c>
      <c r="C69" s="171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174">
        <f ca="1">IFERROR(SUMPRODUCT(UVG_Input_Data!O51:$AZ51,OFFSET(Inputparam!$C$34:$AZ$34,0,0,1,49-UVG_Calculations!N$56)), 0)</f>
        <v>0</v>
      </c>
      <c r="O69" s="174">
        <f ca="1">IFERROR(SUMPRODUCT(UVG_Input_Data!P51:$AZ51,OFFSET(Inputparam!$C$34:$AZ$34,0,0,1,49-UVG_Calculations!O$56)), 0)</f>
        <v>0</v>
      </c>
      <c r="P69" s="174">
        <f ca="1">IFERROR(SUMPRODUCT(UVG_Input_Data!Q51:$AZ51,OFFSET(Inputparam!$C$34:$AZ$34,0,0,1,49-UVG_Calculations!P$56)), 0)</f>
        <v>0</v>
      </c>
      <c r="Q69" s="174">
        <f ca="1">IFERROR(SUMPRODUCT(UVG_Input_Data!R51:$AZ51,OFFSET(Inputparam!$C$34:$AZ$34,0,0,1,49-UVG_Calculations!Q$56)), 0)</f>
        <v>0</v>
      </c>
      <c r="R69" s="174">
        <f ca="1">IFERROR(SUMPRODUCT(UVG_Input_Data!S51:$AZ51,OFFSET(Inputparam!$C$34:$AZ$34,0,0,1,49-UVG_Calculations!R$56)), 0)</f>
        <v>0</v>
      </c>
      <c r="S69" s="174">
        <f ca="1">IFERROR(SUMPRODUCT(UVG_Input_Data!T51:$AZ51,OFFSET(Inputparam!$C$34:$AZ$34,0,0,1,49-UVG_Calculations!S$56)), 0)</f>
        <v>0</v>
      </c>
      <c r="T69" s="174">
        <f ca="1">IFERROR(SUMPRODUCT(UVG_Input_Data!U51:$AZ51,OFFSET(Inputparam!$C$34:$AZ$34,0,0,1,49-UVG_Calculations!T$56)), 0)</f>
        <v>0</v>
      </c>
      <c r="U69" s="174">
        <f ca="1">IFERROR(SUMPRODUCT(UVG_Input_Data!V51:$AZ51,OFFSET(Inputparam!$C$34:$AZ$34,0,0,1,49-UVG_Calculations!U$56)), 0)</f>
        <v>0</v>
      </c>
      <c r="V69" s="174">
        <f ca="1">IFERROR(SUMPRODUCT(UVG_Input_Data!W51:$AZ51,OFFSET(Inputparam!$C$34:$AZ$34,0,0,1,49-UVG_Calculations!V$56)), 0)</f>
        <v>0</v>
      </c>
      <c r="W69" s="174">
        <f ca="1">IFERROR(SUMPRODUCT(UVG_Input_Data!X51:$AZ51,OFFSET(Inputparam!$C$34:$AZ$34,0,0,1,49-UVG_Calculations!W$56)), 0)</f>
        <v>0</v>
      </c>
      <c r="X69" s="174">
        <f ca="1">IFERROR(SUMPRODUCT(UVG_Input_Data!Y51:$AZ51,OFFSET(Inputparam!$C$34:$AZ$34,0,0,1,49-UVG_Calculations!X$56)), 0)</f>
        <v>0</v>
      </c>
      <c r="Y69" s="174">
        <f ca="1">IFERROR(SUMPRODUCT(UVG_Input_Data!Z51:$AZ51,OFFSET(Inputparam!$C$34:$AZ$34,0,0,1,49-UVG_Calculations!Y$56)), 0)</f>
        <v>0</v>
      </c>
      <c r="Z69" s="174">
        <f ca="1">IFERROR(SUMPRODUCT(UVG_Input_Data!AA51:$AZ51,OFFSET(Inputparam!$C$34:$AZ$34,0,0,1,49-UVG_Calculations!Z$56)), 0)</f>
        <v>0</v>
      </c>
      <c r="AA69" s="174">
        <f ca="1">IFERROR(SUMPRODUCT(UVG_Input_Data!AB51:$AZ51,OFFSET(Inputparam!$C$34:$AZ$34,0,0,1,49-UVG_Calculations!AA$56)), 0)</f>
        <v>0</v>
      </c>
      <c r="AB69" s="174">
        <f ca="1">IFERROR(SUMPRODUCT(UVG_Input_Data!AC51:$AZ51,OFFSET(Inputparam!$C$34:$AZ$34,0,0,1,49-UVG_Calculations!AB$56)), 0)</f>
        <v>0</v>
      </c>
      <c r="AC69" s="174">
        <f ca="1">IFERROR(SUMPRODUCT(UVG_Input_Data!AD51:$AZ51,OFFSET(Inputparam!$C$34:$AZ$34,0,0,1,49-UVG_Calculations!AC$56)), 0)</f>
        <v>0</v>
      </c>
      <c r="AD69" s="174">
        <f ca="1">IFERROR(SUMPRODUCT(UVG_Input_Data!AE51:$AZ51,OFFSET(Inputparam!$C$34:$AZ$34,0,0,1,49-UVG_Calculations!AD$56)), 0)</f>
        <v>0</v>
      </c>
      <c r="AE69" s="174">
        <f ca="1">IFERROR(SUMPRODUCT(UVG_Input_Data!AF51:$AZ51,OFFSET(Inputparam!$C$34:$AZ$34,0,0,1,49-UVG_Calculations!AE$56)), 0)</f>
        <v>0</v>
      </c>
      <c r="AF69" s="174">
        <f ca="1">IFERROR(SUMPRODUCT(UVG_Input_Data!AG51:$AZ51,OFFSET(Inputparam!$C$34:$AZ$34,0,0,1,49-UVG_Calculations!AF$56)), 0)</f>
        <v>0</v>
      </c>
      <c r="AG69" s="174">
        <f ca="1">IFERROR(SUMPRODUCT(UVG_Input_Data!AH51:$AZ51,OFFSET(Inputparam!$C$34:$AZ$34,0,0,1,49-UVG_Calculations!AG$56)), 0)</f>
        <v>0</v>
      </c>
      <c r="AH69" s="174">
        <f ca="1">IFERROR(SUMPRODUCT(UVG_Input_Data!AI51:$AZ51,OFFSET(Inputparam!$C$34:$AZ$34,0,0,1,49-UVG_Calculations!AH$56)), 0)</f>
        <v>0</v>
      </c>
      <c r="AI69" s="174">
        <f ca="1">IFERROR(SUMPRODUCT(UVG_Input_Data!AJ51:$AZ51,OFFSET(Inputparam!$C$34:$AZ$34,0,0,1,49-UVG_Calculations!AI$56)), 0)</f>
        <v>0</v>
      </c>
      <c r="AJ69" s="174">
        <f ca="1">IFERROR(SUMPRODUCT(UVG_Input_Data!AK51:$AZ51,OFFSET(Inputparam!$C$34:$AZ$34,0,0,1,49-UVG_Calculations!AJ$56)), 0)</f>
        <v>0</v>
      </c>
      <c r="AK69" s="174">
        <f ca="1">IFERROR(SUMPRODUCT(UVG_Input_Data!AL51:$AZ51,OFFSET(Inputparam!$C$34:$AZ$34,0,0,1,49-UVG_Calculations!AK$56)), 0)</f>
        <v>0</v>
      </c>
      <c r="AL69" s="174">
        <f ca="1">IFERROR(SUMPRODUCT(UVG_Input_Data!AM51:$AZ51,OFFSET(Inputparam!$C$34:$AZ$34,0,0,1,49-UVG_Calculations!AL$56)), 0)</f>
        <v>0</v>
      </c>
      <c r="AM69" s="174">
        <f ca="1">IFERROR(SUMPRODUCT(UVG_Input_Data!AN51:$AZ51,OFFSET(Inputparam!$C$34:$AZ$34,0,0,1,49-UVG_Calculations!AM$56)), 0)</f>
        <v>0</v>
      </c>
      <c r="AN69" s="174">
        <f ca="1">IFERROR(SUMPRODUCT(UVG_Input_Data!AO51:$AZ51,OFFSET(Inputparam!$C$34:$AZ$34,0,0,1,49-UVG_Calculations!AN$56)), 0)</f>
        <v>0</v>
      </c>
      <c r="AO69" s="174">
        <f ca="1">IFERROR(SUMPRODUCT(UVG_Input_Data!AP51:$AZ51,OFFSET(Inputparam!$C$34:$AZ$34,0,0,1,49-UVG_Calculations!AO$56)), 0)</f>
        <v>0</v>
      </c>
      <c r="AP69" s="174">
        <f ca="1">IFERROR(SUMPRODUCT(UVG_Input_Data!AQ51:$AZ51,OFFSET(Inputparam!$C$34:$AZ$34,0,0,1,49-UVG_Calculations!AP$56)), 0)</f>
        <v>0</v>
      </c>
      <c r="AQ69" s="174">
        <f ca="1">IFERROR(SUMPRODUCT(UVG_Input_Data!AR51:$AZ51,OFFSET(Inputparam!$C$34:$AZ$34,0,0,1,49-UVG_Calculations!AQ$56)), 0)</f>
        <v>0</v>
      </c>
      <c r="AR69" s="174">
        <f ca="1">IFERROR(SUMPRODUCT(UVG_Input_Data!AS51:$AZ51,OFFSET(Inputparam!$C$34:$AZ$34,0,0,1,49-UVG_Calculations!AR$56)), 0)</f>
        <v>0</v>
      </c>
      <c r="AS69" s="174">
        <f ca="1">IFERROR(SUMPRODUCT(UVG_Input_Data!AT51:$AZ51,OFFSET(Inputparam!$C$34:$AZ$34,0,0,1,49-UVG_Calculations!AS$56)), 0)</f>
        <v>0</v>
      </c>
      <c r="AT69" s="174">
        <f ca="1">IFERROR(SUMPRODUCT(UVG_Input_Data!AU51:$AZ51,OFFSET(Inputparam!$C$34:$AZ$34,0,0,1,49-UVG_Calculations!AT$56)), 0)</f>
        <v>0</v>
      </c>
      <c r="AU69" s="174">
        <f ca="1">IFERROR(SUMPRODUCT(UVG_Input_Data!AV51:$AZ51,OFFSET(Inputparam!$C$34:$AZ$34,0,0,1,49-UVG_Calculations!AU$56)), 0)</f>
        <v>0</v>
      </c>
      <c r="AV69" s="174">
        <f ca="1">IFERROR(SUMPRODUCT(UVG_Input_Data!AW51:$AZ51,OFFSET(Inputparam!$C$34:$AZ$34,0,0,1,49-UVG_Calculations!AV$56)), 0)</f>
        <v>0</v>
      </c>
      <c r="AW69" s="174">
        <f ca="1">IFERROR(SUMPRODUCT(UVG_Input_Data!AX51:$AZ51,OFFSET(Inputparam!$C$34:$AZ$34,0,0,1,49-UVG_Calculations!AW$56)), 0)</f>
        <v>0</v>
      </c>
      <c r="AX69" s="174">
        <f ca="1">IFERROR(SUMPRODUCT(UVG_Input_Data!AY51:$AZ51,OFFSET(Inputparam!$C$34:$AZ$34,0,0,1,49-UVG_Calculations!AX$56)), 0)</f>
        <v>0</v>
      </c>
      <c r="AY69" s="174">
        <f ca="1">IFERROR(SUMPRODUCT(UVG_Input_Data!AZ51:$AZ51,OFFSET(Inputparam!$C$34:$AZ$34,0,0,1,49-UVG_Calculations!AY$56)), 0)</f>
        <v>0</v>
      </c>
      <c r="AZ69" s="174">
        <f ca="1">IFERROR(SUMPRODUCT(UVG_Input_Data!$AZ51:BA51,OFFSET(Inputparam!$C$34:$AZ$34,0,0,1,49-UVG_Calculations!AZ$56)), 0)</f>
        <v>0</v>
      </c>
    </row>
    <row r="70" spans="2:52">
      <c r="B70" s="172" t="s">
        <v>571</v>
      </c>
      <c r="C70" s="171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174">
        <f ca="1">IFERROR(SUMPRODUCT(UVG_Input_Data!P52:$AZ52,OFFSET(Inputparam!$C$34:$AZ$34,0,0,1,49-UVG_Calculations!O$56)), 0)</f>
        <v>0</v>
      </c>
      <c r="P70" s="174">
        <f ca="1">IFERROR(SUMPRODUCT(UVG_Input_Data!Q52:$AZ52,OFFSET(Inputparam!$C$34:$AZ$34,0,0,1,49-UVG_Calculations!P$56)), 0)</f>
        <v>0</v>
      </c>
      <c r="Q70" s="174">
        <f ca="1">IFERROR(SUMPRODUCT(UVG_Input_Data!R52:$AZ52,OFFSET(Inputparam!$C$34:$AZ$34,0,0,1,49-UVG_Calculations!Q$56)), 0)</f>
        <v>0</v>
      </c>
      <c r="R70" s="174">
        <f ca="1">IFERROR(SUMPRODUCT(UVG_Input_Data!S52:$AZ52,OFFSET(Inputparam!$C$34:$AZ$34,0,0,1,49-UVG_Calculations!R$56)), 0)</f>
        <v>0</v>
      </c>
      <c r="S70" s="174">
        <f ca="1">IFERROR(SUMPRODUCT(UVG_Input_Data!T52:$AZ52,OFFSET(Inputparam!$C$34:$AZ$34,0,0,1,49-UVG_Calculations!S$56)), 0)</f>
        <v>0</v>
      </c>
      <c r="T70" s="174">
        <f ca="1">IFERROR(SUMPRODUCT(UVG_Input_Data!U52:$AZ52,OFFSET(Inputparam!$C$34:$AZ$34,0,0,1,49-UVG_Calculations!T$56)), 0)</f>
        <v>0</v>
      </c>
      <c r="U70" s="174">
        <f ca="1">IFERROR(SUMPRODUCT(UVG_Input_Data!V52:$AZ52,OFFSET(Inputparam!$C$34:$AZ$34,0,0,1,49-UVG_Calculations!U$56)), 0)</f>
        <v>0</v>
      </c>
      <c r="V70" s="174">
        <f ca="1">IFERROR(SUMPRODUCT(UVG_Input_Data!W52:$AZ52,OFFSET(Inputparam!$C$34:$AZ$34,0,0,1,49-UVG_Calculations!V$56)), 0)</f>
        <v>0</v>
      </c>
      <c r="W70" s="174">
        <f ca="1">IFERROR(SUMPRODUCT(UVG_Input_Data!X52:$AZ52,OFFSET(Inputparam!$C$34:$AZ$34,0,0,1,49-UVG_Calculations!W$56)), 0)</f>
        <v>0</v>
      </c>
      <c r="X70" s="174">
        <f ca="1">IFERROR(SUMPRODUCT(UVG_Input_Data!Y52:$AZ52,OFFSET(Inputparam!$C$34:$AZ$34,0,0,1,49-UVG_Calculations!X$56)), 0)</f>
        <v>0</v>
      </c>
      <c r="Y70" s="174">
        <f ca="1">IFERROR(SUMPRODUCT(UVG_Input_Data!Z52:$AZ52,OFFSET(Inputparam!$C$34:$AZ$34,0,0,1,49-UVG_Calculations!Y$56)), 0)</f>
        <v>0</v>
      </c>
      <c r="Z70" s="174">
        <f ca="1">IFERROR(SUMPRODUCT(UVG_Input_Data!AA52:$AZ52,OFFSET(Inputparam!$C$34:$AZ$34,0,0,1,49-UVG_Calculations!Z$56)), 0)</f>
        <v>0</v>
      </c>
      <c r="AA70" s="174">
        <f ca="1">IFERROR(SUMPRODUCT(UVG_Input_Data!AB52:$AZ52,OFFSET(Inputparam!$C$34:$AZ$34,0,0,1,49-UVG_Calculations!AA$56)), 0)</f>
        <v>0</v>
      </c>
      <c r="AB70" s="174">
        <f ca="1">IFERROR(SUMPRODUCT(UVG_Input_Data!AC52:$AZ52,OFFSET(Inputparam!$C$34:$AZ$34,0,0,1,49-UVG_Calculations!AB$56)), 0)</f>
        <v>0</v>
      </c>
      <c r="AC70" s="174">
        <f ca="1">IFERROR(SUMPRODUCT(UVG_Input_Data!AD52:$AZ52,OFFSET(Inputparam!$C$34:$AZ$34,0,0,1,49-UVG_Calculations!AC$56)), 0)</f>
        <v>0</v>
      </c>
      <c r="AD70" s="174">
        <f ca="1">IFERROR(SUMPRODUCT(UVG_Input_Data!AE52:$AZ52,OFFSET(Inputparam!$C$34:$AZ$34,0,0,1,49-UVG_Calculations!AD$56)), 0)</f>
        <v>0</v>
      </c>
      <c r="AE70" s="174">
        <f ca="1">IFERROR(SUMPRODUCT(UVG_Input_Data!AF52:$AZ52,OFFSET(Inputparam!$C$34:$AZ$34,0,0,1,49-UVG_Calculations!AE$56)), 0)</f>
        <v>0</v>
      </c>
      <c r="AF70" s="174">
        <f ca="1">IFERROR(SUMPRODUCT(UVG_Input_Data!AG52:$AZ52,OFFSET(Inputparam!$C$34:$AZ$34,0,0,1,49-UVG_Calculations!AF$56)), 0)</f>
        <v>0</v>
      </c>
      <c r="AG70" s="174">
        <f ca="1">IFERROR(SUMPRODUCT(UVG_Input_Data!AH52:$AZ52,OFFSET(Inputparam!$C$34:$AZ$34,0,0,1,49-UVG_Calculations!AG$56)), 0)</f>
        <v>0</v>
      </c>
      <c r="AH70" s="174">
        <f ca="1">IFERROR(SUMPRODUCT(UVG_Input_Data!AI52:$AZ52,OFFSET(Inputparam!$C$34:$AZ$34,0,0,1,49-UVG_Calculations!AH$56)), 0)</f>
        <v>0</v>
      </c>
      <c r="AI70" s="174">
        <f ca="1">IFERROR(SUMPRODUCT(UVG_Input_Data!AJ52:$AZ52,OFFSET(Inputparam!$C$34:$AZ$34,0,0,1,49-UVG_Calculations!AI$56)), 0)</f>
        <v>0</v>
      </c>
      <c r="AJ70" s="174">
        <f ca="1">IFERROR(SUMPRODUCT(UVG_Input_Data!AK52:$AZ52,OFFSET(Inputparam!$C$34:$AZ$34,0,0,1,49-UVG_Calculations!AJ$56)), 0)</f>
        <v>0</v>
      </c>
      <c r="AK70" s="174">
        <f ca="1">IFERROR(SUMPRODUCT(UVG_Input_Data!AL52:$AZ52,OFFSET(Inputparam!$C$34:$AZ$34,0,0,1,49-UVG_Calculations!AK$56)), 0)</f>
        <v>0</v>
      </c>
      <c r="AL70" s="174">
        <f ca="1">IFERROR(SUMPRODUCT(UVG_Input_Data!AM52:$AZ52,OFFSET(Inputparam!$C$34:$AZ$34,0,0,1,49-UVG_Calculations!AL$56)), 0)</f>
        <v>0</v>
      </c>
      <c r="AM70" s="174">
        <f ca="1">IFERROR(SUMPRODUCT(UVG_Input_Data!AN52:$AZ52,OFFSET(Inputparam!$C$34:$AZ$34,0,0,1,49-UVG_Calculations!AM$56)), 0)</f>
        <v>0</v>
      </c>
      <c r="AN70" s="174">
        <f ca="1">IFERROR(SUMPRODUCT(UVG_Input_Data!AO52:$AZ52,OFFSET(Inputparam!$C$34:$AZ$34,0,0,1,49-UVG_Calculations!AN$56)), 0)</f>
        <v>0</v>
      </c>
      <c r="AO70" s="174">
        <f ca="1">IFERROR(SUMPRODUCT(UVG_Input_Data!AP52:$AZ52,OFFSET(Inputparam!$C$34:$AZ$34,0,0,1,49-UVG_Calculations!AO$56)), 0)</f>
        <v>0</v>
      </c>
      <c r="AP70" s="174">
        <f ca="1">IFERROR(SUMPRODUCT(UVG_Input_Data!AQ52:$AZ52,OFFSET(Inputparam!$C$34:$AZ$34,0,0,1,49-UVG_Calculations!AP$56)), 0)</f>
        <v>0</v>
      </c>
      <c r="AQ70" s="174">
        <f ca="1">IFERROR(SUMPRODUCT(UVG_Input_Data!AR52:$AZ52,OFFSET(Inputparam!$C$34:$AZ$34,0,0,1,49-UVG_Calculations!AQ$56)), 0)</f>
        <v>0</v>
      </c>
      <c r="AR70" s="174">
        <f ca="1">IFERROR(SUMPRODUCT(UVG_Input_Data!AS52:$AZ52,OFFSET(Inputparam!$C$34:$AZ$34,0,0,1,49-UVG_Calculations!AR$56)), 0)</f>
        <v>0</v>
      </c>
      <c r="AS70" s="174">
        <f ca="1">IFERROR(SUMPRODUCT(UVG_Input_Data!AT52:$AZ52,OFFSET(Inputparam!$C$34:$AZ$34,0,0,1,49-UVG_Calculations!AS$56)), 0)</f>
        <v>0</v>
      </c>
      <c r="AT70" s="174">
        <f ca="1">IFERROR(SUMPRODUCT(UVG_Input_Data!AU52:$AZ52,OFFSET(Inputparam!$C$34:$AZ$34,0,0,1,49-UVG_Calculations!AT$56)), 0)</f>
        <v>0</v>
      </c>
      <c r="AU70" s="174">
        <f ca="1">IFERROR(SUMPRODUCT(UVG_Input_Data!AV52:$AZ52,OFFSET(Inputparam!$C$34:$AZ$34,0,0,1,49-UVG_Calculations!AU$56)), 0)</f>
        <v>0</v>
      </c>
      <c r="AV70" s="174">
        <f ca="1">IFERROR(SUMPRODUCT(UVG_Input_Data!AW52:$AZ52,OFFSET(Inputparam!$C$34:$AZ$34,0,0,1,49-UVG_Calculations!AV$56)), 0)</f>
        <v>0</v>
      </c>
      <c r="AW70" s="174">
        <f ca="1">IFERROR(SUMPRODUCT(UVG_Input_Data!AX52:$AZ52,OFFSET(Inputparam!$C$34:$AZ$34,0,0,1,49-UVG_Calculations!AW$56)), 0)</f>
        <v>0</v>
      </c>
      <c r="AX70" s="174">
        <f ca="1">IFERROR(SUMPRODUCT(UVG_Input_Data!AY52:$AZ52,OFFSET(Inputparam!$C$34:$AZ$34,0,0,1,49-UVG_Calculations!AX$56)), 0)</f>
        <v>0</v>
      </c>
      <c r="AY70" s="174">
        <f ca="1">IFERROR(SUMPRODUCT(UVG_Input_Data!AZ52:$AZ52,OFFSET(Inputparam!$C$34:$AZ$34,0,0,1,49-UVG_Calculations!AY$56)), 0)</f>
        <v>0</v>
      </c>
      <c r="AZ70" s="174">
        <f ca="1">IFERROR(SUMPRODUCT(UVG_Input_Data!$AZ52:BA52,OFFSET(Inputparam!$C$34:$AZ$34,0,0,1,49-UVG_Calculations!AZ$56)), 0)</f>
        <v>0</v>
      </c>
    </row>
    <row r="71" spans="2:52">
      <c r="B71" s="172" t="s">
        <v>572</v>
      </c>
      <c r="C71" s="171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174">
        <f ca="1">IFERROR(SUMPRODUCT(UVG_Input_Data!Q53:$AZ53,OFFSET(Inputparam!$C$34:$AZ$34,0,0,1,49-UVG_Calculations!P$56)), 0)</f>
        <v>0</v>
      </c>
      <c r="Q71" s="174">
        <f ca="1">IFERROR(SUMPRODUCT(UVG_Input_Data!R53:$AZ53,OFFSET(Inputparam!$C$34:$AZ$34,0,0,1,49-UVG_Calculations!Q$56)), 0)</f>
        <v>0</v>
      </c>
      <c r="R71" s="174">
        <f ca="1">IFERROR(SUMPRODUCT(UVG_Input_Data!S53:$AZ53,OFFSET(Inputparam!$C$34:$AZ$34,0,0,1,49-UVG_Calculations!R$56)), 0)</f>
        <v>0</v>
      </c>
      <c r="S71" s="174">
        <f ca="1">IFERROR(SUMPRODUCT(UVG_Input_Data!T53:$AZ53,OFFSET(Inputparam!$C$34:$AZ$34,0,0,1,49-UVG_Calculations!S$56)), 0)</f>
        <v>0</v>
      </c>
      <c r="T71" s="174">
        <f ca="1">IFERROR(SUMPRODUCT(UVG_Input_Data!U53:$AZ53,OFFSET(Inputparam!$C$34:$AZ$34,0,0,1,49-UVG_Calculations!T$56)), 0)</f>
        <v>0</v>
      </c>
      <c r="U71" s="174">
        <f ca="1">IFERROR(SUMPRODUCT(UVG_Input_Data!V53:$AZ53,OFFSET(Inputparam!$C$34:$AZ$34,0,0,1,49-UVG_Calculations!U$56)), 0)</f>
        <v>0</v>
      </c>
      <c r="V71" s="174">
        <f ca="1">IFERROR(SUMPRODUCT(UVG_Input_Data!W53:$AZ53,OFFSET(Inputparam!$C$34:$AZ$34,0,0,1,49-UVG_Calculations!V$56)), 0)</f>
        <v>0</v>
      </c>
      <c r="W71" s="174">
        <f ca="1">IFERROR(SUMPRODUCT(UVG_Input_Data!X53:$AZ53,OFFSET(Inputparam!$C$34:$AZ$34,0,0,1,49-UVG_Calculations!W$56)), 0)</f>
        <v>0</v>
      </c>
      <c r="X71" s="174">
        <f ca="1">IFERROR(SUMPRODUCT(UVG_Input_Data!Y53:$AZ53,OFFSET(Inputparam!$C$34:$AZ$34,0,0,1,49-UVG_Calculations!X$56)), 0)</f>
        <v>0</v>
      </c>
      <c r="Y71" s="174">
        <f ca="1">IFERROR(SUMPRODUCT(UVG_Input_Data!Z53:$AZ53,OFFSET(Inputparam!$C$34:$AZ$34,0,0,1,49-UVG_Calculations!Y$56)), 0)</f>
        <v>0</v>
      </c>
      <c r="Z71" s="174">
        <f ca="1">IFERROR(SUMPRODUCT(UVG_Input_Data!AA53:$AZ53,OFFSET(Inputparam!$C$34:$AZ$34,0,0,1,49-UVG_Calculations!Z$56)), 0)</f>
        <v>0</v>
      </c>
      <c r="AA71" s="174">
        <f ca="1">IFERROR(SUMPRODUCT(UVG_Input_Data!AB53:$AZ53,OFFSET(Inputparam!$C$34:$AZ$34,0,0,1,49-UVG_Calculations!AA$56)), 0)</f>
        <v>0</v>
      </c>
      <c r="AB71" s="174">
        <f ca="1">IFERROR(SUMPRODUCT(UVG_Input_Data!AC53:$AZ53,OFFSET(Inputparam!$C$34:$AZ$34,0,0,1,49-UVG_Calculations!AB$56)), 0)</f>
        <v>0</v>
      </c>
      <c r="AC71" s="174">
        <f ca="1">IFERROR(SUMPRODUCT(UVG_Input_Data!AD53:$AZ53,OFFSET(Inputparam!$C$34:$AZ$34,0,0,1,49-UVG_Calculations!AC$56)), 0)</f>
        <v>0</v>
      </c>
      <c r="AD71" s="174">
        <f ca="1">IFERROR(SUMPRODUCT(UVG_Input_Data!AE53:$AZ53,OFFSET(Inputparam!$C$34:$AZ$34,0,0,1,49-UVG_Calculations!AD$56)), 0)</f>
        <v>0</v>
      </c>
      <c r="AE71" s="174">
        <f ca="1">IFERROR(SUMPRODUCT(UVG_Input_Data!AF53:$AZ53,OFFSET(Inputparam!$C$34:$AZ$34,0,0,1,49-UVG_Calculations!AE$56)), 0)</f>
        <v>0</v>
      </c>
      <c r="AF71" s="174">
        <f ca="1">IFERROR(SUMPRODUCT(UVG_Input_Data!AG53:$AZ53,OFFSET(Inputparam!$C$34:$AZ$34,0,0,1,49-UVG_Calculations!AF$56)), 0)</f>
        <v>0</v>
      </c>
      <c r="AG71" s="174">
        <f ca="1">IFERROR(SUMPRODUCT(UVG_Input_Data!AH53:$AZ53,OFFSET(Inputparam!$C$34:$AZ$34,0,0,1,49-UVG_Calculations!AG$56)), 0)</f>
        <v>0</v>
      </c>
      <c r="AH71" s="174">
        <f ca="1">IFERROR(SUMPRODUCT(UVG_Input_Data!AI53:$AZ53,OFFSET(Inputparam!$C$34:$AZ$34,0,0,1,49-UVG_Calculations!AH$56)), 0)</f>
        <v>0</v>
      </c>
      <c r="AI71" s="174">
        <f ca="1">IFERROR(SUMPRODUCT(UVG_Input_Data!AJ53:$AZ53,OFFSET(Inputparam!$C$34:$AZ$34,0,0,1,49-UVG_Calculations!AI$56)), 0)</f>
        <v>0</v>
      </c>
      <c r="AJ71" s="174">
        <f ca="1">IFERROR(SUMPRODUCT(UVG_Input_Data!AK53:$AZ53,OFFSET(Inputparam!$C$34:$AZ$34,0,0,1,49-UVG_Calculations!AJ$56)), 0)</f>
        <v>0</v>
      </c>
      <c r="AK71" s="174">
        <f ca="1">IFERROR(SUMPRODUCT(UVG_Input_Data!AL53:$AZ53,OFFSET(Inputparam!$C$34:$AZ$34,0,0,1,49-UVG_Calculations!AK$56)), 0)</f>
        <v>0</v>
      </c>
      <c r="AL71" s="174">
        <f ca="1">IFERROR(SUMPRODUCT(UVG_Input_Data!AM53:$AZ53,OFFSET(Inputparam!$C$34:$AZ$34,0,0,1,49-UVG_Calculations!AL$56)), 0)</f>
        <v>0</v>
      </c>
      <c r="AM71" s="174">
        <f ca="1">IFERROR(SUMPRODUCT(UVG_Input_Data!AN53:$AZ53,OFFSET(Inputparam!$C$34:$AZ$34,0,0,1,49-UVG_Calculations!AM$56)), 0)</f>
        <v>0</v>
      </c>
      <c r="AN71" s="174">
        <f ca="1">IFERROR(SUMPRODUCT(UVG_Input_Data!AO53:$AZ53,OFFSET(Inputparam!$C$34:$AZ$34,0,0,1,49-UVG_Calculations!AN$56)), 0)</f>
        <v>0</v>
      </c>
      <c r="AO71" s="174">
        <f ca="1">IFERROR(SUMPRODUCT(UVG_Input_Data!AP53:$AZ53,OFFSET(Inputparam!$C$34:$AZ$34,0,0,1,49-UVG_Calculations!AO$56)), 0)</f>
        <v>0</v>
      </c>
      <c r="AP71" s="174">
        <f ca="1">IFERROR(SUMPRODUCT(UVG_Input_Data!AQ53:$AZ53,OFFSET(Inputparam!$C$34:$AZ$34,0,0,1,49-UVG_Calculations!AP$56)), 0)</f>
        <v>0</v>
      </c>
      <c r="AQ71" s="174">
        <f ca="1">IFERROR(SUMPRODUCT(UVG_Input_Data!AR53:$AZ53,OFFSET(Inputparam!$C$34:$AZ$34,0,0,1,49-UVG_Calculations!AQ$56)), 0)</f>
        <v>0</v>
      </c>
      <c r="AR71" s="174">
        <f ca="1">IFERROR(SUMPRODUCT(UVG_Input_Data!AS53:$AZ53,OFFSET(Inputparam!$C$34:$AZ$34,0,0,1,49-UVG_Calculations!AR$56)), 0)</f>
        <v>0</v>
      </c>
      <c r="AS71" s="174">
        <f ca="1">IFERROR(SUMPRODUCT(UVG_Input_Data!AT53:$AZ53,OFFSET(Inputparam!$C$34:$AZ$34,0,0,1,49-UVG_Calculations!AS$56)), 0)</f>
        <v>0</v>
      </c>
      <c r="AT71" s="174">
        <f ca="1">IFERROR(SUMPRODUCT(UVG_Input_Data!AU53:$AZ53,OFFSET(Inputparam!$C$34:$AZ$34,0,0,1,49-UVG_Calculations!AT$56)), 0)</f>
        <v>0</v>
      </c>
      <c r="AU71" s="174">
        <f ca="1">IFERROR(SUMPRODUCT(UVG_Input_Data!AV53:$AZ53,OFFSET(Inputparam!$C$34:$AZ$34,0,0,1,49-UVG_Calculations!AU$56)), 0)</f>
        <v>0</v>
      </c>
      <c r="AV71" s="174">
        <f ca="1">IFERROR(SUMPRODUCT(UVG_Input_Data!AW53:$AZ53,OFFSET(Inputparam!$C$34:$AZ$34,0,0,1,49-UVG_Calculations!AV$56)), 0)</f>
        <v>0</v>
      </c>
      <c r="AW71" s="174">
        <f ca="1">IFERROR(SUMPRODUCT(UVG_Input_Data!AX53:$AZ53,OFFSET(Inputparam!$C$34:$AZ$34,0,0,1,49-UVG_Calculations!AW$56)), 0)</f>
        <v>0</v>
      </c>
      <c r="AX71" s="174">
        <f ca="1">IFERROR(SUMPRODUCT(UVG_Input_Data!AY53:$AZ53,OFFSET(Inputparam!$C$34:$AZ$34,0,0,1,49-UVG_Calculations!AX$56)), 0)</f>
        <v>0</v>
      </c>
      <c r="AY71" s="174">
        <f ca="1">IFERROR(SUMPRODUCT(UVG_Input_Data!AZ53:$AZ53,OFFSET(Inputparam!$C$34:$AZ$34,0,0,1,49-UVG_Calculations!AY$56)), 0)</f>
        <v>0</v>
      </c>
      <c r="AZ71" s="174">
        <f ca="1">IFERROR(SUMPRODUCT(UVG_Input_Data!$AZ53:BA53,OFFSET(Inputparam!$C$34:$AZ$34,0,0,1,49-UVG_Calculations!AZ$56)), 0)</f>
        <v>0</v>
      </c>
    </row>
    <row r="72" spans="2:52">
      <c r="B72" s="172" t="s">
        <v>573</v>
      </c>
      <c r="C72" s="171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174">
        <f ca="1">IFERROR(SUMPRODUCT(UVG_Input_Data!R54:$AZ54,OFFSET(Inputparam!$C$34:$AZ$34,0,0,1,49-UVG_Calculations!Q$56)), 0)</f>
        <v>0</v>
      </c>
      <c r="R72" s="174">
        <f ca="1">IFERROR(SUMPRODUCT(UVG_Input_Data!S54:$AZ54,OFFSET(Inputparam!$C$34:$AZ$34,0,0,1,49-UVG_Calculations!R$56)), 0)</f>
        <v>0</v>
      </c>
      <c r="S72" s="174">
        <f ca="1">IFERROR(SUMPRODUCT(UVG_Input_Data!T54:$AZ54,OFFSET(Inputparam!$C$34:$AZ$34,0,0,1,49-UVG_Calculations!S$56)), 0)</f>
        <v>0</v>
      </c>
      <c r="T72" s="174">
        <f ca="1">IFERROR(SUMPRODUCT(UVG_Input_Data!U54:$AZ54,OFFSET(Inputparam!$C$34:$AZ$34,0,0,1,49-UVG_Calculations!T$56)), 0)</f>
        <v>0</v>
      </c>
      <c r="U72" s="174">
        <f ca="1">IFERROR(SUMPRODUCT(UVG_Input_Data!V54:$AZ54,OFFSET(Inputparam!$C$34:$AZ$34,0,0,1,49-UVG_Calculations!U$56)), 0)</f>
        <v>0</v>
      </c>
      <c r="V72" s="174">
        <f ca="1">IFERROR(SUMPRODUCT(UVG_Input_Data!W54:$AZ54,OFFSET(Inputparam!$C$34:$AZ$34,0,0,1,49-UVG_Calculations!V$56)), 0)</f>
        <v>0</v>
      </c>
      <c r="W72" s="174">
        <f ca="1">IFERROR(SUMPRODUCT(UVG_Input_Data!X54:$AZ54,OFFSET(Inputparam!$C$34:$AZ$34,0,0,1,49-UVG_Calculations!W$56)), 0)</f>
        <v>0</v>
      </c>
      <c r="X72" s="174">
        <f ca="1">IFERROR(SUMPRODUCT(UVG_Input_Data!Y54:$AZ54,OFFSET(Inputparam!$C$34:$AZ$34,0,0,1,49-UVG_Calculations!X$56)), 0)</f>
        <v>0</v>
      </c>
      <c r="Y72" s="174">
        <f ca="1">IFERROR(SUMPRODUCT(UVG_Input_Data!Z54:$AZ54,OFFSET(Inputparam!$C$34:$AZ$34,0,0,1,49-UVG_Calculations!Y$56)), 0)</f>
        <v>0</v>
      </c>
      <c r="Z72" s="174">
        <f ca="1">IFERROR(SUMPRODUCT(UVG_Input_Data!AA54:$AZ54,OFFSET(Inputparam!$C$34:$AZ$34,0,0,1,49-UVG_Calculations!Z$56)), 0)</f>
        <v>0</v>
      </c>
      <c r="AA72" s="174">
        <f ca="1">IFERROR(SUMPRODUCT(UVG_Input_Data!AB54:$AZ54,OFFSET(Inputparam!$C$34:$AZ$34,0,0,1,49-UVG_Calculations!AA$56)), 0)</f>
        <v>0</v>
      </c>
      <c r="AB72" s="174">
        <f ca="1">IFERROR(SUMPRODUCT(UVG_Input_Data!AC54:$AZ54,OFFSET(Inputparam!$C$34:$AZ$34,0,0,1,49-UVG_Calculations!AB$56)), 0)</f>
        <v>0</v>
      </c>
      <c r="AC72" s="174">
        <f ca="1">IFERROR(SUMPRODUCT(UVG_Input_Data!AD54:$AZ54,OFFSET(Inputparam!$C$34:$AZ$34,0,0,1,49-UVG_Calculations!AC$56)), 0)</f>
        <v>0</v>
      </c>
      <c r="AD72" s="174">
        <f ca="1">IFERROR(SUMPRODUCT(UVG_Input_Data!AE54:$AZ54,OFFSET(Inputparam!$C$34:$AZ$34,0,0,1,49-UVG_Calculations!AD$56)), 0)</f>
        <v>0</v>
      </c>
      <c r="AE72" s="174">
        <f ca="1">IFERROR(SUMPRODUCT(UVG_Input_Data!AF54:$AZ54,OFFSET(Inputparam!$C$34:$AZ$34,0,0,1,49-UVG_Calculations!AE$56)), 0)</f>
        <v>0</v>
      </c>
      <c r="AF72" s="174">
        <f ca="1">IFERROR(SUMPRODUCT(UVG_Input_Data!AG54:$AZ54,OFFSET(Inputparam!$C$34:$AZ$34,0,0,1,49-UVG_Calculations!AF$56)), 0)</f>
        <v>0</v>
      </c>
      <c r="AG72" s="174">
        <f ca="1">IFERROR(SUMPRODUCT(UVG_Input_Data!AH54:$AZ54,OFFSET(Inputparam!$C$34:$AZ$34,0,0,1,49-UVG_Calculations!AG$56)), 0)</f>
        <v>0</v>
      </c>
      <c r="AH72" s="174">
        <f ca="1">IFERROR(SUMPRODUCT(UVG_Input_Data!AI54:$AZ54,OFFSET(Inputparam!$C$34:$AZ$34,0,0,1,49-UVG_Calculations!AH$56)), 0)</f>
        <v>0</v>
      </c>
      <c r="AI72" s="174">
        <f ca="1">IFERROR(SUMPRODUCT(UVG_Input_Data!AJ54:$AZ54,OFFSET(Inputparam!$C$34:$AZ$34,0,0,1,49-UVG_Calculations!AI$56)), 0)</f>
        <v>0</v>
      </c>
      <c r="AJ72" s="174">
        <f ca="1">IFERROR(SUMPRODUCT(UVG_Input_Data!AK54:$AZ54,OFFSET(Inputparam!$C$34:$AZ$34,0,0,1,49-UVG_Calculations!AJ$56)), 0)</f>
        <v>0</v>
      </c>
      <c r="AK72" s="174">
        <f ca="1">IFERROR(SUMPRODUCT(UVG_Input_Data!AL54:$AZ54,OFFSET(Inputparam!$C$34:$AZ$34,0,0,1,49-UVG_Calculations!AK$56)), 0)</f>
        <v>0</v>
      </c>
      <c r="AL72" s="174">
        <f ca="1">IFERROR(SUMPRODUCT(UVG_Input_Data!AM54:$AZ54,OFFSET(Inputparam!$C$34:$AZ$34,0,0,1,49-UVG_Calculations!AL$56)), 0)</f>
        <v>0</v>
      </c>
      <c r="AM72" s="174">
        <f ca="1">IFERROR(SUMPRODUCT(UVG_Input_Data!AN54:$AZ54,OFFSET(Inputparam!$C$34:$AZ$34,0,0,1,49-UVG_Calculations!AM$56)), 0)</f>
        <v>0</v>
      </c>
      <c r="AN72" s="174">
        <f ca="1">IFERROR(SUMPRODUCT(UVG_Input_Data!AO54:$AZ54,OFFSET(Inputparam!$C$34:$AZ$34,0,0,1,49-UVG_Calculations!AN$56)), 0)</f>
        <v>0</v>
      </c>
      <c r="AO72" s="174">
        <f ca="1">IFERROR(SUMPRODUCT(UVG_Input_Data!AP54:$AZ54,OFFSET(Inputparam!$C$34:$AZ$34,0,0,1,49-UVG_Calculations!AO$56)), 0)</f>
        <v>0</v>
      </c>
      <c r="AP72" s="174">
        <f ca="1">IFERROR(SUMPRODUCT(UVG_Input_Data!AQ54:$AZ54,OFFSET(Inputparam!$C$34:$AZ$34,0,0,1,49-UVG_Calculations!AP$56)), 0)</f>
        <v>0</v>
      </c>
      <c r="AQ72" s="174">
        <f ca="1">IFERROR(SUMPRODUCT(UVG_Input_Data!AR54:$AZ54,OFFSET(Inputparam!$C$34:$AZ$34,0,0,1,49-UVG_Calculations!AQ$56)), 0)</f>
        <v>0</v>
      </c>
      <c r="AR72" s="174">
        <f ca="1">IFERROR(SUMPRODUCT(UVG_Input_Data!AS54:$AZ54,OFFSET(Inputparam!$C$34:$AZ$34,0,0,1,49-UVG_Calculations!AR$56)), 0)</f>
        <v>0</v>
      </c>
      <c r="AS72" s="174">
        <f ca="1">IFERROR(SUMPRODUCT(UVG_Input_Data!AT54:$AZ54,OFFSET(Inputparam!$C$34:$AZ$34,0,0,1,49-UVG_Calculations!AS$56)), 0)</f>
        <v>0</v>
      </c>
      <c r="AT72" s="174">
        <f ca="1">IFERROR(SUMPRODUCT(UVG_Input_Data!AU54:$AZ54,OFFSET(Inputparam!$C$34:$AZ$34,0,0,1,49-UVG_Calculations!AT$56)), 0)</f>
        <v>0</v>
      </c>
      <c r="AU72" s="174">
        <f ca="1">IFERROR(SUMPRODUCT(UVG_Input_Data!AV54:$AZ54,OFFSET(Inputparam!$C$34:$AZ$34,0,0,1,49-UVG_Calculations!AU$56)), 0)</f>
        <v>0</v>
      </c>
      <c r="AV72" s="174">
        <f ca="1">IFERROR(SUMPRODUCT(UVG_Input_Data!AW54:$AZ54,OFFSET(Inputparam!$C$34:$AZ$34,0,0,1,49-UVG_Calculations!AV$56)), 0)</f>
        <v>0</v>
      </c>
      <c r="AW72" s="174">
        <f ca="1">IFERROR(SUMPRODUCT(UVG_Input_Data!AX54:$AZ54,OFFSET(Inputparam!$C$34:$AZ$34,0,0,1,49-UVG_Calculations!AW$56)), 0)</f>
        <v>0</v>
      </c>
      <c r="AX72" s="174">
        <f ca="1">IFERROR(SUMPRODUCT(UVG_Input_Data!AY54:$AZ54,OFFSET(Inputparam!$C$34:$AZ$34,0,0,1,49-UVG_Calculations!AX$56)), 0)</f>
        <v>0</v>
      </c>
      <c r="AY72" s="174">
        <f ca="1">IFERROR(SUMPRODUCT(UVG_Input_Data!AZ54:$AZ54,OFFSET(Inputparam!$C$34:$AZ$34,0,0,1,49-UVG_Calculations!AY$56)), 0)</f>
        <v>0</v>
      </c>
      <c r="AZ72" s="174">
        <f ca="1">IFERROR(SUMPRODUCT(UVG_Input_Data!$AZ54:BA54,OFFSET(Inputparam!$C$34:$AZ$34,0,0,1,49-UVG_Calculations!AZ$56)), 0)</f>
        <v>0</v>
      </c>
    </row>
    <row r="73" spans="2:52">
      <c r="B73" s="172" t="s">
        <v>574</v>
      </c>
      <c r="C73" s="171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174">
        <f ca="1">IFERROR(SUMPRODUCT(UVG_Input_Data!S55:$AZ55,OFFSET(Inputparam!$C$34:$AZ$34,0,0,1,49-UVG_Calculations!R$56)), 0)</f>
        <v>0</v>
      </c>
      <c r="S73" s="174">
        <f ca="1">IFERROR(SUMPRODUCT(UVG_Input_Data!T55:$AZ55,OFFSET(Inputparam!$C$34:$AZ$34,0,0,1,49-UVG_Calculations!S$56)), 0)</f>
        <v>0</v>
      </c>
      <c r="T73" s="174">
        <f ca="1">IFERROR(SUMPRODUCT(UVG_Input_Data!U55:$AZ55,OFFSET(Inputparam!$C$34:$AZ$34,0,0,1,49-UVG_Calculations!T$56)), 0)</f>
        <v>0</v>
      </c>
      <c r="U73" s="174">
        <f ca="1">IFERROR(SUMPRODUCT(UVG_Input_Data!V55:$AZ55,OFFSET(Inputparam!$C$34:$AZ$34,0,0,1,49-UVG_Calculations!U$56)), 0)</f>
        <v>0</v>
      </c>
      <c r="V73" s="174">
        <f ca="1">IFERROR(SUMPRODUCT(UVG_Input_Data!W55:$AZ55,OFFSET(Inputparam!$C$34:$AZ$34,0,0,1,49-UVG_Calculations!V$56)), 0)</f>
        <v>0</v>
      </c>
      <c r="W73" s="174">
        <f ca="1">IFERROR(SUMPRODUCT(UVG_Input_Data!X55:$AZ55,OFFSET(Inputparam!$C$34:$AZ$34,0,0,1,49-UVG_Calculations!W$56)), 0)</f>
        <v>0</v>
      </c>
      <c r="X73" s="174">
        <f ca="1">IFERROR(SUMPRODUCT(UVG_Input_Data!Y55:$AZ55,OFFSET(Inputparam!$C$34:$AZ$34,0,0,1,49-UVG_Calculations!X$56)), 0)</f>
        <v>0</v>
      </c>
      <c r="Y73" s="174">
        <f ca="1">IFERROR(SUMPRODUCT(UVG_Input_Data!Z55:$AZ55,OFFSET(Inputparam!$C$34:$AZ$34,0,0,1,49-UVG_Calculations!Y$56)), 0)</f>
        <v>0</v>
      </c>
      <c r="Z73" s="174">
        <f ca="1">IFERROR(SUMPRODUCT(UVG_Input_Data!AA55:$AZ55,OFFSET(Inputparam!$C$34:$AZ$34,0,0,1,49-UVG_Calculations!Z$56)), 0)</f>
        <v>0</v>
      </c>
      <c r="AA73" s="174">
        <f ca="1">IFERROR(SUMPRODUCT(UVG_Input_Data!AB55:$AZ55,OFFSET(Inputparam!$C$34:$AZ$34,0,0,1,49-UVG_Calculations!AA$56)), 0)</f>
        <v>0</v>
      </c>
      <c r="AB73" s="174">
        <f ca="1">IFERROR(SUMPRODUCT(UVG_Input_Data!AC55:$AZ55,OFFSET(Inputparam!$C$34:$AZ$34,0,0,1,49-UVG_Calculations!AB$56)), 0)</f>
        <v>0</v>
      </c>
      <c r="AC73" s="174">
        <f ca="1">IFERROR(SUMPRODUCT(UVG_Input_Data!AD55:$AZ55,OFFSET(Inputparam!$C$34:$AZ$34,0,0,1,49-UVG_Calculations!AC$56)), 0)</f>
        <v>0</v>
      </c>
      <c r="AD73" s="174">
        <f ca="1">IFERROR(SUMPRODUCT(UVG_Input_Data!AE55:$AZ55,OFFSET(Inputparam!$C$34:$AZ$34,0,0,1,49-UVG_Calculations!AD$56)), 0)</f>
        <v>0</v>
      </c>
      <c r="AE73" s="174">
        <f ca="1">IFERROR(SUMPRODUCT(UVG_Input_Data!AF55:$AZ55,OFFSET(Inputparam!$C$34:$AZ$34,0,0,1,49-UVG_Calculations!AE$56)), 0)</f>
        <v>0</v>
      </c>
      <c r="AF73" s="174">
        <f ca="1">IFERROR(SUMPRODUCT(UVG_Input_Data!AG55:$AZ55,OFFSET(Inputparam!$C$34:$AZ$34,0,0,1,49-UVG_Calculations!AF$56)), 0)</f>
        <v>0</v>
      </c>
      <c r="AG73" s="174">
        <f ca="1">IFERROR(SUMPRODUCT(UVG_Input_Data!AH55:$AZ55,OFFSET(Inputparam!$C$34:$AZ$34,0,0,1,49-UVG_Calculations!AG$56)), 0)</f>
        <v>0</v>
      </c>
      <c r="AH73" s="174">
        <f ca="1">IFERROR(SUMPRODUCT(UVG_Input_Data!AI55:$AZ55,OFFSET(Inputparam!$C$34:$AZ$34,0,0,1,49-UVG_Calculations!AH$56)), 0)</f>
        <v>0</v>
      </c>
      <c r="AI73" s="174">
        <f ca="1">IFERROR(SUMPRODUCT(UVG_Input_Data!AJ55:$AZ55,OFFSET(Inputparam!$C$34:$AZ$34,0,0,1,49-UVG_Calculations!AI$56)), 0)</f>
        <v>0</v>
      </c>
      <c r="AJ73" s="174">
        <f ca="1">IFERROR(SUMPRODUCT(UVG_Input_Data!AK55:$AZ55,OFFSET(Inputparam!$C$34:$AZ$34,0,0,1,49-UVG_Calculations!AJ$56)), 0)</f>
        <v>0</v>
      </c>
      <c r="AK73" s="174">
        <f ca="1">IFERROR(SUMPRODUCT(UVG_Input_Data!AL55:$AZ55,OFFSET(Inputparam!$C$34:$AZ$34,0,0,1,49-UVG_Calculations!AK$56)), 0)</f>
        <v>0</v>
      </c>
      <c r="AL73" s="174">
        <f ca="1">IFERROR(SUMPRODUCT(UVG_Input_Data!AM55:$AZ55,OFFSET(Inputparam!$C$34:$AZ$34,0,0,1,49-UVG_Calculations!AL$56)), 0)</f>
        <v>0</v>
      </c>
      <c r="AM73" s="174">
        <f ca="1">IFERROR(SUMPRODUCT(UVG_Input_Data!AN55:$AZ55,OFFSET(Inputparam!$C$34:$AZ$34,0,0,1,49-UVG_Calculations!AM$56)), 0)</f>
        <v>0</v>
      </c>
      <c r="AN73" s="174">
        <f ca="1">IFERROR(SUMPRODUCT(UVG_Input_Data!AO55:$AZ55,OFFSET(Inputparam!$C$34:$AZ$34,0,0,1,49-UVG_Calculations!AN$56)), 0)</f>
        <v>0</v>
      </c>
      <c r="AO73" s="174">
        <f ca="1">IFERROR(SUMPRODUCT(UVG_Input_Data!AP55:$AZ55,OFFSET(Inputparam!$C$34:$AZ$34,0,0,1,49-UVG_Calculations!AO$56)), 0)</f>
        <v>0</v>
      </c>
      <c r="AP73" s="174">
        <f ca="1">IFERROR(SUMPRODUCT(UVG_Input_Data!AQ55:$AZ55,OFFSET(Inputparam!$C$34:$AZ$34,0,0,1,49-UVG_Calculations!AP$56)), 0)</f>
        <v>0</v>
      </c>
      <c r="AQ73" s="174">
        <f ca="1">IFERROR(SUMPRODUCT(UVG_Input_Data!AR55:$AZ55,OFFSET(Inputparam!$C$34:$AZ$34,0,0,1,49-UVG_Calculations!AQ$56)), 0)</f>
        <v>0</v>
      </c>
      <c r="AR73" s="174">
        <f ca="1">IFERROR(SUMPRODUCT(UVG_Input_Data!AS55:$AZ55,OFFSET(Inputparam!$C$34:$AZ$34,0,0,1,49-UVG_Calculations!AR$56)), 0)</f>
        <v>0</v>
      </c>
      <c r="AS73" s="174">
        <f ca="1">IFERROR(SUMPRODUCT(UVG_Input_Data!AT55:$AZ55,OFFSET(Inputparam!$C$34:$AZ$34,0,0,1,49-UVG_Calculations!AS$56)), 0)</f>
        <v>0</v>
      </c>
      <c r="AT73" s="174">
        <f ca="1">IFERROR(SUMPRODUCT(UVG_Input_Data!AU55:$AZ55,OFFSET(Inputparam!$C$34:$AZ$34,0,0,1,49-UVG_Calculations!AT$56)), 0)</f>
        <v>0</v>
      </c>
      <c r="AU73" s="174">
        <f ca="1">IFERROR(SUMPRODUCT(UVG_Input_Data!AV55:$AZ55,OFFSET(Inputparam!$C$34:$AZ$34,0,0,1,49-UVG_Calculations!AU$56)), 0)</f>
        <v>0</v>
      </c>
      <c r="AV73" s="174">
        <f ca="1">IFERROR(SUMPRODUCT(UVG_Input_Data!AW55:$AZ55,OFFSET(Inputparam!$C$34:$AZ$34,0,0,1,49-UVG_Calculations!AV$56)), 0)</f>
        <v>0</v>
      </c>
      <c r="AW73" s="174">
        <f ca="1">IFERROR(SUMPRODUCT(UVG_Input_Data!AX55:$AZ55,OFFSET(Inputparam!$C$34:$AZ$34,0,0,1,49-UVG_Calculations!AW$56)), 0)</f>
        <v>0</v>
      </c>
      <c r="AX73" s="174">
        <f ca="1">IFERROR(SUMPRODUCT(UVG_Input_Data!AY55:$AZ55,OFFSET(Inputparam!$C$34:$AZ$34,0,0,1,49-UVG_Calculations!AX$56)), 0)</f>
        <v>0</v>
      </c>
      <c r="AY73" s="174">
        <f ca="1">IFERROR(SUMPRODUCT(UVG_Input_Data!AZ55:$AZ55,OFFSET(Inputparam!$C$34:$AZ$34,0,0,1,49-UVG_Calculations!AY$56)), 0)</f>
        <v>0</v>
      </c>
      <c r="AZ73" s="174">
        <f ca="1">IFERROR(SUMPRODUCT(UVG_Input_Data!$AZ55:BA55,OFFSET(Inputparam!$C$34:$AZ$34,0,0,1,49-UVG_Calculations!AZ$56)), 0)</f>
        <v>0</v>
      </c>
    </row>
    <row r="74" spans="2:52">
      <c r="B74" s="172" t="s">
        <v>575</v>
      </c>
      <c r="C74" s="171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174">
        <f ca="1">IFERROR(SUMPRODUCT(UVG_Input_Data!T56:$AZ56,OFFSET(Inputparam!$C$34:$AZ$34,0,0,1,49-UVG_Calculations!S$56)), 0)</f>
        <v>0</v>
      </c>
      <c r="T74" s="174">
        <f ca="1">IFERROR(SUMPRODUCT(UVG_Input_Data!U56:$AZ56,OFFSET(Inputparam!$C$34:$AZ$34,0,0,1,49-UVG_Calculations!T$56)), 0)</f>
        <v>0</v>
      </c>
      <c r="U74" s="174">
        <f ca="1">IFERROR(SUMPRODUCT(UVG_Input_Data!V56:$AZ56,OFFSET(Inputparam!$C$34:$AZ$34,0,0,1,49-UVG_Calculations!U$56)), 0)</f>
        <v>0</v>
      </c>
      <c r="V74" s="174">
        <f ca="1">IFERROR(SUMPRODUCT(UVG_Input_Data!W56:$AZ56,OFFSET(Inputparam!$C$34:$AZ$34,0,0,1,49-UVG_Calculations!V$56)), 0)</f>
        <v>0</v>
      </c>
      <c r="W74" s="174">
        <f ca="1">IFERROR(SUMPRODUCT(UVG_Input_Data!X56:$AZ56,OFFSET(Inputparam!$C$34:$AZ$34,0,0,1,49-UVG_Calculations!W$56)), 0)</f>
        <v>0</v>
      </c>
      <c r="X74" s="174">
        <f ca="1">IFERROR(SUMPRODUCT(UVG_Input_Data!Y56:$AZ56,OFFSET(Inputparam!$C$34:$AZ$34,0,0,1,49-UVG_Calculations!X$56)), 0)</f>
        <v>0</v>
      </c>
      <c r="Y74" s="174">
        <f ca="1">IFERROR(SUMPRODUCT(UVG_Input_Data!Z56:$AZ56,OFFSET(Inputparam!$C$34:$AZ$34,0,0,1,49-UVG_Calculations!Y$56)), 0)</f>
        <v>0</v>
      </c>
      <c r="Z74" s="174">
        <f ca="1">IFERROR(SUMPRODUCT(UVG_Input_Data!AA56:$AZ56,OFFSET(Inputparam!$C$34:$AZ$34,0,0,1,49-UVG_Calculations!Z$56)), 0)</f>
        <v>0</v>
      </c>
      <c r="AA74" s="174">
        <f ca="1">IFERROR(SUMPRODUCT(UVG_Input_Data!AB56:$AZ56,OFFSET(Inputparam!$C$34:$AZ$34,0,0,1,49-UVG_Calculations!AA$56)), 0)</f>
        <v>0</v>
      </c>
      <c r="AB74" s="174">
        <f ca="1">IFERROR(SUMPRODUCT(UVG_Input_Data!AC56:$AZ56,OFFSET(Inputparam!$C$34:$AZ$34,0,0,1,49-UVG_Calculations!AB$56)), 0)</f>
        <v>0</v>
      </c>
      <c r="AC74" s="174">
        <f ca="1">IFERROR(SUMPRODUCT(UVG_Input_Data!AD56:$AZ56,OFFSET(Inputparam!$C$34:$AZ$34,0,0,1,49-UVG_Calculations!AC$56)), 0)</f>
        <v>0</v>
      </c>
      <c r="AD74" s="174">
        <f ca="1">IFERROR(SUMPRODUCT(UVG_Input_Data!AE56:$AZ56,OFFSET(Inputparam!$C$34:$AZ$34,0,0,1,49-UVG_Calculations!AD$56)), 0)</f>
        <v>0</v>
      </c>
      <c r="AE74" s="174">
        <f ca="1">IFERROR(SUMPRODUCT(UVG_Input_Data!AF56:$AZ56,OFFSET(Inputparam!$C$34:$AZ$34,0,0,1,49-UVG_Calculations!AE$56)), 0)</f>
        <v>0</v>
      </c>
      <c r="AF74" s="174">
        <f ca="1">IFERROR(SUMPRODUCT(UVG_Input_Data!AG56:$AZ56,OFFSET(Inputparam!$C$34:$AZ$34,0,0,1,49-UVG_Calculations!AF$56)), 0)</f>
        <v>0</v>
      </c>
      <c r="AG74" s="174">
        <f ca="1">IFERROR(SUMPRODUCT(UVG_Input_Data!AH56:$AZ56,OFFSET(Inputparam!$C$34:$AZ$34,0,0,1,49-UVG_Calculations!AG$56)), 0)</f>
        <v>0</v>
      </c>
      <c r="AH74" s="174">
        <f ca="1">IFERROR(SUMPRODUCT(UVG_Input_Data!AI56:$AZ56,OFFSET(Inputparam!$C$34:$AZ$34,0,0,1,49-UVG_Calculations!AH$56)), 0)</f>
        <v>0</v>
      </c>
      <c r="AI74" s="174">
        <f ca="1">IFERROR(SUMPRODUCT(UVG_Input_Data!AJ56:$AZ56,OFFSET(Inputparam!$C$34:$AZ$34,0,0,1,49-UVG_Calculations!AI$56)), 0)</f>
        <v>0</v>
      </c>
      <c r="AJ74" s="174">
        <f ca="1">IFERROR(SUMPRODUCT(UVG_Input_Data!AK56:$AZ56,OFFSET(Inputparam!$C$34:$AZ$34,0,0,1,49-UVG_Calculations!AJ$56)), 0)</f>
        <v>0</v>
      </c>
      <c r="AK74" s="174">
        <f ca="1">IFERROR(SUMPRODUCT(UVG_Input_Data!AL56:$AZ56,OFFSET(Inputparam!$C$34:$AZ$34,0,0,1,49-UVG_Calculations!AK$56)), 0)</f>
        <v>0</v>
      </c>
      <c r="AL74" s="174">
        <f ca="1">IFERROR(SUMPRODUCT(UVG_Input_Data!AM56:$AZ56,OFFSET(Inputparam!$C$34:$AZ$34,0,0,1,49-UVG_Calculations!AL$56)), 0)</f>
        <v>0</v>
      </c>
      <c r="AM74" s="174">
        <f ca="1">IFERROR(SUMPRODUCT(UVG_Input_Data!AN56:$AZ56,OFFSET(Inputparam!$C$34:$AZ$34,0,0,1,49-UVG_Calculations!AM$56)), 0)</f>
        <v>0</v>
      </c>
      <c r="AN74" s="174">
        <f ca="1">IFERROR(SUMPRODUCT(UVG_Input_Data!AO56:$AZ56,OFFSET(Inputparam!$C$34:$AZ$34,0,0,1,49-UVG_Calculations!AN$56)), 0)</f>
        <v>0</v>
      </c>
      <c r="AO74" s="174">
        <f ca="1">IFERROR(SUMPRODUCT(UVG_Input_Data!AP56:$AZ56,OFFSET(Inputparam!$C$34:$AZ$34,0,0,1,49-UVG_Calculations!AO$56)), 0)</f>
        <v>0</v>
      </c>
      <c r="AP74" s="174">
        <f ca="1">IFERROR(SUMPRODUCT(UVG_Input_Data!AQ56:$AZ56,OFFSET(Inputparam!$C$34:$AZ$34,0,0,1,49-UVG_Calculations!AP$56)), 0)</f>
        <v>0</v>
      </c>
      <c r="AQ74" s="174">
        <f ca="1">IFERROR(SUMPRODUCT(UVG_Input_Data!AR56:$AZ56,OFFSET(Inputparam!$C$34:$AZ$34,0,0,1,49-UVG_Calculations!AQ$56)), 0)</f>
        <v>0</v>
      </c>
      <c r="AR74" s="174">
        <f ca="1">IFERROR(SUMPRODUCT(UVG_Input_Data!AS56:$AZ56,OFFSET(Inputparam!$C$34:$AZ$34,0,0,1,49-UVG_Calculations!AR$56)), 0)</f>
        <v>0</v>
      </c>
      <c r="AS74" s="174">
        <f ca="1">IFERROR(SUMPRODUCT(UVG_Input_Data!AT56:$AZ56,OFFSET(Inputparam!$C$34:$AZ$34,0,0,1,49-UVG_Calculations!AS$56)), 0)</f>
        <v>0</v>
      </c>
      <c r="AT74" s="174">
        <f ca="1">IFERROR(SUMPRODUCT(UVG_Input_Data!AU56:$AZ56,OFFSET(Inputparam!$C$34:$AZ$34,0,0,1,49-UVG_Calculations!AT$56)), 0)</f>
        <v>0</v>
      </c>
      <c r="AU74" s="174">
        <f ca="1">IFERROR(SUMPRODUCT(UVG_Input_Data!AV56:$AZ56,OFFSET(Inputparam!$C$34:$AZ$34,0,0,1,49-UVG_Calculations!AU$56)), 0)</f>
        <v>0</v>
      </c>
      <c r="AV74" s="174">
        <f ca="1">IFERROR(SUMPRODUCT(UVG_Input_Data!AW56:$AZ56,OFFSET(Inputparam!$C$34:$AZ$34,0,0,1,49-UVG_Calculations!AV$56)), 0)</f>
        <v>0</v>
      </c>
      <c r="AW74" s="174">
        <f ca="1">IFERROR(SUMPRODUCT(UVG_Input_Data!AX56:$AZ56,OFFSET(Inputparam!$C$34:$AZ$34,0,0,1,49-UVG_Calculations!AW$56)), 0)</f>
        <v>0</v>
      </c>
      <c r="AX74" s="174">
        <f ca="1">IFERROR(SUMPRODUCT(UVG_Input_Data!AY56:$AZ56,OFFSET(Inputparam!$C$34:$AZ$34,0,0,1,49-UVG_Calculations!AX$56)), 0)</f>
        <v>0</v>
      </c>
      <c r="AY74" s="174">
        <f ca="1">IFERROR(SUMPRODUCT(UVG_Input_Data!AZ56:$AZ56,OFFSET(Inputparam!$C$34:$AZ$34,0,0,1,49-UVG_Calculations!AY$56)), 0)</f>
        <v>0</v>
      </c>
      <c r="AZ74" s="174">
        <f ca="1">IFERROR(SUMPRODUCT(UVG_Input_Data!$AZ56:BA56,OFFSET(Inputparam!$C$34:$AZ$34,0,0,1,49-UVG_Calculations!AZ$56)), 0)</f>
        <v>0</v>
      </c>
    </row>
    <row r="75" spans="2:52">
      <c r="B75" s="172" t="s">
        <v>576</v>
      </c>
      <c r="C75" s="171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174">
        <f ca="1">IFERROR(SUMPRODUCT(UVG_Input_Data!U57:$AZ57,OFFSET(Inputparam!$C$34:$AZ$34,0,0,1,49-UVG_Calculations!T$56)), 0)</f>
        <v>0</v>
      </c>
      <c r="U75" s="174">
        <f ca="1">IFERROR(SUMPRODUCT(UVG_Input_Data!V57:$AZ57,OFFSET(Inputparam!$C$34:$AZ$34,0,0,1,49-UVG_Calculations!U$56)), 0)</f>
        <v>0</v>
      </c>
      <c r="V75" s="174">
        <f ca="1">IFERROR(SUMPRODUCT(UVG_Input_Data!W57:$AZ57,OFFSET(Inputparam!$C$34:$AZ$34,0,0,1,49-UVG_Calculations!V$56)), 0)</f>
        <v>0</v>
      </c>
      <c r="W75" s="174">
        <f ca="1">IFERROR(SUMPRODUCT(UVG_Input_Data!X57:$AZ57,OFFSET(Inputparam!$C$34:$AZ$34,0,0,1,49-UVG_Calculations!W$56)), 0)</f>
        <v>0</v>
      </c>
      <c r="X75" s="174">
        <f ca="1">IFERROR(SUMPRODUCT(UVG_Input_Data!Y57:$AZ57,OFFSET(Inputparam!$C$34:$AZ$34,0,0,1,49-UVG_Calculations!X$56)), 0)</f>
        <v>0</v>
      </c>
      <c r="Y75" s="174">
        <f ca="1">IFERROR(SUMPRODUCT(UVG_Input_Data!Z57:$AZ57,OFFSET(Inputparam!$C$34:$AZ$34,0,0,1,49-UVG_Calculations!Y$56)), 0)</f>
        <v>0</v>
      </c>
      <c r="Z75" s="174">
        <f ca="1">IFERROR(SUMPRODUCT(UVG_Input_Data!AA57:$AZ57,OFFSET(Inputparam!$C$34:$AZ$34,0,0,1,49-UVG_Calculations!Z$56)), 0)</f>
        <v>0</v>
      </c>
      <c r="AA75" s="174">
        <f ca="1">IFERROR(SUMPRODUCT(UVG_Input_Data!AB57:$AZ57,OFFSET(Inputparam!$C$34:$AZ$34,0,0,1,49-UVG_Calculations!AA$56)), 0)</f>
        <v>0</v>
      </c>
      <c r="AB75" s="174">
        <f ca="1">IFERROR(SUMPRODUCT(UVG_Input_Data!AC57:$AZ57,OFFSET(Inputparam!$C$34:$AZ$34,0,0,1,49-UVG_Calculations!AB$56)), 0)</f>
        <v>0</v>
      </c>
      <c r="AC75" s="174">
        <f ca="1">IFERROR(SUMPRODUCT(UVG_Input_Data!AD57:$AZ57,OFFSET(Inputparam!$C$34:$AZ$34,0,0,1,49-UVG_Calculations!AC$56)), 0)</f>
        <v>0</v>
      </c>
      <c r="AD75" s="174">
        <f ca="1">IFERROR(SUMPRODUCT(UVG_Input_Data!AE57:$AZ57,OFFSET(Inputparam!$C$34:$AZ$34,0,0,1,49-UVG_Calculations!AD$56)), 0)</f>
        <v>0</v>
      </c>
      <c r="AE75" s="174">
        <f ca="1">IFERROR(SUMPRODUCT(UVG_Input_Data!AF57:$AZ57,OFFSET(Inputparam!$C$34:$AZ$34,0,0,1,49-UVG_Calculations!AE$56)), 0)</f>
        <v>0</v>
      </c>
      <c r="AF75" s="174">
        <f ca="1">IFERROR(SUMPRODUCT(UVG_Input_Data!AG57:$AZ57,OFFSET(Inputparam!$C$34:$AZ$34,0,0,1,49-UVG_Calculations!AF$56)), 0)</f>
        <v>0</v>
      </c>
      <c r="AG75" s="174">
        <f ca="1">IFERROR(SUMPRODUCT(UVG_Input_Data!AH57:$AZ57,OFFSET(Inputparam!$C$34:$AZ$34,0,0,1,49-UVG_Calculations!AG$56)), 0)</f>
        <v>0</v>
      </c>
      <c r="AH75" s="174">
        <f ca="1">IFERROR(SUMPRODUCT(UVG_Input_Data!AI57:$AZ57,OFFSET(Inputparam!$C$34:$AZ$34,0,0,1,49-UVG_Calculations!AH$56)), 0)</f>
        <v>0</v>
      </c>
      <c r="AI75" s="174">
        <f ca="1">IFERROR(SUMPRODUCT(UVG_Input_Data!AJ57:$AZ57,OFFSET(Inputparam!$C$34:$AZ$34,0,0,1,49-UVG_Calculations!AI$56)), 0)</f>
        <v>0</v>
      </c>
      <c r="AJ75" s="174">
        <f ca="1">IFERROR(SUMPRODUCT(UVG_Input_Data!AK57:$AZ57,OFFSET(Inputparam!$C$34:$AZ$34,0,0,1,49-UVG_Calculations!AJ$56)), 0)</f>
        <v>0</v>
      </c>
      <c r="AK75" s="174">
        <f ca="1">IFERROR(SUMPRODUCT(UVG_Input_Data!AL57:$AZ57,OFFSET(Inputparam!$C$34:$AZ$34,0,0,1,49-UVG_Calculations!AK$56)), 0)</f>
        <v>0</v>
      </c>
      <c r="AL75" s="174">
        <f ca="1">IFERROR(SUMPRODUCT(UVG_Input_Data!AM57:$AZ57,OFFSET(Inputparam!$C$34:$AZ$34,0,0,1,49-UVG_Calculations!AL$56)), 0)</f>
        <v>0</v>
      </c>
      <c r="AM75" s="174">
        <f ca="1">IFERROR(SUMPRODUCT(UVG_Input_Data!AN57:$AZ57,OFFSET(Inputparam!$C$34:$AZ$34,0,0,1,49-UVG_Calculations!AM$56)), 0)</f>
        <v>0</v>
      </c>
      <c r="AN75" s="174">
        <f ca="1">IFERROR(SUMPRODUCT(UVG_Input_Data!AO57:$AZ57,OFFSET(Inputparam!$C$34:$AZ$34,0,0,1,49-UVG_Calculations!AN$56)), 0)</f>
        <v>0</v>
      </c>
      <c r="AO75" s="174">
        <f ca="1">IFERROR(SUMPRODUCT(UVG_Input_Data!AP57:$AZ57,OFFSET(Inputparam!$C$34:$AZ$34,0,0,1,49-UVG_Calculations!AO$56)), 0)</f>
        <v>0</v>
      </c>
      <c r="AP75" s="174">
        <f ca="1">IFERROR(SUMPRODUCT(UVG_Input_Data!AQ57:$AZ57,OFFSET(Inputparam!$C$34:$AZ$34,0,0,1,49-UVG_Calculations!AP$56)), 0)</f>
        <v>0</v>
      </c>
      <c r="AQ75" s="174">
        <f ca="1">IFERROR(SUMPRODUCT(UVG_Input_Data!AR57:$AZ57,OFFSET(Inputparam!$C$34:$AZ$34,0,0,1,49-UVG_Calculations!AQ$56)), 0)</f>
        <v>0</v>
      </c>
      <c r="AR75" s="174">
        <f ca="1">IFERROR(SUMPRODUCT(UVG_Input_Data!AS57:$AZ57,OFFSET(Inputparam!$C$34:$AZ$34,0,0,1,49-UVG_Calculations!AR$56)), 0)</f>
        <v>0</v>
      </c>
      <c r="AS75" s="174">
        <f ca="1">IFERROR(SUMPRODUCT(UVG_Input_Data!AT57:$AZ57,OFFSET(Inputparam!$C$34:$AZ$34,0,0,1,49-UVG_Calculations!AS$56)), 0)</f>
        <v>0</v>
      </c>
      <c r="AT75" s="174">
        <f ca="1">IFERROR(SUMPRODUCT(UVG_Input_Data!AU57:$AZ57,OFFSET(Inputparam!$C$34:$AZ$34,0,0,1,49-UVG_Calculations!AT$56)), 0)</f>
        <v>0</v>
      </c>
      <c r="AU75" s="174">
        <f ca="1">IFERROR(SUMPRODUCT(UVG_Input_Data!AV57:$AZ57,OFFSET(Inputparam!$C$34:$AZ$34,0,0,1,49-UVG_Calculations!AU$56)), 0)</f>
        <v>0</v>
      </c>
      <c r="AV75" s="174">
        <f ca="1">IFERROR(SUMPRODUCT(UVG_Input_Data!AW57:$AZ57,OFFSET(Inputparam!$C$34:$AZ$34,0,0,1,49-UVG_Calculations!AV$56)), 0)</f>
        <v>0</v>
      </c>
      <c r="AW75" s="174">
        <f ca="1">IFERROR(SUMPRODUCT(UVG_Input_Data!AX57:$AZ57,OFFSET(Inputparam!$C$34:$AZ$34,0,0,1,49-UVG_Calculations!AW$56)), 0)</f>
        <v>0</v>
      </c>
      <c r="AX75" s="174">
        <f ca="1">IFERROR(SUMPRODUCT(UVG_Input_Data!AY57:$AZ57,OFFSET(Inputparam!$C$34:$AZ$34,0,0,1,49-UVG_Calculations!AX$56)), 0)</f>
        <v>0</v>
      </c>
      <c r="AY75" s="174">
        <f ca="1">IFERROR(SUMPRODUCT(UVG_Input_Data!AZ57:$AZ57,OFFSET(Inputparam!$C$34:$AZ$34,0,0,1,49-UVG_Calculations!AY$56)), 0)</f>
        <v>0</v>
      </c>
      <c r="AZ75" s="174">
        <f ca="1">IFERROR(SUMPRODUCT(UVG_Input_Data!$AZ57:BA57,OFFSET(Inputparam!$C$34:$AZ$34,0,0,1,49-UVG_Calculations!AZ$56)), 0)</f>
        <v>0</v>
      </c>
    </row>
    <row r="76" spans="2:52">
      <c r="B76" s="172" t="s">
        <v>577</v>
      </c>
      <c r="C76" s="171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174">
        <f ca="1">IFERROR(SUMPRODUCT(UVG_Input_Data!V58:$AZ58,OFFSET(Inputparam!$C$34:$AZ$34,0,0,1,49-UVG_Calculations!U$56)), 0)</f>
        <v>0</v>
      </c>
      <c r="V76" s="174">
        <f ca="1">IFERROR(SUMPRODUCT(UVG_Input_Data!W58:$AZ58,OFFSET(Inputparam!$C$34:$AZ$34,0,0,1,49-UVG_Calculations!V$56)), 0)</f>
        <v>0</v>
      </c>
      <c r="W76" s="174">
        <f ca="1">IFERROR(SUMPRODUCT(UVG_Input_Data!X58:$AZ58,OFFSET(Inputparam!$C$34:$AZ$34,0,0,1,49-UVG_Calculations!W$56)), 0)</f>
        <v>0</v>
      </c>
      <c r="X76" s="174">
        <f ca="1">IFERROR(SUMPRODUCT(UVG_Input_Data!Y58:$AZ58,OFFSET(Inputparam!$C$34:$AZ$34,0,0,1,49-UVG_Calculations!X$56)), 0)</f>
        <v>0</v>
      </c>
      <c r="Y76" s="174">
        <f ca="1">IFERROR(SUMPRODUCT(UVG_Input_Data!Z58:$AZ58,OFFSET(Inputparam!$C$34:$AZ$34,0,0,1,49-UVG_Calculations!Y$56)), 0)</f>
        <v>0</v>
      </c>
      <c r="Z76" s="174">
        <f ca="1">IFERROR(SUMPRODUCT(UVG_Input_Data!AA58:$AZ58,OFFSET(Inputparam!$C$34:$AZ$34,0,0,1,49-UVG_Calculations!Z$56)), 0)</f>
        <v>0</v>
      </c>
      <c r="AA76" s="174">
        <f ca="1">IFERROR(SUMPRODUCT(UVG_Input_Data!AB58:$AZ58,OFFSET(Inputparam!$C$34:$AZ$34,0,0,1,49-UVG_Calculations!AA$56)), 0)</f>
        <v>0</v>
      </c>
      <c r="AB76" s="174">
        <f ca="1">IFERROR(SUMPRODUCT(UVG_Input_Data!AC58:$AZ58,OFFSET(Inputparam!$C$34:$AZ$34,0,0,1,49-UVG_Calculations!AB$56)), 0)</f>
        <v>0</v>
      </c>
      <c r="AC76" s="174">
        <f ca="1">IFERROR(SUMPRODUCT(UVG_Input_Data!AD58:$AZ58,OFFSET(Inputparam!$C$34:$AZ$34,0,0,1,49-UVG_Calculations!AC$56)), 0)</f>
        <v>0</v>
      </c>
      <c r="AD76" s="174">
        <f ca="1">IFERROR(SUMPRODUCT(UVG_Input_Data!AE58:$AZ58,OFFSET(Inputparam!$C$34:$AZ$34,0,0,1,49-UVG_Calculations!AD$56)), 0)</f>
        <v>0</v>
      </c>
      <c r="AE76" s="174">
        <f ca="1">IFERROR(SUMPRODUCT(UVG_Input_Data!AF58:$AZ58,OFFSET(Inputparam!$C$34:$AZ$34,0,0,1,49-UVG_Calculations!AE$56)), 0)</f>
        <v>0</v>
      </c>
      <c r="AF76" s="174">
        <f ca="1">IFERROR(SUMPRODUCT(UVG_Input_Data!AG58:$AZ58,OFFSET(Inputparam!$C$34:$AZ$34,0,0,1,49-UVG_Calculations!AF$56)), 0)</f>
        <v>0</v>
      </c>
      <c r="AG76" s="174">
        <f ca="1">IFERROR(SUMPRODUCT(UVG_Input_Data!AH58:$AZ58,OFFSET(Inputparam!$C$34:$AZ$34,0,0,1,49-UVG_Calculations!AG$56)), 0)</f>
        <v>0</v>
      </c>
      <c r="AH76" s="174">
        <f ca="1">IFERROR(SUMPRODUCT(UVG_Input_Data!AI58:$AZ58,OFFSET(Inputparam!$C$34:$AZ$34,0,0,1,49-UVG_Calculations!AH$56)), 0)</f>
        <v>0</v>
      </c>
      <c r="AI76" s="174">
        <f ca="1">IFERROR(SUMPRODUCT(UVG_Input_Data!AJ58:$AZ58,OFFSET(Inputparam!$C$34:$AZ$34,0,0,1,49-UVG_Calculations!AI$56)), 0)</f>
        <v>0</v>
      </c>
      <c r="AJ76" s="174">
        <f ca="1">IFERROR(SUMPRODUCT(UVG_Input_Data!AK58:$AZ58,OFFSET(Inputparam!$C$34:$AZ$34,0,0,1,49-UVG_Calculations!AJ$56)), 0)</f>
        <v>0</v>
      </c>
      <c r="AK76" s="174">
        <f ca="1">IFERROR(SUMPRODUCT(UVG_Input_Data!AL58:$AZ58,OFFSET(Inputparam!$C$34:$AZ$34,0,0,1,49-UVG_Calculations!AK$56)), 0)</f>
        <v>0</v>
      </c>
      <c r="AL76" s="174">
        <f ca="1">IFERROR(SUMPRODUCT(UVG_Input_Data!AM58:$AZ58,OFFSET(Inputparam!$C$34:$AZ$34,0,0,1,49-UVG_Calculations!AL$56)), 0)</f>
        <v>0</v>
      </c>
      <c r="AM76" s="174">
        <f ca="1">IFERROR(SUMPRODUCT(UVG_Input_Data!AN58:$AZ58,OFFSET(Inputparam!$C$34:$AZ$34,0,0,1,49-UVG_Calculations!AM$56)), 0)</f>
        <v>0</v>
      </c>
      <c r="AN76" s="174">
        <f ca="1">IFERROR(SUMPRODUCT(UVG_Input_Data!AO58:$AZ58,OFFSET(Inputparam!$C$34:$AZ$34,0,0,1,49-UVG_Calculations!AN$56)), 0)</f>
        <v>0</v>
      </c>
      <c r="AO76" s="174">
        <f ca="1">IFERROR(SUMPRODUCT(UVG_Input_Data!AP58:$AZ58,OFFSET(Inputparam!$C$34:$AZ$34,0,0,1,49-UVG_Calculations!AO$56)), 0)</f>
        <v>0</v>
      </c>
      <c r="AP76" s="174">
        <f ca="1">IFERROR(SUMPRODUCT(UVG_Input_Data!AQ58:$AZ58,OFFSET(Inputparam!$C$34:$AZ$34,0,0,1,49-UVG_Calculations!AP$56)), 0)</f>
        <v>0</v>
      </c>
      <c r="AQ76" s="174">
        <f ca="1">IFERROR(SUMPRODUCT(UVG_Input_Data!AR58:$AZ58,OFFSET(Inputparam!$C$34:$AZ$34,0,0,1,49-UVG_Calculations!AQ$56)), 0)</f>
        <v>0</v>
      </c>
      <c r="AR76" s="174">
        <f ca="1">IFERROR(SUMPRODUCT(UVG_Input_Data!AS58:$AZ58,OFFSET(Inputparam!$C$34:$AZ$34,0,0,1,49-UVG_Calculations!AR$56)), 0)</f>
        <v>0</v>
      </c>
      <c r="AS76" s="174">
        <f ca="1">IFERROR(SUMPRODUCT(UVG_Input_Data!AT58:$AZ58,OFFSET(Inputparam!$C$34:$AZ$34,0,0,1,49-UVG_Calculations!AS$56)), 0)</f>
        <v>0</v>
      </c>
      <c r="AT76" s="174">
        <f ca="1">IFERROR(SUMPRODUCT(UVG_Input_Data!AU58:$AZ58,OFFSET(Inputparam!$C$34:$AZ$34,0,0,1,49-UVG_Calculations!AT$56)), 0)</f>
        <v>0</v>
      </c>
      <c r="AU76" s="174">
        <f ca="1">IFERROR(SUMPRODUCT(UVG_Input_Data!AV58:$AZ58,OFFSET(Inputparam!$C$34:$AZ$34,0,0,1,49-UVG_Calculations!AU$56)), 0)</f>
        <v>0</v>
      </c>
      <c r="AV76" s="174">
        <f ca="1">IFERROR(SUMPRODUCT(UVG_Input_Data!AW58:$AZ58,OFFSET(Inputparam!$C$34:$AZ$34,0,0,1,49-UVG_Calculations!AV$56)), 0)</f>
        <v>0</v>
      </c>
      <c r="AW76" s="174">
        <f ca="1">IFERROR(SUMPRODUCT(UVG_Input_Data!AX58:$AZ58,OFFSET(Inputparam!$C$34:$AZ$34,0,0,1,49-UVG_Calculations!AW$56)), 0)</f>
        <v>0</v>
      </c>
      <c r="AX76" s="174">
        <f ca="1">IFERROR(SUMPRODUCT(UVG_Input_Data!AY58:$AZ58,OFFSET(Inputparam!$C$34:$AZ$34,0,0,1,49-UVG_Calculations!AX$56)), 0)</f>
        <v>0</v>
      </c>
      <c r="AY76" s="174">
        <f ca="1">IFERROR(SUMPRODUCT(UVG_Input_Data!AZ58:$AZ58,OFFSET(Inputparam!$C$34:$AZ$34,0,0,1,49-UVG_Calculations!AY$56)), 0)</f>
        <v>0</v>
      </c>
      <c r="AZ76" s="174">
        <f ca="1">IFERROR(SUMPRODUCT(UVG_Input_Data!$AZ58:BA58,OFFSET(Inputparam!$C$34:$AZ$34,0,0,1,49-UVG_Calculations!AZ$56)), 0)</f>
        <v>0</v>
      </c>
    </row>
    <row r="77" spans="2:52">
      <c r="B77" s="172" t="s">
        <v>578</v>
      </c>
      <c r="C77" s="171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174">
        <f ca="1">IFERROR(SUMPRODUCT(UVG_Input_Data!W59:$AZ59,OFFSET(Inputparam!$C$34:$AZ$34,0,0,1,49-UVG_Calculations!V$56)), 0)</f>
        <v>0</v>
      </c>
      <c r="W77" s="174">
        <f ca="1">IFERROR(SUMPRODUCT(UVG_Input_Data!X59:$AZ59,OFFSET(Inputparam!$C$34:$AZ$34,0,0,1,49-UVG_Calculations!W$56)), 0)</f>
        <v>0</v>
      </c>
      <c r="X77" s="174">
        <f ca="1">IFERROR(SUMPRODUCT(UVG_Input_Data!Y59:$AZ59,OFFSET(Inputparam!$C$34:$AZ$34,0,0,1,49-UVG_Calculations!X$56)), 0)</f>
        <v>0</v>
      </c>
      <c r="Y77" s="174">
        <f ca="1">IFERROR(SUMPRODUCT(UVG_Input_Data!Z59:$AZ59,OFFSET(Inputparam!$C$34:$AZ$34,0,0,1,49-UVG_Calculations!Y$56)), 0)</f>
        <v>0</v>
      </c>
      <c r="Z77" s="174">
        <f ca="1">IFERROR(SUMPRODUCT(UVG_Input_Data!AA59:$AZ59,OFFSET(Inputparam!$C$34:$AZ$34,0,0,1,49-UVG_Calculations!Z$56)), 0)</f>
        <v>0</v>
      </c>
      <c r="AA77" s="174">
        <f ca="1">IFERROR(SUMPRODUCT(UVG_Input_Data!AB59:$AZ59,OFFSET(Inputparam!$C$34:$AZ$34,0,0,1,49-UVG_Calculations!AA$56)), 0)</f>
        <v>0</v>
      </c>
      <c r="AB77" s="174">
        <f ca="1">IFERROR(SUMPRODUCT(UVG_Input_Data!AC59:$AZ59,OFFSET(Inputparam!$C$34:$AZ$34,0,0,1,49-UVG_Calculations!AB$56)), 0)</f>
        <v>0</v>
      </c>
      <c r="AC77" s="174">
        <f ca="1">IFERROR(SUMPRODUCT(UVG_Input_Data!AD59:$AZ59,OFFSET(Inputparam!$C$34:$AZ$34,0,0,1,49-UVG_Calculations!AC$56)), 0)</f>
        <v>0</v>
      </c>
      <c r="AD77" s="174">
        <f ca="1">IFERROR(SUMPRODUCT(UVG_Input_Data!AE59:$AZ59,OFFSET(Inputparam!$C$34:$AZ$34,0,0,1,49-UVG_Calculations!AD$56)), 0)</f>
        <v>0</v>
      </c>
      <c r="AE77" s="174">
        <f ca="1">IFERROR(SUMPRODUCT(UVG_Input_Data!AF59:$AZ59,OFFSET(Inputparam!$C$34:$AZ$34,0,0,1,49-UVG_Calculations!AE$56)), 0)</f>
        <v>0</v>
      </c>
      <c r="AF77" s="174">
        <f ca="1">IFERROR(SUMPRODUCT(UVG_Input_Data!AG59:$AZ59,OFFSET(Inputparam!$C$34:$AZ$34,0,0,1,49-UVG_Calculations!AF$56)), 0)</f>
        <v>0</v>
      </c>
      <c r="AG77" s="174">
        <f ca="1">IFERROR(SUMPRODUCT(UVG_Input_Data!AH59:$AZ59,OFFSET(Inputparam!$C$34:$AZ$34,0,0,1,49-UVG_Calculations!AG$56)), 0)</f>
        <v>0</v>
      </c>
      <c r="AH77" s="174">
        <f ca="1">IFERROR(SUMPRODUCT(UVG_Input_Data!AI59:$AZ59,OFFSET(Inputparam!$C$34:$AZ$34,0,0,1,49-UVG_Calculations!AH$56)), 0)</f>
        <v>0</v>
      </c>
      <c r="AI77" s="174">
        <f ca="1">IFERROR(SUMPRODUCT(UVG_Input_Data!AJ59:$AZ59,OFFSET(Inputparam!$C$34:$AZ$34,0,0,1,49-UVG_Calculations!AI$56)), 0)</f>
        <v>0</v>
      </c>
      <c r="AJ77" s="174">
        <f ca="1">IFERROR(SUMPRODUCT(UVG_Input_Data!AK59:$AZ59,OFFSET(Inputparam!$C$34:$AZ$34,0,0,1,49-UVG_Calculations!AJ$56)), 0)</f>
        <v>0</v>
      </c>
      <c r="AK77" s="174">
        <f ca="1">IFERROR(SUMPRODUCT(UVG_Input_Data!AL59:$AZ59,OFFSET(Inputparam!$C$34:$AZ$34,0,0,1,49-UVG_Calculations!AK$56)), 0)</f>
        <v>0</v>
      </c>
      <c r="AL77" s="174">
        <f ca="1">IFERROR(SUMPRODUCT(UVG_Input_Data!AM59:$AZ59,OFFSET(Inputparam!$C$34:$AZ$34,0,0,1,49-UVG_Calculations!AL$56)), 0)</f>
        <v>0</v>
      </c>
      <c r="AM77" s="174">
        <f ca="1">IFERROR(SUMPRODUCT(UVG_Input_Data!AN59:$AZ59,OFFSET(Inputparam!$C$34:$AZ$34,0,0,1,49-UVG_Calculations!AM$56)), 0)</f>
        <v>0</v>
      </c>
      <c r="AN77" s="174">
        <f ca="1">IFERROR(SUMPRODUCT(UVG_Input_Data!AO59:$AZ59,OFFSET(Inputparam!$C$34:$AZ$34,0,0,1,49-UVG_Calculations!AN$56)), 0)</f>
        <v>0</v>
      </c>
      <c r="AO77" s="174">
        <f ca="1">IFERROR(SUMPRODUCT(UVG_Input_Data!AP59:$AZ59,OFFSET(Inputparam!$C$34:$AZ$34,0,0,1,49-UVG_Calculations!AO$56)), 0)</f>
        <v>0</v>
      </c>
      <c r="AP77" s="174">
        <f ca="1">IFERROR(SUMPRODUCT(UVG_Input_Data!AQ59:$AZ59,OFFSET(Inputparam!$C$34:$AZ$34,0,0,1,49-UVG_Calculations!AP$56)), 0)</f>
        <v>0</v>
      </c>
      <c r="AQ77" s="174">
        <f ca="1">IFERROR(SUMPRODUCT(UVG_Input_Data!AR59:$AZ59,OFFSET(Inputparam!$C$34:$AZ$34,0,0,1,49-UVG_Calculations!AQ$56)), 0)</f>
        <v>0</v>
      </c>
      <c r="AR77" s="174">
        <f ca="1">IFERROR(SUMPRODUCT(UVG_Input_Data!AS59:$AZ59,OFFSET(Inputparam!$C$34:$AZ$34,0,0,1,49-UVG_Calculations!AR$56)), 0)</f>
        <v>0</v>
      </c>
      <c r="AS77" s="174">
        <f ca="1">IFERROR(SUMPRODUCT(UVG_Input_Data!AT59:$AZ59,OFFSET(Inputparam!$C$34:$AZ$34,0,0,1,49-UVG_Calculations!AS$56)), 0)</f>
        <v>0</v>
      </c>
      <c r="AT77" s="174">
        <f ca="1">IFERROR(SUMPRODUCT(UVG_Input_Data!AU59:$AZ59,OFFSET(Inputparam!$C$34:$AZ$34,0,0,1,49-UVG_Calculations!AT$56)), 0)</f>
        <v>0</v>
      </c>
      <c r="AU77" s="174">
        <f ca="1">IFERROR(SUMPRODUCT(UVG_Input_Data!AV59:$AZ59,OFFSET(Inputparam!$C$34:$AZ$34,0,0,1,49-UVG_Calculations!AU$56)), 0)</f>
        <v>0</v>
      </c>
      <c r="AV77" s="174">
        <f ca="1">IFERROR(SUMPRODUCT(UVG_Input_Data!AW59:$AZ59,OFFSET(Inputparam!$C$34:$AZ$34,0,0,1,49-UVG_Calculations!AV$56)), 0)</f>
        <v>0</v>
      </c>
      <c r="AW77" s="174">
        <f ca="1">IFERROR(SUMPRODUCT(UVG_Input_Data!AX59:$AZ59,OFFSET(Inputparam!$C$34:$AZ$34,0,0,1,49-UVG_Calculations!AW$56)), 0)</f>
        <v>0</v>
      </c>
      <c r="AX77" s="174">
        <f ca="1">IFERROR(SUMPRODUCT(UVG_Input_Data!AY59:$AZ59,OFFSET(Inputparam!$C$34:$AZ$34,0,0,1,49-UVG_Calculations!AX$56)), 0)</f>
        <v>0</v>
      </c>
      <c r="AY77" s="174">
        <f ca="1">IFERROR(SUMPRODUCT(UVG_Input_Data!AZ59:$AZ59,OFFSET(Inputparam!$C$34:$AZ$34,0,0,1,49-UVG_Calculations!AY$56)), 0)</f>
        <v>0</v>
      </c>
      <c r="AZ77" s="174">
        <f ca="1">IFERROR(SUMPRODUCT(UVG_Input_Data!$AZ59:BA59,OFFSET(Inputparam!$C$34:$AZ$34,0,0,1,49-UVG_Calculations!AZ$56)), 0)</f>
        <v>0</v>
      </c>
    </row>
    <row r="78" spans="2:52">
      <c r="B78" s="173" t="s">
        <v>579</v>
      </c>
      <c r="C78" s="171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174">
        <f ca="1">IFERROR(SUMPRODUCT(UVG_Input_Data!X60:$AZ60,OFFSET(Inputparam!$C$34:$AZ$34,0,0,1,49-UVG_Calculations!W$56)), 0)</f>
        <v>0</v>
      </c>
      <c r="X78" s="174">
        <f ca="1">IFERROR(SUMPRODUCT(UVG_Input_Data!Y60:$AZ60,OFFSET(Inputparam!$C$34:$AZ$34,0,0,1,49-UVG_Calculations!X$56)), 0)</f>
        <v>0</v>
      </c>
      <c r="Y78" s="174">
        <f ca="1">IFERROR(SUMPRODUCT(UVG_Input_Data!Z60:$AZ60,OFFSET(Inputparam!$C$34:$AZ$34,0,0,1,49-UVG_Calculations!Y$56)), 0)</f>
        <v>0</v>
      </c>
      <c r="Z78" s="174">
        <f ca="1">IFERROR(SUMPRODUCT(UVG_Input_Data!AA60:$AZ60,OFFSET(Inputparam!$C$34:$AZ$34,0,0,1,49-UVG_Calculations!Z$56)), 0)</f>
        <v>0</v>
      </c>
      <c r="AA78" s="174">
        <f ca="1">IFERROR(SUMPRODUCT(UVG_Input_Data!AB60:$AZ60,OFFSET(Inputparam!$C$34:$AZ$34,0,0,1,49-UVG_Calculations!AA$56)), 0)</f>
        <v>0</v>
      </c>
      <c r="AB78" s="174">
        <f ca="1">IFERROR(SUMPRODUCT(UVG_Input_Data!AC60:$AZ60,OFFSET(Inputparam!$C$34:$AZ$34,0,0,1,49-UVG_Calculations!AB$56)), 0)</f>
        <v>0</v>
      </c>
      <c r="AC78" s="174">
        <f ca="1">IFERROR(SUMPRODUCT(UVG_Input_Data!AD60:$AZ60,OFFSET(Inputparam!$C$34:$AZ$34,0,0,1,49-UVG_Calculations!AC$56)), 0)</f>
        <v>0</v>
      </c>
      <c r="AD78" s="174">
        <f ca="1">IFERROR(SUMPRODUCT(UVG_Input_Data!AE60:$AZ60,OFFSET(Inputparam!$C$34:$AZ$34,0,0,1,49-UVG_Calculations!AD$56)), 0)</f>
        <v>0</v>
      </c>
      <c r="AE78" s="174">
        <f ca="1">IFERROR(SUMPRODUCT(UVG_Input_Data!AF60:$AZ60,OFFSET(Inputparam!$C$34:$AZ$34,0,0,1,49-UVG_Calculations!AE$56)), 0)</f>
        <v>0</v>
      </c>
      <c r="AF78" s="174">
        <f ca="1">IFERROR(SUMPRODUCT(UVG_Input_Data!AG60:$AZ60,OFFSET(Inputparam!$C$34:$AZ$34,0,0,1,49-UVG_Calculations!AF$56)), 0)</f>
        <v>0</v>
      </c>
      <c r="AG78" s="174">
        <f ca="1">IFERROR(SUMPRODUCT(UVG_Input_Data!AH60:$AZ60,OFFSET(Inputparam!$C$34:$AZ$34,0,0,1,49-UVG_Calculations!AG$56)), 0)</f>
        <v>0</v>
      </c>
      <c r="AH78" s="174">
        <f ca="1">IFERROR(SUMPRODUCT(UVG_Input_Data!AI60:$AZ60,OFFSET(Inputparam!$C$34:$AZ$34,0,0,1,49-UVG_Calculations!AH$56)), 0)</f>
        <v>0</v>
      </c>
      <c r="AI78" s="174">
        <f ca="1">IFERROR(SUMPRODUCT(UVG_Input_Data!AJ60:$AZ60,OFFSET(Inputparam!$C$34:$AZ$34,0,0,1,49-UVG_Calculations!AI$56)), 0)</f>
        <v>0</v>
      </c>
      <c r="AJ78" s="174">
        <f ca="1">IFERROR(SUMPRODUCT(UVG_Input_Data!AK60:$AZ60,OFFSET(Inputparam!$C$34:$AZ$34,0,0,1,49-UVG_Calculations!AJ$56)), 0)</f>
        <v>0</v>
      </c>
      <c r="AK78" s="174">
        <f ca="1">IFERROR(SUMPRODUCT(UVG_Input_Data!AL60:$AZ60,OFFSET(Inputparam!$C$34:$AZ$34,0,0,1,49-UVG_Calculations!AK$56)), 0)</f>
        <v>0</v>
      </c>
      <c r="AL78" s="174">
        <f ca="1">IFERROR(SUMPRODUCT(UVG_Input_Data!AM60:$AZ60,OFFSET(Inputparam!$C$34:$AZ$34,0,0,1,49-UVG_Calculations!AL$56)), 0)</f>
        <v>0</v>
      </c>
      <c r="AM78" s="174">
        <f ca="1">IFERROR(SUMPRODUCT(UVG_Input_Data!AN60:$AZ60,OFFSET(Inputparam!$C$34:$AZ$34,0,0,1,49-UVG_Calculations!AM$56)), 0)</f>
        <v>0</v>
      </c>
      <c r="AN78" s="174">
        <f ca="1">IFERROR(SUMPRODUCT(UVG_Input_Data!AO60:$AZ60,OFFSET(Inputparam!$C$34:$AZ$34,0,0,1,49-UVG_Calculations!AN$56)), 0)</f>
        <v>0</v>
      </c>
      <c r="AO78" s="174">
        <f ca="1">IFERROR(SUMPRODUCT(UVG_Input_Data!AP60:$AZ60,OFFSET(Inputparam!$C$34:$AZ$34,0,0,1,49-UVG_Calculations!AO$56)), 0)</f>
        <v>0</v>
      </c>
      <c r="AP78" s="174">
        <f ca="1">IFERROR(SUMPRODUCT(UVG_Input_Data!AQ60:$AZ60,OFFSET(Inputparam!$C$34:$AZ$34,0,0,1,49-UVG_Calculations!AP$56)), 0)</f>
        <v>0</v>
      </c>
      <c r="AQ78" s="174">
        <f ca="1">IFERROR(SUMPRODUCT(UVG_Input_Data!AR60:$AZ60,OFFSET(Inputparam!$C$34:$AZ$34,0,0,1,49-UVG_Calculations!AQ$56)), 0)</f>
        <v>0</v>
      </c>
      <c r="AR78" s="174">
        <f ca="1">IFERROR(SUMPRODUCT(UVG_Input_Data!AS60:$AZ60,OFFSET(Inputparam!$C$34:$AZ$34,0,0,1,49-UVG_Calculations!AR$56)), 0)</f>
        <v>0</v>
      </c>
      <c r="AS78" s="174">
        <f ca="1">IFERROR(SUMPRODUCT(UVG_Input_Data!AT60:$AZ60,OFFSET(Inputparam!$C$34:$AZ$34,0,0,1,49-UVG_Calculations!AS$56)), 0)</f>
        <v>0</v>
      </c>
      <c r="AT78" s="174">
        <f ca="1">IFERROR(SUMPRODUCT(UVG_Input_Data!AU60:$AZ60,OFFSET(Inputparam!$C$34:$AZ$34,0,0,1,49-UVG_Calculations!AT$56)), 0)</f>
        <v>0</v>
      </c>
      <c r="AU78" s="174">
        <f ca="1">IFERROR(SUMPRODUCT(UVG_Input_Data!AV60:$AZ60,OFFSET(Inputparam!$C$34:$AZ$34,0,0,1,49-UVG_Calculations!AU$56)), 0)</f>
        <v>0</v>
      </c>
      <c r="AV78" s="174">
        <f ca="1">IFERROR(SUMPRODUCT(UVG_Input_Data!AW60:$AZ60,OFFSET(Inputparam!$C$34:$AZ$34,0,0,1,49-UVG_Calculations!AV$56)), 0)</f>
        <v>0</v>
      </c>
      <c r="AW78" s="174">
        <f ca="1">IFERROR(SUMPRODUCT(UVG_Input_Data!AX60:$AZ60,OFFSET(Inputparam!$C$34:$AZ$34,0,0,1,49-UVG_Calculations!AW$56)), 0)</f>
        <v>0</v>
      </c>
      <c r="AX78" s="174">
        <f ca="1">IFERROR(SUMPRODUCT(UVG_Input_Data!AY60:$AZ60,OFFSET(Inputparam!$C$34:$AZ$34,0,0,1,49-UVG_Calculations!AX$56)), 0)</f>
        <v>0</v>
      </c>
      <c r="AY78" s="174">
        <f ca="1">IFERROR(SUMPRODUCT(UVG_Input_Data!AZ60:$AZ60,OFFSET(Inputparam!$C$34:$AZ$34,0,0,1,49-UVG_Calculations!AY$56)), 0)</f>
        <v>0</v>
      </c>
      <c r="AZ78" s="174">
        <f ca="1">IFERROR(SUMPRODUCT(UVG_Input_Data!$AZ60:BA60,OFFSET(Inputparam!$C$34:$AZ$34,0,0,1,49-UVG_Calculations!AZ$56)), 0)</f>
        <v>0</v>
      </c>
    </row>
  </sheetData>
  <mergeCells count="1">
    <mergeCell ref="B53:N5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D1837-2FCB-4D98-8BCF-EA4F17A8104D}">
  <sheetPr>
    <tabColor rgb="FF00539E"/>
  </sheetPr>
  <dimension ref="A1:AZ36"/>
  <sheetViews>
    <sheetView showGridLines="0" zoomScale="90" zoomScaleNormal="90" workbookViewId="0">
      <selection activeCell="A2" sqref="A2"/>
    </sheetView>
  </sheetViews>
  <sheetFormatPr defaultColWidth="9.140625" defaultRowHeight="12.75"/>
  <cols>
    <col min="1" max="1" width="4.5703125" customWidth="1"/>
    <col min="2" max="2" width="68.140625" customWidth="1"/>
    <col min="3" max="3" width="27.85546875" customWidth="1"/>
    <col min="4" max="4" width="15.85546875" customWidth="1"/>
    <col min="5" max="5" width="12.85546875" customWidth="1"/>
    <col min="6" max="6" width="19.140625" customWidth="1"/>
    <col min="7" max="7" width="10.5703125" customWidth="1"/>
    <col min="8" max="8" width="10.42578125" customWidth="1"/>
    <col min="9" max="10" width="12.5703125" customWidth="1"/>
    <col min="11" max="11" width="13.42578125" customWidth="1"/>
    <col min="12" max="12" width="9.42578125" customWidth="1"/>
    <col min="14" max="14" width="13.5703125" customWidth="1"/>
  </cols>
  <sheetData>
    <row r="1" spans="1:52" s="3" customFormat="1" ht="20.100000000000001" customHeight="1">
      <c r="A1" s="1">
        <v>5</v>
      </c>
      <c r="B1" s="159" t="s">
        <v>9</v>
      </c>
    </row>
    <row r="4" spans="1:52" ht="15">
      <c r="B4" s="4" t="s">
        <v>10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52" ht="38.25" customHeight="1">
      <c r="B6" s="222" t="s">
        <v>11</v>
      </c>
      <c r="C6" s="223"/>
      <c r="D6" s="223"/>
    </row>
    <row r="7" spans="1:52" ht="40.5" customHeight="1">
      <c r="A7" s="9"/>
      <c r="B7" s="9"/>
      <c r="C7" s="224" t="s">
        <v>12</v>
      </c>
      <c r="D7" s="225"/>
    </row>
    <row r="8" spans="1:52" ht="30.75" customHeight="1">
      <c r="A8" s="10" t="s">
        <v>13</v>
      </c>
      <c r="B8" s="11" t="s">
        <v>14</v>
      </c>
      <c r="C8" s="11" t="s">
        <v>15</v>
      </c>
    </row>
    <row r="9" spans="1:52">
      <c r="A9" s="12"/>
      <c r="B9" s="12"/>
      <c r="C9" s="12" t="s">
        <v>16</v>
      </c>
    </row>
    <row r="10" spans="1:52">
      <c r="A10" s="13" t="s">
        <v>17</v>
      </c>
      <c r="B10" s="13" t="s">
        <v>18</v>
      </c>
      <c r="C10" s="198">
        <f>UVG_Calculations!E9 + UVG_Calculations!E10 + UVG_Calculations!E11 + SUM(UVG_Calculations!C31:AZ31)</f>
        <v>0</v>
      </c>
      <c r="D10" s="14"/>
      <c r="E10" s="14"/>
      <c r="F10" s="14"/>
    </row>
    <row r="11" spans="1:52">
      <c r="A11" s="13" t="s">
        <v>19</v>
      </c>
      <c r="B11" s="13" t="s">
        <v>20</v>
      </c>
      <c r="C11" s="198">
        <f ca="1">UVG_Calculations!E8 + SUM(UVG_Calculations!C28:AZ28) + SUM(UVG_Calculations!C30:AZ30) +UVG_Calculations!E15 + UVG_Calculations!E16</f>
        <v>0</v>
      </c>
      <c r="D11" s="14"/>
      <c r="E11" s="14"/>
      <c r="F11" s="14"/>
    </row>
    <row r="12" spans="1:52">
      <c r="C12" s="99"/>
      <c r="D12" s="99"/>
      <c r="E12" s="100"/>
      <c r="F12" s="15"/>
    </row>
    <row r="13" spans="1:52">
      <c r="C13" s="99"/>
      <c r="D13" s="99"/>
      <c r="E13" s="100"/>
      <c r="F13" s="15"/>
    </row>
    <row r="14" spans="1:52" ht="25.5" customHeight="1">
      <c r="B14" s="219" t="s">
        <v>21</v>
      </c>
      <c r="C14" s="221"/>
      <c r="D14" s="221"/>
      <c r="E14" s="221"/>
    </row>
    <row r="15" spans="1:52">
      <c r="A15" s="10" t="s">
        <v>13</v>
      </c>
      <c r="B15" s="226" t="s">
        <v>22</v>
      </c>
      <c r="C15" s="8">
        <v>0</v>
      </c>
      <c r="D15" s="8">
        <v>1</v>
      </c>
      <c r="E15" s="8">
        <v>2</v>
      </c>
      <c r="F15" s="8">
        <v>3</v>
      </c>
      <c r="G15" s="8">
        <v>4</v>
      </c>
      <c r="H15" s="8">
        <v>5</v>
      </c>
      <c r="I15" s="8">
        <v>6</v>
      </c>
      <c r="J15" s="8">
        <v>7</v>
      </c>
      <c r="K15" s="8">
        <v>8</v>
      </c>
      <c r="L15" s="8">
        <v>9</v>
      </c>
      <c r="M15" s="8">
        <v>10</v>
      </c>
      <c r="N15" s="8">
        <v>11</v>
      </c>
      <c r="O15" s="8">
        <v>12</v>
      </c>
      <c r="P15" s="8">
        <v>13</v>
      </c>
      <c r="Q15" s="8">
        <v>14</v>
      </c>
      <c r="R15" s="8">
        <v>15</v>
      </c>
      <c r="S15" s="8">
        <v>16</v>
      </c>
      <c r="T15" s="8">
        <v>17</v>
      </c>
      <c r="U15" s="8">
        <v>18</v>
      </c>
      <c r="V15" s="8">
        <v>19</v>
      </c>
      <c r="W15" s="8">
        <v>20</v>
      </c>
      <c r="X15" s="8">
        <v>21</v>
      </c>
      <c r="Y15" s="8">
        <v>22</v>
      </c>
      <c r="Z15" s="8">
        <v>23</v>
      </c>
      <c r="AA15" s="8">
        <v>24</v>
      </c>
      <c r="AB15" s="8">
        <v>25</v>
      </c>
      <c r="AC15" s="8">
        <v>26</v>
      </c>
      <c r="AD15" s="8">
        <v>27</v>
      </c>
      <c r="AE15" s="8">
        <v>28</v>
      </c>
      <c r="AF15" s="8">
        <v>29</v>
      </c>
      <c r="AG15" s="8">
        <v>30</v>
      </c>
      <c r="AH15" s="8">
        <v>31</v>
      </c>
      <c r="AI15" s="8">
        <v>32</v>
      </c>
      <c r="AJ15" s="8">
        <v>33</v>
      </c>
      <c r="AK15" s="8">
        <v>34</v>
      </c>
      <c r="AL15" s="8">
        <v>35</v>
      </c>
      <c r="AM15" s="8">
        <v>36</v>
      </c>
      <c r="AN15" s="8">
        <v>37</v>
      </c>
      <c r="AO15" s="8">
        <v>38</v>
      </c>
      <c r="AP15" s="8">
        <v>39</v>
      </c>
      <c r="AQ15" s="8">
        <v>40</v>
      </c>
      <c r="AR15" s="8">
        <v>41</v>
      </c>
      <c r="AS15" s="8">
        <v>42</v>
      </c>
      <c r="AT15" s="8">
        <v>43</v>
      </c>
      <c r="AU15" s="8">
        <v>44</v>
      </c>
      <c r="AV15" s="8">
        <v>45</v>
      </c>
      <c r="AW15" s="8">
        <v>46</v>
      </c>
      <c r="AX15" s="8">
        <v>47</v>
      </c>
      <c r="AY15" s="8">
        <v>48</v>
      </c>
      <c r="AZ15" s="8">
        <v>49</v>
      </c>
    </row>
    <row r="16" spans="1:52" ht="37.5" customHeight="1">
      <c r="A16" s="12"/>
      <c r="B16" s="227"/>
      <c r="C16" s="101">
        <f>Intro_SM_UVG_Valuation!E1</f>
        <v>2024</v>
      </c>
      <c r="D16" s="101">
        <f t="shared" ref="D16:AZ16" si="0">C16+1</f>
        <v>2025</v>
      </c>
      <c r="E16" s="101">
        <f t="shared" si="0"/>
        <v>2026</v>
      </c>
      <c r="F16" s="101">
        <f t="shared" si="0"/>
        <v>2027</v>
      </c>
      <c r="G16" s="101">
        <f t="shared" si="0"/>
        <v>2028</v>
      </c>
      <c r="H16" s="101">
        <f t="shared" si="0"/>
        <v>2029</v>
      </c>
      <c r="I16" s="101">
        <f t="shared" si="0"/>
        <v>2030</v>
      </c>
      <c r="J16" s="101">
        <f t="shared" si="0"/>
        <v>2031</v>
      </c>
      <c r="K16" s="101">
        <f t="shared" si="0"/>
        <v>2032</v>
      </c>
      <c r="L16" s="101">
        <f t="shared" si="0"/>
        <v>2033</v>
      </c>
      <c r="M16" s="101">
        <f t="shared" si="0"/>
        <v>2034</v>
      </c>
      <c r="N16" s="101">
        <f t="shared" si="0"/>
        <v>2035</v>
      </c>
      <c r="O16" s="101">
        <f t="shared" si="0"/>
        <v>2036</v>
      </c>
      <c r="P16" s="101">
        <f t="shared" si="0"/>
        <v>2037</v>
      </c>
      <c r="Q16" s="101">
        <f t="shared" si="0"/>
        <v>2038</v>
      </c>
      <c r="R16" s="101">
        <f t="shared" si="0"/>
        <v>2039</v>
      </c>
      <c r="S16" s="101">
        <f t="shared" si="0"/>
        <v>2040</v>
      </c>
      <c r="T16" s="101">
        <f t="shared" si="0"/>
        <v>2041</v>
      </c>
      <c r="U16" s="101">
        <f t="shared" si="0"/>
        <v>2042</v>
      </c>
      <c r="V16" s="101">
        <f t="shared" si="0"/>
        <v>2043</v>
      </c>
      <c r="W16" s="101">
        <f t="shared" si="0"/>
        <v>2044</v>
      </c>
      <c r="X16" s="101">
        <f t="shared" si="0"/>
        <v>2045</v>
      </c>
      <c r="Y16" s="101">
        <f t="shared" si="0"/>
        <v>2046</v>
      </c>
      <c r="Z16" s="101">
        <f t="shared" si="0"/>
        <v>2047</v>
      </c>
      <c r="AA16" s="101">
        <f t="shared" si="0"/>
        <v>2048</v>
      </c>
      <c r="AB16" s="101">
        <f t="shared" si="0"/>
        <v>2049</v>
      </c>
      <c r="AC16" s="101">
        <f t="shared" si="0"/>
        <v>2050</v>
      </c>
      <c r="AD16" s="101">
        <f t="shared" si="0"/>
        <v>2051</v>
      </c>
      <c r="AE16" s="101">
        <f t="shared" si="0"/>
        <v>2052</v>
      </c>
      <c r="AF16" s="101">
        <f t="shared" si="0"/>
        <v>2053</v>
      </c>
      <c r="AG16" s="101">
        <f t="shared" si="0"/>
        <v>2054</v>
      </c>
      <c r="AH16" s="101">
        <f t="shared" si="0"/>
        <v>2055</v>
      </c>
      <c r="AI16" s="101">
        <f t="shared" si="0"/>
        <v>2056</v>
      </c>
      <c r="AJ16" s="101">
        <f t="shared" si="0"/>
        <v>2057</v>
      </c>
      <c r="AK16" s="101">
        <f t="shared" si="0"/>
        <v>2058</v>
      </c>
      <c r="AL16" s="101">
        <f t="shared" si="0"/>
        <v>2059</v>
      </c>
      <c r="AM16" s="101">
        <f t="shared" si="0"/>
        <v>2060</v>
      </c>
      <c r="AN16" s="101">
        <f t="shared" si="0"/>
        <v>2061</v>
      </c>
      <c r="AO16" s="101">
        <f t="shared" si="0"/>
        <v>2062</v>
      </c>
      <c r="AP16" s="101">
        <f t="shared" si="0"/>
        <v>2063</v>
      </c>
      <c r="AQ16" s="101">
        <f t="shared" si="0"/>
        <v>2064</v>
      </c>
      <c r="AR16" s="101">
        <f t="shared" si="0"/>
        <v>2065</v>
      </c>
      <c r="AS16" s="101">
        <f t="shared" si="0"/>
        <v>2066</v>
      </c>
      <c r="AT16" s="101">
        <f t="shared" si="0"/>
        <v>2067</v>
      </c>
      <c r="AU16" s="101">
        <f t="shared" si="0"/>
        <v>2068</v>
      </c>
      <c r="AV16" s="101">
        <f t="shared" si="0"/>
        <v>2069</v>
      </c>
      <c r="AW16" s="101">
        <f t="shared" si="0"/>
        <v>2070</v>
      </c>
      <c r="AX16" s="101">
        <f t="shared" si="0"/>
        <v>2071</v>
      </c>
      <c r="AY16" s="101">
        <f t="shared" si="0"/>
        <v>2072</v>
      </c>
      <c r="AZ16" s="101">
        <f t="shared" si="0"/>
        <v>2073</v>
      </c>
    </row>
    <row r="17" spans="1:52">
      <c r="A17" s="13" t="s">
        <v>17</v>
      </c>
      <c r="B17" s="13" t="s">
        <v>18</v>
      </c>
      <c r="C17" s="102" t="e">
        <f>((UVG_Input_Data!$D$11 + UVG_Input_Data!$D$14 + UVG_Input_Data!$D$15) * UVG_Input_Data!C27 + UVG_Calculations!C31)/UVG_Output!$C$10</f>
        <v>#DIV/0!</v>
      </c>
      <c r="D17" s="102" t="e">
        <f>((UVG_Input_Data!$D$11 + UVG_Input_Data!$D$14 + UVG_Input_Data!$D$15) * UVG_Input_Data!D27 + UVG_Calculations!D31)/UVG_Output!$C$10</f>
        <v>#DIV/0!</v>
      </c>
      <c r="E17" s="102" t="e">
        <f>((UVG_Input_Data!$D$11 + UVG_Input_Data!$D$14 + UVG_Input_Data!$D$15) * UVG_Input_Data!E27 + UVG_Calculations!E31)/UVG_Output!$C$10</f>
        <v>#DIV/0!</v>
      </c>
      <c r="F17" s="102" t="e">
        <f>((UVG_Input_Data!$D$11 + UVG_Input_Data!$D$14 + UVG_Input_Data!$D$15) * UVG_Input_Data!F27 + UVG_Calculations!F31)/UVG_Output!$C$10</f>
        <v>#DIV/0!</v>
      </c>
      <c r="G17" s="102" t="e">
        <f>((UVG_Input_Data!$D$11 + UVG_Input_Data!$D$14 + UVG_Input_Data!$D$15) * UVG_Input_Data!G27 + UVG_Calculations!G31)/UVG_Output!$C$10</f>
        <v>#DIV/0!</v>
      </c>
      <c r="H17" s="102" t="e">
        <f>((UVG_Input_Data!$D$11 + UVG_Input_Data!$D$14 + UVG_Input_Data!$D$15) * UVG_Input_Data!H27 + UVG_Calculations!H31)/UVG_Output!$C$10</f>
        <v>#DIV/0!</v>
      </c>
      <c r="I17" s="102" t="e">
        <f>((UVG_Input_Data!$D$11 + UVG_Input_Data!$D$14 + UVG_Input_Data!$D$15) * UVG_Input_Data!I27 + UVG_Calculations!I31)/UVG_Output!$C$10</f>
        <v>#DIV/0!</v>
      </c>
      <c r="J17" s="102" t="e">
        <f>((UVG_Input_Data!$D$11 + UVG_Input_Data!$D$14 + UVG_Input_Data!$D$15) * UVG_Input_Data!J27 + UVG_Calculations!J31)/UVG_Output!$C$10</f>
        <v>#DIV/0!</v>
      </c>
      <c r="K17" s="102" t="e">
        <f>((UVG_Input_Data!$D$11 + UVG_Input_Data!$D$14 + UVG_Input_Data!$D$15) * UVG_Input_Data!K27 + UVG_Calculations!K31)/UVG_Output!$C$10</f>
        <v>#DIV/0!</v>
      </c>
      <c r="L17" s="102" t="e">
        <f>((UVG_Input_Data!$D$11 + UVG_Input_Data!$D$14 + UVG_Input_Data!$D$15) * UVG_Input_Data!L27 + UVG_Calculations!L31)/UVG_Output!$C$10</f>
        <v>#DIV/0!</v>
      </c>
      <c r="M17" s="102" t="e">
        <f>((UVG_Input_Data!$D$11 + UVG_Input_Data!$D$14 + UVG_Input_Data!$D$15) * UVG_Input_Data!M27 + UVG_Calculations!M31)/UVG_Output!$C$10</f>
        <v>#DIV/0!</v>
      </c>
      <c r="N17" s="102" t="e">
        <f>((UVG_Input_Data!$D$11 + UVG_Input_Data!$D$14 + UVG_Input_Data!$D$15) * UVG_Input_Data!N27 + UVG_Calculations!N31)/UVG_Output!$C$10</f>
        <v>#DIV/0!</v>
      </c>
      <c r="O17" s="102" t="e">
        <f>((UVG_Input_Data!$D$11 + UVG_Input_Data!$D$14 + UVG_Input_Data!$D$15) * UVG_Input_Data!O27 + UVG_Calculations!O31)/UVG_Output!$C$10</f>
        <v>#DIV/0!</v>
      </c>
      <c r="P17" s="102" t="e">
        <f>((UVG_Input_Data!$D$11 + UVG_Input_Data!$D$14 + UVG_Input_Data!$D$15) * UVG_Input_Data!P27 + UVG_Calculations!P31)/UVG_Output!$C$10</f>
        <v>#DIV/0!</v>
      </c>
      <c r="Q17" s="102" t="e">
        <f>((UVG_Input_Data!$D$11 + UVG_Input_Data!$D$14 + UVG_Input_Data!$D$15) * UVG_Input_Data!Q27 + UVG_Calculations!Q31)/UVG_Output!$C$10</f>
        <v>#DIV/0!</v>
      </c>
      <c r="R17" s="102" t="e">
        <f>((UVG_Input_Data!$D$11 + UVG_Input_Data!$D$14 + UVG_Input_Data!$D$15) * UVG_Input_Data!R27 + UVG_Calculations!R31)/UVG_Output!$C$10</f>
        <v>#DIV/0!</v>
      </c>
      <c r="S17" s="102" t="e">
        <f>((UVG_Input_Data!$D$11 + UVG_Input_Data!$D$14 + UVG_Input_Data!$D$15) * UVG_Input_Data!S27 + UVG_Calculations!S31)/UVG_Output!$C$10</f>
        <v>#DIV/0!</v>
      </c>
      <c r="T17" s="102" t="e">
        <f>((UVG_Input_Data!$D$11 + UVG_Input_Data!$D$14 + UVG_Input_Data!$D$15) * UVG_Input_Data!T27 + UVG_Calculations!T31)/UVG_Output!$C$10</f>
        <v>#DIV/0!</v>
      </c>
      <c r="U17" s="102" t="e">
        <f>((UVG_Input_Data!$D$11 + UVG_Input_Data!$D$14 + UVG_Input_Data!$D$15) * UVG_Input_Data!U27 + UVG_Calculations!U31)/UVG_Output!$C$10</f>
        <v>#DIV/0!</v>
      </c>
      <c r="V17" s="102" t="e">
        <f>((UVG_Input_Data!$D$11 + UVG_Input_Data!$D$14 + UVG_Input_Data!$D$15) * UVG_Input_Data!V27 + UVG_Calculations!V31)/UVG_Output!$C$10</f>
        <v>#DIV/0!</v>
      </c>
      <c r="W17" s="102" t="e">
        <f>((UVG_Input_Data!$D$11 + UVG_Input_Data!$D$14 + UVG_Input_Data!$D$15) * UVG_Input_Data!W27 + UVG_Calculations!W31)/UVG_Output!$C$10</f>
        <v>#DIV/0!</v>
      </c>
      <c r="X17" s="102" t="e">
        <f>((UVG_Input_Data!$D$11 + UVG_Input_Data!$D$14 + UVG_Input_Data!$D$15) * UVG_Input_Data!X27 + UVG_Calculations!X31)/UVG_Output!$C$10</f>
        <v>#DIV/0!</v>
      </c>
      <c r="Y17" s="102" t="e">
        <f>((UVG_Input_Data!$D$11 + UVG_Input_Data!$D$14 + UVG_Input_Data!$D$15) * UVG_Input_Data!Y27 + UVG_Calculations!Y31)/UVG_Output!$C$10</f>
        <v>#DIV/0!</v>
      </c>
      <c r="Z17" s="102" t="e">
        <f>((UVG_Input_Data!$D$11 + UVG_Input_Data!$D$14 + UVG_Input_Data!$D$15) * UVG_Input_Data!Z27 + UVG_Calculations!Z31)/UVG_Output!$C$10</f>
        <v>#DIV/0!</v>
      </c>
      <c r="AA17" s="102" t="e">
        <f>((UVG_Input_Data!$D$11 + UVG_Input_Data!$D$14 + UVG_Input_Data!$D$15) * UVG_Input_Data!AA27 + UVG_Calculations!AA31)/UVG_Output!$C$10</f>
        <v>#DIV/0!</v>
      </c>
      <c r="AB17" s="102" t="e">
        <f>((UVG_Input_Data!$D$11 + UVG_Input_Data!$D$14 + UVG_Input_Data!$D$15) * UVG_Input_Data!AB27 + UVG_Calculations!AB31)/UVG_Output!$C$10</f>
        <v>#DIV/0!</v>
      </c>
      <c r="AC17" s="102" t="e">
        <f>((UVG_Input_Data!$D$11 + UVG_Input_Data!$D$14 + UVG_Input_Data!$D$15) * UVG_Input_Data!AC27 + UVG_Calculations!AC31)/UVG_Output!$C$10</f>
        <v>#DIV/0!</v>
      </c>
      <c r="AD17" s="102" t="e">
        <f>((UVG_Input_Data!$D$11 + UVG_Input_Data!$D$14 + UVG_Input_Data!$D$15) * UVG_Input_Data!AD27 + UVG_Calculations!AD31)/UVG_Output!$C$10</f>
        <v>#DIV/0!</v>
      </c>
      <c r="AE17" s="102" t="e">
        <f>((UVG_Input_Data!$D$11 + UVG_Input_Data!$D$14 + UVG_Input_Data!$D$15) * UVG_Input_Data!AE27 + UVG_Calculations!AE31)/UVG_Output!$C$10</f>
        <v>#DIV/0!</v>
      </c>
      <c r="AF17" s="102" t="e">
        <f>((UVG_Input_Data!$D$11 + UVG_Input_Data!$D$14 + UVG_Input_Data!$D$15) * UVG_Input_Data!AF27 + UVG_Calculations!AF31)/UVG_Output!$C$10</f>
        <v>#DIV/0!</v>
      </c>
      <c r="AG17" s="102" t="e">
        <f>((UVG_Input_Data!$D$11 + UVG_Input_Data!$D$14 + UVG_Input_Data!$D$15) * UVG_Input_Data!AG27 + UVG_Calculations!AG31)/UVG_Output!$C$10</f>
        <v>#DIV/0!</v>
      </c>
      <c r="AH17" s="102" t="e">
        <f>((UVG_Input_Data!$D$11 + UVG_Input_Data!$D$14 + UVG_Input_Data!$D$15) * UVG_Input_Data!AH27 + UVG_Calculations!AH31)/UVG_Output!$C$10</f>
        <v>#DIV/0!</v>
      </c>
      <c r="AI17" s="102" t="e">
        <f>((UVG_Input_Data!$D$11 + UVG_Input_Data!$D$14 + UVG_Input_Data!$D$15) * UVG_Input_Data!AI27 + UVG_Calculations!AI31)/UVG_Output!$C$10</f>
        <v>#DIV/0!</v>
      </c>
      <c r="AJ17" s="102" t="e">
        <f>((UVG_Input_Data!$D$11 + UVG_Input_Data!$D$14 + UVG_Input_Data!$D$15) * UVG_Input_Data!AJ27 + UVG_Calculations!AJ31)/UVG_Output!$C$10</f>
        <v>#DIV/0!</v>
      </c>
      <c r="AK17" s="102" t="e">
        <f>((UVG_Input_Data!$D$11 + UVG_Input_Data!$D$14 + UVG_Input_Data!$D$15) * UVG_Input_Data!AK27 + UVG_Calculations!AK31)/UVG_Output!$C$10</f>
        <v>#DIV/0!</v>
      </c>
      <c r="AL17" s="102" t="e">
        <f>((UVG_Input_Data!$D$11 + UVG_Input_Data!$D$14 + UVG_Input_Data!$D$15) * UVG_Input_Data!AL27 + UVG_Calculations!AL31)/UVG_Output!$C$10</f>
        <v>#DIV/0!</v>
      </c>
      <c r="AM17" s="102" t="e">
        <f>((UVG_Input_Data!$D$11 + UVG_Input_Data!$D$14 + UVG_Input_Data!$D$15) * UVG_Input_Data!AM27 + UVG_Calculations!AM31)/UVG_Output!$C$10</f>
        <v>#DIV/0!</v>
      </c>
      <c r="AN17" s="102" t="e">
        <f>((UVG_Input_Data!$D$11 + UVG_Input_Data!$D$14 + UVG_Input_Data!$D$15) * UVG_Input_Data!AN27 + UVG_Calculations!AN31)/UVG_Output!$C$10</f>
        <v>#DIV/0!</v>
      </c>
      <c r="AO17" s="102" t="e">
        <f>((UVG_Input_Data!$D$11 + UVG_Input_Data!$D$14 + UVG_Input_Data!$D$15) * UVG_Input_Data!AO27 + UVG_Calculations!AO31)/UVG_Output!$C$10</f>
        <v>#DIV/0!</v>
      </c>
      <c r="AP17" s="102" t="e">
        <f>((UVG_Input_Data!$D$11 + UVG_Input_Data!$D$14 + UVG_Input_Data!$D$15) * UVG_Input_Data!AP27 + UVG_Calculations!AP31)/UVG_Output!$C$10</f>
        <v>#DIV/0!</v>
      </c>
      <c r="AQ17" s="102" t="e">
        <f>((UVG_Input_Data!$D$11 + UVG_Input_Data!$D$14 + UVG_Input_Data!$D$15) * UVG_Input_Data!AQ27 + UVG_Calculations!AQ31)/UVG_Output!$C$10</f>
        <v>#DIV/0!</v>
      </c>
      <c r="AR17" s="102" t="e">
        <f>((UVG_Input_Data!$D$11 + UVG_Input_Data!$D$14 + UVG_Input_Data!$D$15) * UVG_Input_Data!AR27 + UVG_Calculations!AR31)/UVG_Output!$C$10</f>
        <v>#DIV/0!</v>
      </c>
      <c r="AS17" s="102" t="e">
        <f>((UVG_Input_Data!$D$11 + UVG_Input_Data!$D$14 + UVG_Input_Data!$D$15) * UVG_Input_Data!AS27 + UVG_Calculations!AS31)/UVG_Output!$C$10</f>
        <v>#DIV/0!</v>
      </c>
      <c r="AT17" s="102" t="e">
        <f>((UVG_Input_Data!$D$11 + UVG_Input_Data!$D$14 + UVG_Input_Data!$D$15) * UVG_Input_Data!AT27 + UVG_Calculations!AT31)/UVG_Output!$C$10</f>
        <v>#DIV/0!</v>
      </c>
      <c r="AU17" s="102" t="e">
        <f>((UVG_Input_Data!$D$11 + UVG_Input_Data!$D$14 + UVG_Input_Data!$D$15) * UVG_Input_Data!AU27 + UVG_Calculations!AU31)/UVG_Output!$C$10</f>
        <v>#DIV/0!</v>
      </c>
      <c r="AV17" s="102" t="e">
        <f>((UVG_Input_Data!$D$11 + UVG_Input_Data!$D$14 + UVG_Input_Data!$D$15) * UVG_Input_Data!AV27 + UVG_Calculations!AV31)/UVG_Output!$C$10</f>
        <v>#DIV/0!</v>
      </c>
      <c r="AW17" s="102" t="e">
        <f>((UVG_Input_Data!$D$11 + UVG_Input_Data!$D$14 + UVG_Input_Data!$D$15) * UVG_Input_Data!AW27 + UVG_Calculations!AW31)/UVG_Output!$C$10</f>
        <v>#DIV/0!</v>
      </c>
      <c r="AX17" s="102" t="e">
        <f>((UVG_Input_Data!$D$11 + UVG_Input_Data!$D$14 + UVG_Input_Data!$D$15) * UVG_Input_Data!AX27 + UVG_Calculations!AX31)/UVG_Output!$C$10</f>
        <v>#DIV/0!</v>
      </c>
      <c r="AY17" s="102" t="e">
        <f>((UVG_Input_Data!$D$11 + UVG_Input_Data!$D$14 + UVG_Input_Data!$D$15) * UVG_Input_Data!AY27 + UVG_Calculations!AY31)/UVG_Output!$C$10</f>
        <v>#DIV/0!</v>
      </c>
      <c r="AZ17" s="102" t="e">
        <f>((UVG_Input_Data!$D$11 + UVG_Input_Data!$D$14 + UVG_Input_Data!$D$15) * UVG_Input_Data!AZ27 + UVG_Calculations!AZ31)/UVG_Output!$C$10</f>
        <v>#DIV/0!</v>
      </c>
    </row>
    <row r="18" spans="1:52">
      <c r="A18" s="13" t="s">
        <v>19</v>
      </c>
      <c r="B18" s="13" t="s">
        <v>20</v>
      </c>
      <c r="C18" s="102" t="e">
        <f ca="1">(UVG_Calculations!C24 + UVG_Calculations!C28 + UVG_Calculations!C30 + UVG_Calculations!C38 + UVG_Calculations!C39) /UVG_Output!$C$11</f>
        <v>#DIV/0!</v>
      </c>
      <c r="D18" s="102" t="e">
        <f ca="1">(UVG_Calculations!D24 + UVG_Calculations!D28 + UVG_Calculations!D30 + UVG_Calculations!D38 + UVG_Calculations!D39) /UVG_Output!$C$11</f>
        <v>#DIV/0!</v>
      </c>
      <c r="E18" s="102" t="e">
        <f ca="1">(UVG_Calculations!E24 + UVG_Calculations!E28 + UVG_Calculations!E30 + UVG_Calculations!E38 + UVG_Calculations!E39) /UVG_Output!$C$11</f>
        <v>#DIV/0!</v>
      </c>
      <c r="F18" s="102" t="e">
        <f ca="1">(UVG_Calculations!F24 + UVG_Calculations!F28 + UVG_Calculations!F30 + UVG_Calculations!F38 + UVG_Calculations!F39) /UVG_Output!$C$11</f>
        <v>#DIV/0!</v>
      </c>
      <c r="G18" s="102" t="e">
        <f ca="1">(UVG_Calculations!G24 + UVG_Calculations!G28 + UVG_Calculations!G30 + UVG_Calculations!G38 + UVG_Calculations!G39) /UVG_Output!$C$11</f>
        <v>#DIV/0!</v>
      </c>
      <c r="H18" s="102" t="e">
        <f ca="1">(UVG_Calculations!H24 + UVG_Calculations!H28 + UVG_Calculations!H30 + UVG_Calculations!H39) /UVG_Output!$C$11</f>
        <v>#DIV/0!</v>
      </c>
      <c r="I18" s="102" t="e">
        <f ca="1">(UVG_Calculations!I24 + UVG_Calculations!I28 + UVG_Calculations!I30 + UVG_Calculations!I39) /UVG_Output!$C$11</f>
        <v>#DIV/0!</v>
      </c>
      <c r="J18" s="102" t="e">
        <f ca="1">(UVG_Calculations!J24 + UVG_Calculations!J28 + UVG_Calculations!J30 + UVG_Calculations!J39) /UVG_Output!$C$11</f>
        <v>#DIV/0!</v>
      </c>
      <c r="K18" s="102" t="e">
        <f ca="1">(UVG_Calculations!K24 + UVG_Calculations!K28 + UVG_Calculations!K30 + UVG_Calculations!K39) /UVG_Output!$C$11</f>
        <v>#DIV/0!</v>
      </c>
      <c r="L18" s="102" t="e">
        <f ca="1">(UVG_Calculations!L24 + UVG_Calculations!L28 + UVG_Calculations!L30 + UVG_Calculations!L39) /UVG_Output!$C$11</f>
        <v>#DIV/0!</v>
      </c>
      <c r="M18" s="102" t="e">
        <f ca="1">(UVG_Calculations!M24 + UVG_Calculations!M28 + UVG_Calculations!M30 + UVG_Calculations!M39) /UVG_Output!$C$11</f>
        <v>#DIV/0!</v>
      </c>
      <c r="N18" s="102" t="e">
        <f ca="1">(UVG_Calculations!N24 + UVG_Calculations!N28 + UVG_Calculations!N30 + UVG_Calculations!N39) /UVG_Output!$C$11</f>
        <v>#DIV/0!</v>
      </c>
      <c r="O18" s="102" t="e">
        <f ca="1">(UVG_Calculations!O24 + UVG_Calculations!O28 + UVG_Calculations!O30 + UVG_Calculations!O39) /UVG_Output!$C$11</f>
        <v>#DIV/0!</v>
      </c>
      <c r="P18" s="102" t="e">
        <f ca="1">(UVG_Calculations!P24 + UVG_Calculations!P28 + UVG_Calculations!P30 + UVG_Calculations!P39) /UVG_Output!$C$11</f>
        <v>#DIV/0!</v>
      </c>
      <c r="Q18" s="102" t="e">
        <f ca="1">(UVG_Calculations!Q24 + UVG_Calculations!Q28 + UVG_Calculations!Q30 + UVG_Calculations!Q39) /UVG_Output!$C$11</f>
        <v>#DIV/0!</v>
      </c>
      <c r="R18" s="102" t="e">
        <f ca="1">(UVG_Calculations!R24 + UVG_Calculations!R28 + UVG_Calculations!R30 + UVG_Calculations!R39) /UVG_Output!$C$11</f>
        <v>#DIV/0!</v>
      </c>
      <c r="S18" s="102" t="e">
        <f ca="1">(UVG_Calculations!S24 + UVG_Calculations!S28 + UVG_Calculations!S30 + UVG_Calculations!S39) /UVG_Output!$C$11</f>
        <v>#DIV/0!</v>
      </c>
      <c r="T18" s="102" t="e">
        <f ca="1">(UVG_Calculations!T24 + UVG_Calculations!T28 + UVG_Calculations!T30 + UVG_Calculations!T39) /UVG_Output!$C$11</f>
        <v>#DIV/0!</v>
      </c>
      <c r="U18" s="102" t="e">
        <f ca="1">(UVG_Calculations!U24 + UVG_Calculations!U28 + UVG_Calculations!U30 + UVG_Calculations!U39) /UVG_Output!$C$11</f>
        <v>#DIV/0!</v>
      </c>
      <c r="V18" s="102" t="e">
        <f ca="1">(UVG_Calculations!V24 + UVG_Calculations!V28 + UVG_Calculations!V30 + UVG_Calculations!V39) /UVG_Output!$C$11</f>
        <v>#DIV/0!</v>
      </c>
      <c r="W18" s="102" t="e">
        <f ca="1">(UVG_Calculations!W24 + UVG_Calculations!W28 + UVG_Calculations!W30 + UVG_Calculations!W39) /UVG_Output!$C$11</f>
        <v>#DIV/0!</v>
      </c>
      <c r="X18" s="102" t="e">
        <f ca="1">(UVG_Calculations!X24 + UVG_Calculations!X28 + UVG_Calculations!X30 + UVG_Calculations!X39) /UVG_Output!$C$11</f>
        <v>#DIV/0!</v>
      </c>
      <c r="Y18" s="102" t="e">
        <f ca="1">(UVG_Calculations!Y24 + UVG_Calculations!Y28 + UVG_Calculations!Y30 + UVG_Calculations!Y39) /UVG_Output!$C$11</f>
        <v>#DIV/0!</v>
      </c>
      <c r="Z18" s="102" t="e">
        <f ca="1">(UVG_Calculations!Z24 + UVG_Calculations!Z28 + UVG_Calculations!Z30 + UVG_Calculations!Z39) /UVG_Output!$C$11</f>
        <v>#DIV/0!</v>
      </c>
      <c r="AA18" s="102" t="e">
        <f ca="1">(UVG_Calculations!AA24 + UVG_Calculations!AA28 + UVG_Calculations!AA30 + UVG_Calculations!AA39) /UVG_Output!$C$11</f>
        <v>#DIV/0!</v>
      </c>
      <c r="AB18" s="102" t="e">
        <f ca="1">(UVG_Calculations!AB24 + UVG_Calculations!AB28 + UVG_Calculations!AB30 + UVG_Calculations!AB39) /UVG_Output!$C$11</f>
        <v>#DIV/0!</v>
      </c>
      <c r="AC18" s="102" t="e">
        <f ca="1">(UVG_Calculations!AC24 + UVG_Calculations!AC28 + UVG_Calculations!AC30 + UVG_Calculations!AC39) /UVG_Output!$C$11</f>
        <v>#DIV/0!</v>
      </c>
      <c r="AD18" s="102" t="e">
        <f ca="1">(UVG_Calculations!AD24 + UVG_Calculations!AD28 + UVG_Calculations!AD30 + UVG_Calculations!AD39) /UVG_Output!$C$11</f>
        <v>#DIV/0!</v>
      </c>
      <c r="AE18" s="102" t="e">
        <f ca="1">(UVG_Calculations!AE24 + UVG_Calculations!AE28 + UVG_Calculations!AE30 + UVG_Calculations!AE39) /UVG_Output!$C$11</f>
        <v>#DIV/0!</v>
      </c>
      <c r="AF18" s="102" t="e">
        <f ca="1">(UVG_Calculations!AF24 + UVG_Calculations!AF28 + UVG_Calculations!AF30 + UVG_Calculations!AF39) /UVG_Output!$C$11</f>
        <v>#DIV/0!</v>
      </c>
      <c r="AG18" s="102" t="e">
        <f ca="1">(UVG_Calculations!AG24 + UVG_Calculations!AG28 + UVG_Calculations!AG30 + UVG_Calculations!AG39) /UVG_Output!$C$11</f>
        <v>#DIV/0!</v>
      </c>
      <c r="AH18" s="102" t="e">
        <f ca="1">(UVG_Calculations!AH24 + UVG_Calculations!AH28 + UVG_Calculations!AH30 + UVG_Calculations!AH39) /UVG_Output!$C$11</f>
        <v>#DIV/0!</v>
      </c>
      <c r="AI18" s="102" t="e">
        <f ca="1">(UVG_Calculations!AI24 + UVG_Calculations!AI28 + UVG_Calculations!AI30 + UVG_Calculations!AI39) /UVG_Output!$C$11</f>
        <v>#DIV/0!</v>
      </c>
      <c r="AJ18" s="102" t="e">
        <f ca="1">(UVG_Calculations!AJ24 + UVG_Calculations!AJ28 + UVG_Calculations!AJ30 + UVG_Calculations!AJ39) /UVG_Output!$C$11</f>
        <v>#DIV/0!</v>
      </c>
      <c r="AK18" s="102" t="e">
        <f ca="1">(UVG_Calculations!AK24 + UVG_Calculations!AK28 + UVG_Calculations!AK30 + UVG_Calculations!AK39) /UVG_Output!$C$11</f>
        <v>#DIV/0!</v>
      </c>
      <c r="AL18" s="102" t="e">
        <f ca="1">(UVG_Calculations!AL24 + UVG_Calculations!AL28 + UVG_Calculations!AL30 + UVG_Calculations!AL39) /UVG_Output!$C$11</f>
        <v>#DIV/0!</v>
      </c>
      <c r="AM18" s="102" t="e">
        <f ca="1">(UVG_Calculations!AM24 + UVG_Calculations!AM28 + UVG_Calculations!AM30 + UVG_Calculations!AM39) /UVG_Output!$C$11</f>
        <v>#DIV/0!</v>
      </c>
      <c r="AN18" s="102" t="e">
        <f ca="1">(UVG_Calculations!AN24 + UVG_Calculations!AN28 + UVG_Calculations!AN30 + UVG_Calculations!AN39) /UVG_Output!$C$11</f>
        <v>#DIV/0!</v>
      </c>
      <c r="AO18" s="102" t="e">
        <f ca="1">(UVG_Calculations!AO24 + UVG_Calculations!AO28 + UVG_Calculations!AO30 + UVG_Calculations!AO39) /UVG_Output!$C$11</f>
        <v>#DIV/0!</v>
      </c>
      <c r="AP18" s="102" t="e">
        <f ca="1">(UVG_Calculations!AP24 + UVG_Calculations!AP28 + UVG_Calculations!AP30 + UVG_Calculations!AP39) /UVG_Output!$C$11</f>
        <v>#DIV/0!</v>
      </c>
      <c r="AQ18" s="102" t="e">
        <f ca="1">(UVG_Calculations!AQ24 + UVG_Calculations!AQ28 + UVG_Calculations!AQ30 + UVG_Calculations!AQ39) /UVG_Output!$C$11</f>
        <v>#DIV/0!</v>
      </c>
      <c r="AR18" s="102" t="e">
        <f ca="1">(UVG_Calculations!AR24 + UVG_Calculations!AR28 + UVG_Calculations!AR30 + UVG_Calculations!AR39) /UVG_Output!$C$11</f>
        <v>#DIV/0!</v>
      </c>
      <c r="AS18" s="102" t="e">
        <f ca="1">(UVG_Calculations!AS24 + UVG_Calculations!AS28 + UVG_Calculations!AS30 + UVG_Calculations!AS39) /UVG_Output!$C$11</f>
        <v>#DIV/0!</v>
      </c>
      <c r="AT18" s="102" t="e">
        <f ca="1">(UVG_Calculations!AT24 + UVG_Calculations!AT28 + UVG_Calculations!AT30 + UVG_Calculations!AT39) /UVG_Output!$C$11</f>
        <v>#DIV/0!</v>
      </c>
      <c r="AU18" s="102" t="e">
        <f ca="1">(UVG_Calculations!AU24 + UVG_Calculations!AU28 + UVG_Calculations!AU30 + UVG_Calculations!AU39) /UVG_Output!$C$11</f>
        <v>#DIV/0!</v>
      </c>
      <c r="AV18" s="102" t="e">
        <f ca="1">(UVG_Calculations!AV24 + UVG_Calculations!AV28 + UVG_Calculations!AV30 + UVG_Calculations!AV39) /UVG_Output!$C$11</f>
        <v>#DIV/0!</v>
      </c>
      <c r="AW18" s="102" t="e">
        <f ca="1">(UVG_Calculations!AW24 + UVG_Calculations!AW28 + UVG_Calculations!AW30 + UVG_Calculations!AW39) /UVG_Output!$C$11</f>
        <v>#DIV/0!</v>
      </c>
      <c r="AX18" s="102" t="e">
        <f ca="1">(UVG_Calculations!AX24 + UVG_Calculations!AX28 + UVG_Calculations!AX30 + UVG_Calculations!AX39) /UVG_Output!$C$11</f>
        <v>#DIV/0!</v>
      </c>
      <c r="AY18" s="102" t="e">
        <f ca="1">(UVG_Calculations!AY24 + UVG_Calculations!AY28 + UVG_Calculations!AY30 + UVG_Calculations!AY39) /UVG_Output!$C$11</f>
        <v>#DIV/0!</v>
      </c>
      <c r="AZ18" s="102" t="e">
        <f ca="1">(UVG_Calculations!AZ24 + UVG_Calculations!AZ28 + UVG_Calculations!AZ30 + UVG_Calculations!AZ39) /UVG_Output!$C$11</f>
        <v>#DIV/0!</v>
      </c>
    </row>
    <row r="19" spans="1:52">
      <c r="A19" s="212"/>
      <c r="B19" s="212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</row>
    <row r="20" spans="1:52">
      <c r="A20" s="212"/>
      <c r="B20" s="212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</row>
    <row r="21" spans="1:52" ht="25.5" customHeight="1">
      <c r="B21" s="219" t="s">
        <v>541</v>
      </c>
      <c r="C21" s="220"/>
    </row>
    <row r="22" spans="1:52" ht="25.5" customHeight="1">
      <c r="B22" s="158" t="s">
        <v>23</v>
      </c>
      <c r="C22" s="198">
        <f ca="1">UVG_Calculations!AZ40</f>
        <v>0</v>
      </c>
    </row>
    <row r="23" spans="1:52">
      <c r="B23" s="213"/>
      <c r="C23" s="213"/>
    </row>
    <row r="24" spans="1:52">
      <c r="C24" s="99"/>
      <c r="D24" s="99"/>
      <c r="E24" s="100"/>
      <c r="F24" s="15"/>
    </row>
    <row r="25" spans="1:52" ht="25.5" customHeight="1">
      <c r="B25" s="219" t="s">
        <v>582</v>
      </c>
      <c r="C25" s="221"/>
      <c r="D25" s="221"/>
      <c r="E25" s="221"/>
    </row>
    <row r="26" spans="1:52">
      <c r="C26" s="8">
        <v>0</v>
      </c>
      <c r="D26" s="8">
        <v>1</v>
      </c>
      <c r="E26" s="8">
        <v>2</v>
      </c>
      <c r="F26" s="8">
        <v>3</v>
      </c>
      <c r="G26" s="8">
        <v>4</v>
      </c>
      <c r="H26" s="8">
        <v>5</v>
      </c>
      <c r="I26" s="8">
        <v>6</v>
      </c>
      <c r="J26" s="8">
        <v>7</v>
      </c>
      <c r="K26" s="8">
        <v>8</v>
      </c>
      <c r="L26" s="8">
        <v>9</v>
      </c>
      <c r="M26" s="8">
        <v>10</v>
      </c>
      <c r="N26" s="8">
        <v>11</v>
      </c>
      <c r="O26" s="8">
        <v>12</v>
      </c>
      <c r="P26" s="8">
        <v>13</v>
      </c>
      <c r="Q26" s="8">
        <v>14</v>
      </c>
      <c r="R26" s="8">
        <v>15</v>
      </c>
      <c r="S26" s="8">
        <v>16</v>
      </c>
      <c r="T26" s="8">
        <v>17</v>
      </c>
      <c r="U26" s="8">
        <v>18</v>
      </c>
      <c r="V26" s="8">
        <v>19</v>
      </c>
      <c r="W26" s="8">
        <v>20</v>
      </c>
      <c r="X26" s="8">
        <v>21</v>
      </c>
      <c r="Y26" s="8">
        <v>22</v>
      </c>
      <c r="Z26" s="8">
        <v>23</v>
      </c>
      <c r="AA26" s="8">
        <v>24</v>
      </c>
      <c r="AB26" s="8">
        <v>25</v>
      </c>
      <c r="AC26" s="8">
        <v>26</v>
      </c>
      <c r="AD26" s="8">
        <v>27</v>
      </c>
      <c r="AE26" s="8">
        <v>28</v>
      </c>
      <c r="AF26" s="8">
        <v>29</v>
      </c>
      <c r="AG26" s="8">
        <v>30</v>
      </c>
      <c r="AH26" s="8">
        <v>31</v>
      </c>
      <c r="AI26" s="8">
        <v>32</v>
      </c>
      <c r="AJ26" s="8">
        <v>33</v>
      </c>
      <c r="AK26" s="8">
        <v>34</v>
      </c>
      <c r="AL26" s="8">
        <v>35</v>
      </c>
      <c r="AM26" s="8">
        <v>36</v>
      </c>
      <c r="AN26" s="8">
        <v>37</v>
      </c>
      <c r="AO26" s="8">
        <v>38</v>
      </c>
      <c r="AP26" s="8">
        <v>39</v>
      </c>
      <c r="AQ26" s="8">
        <v>40</v>
      </c>
      <c r="AR26" s="8">
        <v>41</v>
      </c>
      <c r="AS26" s="8">
        <v>42</v>
      </c>
      <c r="AT26" s="8">
        <v>43</v>
      </c>
      <c r="AU26" s="8">
        <v>44</v>
      </c>
      <c r="AV26" s="8">
        <v>45</v>
      </c>
      <c r="AW26" s="8">
        <v>46</v>
      </c>
      <c r="AX26" s="8">
        <v>47</v>
      </c>
      <c r="AY26" s="8">
        <v>48</v>
      </c>
      <c r="AZ26" s="8">
        <v>49</v>
      </c>
    </row>
    <row r="27" spans="1:52">
      <c r="B27" s="13" t="str">
        <f>UVG_Calculations!B39</f>
        <v>Ausgleichszahlungen</v>
      </c>
      <c r="C27" s="198">
        <f ca="1">UVG_Calculations!C39</f>
        <v>0</v>
      </c>
      <c r="D27" s="198">
        <f ca="1">UVG_Calculations!D39</f>
        <v>0</v>
      </c>
      <c r="E27" s="198">
        <f ca="1">UVG_Calculations!E39</f>
        <v>0</v>
      </c>
      <c r="F27" s="198">
        <f ca="1">UVG_Calculations!F39</f>
        <v>0</v>
      </c>
      <c r="G27" s="198">
        <f ca="1">UVG_Calculations!G39</f>
        <v>0</v>
      </c>
      <c r="H27" s="198">
        <f ca="1">UVG_Calculations!H39</f>
        <v>0</v>
      </c>
      <c r="I27" s="198">
        <f ca="1">UVG_Calculations!I39</f>
        <v>0</v>
      </c>
      <c r="J27" s="198">
        <f ca="1">UVG_Calculations!J39</f>
        <v>0</v>
      </c>
      <c r="K27" s="198">
        <f ca="1">UVG_Calculations!K39</f>
        <v>0</v>
      </c>
      <c r="L27" s="198">
        <f ca="1">UVG_Calculations!L39</f>
        <v>0</v>
      </c>
      <c r="M27" s="198">
        <f ca="1">UVG_Calculations!M39</f>
        <v>0</v>
      </c>
      <c r="N27" s="198">
        <f ca="1">UVG_Calculations!N39</f>
        <v>0</v>
      </c>
      <c r="O27" s="198">
        <f ca="1">UVG_Calculations!O39</f>
        <v>0</v>
      </c>
      <c r="P27" s="198">
        <f ca="1">UVG_Calculations!P39</f>
        <v>0</v>
      </c>
      <c r="Q27" s="198">
        <f ca="1">UVG_Calculations!Q39</f>
        <v>0</v>
      </c>
      <c r="R27" s="198">
        <f ca="1">UVG_Calculations!R39</f>
        <v>0</v>
      </c>
      <c r="S27" s="198">
        <f ca="1">UVG_Calculations!S39</f>
        <v>0</v>
      </c>
      <c r="T27" s="198">
        <f ca="1">UVG_Calculations!T39</f>
        <v>0</v>
      </c>
      <c r="U27" s="198">
        <f ca="1">UVG_Calculations!U39</f>
        <v>0</v>
      </c>
      <c r="V27" s="198">
        <f ca="1">UVG_Calculations!V39</f>
        <v>0</v>
      </c>
      <c r="W27" s="198">
        <f ca="1">UVG_Calculations!W39</f>
        <v>0</v>
      </c>
      <c r="X27" s="198">
        <f ca="1">UVG_Calculations!X39</f>
        <v>0</v>
      </c>
      <c r="Y27" s="198">
        <f ca="1">UVG_Calculations!Y39</f>
        <v>0</v>
      </c>
      <c r="Z27" s="198">
        <f ca="1">UVG_Calculations!Z39</f>
        <v>0</v>
      </c>
      <c r="AA27" s="198">
        <f ca="1">UVG_Calculations!AA39</f>
        <v>0</v>
      </c>
      <c r="AB27" s="198">
        <f ca="1">UVG_Calculations!AB39</f>
        <v>0</v>
      </c>
      <c r="AC27" s="198">
        <f ca="1">UVG_Calculations!AC39</f>
        <v>0</v>
      </c>
      <c r="AD27" s="198">
        <f ca="1">UVG_Calculations!AD39</f>
        <v>0</v>
      </c>
      <c r="AE27" s="198">
        <f ca="1">UVG_Calculations!AE39</f>
        <v>0</v>
      </c>
      <c r="AF27" s="198">
        <f ca="1">UVG_Calculations!AF39</f>
        <v>0</v>
      </c>
      <c r="AG27" s="198">
        <f ca="1">UVG_Calculations!AG39</f>
        <v>0</v>
      </c>
      <c r="AH27" s="198">
        <f ca="1">UVG_Calculations!AH39</f>
        <v>0</v>
      </c>
      <c r="AI27" s="198">
        <f ca="1">UVG_Calculations!AI39</f>
        <v>0</v>
      </c>
      <c r="AJ27" s="198">
        <f ca="1">UVG_Calculations!AJ39</f>
        <v>0</v>
      </c>
      <c r="AK27" s="198">
        <f ca="1">UVG_Calculations!AK39</f>
        <v>0</v>
      </c>
      <c r="AL27" s="198">
        <f ca="1">UVG_Calculations!AL39</f>
        <v>0</v>
      </c>
      <c r="AM27" s="198">
        <f ca="1">UVG_Calculations!AM39</f>
        <v>0</v>
      </c>
      <c r="AN27" s="198">
        <f ca="1">UVG_Calculations!AN39</f>
        <v>0</v>
      </c>
      <c r="AO27" s="198">
        <f ca="1">UVG_Calculations!AO39</f>
        <v>0</v>
      </c>
      <c r="AP27" s="198">
        <f ca="1">UVG_Calculations!AP39</f>
        <v>0</v>
      </c>
      <c r="AQ27" s="198">
        <f ca="1">UVG_Calculations!AQ39</f>
        <v>0</v>
      </c>
      <c r="AR27" s="198">
        <f ca="1">UVG_Calculations!AR39</f>
        <v>0</v>
      </c>
      <c r="AS27" s="198">
        <f ca="1">UVG_Calculations!AS39</f>
        <v>0</v>
      </c>
      <c r="AT27" s="198">
        <f ca="1">UVG_Calculations!AT39</f>
        <v>0</v>
      </c>
      <c r="AU27" s="198">
        <f ca="1">UVG_Calculations!AU39</f>
        <v>0</v>
      </c>
      <c r="AV27" s="198">
        <f ca="1">UVG_Calculations!AV39</f>
        <v>0</v>
      </c>
      <c r="AW27" s="198">
        <f ca="1">UVG_Calculations!AW39</f>
        <v>0</v>
      </c>
      <c r="AX27" s="198">
        <f ca="1">UVG_Calculations!AX39</f>
        <v>0</v>
      </c>
      <c r="AY27" s="198">
        <f ca="1">UVG_Calculations!AY39</f>
        <v>0</v>
      </c>
      <c r="AZ27" s="198">
        <f ca="1">UVG_Calculations!AZ39</f>
        <v>0</v>
      </c>
    </row>
    <row r="28" spans="1:52">
      <c r="C28" s="99"/>
      <c r="D28" s="99"/>
      <c r="E28" s="100"/>
      <c r="F28" s="15"/>
    </row>
    <row r="29" spans="1:52" ht="15">
      <c r="B29" s="4" t="s">
        <v>586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1" spans="1:52" ht="25.5">
      <c r="B31" s="158" t="s">
        <v>24</v>
      </c>
      <c r="C31" s="199">
        <f ca="1">UVG_Calculations!C18</f>
        <v>0</v>
      </c>
    </row>
    <row r="33" spans="2:14" ht="15">
      <c r="B33" s="4" t="s">
        <v>581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5" spans="2:14">
      <c r="B35" s="162" t="s">
        <v>25</v>
      </c>
      <c r="C35" s="8"/>
    </row>
    <row r="36" spans="2:14" ht="35.25" customHeight="1">
      <c r="B36" s="163" t="s">
        <v>26</v>
      </c>
    </row>
  </sheetData>
  <mergeCells count="6">
    <mergeCell ref="B21:C21"/>
    <mergeCell ref="B25:E25"/>
    <mergeCell ref="B6:D6"/>
    <mergeCell ref="C7:D7"/>
    <mergeCell ref="B15:B16"/>
    <mergeCell ref="B14:E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3D41-D92D-4B00-BFD5-0AED9C4A06D5}">
  <sheetPr codeName="Sheet4">
    <tabColor theme="1" tint="4.9989318521683403E-2"/>
  </sheetPr>
  <dimension ref="A2:K110"/>
  <sheetViews>
    <sheetView showGridLines="0" zoomScaleNormal="100" workbookViewId="0"/>
  </sheetViews>
  <sheetFormatPr defaultColWidth="8.7109375" defaultRowHeight="12.75"/>
  <cols>
    <col min="1" max="1" width="5.5703125" style="126" customWidth="1"/>
    <col min="2" max="2" width="33.5703125" style="126" customWidth="1"/>
    <col min="3" max="3" width="21" style="126" customWidth="1"/>
    <col min="4" max="4" width="53.28515625" style="126" customWidth="1"/>
    <col min="5" max="5" width="66" style="126" customWidth="1"/>
    <col min="6" max="6" width="53.42578125" style="126" customWidth="1"/>
    <col min="7" max="9" width="41" style="126" customWidth="1"/>
    <col min="10" max="16384" width="8.7109375" style="126"/>
  </cols>
  <sheetData>
    <row r="2" spans="1:10">
      <c r="B2" s="127" t="s">
        <v>194</v>
      </c>
      <c r="C2" s="127" t="s">
        <v>195</v>
      </c>
      <c r="D2" s="128" t="s">
        <v>196</v>
      </c>
      <c r="E2" s="128" t="s">
        <v>197</v>
      </c>
      <c r="F2" s="128" t="s">
        <v>198</v>
      </c>
    </row>
    <row r="3" spans="1:10">
      <c r="A3"/>
      <c r="B3"/>
      <c r="C3"/>
      <c r="D3"/>
      <c r="E3"/>
      <c r="F3"/>
      <c r="G3"/>
      <c r="H3"/>
      <c r="I3"/>
      <c r="J3"/>
    </row>
    <row r="4" spans="1:10" s="145" customFormat="1" ht="38.25">
      <c r="B4" s="147"/>
      <c r="C4" s="148" t="s">
        <v>199</v>
      </c>
      <c r="D4" s="147" t="s">
        <v>200</v>
      </c>
      <c r="E4" s="146" t="s">
        <v>201</v>
      </c>
      <c r="F4" s="149" t="s">
        <v>202</v>
      </c>
    </row>
    <row r="5" spans="1:10">
      <c r="B5" s="126" t="str">
        <f>IF(Language="EN",$F5,IF(Language="DE",$D5,$E5))</f>
        <v>in Mio. CHF</v>
      </c>
      <c r="C5" s="126" t="s">
        <v>203</v>
      </c>
      <c r="D5" s="129" t="s">
        <v>16</v>
      </c>
      <c r="E5" s="129" t="s">
        <v>204</v>
      </c>
      <c r="F5" s="129" t="s">
        <v>205</v>
      </c>
    </row>
    <row r="6" spans="1:10">
      <c r="B6" s="126" t="str">
        <f>IF(Language="EN",$F6,IF(Language="DE",$D6,$E6))</f>
        <v xml:space="preserve"> (in Mio. CHF)</v>
      </c>
      <c r="C6" s="126" t="s">
        <v>206</v>
      </c>
      <c r="D6" s="129" t="s">
        <v>207</v>
      </c>
      <c r="E6" s="129" t="s">
        <v>208</v>
      </c>
      <c r="F6" s="129" t="s">
        <v>209</v>
      </c>
    </row>
    <row r="7" spans="1:10">
      <c r="C7" s="126" t="s">
        <v>210</v>
      </c>
      <c r="D7" s="129" t="s">
        <v>211</v>
      </c>
      <c r="E7" s="129" t="s">
        <v>212</v>
      </c>
      <c r="F7" s="129" t="s">
        <v>213</v>
      </c>
    </row>
    <row r="8" spans="1:10">
      <c r="C8" s="126" t="s">
        <v>214</v>
      </c>
      <c r="D8" s="129" t="s">
        <v>215</v>
      </c>
      <c r="E8" s="129" t="s">
        <v>216</v>
      </c>
      <c r="F8" s="129" t="s">
        <v>217</v>
      </c>
    </row>
    <row r="9" spans="1:10">
      <c r="C9" s="126" t="s">
        <v>218</v>
      </c>
      <c r="D9" s="129" t="s">
        <v>219</v>
      </c>
      <c r="E9" s="129" t="s">
        <v>220</v>
      </c>
      <c r="F9" s="129" t="s">
        <v>221</v>
      </c>
    </row>
    <row r="10" spans="1:10">
      <c r="C10" s="126" t="s">
        <v>222</v>
      </c>
      <c r="D10" s="129" t="s">
        <v>223</v>
      </c>
      <c r="E10" s="129" t="s">
        <v>224</v>
      </c>
      <c r="F10" s="129" t="s">
        <v>225</v>
      </c>
    </row>
    <row r="11" spans="1:10">
      <c r="C11" s="126" t="s">
        <v>226</v>
      </c>
      <c r="D11" s="129" t="s">
        <v>227</v>
      </c>
      <c r="E11" s="129" t="s">
        <v>228</v>
      </c>
      <c r="F11" s="129" t="s">
        <v>229</v>
      </c>
    </row>
    <row r="12" spans="1:10">
      <c r="C12" s="126" t="s">
        <v>230</v>
      </c>
      <c r="D12" s="129" t="s">
        <v>231</v>
      </c>
      <c r="E12" s="129" t="s">
        <v>232</v>
      </c>
      <c r="F12" s="129" t="s">
        <v>233</v>
      </c>
    </row>
    <row r="13" spans="1:10">
      <c r="C13" s="126" t="s">
        <v>234</v>
      </c>
      <c r="D13" s="129" t="s">
        <v>235</v>
      </c>
      <c r="E13" s="129" t="s">
        <v>236</v>
      </c>
      <c r="F13" s="129" t="s">
        <v>194</v>
      </c>
    </row>
    <row r="14" spans="1:10">
      <c r="C14" s="126" t="s">
        <v>237</v>
      </c>
      <c r="D14" s="129" t="s">
        <v>238</v>
      </c>
      <c r="E14" s="129" t="s">
        <v>239</v>
      </c>
      <c r="F14" s="129" t="s">
        <v>240</v>
      </c>
    </row>
    <row r="15" spans="1:10" ht="38.25">
      <c r="C15" s="126" t="s">
        <v>241</v>
      </c>
      <c r="D15" s="130" t="s">
        <v>242</v>
      </c>
      <c r="E15" s="130" t="s">
        <v>243</v>
      </c>
      <c r="F15" s="130" t="s">
        <v>244</v>
      </c>
    </row>
    <row r="16" spans="1:10" ht="25.5">
      <c r="C16" s="126" t="s">
        <v>245</v>
      </c>
      <c r="D16" s="130" t="s">
        <v>246</v>
      </c>
      <c r="E16" s="130" t="s">
        <v>247</v>
      </c>
      <c r="F16" s="130" t="s">
        <v>248</v>
      </c>
    </row>
    <row r="17" spans="1:11" ht="25.5">
      <c r="C17" s="126" t="s">
        <v>249</v>
      </c>
      <c r="D17" s="130" t="s">
        <v>250</v>
      </c>
      <c r="E17" s="130" t="s">
        <v>251</v>
      </c>
      <c r="F17" s="130" t="s">
        <v>252</v>
      </c>
    </row>
    <row r="18" spans="1:11" ht="25.5">
      <c r="C18" s="126" t="s">
        <v>253</v>
      </c>
      <c r="D18" s="130" t="s">
        <v>538</v>
      </c>
      <c r="E18" s="161" t="s">
        <v>254</v>
      </c>
      <c r="F18" s="161" t="s">
        <v>255</v>
      </c>
    </row>
    <row r="19" spans="1:11" ht="25.5">
      <c r="C19" s="126" t="s">
        <v>256</v>
      </c>
      <c r="D19" s="130" t="s">
        <v>257</v>
      </c>
      <c r="E19" s="130" t="s">
        <v>258</v>
      </c>
      <c r="F19" s="130" t="s">
        <v>259</v>
      </c>
    </row>
    <row r="20" spans="1:11">
      <c r="D20" s="129"/>
      <c r="E20" s="129"/>
      <c r="F20" s="129"/>
    </row>
    <row r="21" spans="1:11">
      <c r="B21" s="128"/>
      <c r="C21" s="128" t="s">
        <v>260</v>
      </c>
      <c r="D21" s="128" t="s">
        <v>261</v>
      </c>
      <c r="E21" s="128" t="s">
        <v>262</v>
      </c>
      <c r="F21" s="128" t="s">
        <v>263</v>
      </c>
    </row>
    <row r="22" spans="1:11" customFormat="1">
      <c r="A22" s="126"/>
      <c r="B22" s="126" t="str">
        <f t="shared" ref="B22:B27" si="0">IF(Language="EN",$F22,IF(Language="DE",$D22,$E22))</f>
        <v>Fälligkeit (in Jahren)</v>
      </c>
      <c r="C22" s="126" t="s">
        <v>264</v>
      </c>
      <c r="D22" s="129" t="s">
        <v>265</v>
      </c>
      <c r="E22" s="129" t="s">
        <v>266</v>
      </c>
      <c r="F22" s="129" t="s">
        <v>267</v>
      </c>
      <c r="G22" s="126"/>
      <c r="H22" s="126"/>
      <c r="I22" s="126"/>
      <c r="J22" s="126"/>
      <c r="K22" s="126"/>
    </row>
    <row r="23" spans="1:11">
      <c r="B23" s="126" t="str">
        <f t="shared" si="0"/>
        <v>nach oben</v>
      </c>
      <c r="C23" s="126" t="s">
        <v>268</v>
      </c>
      <c r="D23" s="131" t="s">
        <v>269</v>
      </c>
      <c r="E23" s="131" t="s">
        <v>270</v>
      </c>
      <c r="F23" s="131" t="s">
        <v>271</v>
      </c>
    </row>
    <row r="24" spans="1:11">
      <c r="B24" s="126" t="str">
        <f t="shared" si="0"/>
        <v>nach unten</v>
      </c>
      <c r="C24" s="126" t="s">
        <v>272</v>
      </c>
      <c r="D24" s="131" t="s">
        <v>273</v>
      </c>
      <c r="E24" s="131" t="s">
        <v>274</v>
      </c>
      <c r="F24" s="131" t="s">
        <v>275</v>
      </c>
    </row>
    <row r="25" spans="1:11">
      <c r="B25" s="126" t="str">
        <f t="shared" si="0"/>
        <v>CHF kurzfristiger Zinssatz</v>
      </c>
      <c r="C25" s="126" t="s">
        <v>276</v>
      </c>
      <c r="D25" s="131" t="s">
        <v>277</v>
      </c>
      <c r="E25" s="160" t="s">
        <v>278</v>
      </c>
      <c r="F25" s="131" t="s">
        <v>279</v>
      </c>
    </row>
    <row r="26" spans="1:11">
      <c r="B26" s="126" t="str">
        <f t="shared" si="0"/>
        <v>CHF mittelfristiger Zinssatz</v>
      </c>
      <c r="C26" s="126" t="s">
        <v>280</v>
      </c>
      <c r="D26" s="131" t="s">
        <v>281</v>
      </c>
      <c r="E26" s="160" t="s">
        <v>282</v>
      </c>
      <c r="F26" s="131" t="s">
        <v>283</v>
      </c>
    </row>
    <row r="27" spans="1:11">
      <c r="B27" s="126" t="str">
        <f t="shared" si="0"/>
        <v>CHF langfristiger Zinssatz</v>
      </c>
      <c r="C27" s="126" t="s">
        <v>284</v>
      </c>
      <c r="D27" s="131" t="s">
        <v>285</v>
      </c>
      <c r="E27" s="160" t="s">
        <v>286</v>
      </c>
      <c r="F27" s="131" t="s">
        <v>287</v>
      </c>
    </row>
    <row r="28" spans="1:11">
      <c r="C28" s="126" t="s">
        <v>288</v>
      </c>
      <c r="D28" s="129" t="str">
        <f>"Risikolose Zinskurve r(t) per 31.12."&amp; current_year-1</f>
        <v>Risikolose Zinskurve r(t) per 31.12.2023</v>
      </c>
      <c r="E28" s="129" t="str">
        <f>"Taux d'interêt sans risque r(t) au 31.12." &amp; current_year-1</f>
        <v>Taux d'interêt sans risque r(t) au 31.12.2023</v>
      </c>
      <c r="F28" s="129" t="str">
        <f>"Risk-free interest rates r(t) as of 31.12." &amp; current_year-1</f>
        <v>Risk-free interest rates r(t) as of 31.12.2023</v>
      </c>
    </row>
    <row r="29" spans="1:11" ht="25.5">
      <c r="C29" s="135" t="s">
        <v>289</v>
      </c>
      <c r="D29" s="130" t="s">
        <v>290</v>
      </c>
      <c r="E29" s="130" t="s">
        <v>291</v>
      </c>
      <c r="F29" s="130" t="s">
        <v>292</v>
      </c>
    </row>
    <row r="30" spans="1:11">
      <c r="C30" s="135" t="s">
        <v>293</v>
      </c>
      <c r="D30" s="130" t="s">
        <v>294</v>
      </c>
      <c r="E30" s="161" t="s">
        <v>295</v>
      </c>
      <c r="F30" s="130" t="s">
        <v>296</v>
      </c>
    </row>
    <row r="31" spans="1:11">
      <c r="C31" s="135" t="s">
        <v>297</v>
      </c>
      <c r="D31" s="130" t="s">
        <v>298</v>
      </c>
      <c r="E31" s="161" t="s">
        <v>299</v>
      </c>
      <c r="F31" s="130" t="s">
        <v>300</v>
      </c>
    </row>
    <row r="32" spans="1:11" ht="25.5">
      <c r="C32" s="135" t="s">
        <v>301</v>
      </c>
      <c r="D32" s="130" t="str">
        <f>"Durchschnitt der 10-jährigen Renditen Bundesobligationen der letzten 10 Jahre per 31.12." &amp; current_year-1</f>
        <v>Durchschnitt der 10-jährigen Renditen Bundesobligationen der letzten 10 Jahre per 31.12.2023</v>
      </c>
      <c r="E32" s="161" t="s">
        <v>302</v>
      </c>
      <c r="F32" s="130" t="str">
        <f>"Average of the Swiss confederation bond yield over the last 10 years as of 31.12."&amp; current_year-1</f>
        <v>Average of the Swiss confederation bond yield over the last 10 years as of 31.12.2023</v>
      </c>
    </row>
    <row r="33" spans="2:6">
      <c r="C33" s="135" t="s">
        <v>303</v>
      </c>
      <c r="D33" s="130" t="s">
        <v>304</v>
      </c>
      <c r="E33" s="161" t="s">
        <v>305</v>
      </c>
      <c r="F33" s="130" t="s">
        <v>306</v>
      </c>
    </row>
    <row r="34" spans="2:6">
      <c r="C34" s="135" t="s">
        <v>307</v>
      </c>
      <c r="D34" s="129" t="str">
        <f>"Verbraucherpreisinflation per 31.12." &amp; current_year-1</f>
        <v>Verbraucherpreisinflation per 31.12.2023</v>
      </c>
      <c r="E34" s="161" t="str">
        <f>"Inflation de l'indice des prix à la consommation au 31.12." &amp; current_year-1</f>
        <v>Inflation de l'indice des prix à la consommation au 31.12.2023</v>
      </c>
      <c r="F34" s="129" t="str">
        <f>"Consumer price inflation as of 31.12."&amp; current_year-1</f>
        <v>Consumer price inflation as of 31.12.2023</v>
      </c>
    </row>
    <row r="35" spans="2:6">
      <c r="C35" s="135" t="s">
        <v>308</v>
      </c>
      <c r="D35" s="129" t="s">
        <v>309</v>
      </c>
      <c r="E35" s="161" t="s">
        <v>310</v>
      </c>
      <c r="F35" s="129" t="s">
        <v>311</v>
      </c>
    </row>
    <row r="36" spans="2:6" ht="25.5">
      <c r="B36" s="135"/>
      <c r="C36" s="135" t="s">
        <v>312</v>
      </c>
      <c r="D36" s="130" t="s">
        <v>313</v>
      </c>
      <c r="E36" s="161" t="s">
        <v>314</v>
      </c>
      <c r="F36" s="130" t="s">
        <v>315</v>
      </c>
    </row>
    <row r="37" spans="2:6">
      <c r="B37" s="135"/>
      <c r="C37" s="135" t="s">
        <v>316</v>
      </c>
      <c r="D37" s="130" t="s">
        <v>317</v>
      </c>
      <c r="E37" s="161" t="s">
        <v>318</v>
      </c>
      <c r="F37" s="130" t="s">
        <v>319</v>
      </c>
    </row>
    <row r="38" spans="2:6">
      <c r="B38" s="135"/>
      <c r="C38" s="135" t="s">
        <v>320</v>
      </c>
      <c r="D38" s="130" t="s">
        <v>321</v>
      </c>
      <c r="E38" s="161" t="s">
        <v>322</v>
      </c>
      <c r="F38" s="164" t="s">
        <v>323</v>
      </c>
    </row>
    <row r="39" spans="2:6" ht="25.5">
      <c r="B39" s="135"/>
      <c r="C39" s="135" t="s">
        <v>324</v>
      </c>
      <c r="D39" s="130" t="str">
        <f>"Prozentsatz für Umlagebeiträge (Prämienzuschlag) am 1.01."&amp; current_year</f>
        <v>Prozentsatz für Umlagebeiträge (Prämienzuschlag) am 1.01.2024</v>
      </c>
      <c r="E39" s="161" t="s">
        <v>325</v>
      </c>
      <c r="F39" s="130" t="str">
        <f>"Premium surcharge as of 1.01."&amp; current_year</f>
        <v>Premium surcharge as of 1.01.2024</v>
      </c>
    </row>
    <row r="40" spans="2:6">
      <c r="C40" s="135" t="s">
        <v>326</v>
      </c>
      <c r="D40" s="131" t="s">
        <v>539</v>
      </c>
      <c r="E40" s="160" t="s">
        <v>327</v>
      </c>
      <c r="F40" s="131" t="s">
        <v>328</v>
      </c>
    </row>
    <row r="41" spans="2:6">
      <c r="C41" s="135" t="s">
        <v>329</v>
      </c>
      <c r="D41" s="131" t="s">
        <v>330</v>
      </c>
      <c r="E41" s="160" t="s">
        <v>331</v>
      </c>
      <c r="F41" s="131" t="s">
        <v>332</v>
      </c>
    </row>
    <row r="42" spans="2:6">
      <c r="C42" s="135" t="s">
        <v>333</v>
      </c>
      <c r="D42" s="131" t="s">
        <v>334</v>
      </c>
      <c r="E42" s="160" t="s">
        <v>335</v>
      </c>
      <c r="F42" s="131" t="s">
        <v>336</v>
      </c>
    </row>
    <row r="43" spans="2:6">
      <c r="C43" s="135" t="s">
        <v>337</v>
      </c>
      <c r="D43" s="131" t="s">
        <v>338</v>
      </c>
      <c r="E43" s="160" t="s">
        <v>339</v>
      </c>
      <c r="F43" s="131" t="s">
        <v>340</v>
      </c>
    </row>
    <row r="44" spans="2:6">
      <c r="C44" s="135" t="s">
        <v>341</v>
      </c>
      <c r="D44" s="131" t="s">
        <v>342</v>
      </c>
      <c r="E44" s="160" t="s">
        <v>343</v>
      </c>
      <c r="F44" s="131" t="s">
        <v>344</v>
      </c>
    </row>
    <row r="45" spans="2:6">
      <c r="C45" s="135" t="s">
        <v>345</v>
      </c>
      <c r="D45" s="131" t="s">
        <v>346</v>
      </c>
      <c r="E45" s="160" t="s">
        <v>347</v>
      </c>
      <c r="F45" s="131" t="s">
        <v>348</v>
      </c>
    </row>
    <row r="46" spans="2:6">
      <c r="C46" s="135" t="s">
        <v>506</v>
      </c>
      <c r="D46" s="131" t="s">
        <v>501</v>
      </c>
      <c r="E46" s="160" t="s">
        <v>508</v>
      </c>
      <c r="F46" s="131" t="s">
        <v>507</v>
      </c>
    </row>
    <row r="48" spans="2:6">
      <c r="B48" s="128"/>
      <c r="C48" s="128" t="s">
        <v>349</v>
      </c>
      <c r="D48" s="128" t="s">
        <v>350</v>
      </c>
      <c r="E48" s="128" t="s">
        <v>351</v>
      </c>
      <c r="F48" s="128" t="s">
        <v>352</v>
      </c>
    </row>
    <row r="49" spans="2:6">
      <c r="B49" s="126" t="str">
        <f>IF(Language="EN",$F49,IF(Language="DE",$D49,$E49))</f>
        <v xml:space="preserve">Neurente im Jahr </v>
      </c>
      <c r="C49" s="144" t="s">
        <v>353</v>
      </c>
      <c r="D49" s="140" t="s">
        <v>354</v>
      </c>
      <c r="E49" s="140" t="s">
        <v>355</v>
      </c>
      <c r="F49" s="140" t="s">
        <v>356</v>
      </c>
    </row>
    <row r="50" spans="2:6" s="136" customFormat="1">
      <c r="C50" s="151" t="s">
        <v>357</v>
      </c>
      <c r="D50" s="140" t="s">
        <v>358</v>
      </c>
      <c r="E50" s="140" t="s">
        <v>359</v>
      </c>
      <c r="F50" s="140" t="s">
        <v>360</v>
      </c>
    </row>
    <row r="51" spans="2:6">
      <c r="B51" s="136"/>
      <c r="C51" s="151" t="s">
        <v>361</v>
      </c>
      <c r="D51" s="140" t="s">
        <v>529</v>
      </c>
      <c r="E51" s="140" t="s">
        <v>362</v>
      </c>
      <c r="F51" s="140" t="s">
        <v>503</v>
      </c>
    </row>
    <row r="52" spans="2:6">
      <c r="B52" s="136"/>
      <c r="C52" s="151" t="s">
        <v>363</v>
      </c>
      <c r="D52" s="140" t="s">
        <v>364</v>
      </c>
      <c r="E52" s="140" t="s">
        <v>365</v>
      </c>
      <c r="F52" s="140" t="s">
        <v>504</v>
      </c>
    </row>
    <row r="53" spans="2:6" s="136" customFormat="1">
      <c r="C53" s="151" t="s">
        <v>366</v>
      </c>
      <c r="D53" s="140" t="s">
        <v>515</v>
      </c>
      <c r="E53" s="140" t="s">
        <v>526</v>
      </c>
      <c r="F53" s="140" t="s">
        <v>523</v>
      </c>
    </row>
    <row r="54" spans="2:6" s="136" customFormat="1">
      <c r="C54" s="151" t="s">
        <v>367</v>
      </c>
      <c r="D54" s="140" t="s">
        <v>516</v>
      </c>
      <c r="E54" s="140" t="s">
        <v>527</v>
      </c>
      <c r="F54" s="140" t="s">
        <v>524</v>
      </c>
    </row>
    <row r="55" spans="2:6" s="142" customFormat="1">
      <c r="B55" s="126"/>
      <c r="C55" s="151" t="s">
        <v>368</v>
      </c>
      <c r="D55" s="143" t="s">
        <v>517</v>
      </c>
      <c r="E55" s="140" t="s">
        <v>528</v>
      </c>
      <c r="F55" s="143" t="s">
        <v>525</v>
      </c>
    </row>
    <row r="56" spans="2:6" s="142" customFormat="1">
      <c r="B56" s="126"/>
      <c r="C56" s="151" t="s">
        <v>369</v>
      </c>
      <c r="D56" s="143" t="s">
        <v>512</v>
      </c>
      <c r="E56" s="204" t="s">
        <v>545</v>
      </c>
      <c r="F56" s="143" t="s">
        <v>513</v>
      </c>
    </row>
    <row r="57" spans="2:6" s="142" customFormat="1">
      <c r="B57" s="126"/>
      <c r="C57" s="151" t="s">
        <v>370</v>
      </c>
      <c r="D57" s="143" t="s">
        <v>371</v>
      </c>
      <c r="E57" s="185" t="s">
        <v>514</v>
      </c>
      <c r="F57" s="143" t="s">
        <v>372</v>
      </c>
    </row>
    <row r="58" spans="2:6" s="142" customFormat="1">
      <c r="B58" s="126"/>
      <c r="C58" s="151" t="s">
        <v>373</v>
      </c>
      <c r="D58" s="143" t="s">
        <v>511</v>
      </c>
      <c r="E58" s="140" t="s">
        <v>509</v>
      </c>
      <c r="F58" s="143" t="s">
        <v>510</v>
      </c>
    </row>
    <row r="59" spans="2:6" s="142" customFormat="1">
      <c r="B59" s="126"/>
      <c r="C59" s="151" t="s">
        <v>374</v>
      </c>
      <c r="D59" s="143" t="s">
        <v>375</v>
      </c>
      <c r="E59" s="140" t="s">
        <v>376</v>
      </c>
      <c r="F59" s="143" t="s">
        <v>377</v>
      </c>
    </row>
    <row r="60" spans="2:6" s="142" customFormat="1" ht="25.5">
      <c r="B60" s="126"/>
      <c r="C60" s="151" t="s">
        <v>378</v>
      </c>
      <c r="D60" s="143" t="str">
        <f>"Inkrementelle Zahlungsmuster für restliche Langfristrückstellungen ab dem Jahr "&amp; current_year &amp;" (in %)"</f>
        <v>Inkrementelle Zahlungsmuster für restliche Langfristrückstellungen ab dem Jahr 2024 (in %)</v>
      </c>
      <c r="E60" s="150" t="str">
        <f>"Cadence de paiements incrémentielle " &amp;current_year&amp;" (en %)"</f>
        <v>Cadence de paiements incrémentielle 2024 (en %)</v>
      </c>
      <c r="F60" s="143" t="str">
        <f>"Incremental payment pattern for remaining long term provisions starting from "&amp; current_year &amp;" (in %)"</f>
        <v>Incremental payment pattern for remaining long term provisions starting from 2024 (in %)</v>
      </c>
    </row>
    <row r="61" spans="2:6" s="142" customFormat="1" ht="25.5">
      <c r="B61" s="126"/>
      <c r="C61" s="151" t="s">
        <v>379</v>
      </c>
      <c r="D61" s="143" t="str">
        <f>"Inkrementelle Zahlungsmuster für künftige Neurenten ab dem Jahr "&amp; current_year &amp;" (in Mio. CHF; jeweils am Ende des Jahres)"</f>
        <v>Inkrementelle Zahlungsmuster für künftige Neurenten ab dem Jahr 2024 (in Mio. CHF; jeweils am Ende des Jahres)</v>
      </c>
      <c r="E61" s="140" t="str">
        <f>"Cash flows " &amp;current_year&amp;_million1</f>
        <v>Cash flows 2024 (in Mio. CHF)</v>
      </c>
      <c r="F61" s="143" t="str">
        <f>"Cash flows for future annuities starting from year "&amp; current_year &amp;" (in mio. CHF; at the end of each year)"</f>
        <v>Cash flows for future annuities starting from year 2024 (in mio. CHF; at the end of each year)</v>
      </c>
    </row>
    <row r="62" spans="2:6">
      <c r="C62" s="151" t="s">
        <v>380</v>
      </c>
      <c r="D62" s="143" t="s">
        <v>381</v>
      </c>
      <c r="E62" s="140" t="s">
        <v>382</v>
      </c>
      <c r="F62" s="143" t="s">
        <v>382</v>
      </c>
    </row>
    <row r="63" spans="2:6" s="142" customFormat="1">
      <c r="B63" s="126"/>
      <c r="C63" s="151" t="s">
        <v>383</v>
      </c>
      <c r="D63" s="142" t="str">
        <f>"Barwerte am 1.01."&amp;current_year &amp;_million1</f>
        <v>Barwerte am 1.01.2024 (in Mio. CHF)</v>
      </c>
      <c r="E63" s="139" t="str">
        <f>"Valeur actualisée au 1.01."&amp;current_year&amp;_million1</f>
        <v>Valeur actualisée au 1.01.2024 (in Mio. CHF)</v>
      </c>
      <c r="F63" s="142" t="str">
        <f>"Present values at 1.01."&amp;current_year&amp;_million1</f>
        <v>Present values at 1.01.2024 (in Mio. CHF)</v>
      </c>
    </row>
    <row r="64" spans="2:6" s="142" customFormat="1" ht="25.5">
      <c r="B64" s="126"/>
      <c r="C64" s="151" t="s">
        <v>384</v>
      </c>
      <c r="D64" s="143" t="str">
        <f>"Inkrementelle Zahlungsmuster für Leistungen am 1.01."&amp;current_year &amp;" (in %)"</f>
        <v>Inkrementelle Zahlungsmuster für Leistungen am 1.01.2024 (in %)</v>
      </c>
      <c r="E64" s="140" t="str">
        <f>"Cadence de paiements incrémentielle au 1.01."&amp;current_year &amp;" (en %)"</f>
        <v>Cadence de paiements incrémentielle au 1.01.2024 (en %)</v>
      </c>
      <c r="F64" s="143" t="str">
        <f>"Incremental payment pattern for provisions on 1.01."&amp;current_year &amp;" (in %)"</f>
        <v>Incremental payment pattern for provisions on 1.01.2024 (in %)</v>
      </c>
    </row>
    <row r="65" spans="2:6">
      <c r="C65" s="151" t="s">
        <v>385</v>
      </c>
      <c r="D65" s="142" t="str">
        <f>"Umlagebeitrag im Jahr "&amp;current_year &amp;_million1</f>
        <v>Umlagebeitrag im Jahr 2024 (in Mio. CHF)</v>
      </c>
      <c r="E65" s="139" t="str">
        <f>"Contributions de répartition pour "&amp;current_year &amp;_million1</f>
        <v>Contributions de répartition pour 2024 (in Mio. CHF)</v>
      </c>
      <c r="F65" s="142" t="str">
        <f>"Premium contribution in year "&amp;current_year &amp;_million1</f>
        <v>Premium contribution in year 2024 (in Mio. CHF)</v>
      </c>
    </row>
    <row r="66" spans="2:6" ht="25.5">
      <c r="C66" s="151" t="s">
        <v>386</v>
      </c>
      <c r="D66" s="140" t="s">
        <v>387</v>
      </c>
      <c r="E66" s="140" t="str">
        <f>"Versement moyen aux autres membres du pool" &amp;_million1</f>
        <v>Versement moyen aux autres membres du pool (in Mio. CHF)</v>
      </c>
      <c r="F66" s="150" t="s">
        <v>388</v>
      </c>
    </row>
    <row r="67" spans="2:6">
      <c r="C67" s="151" t="s">
        <v>389</v>
      </c>
      <c r="D67" s="140" t="s">
        <v>518</v>
      </c>
      <c r="E67" s="140" t="s">
        <v>546</v>
      </c>
      <c r="F67" s="140" t="s">
        <v>522</v>
      </c>
    </row>
    <row r="68" spans="2:6" s="139" customFormat="1">
      <c r="B68" s="126"/>
      <c r="C68" s="151" t="s">
        <v>390</v>
      </c>
      <c r="D68" s="140" t="s">
        <v>391</v>
      </c>
      <c r="E68" s="140" t="s">
        <v>392</v>
      </c>
      <c r="F68" s="140" t="s">
        <v>393</v>
      </c>
    </row>
    <row r="69" spans="2:6" s="139" customFormat="1">
      <c r="B69" s="126"/>
      <c r="C69" s="151" t="s">
        <v>394</v>
      </c>
      <c r="D69" s="140" t="str">
        <f>"Statutarische Werte"</f>
        <v>Statutarische Werte</v>
      </c>
      <c r="E69" s="140" t="s">
        <v>395</v>
      </c>
      <c r="F69" s="140" t="str">
        <f>"Statutory values"</f>
        <v>Statutory values</v>
      </c>
    </row>
    <row r="70" spans="2:6" s="139" customFormat="1" ht="25.5">
      <c r="B70" s="126"/>
      <c r="C70" s="151" t="s">
        <v>396</v>
      </c>
      <c r="D70" s="140" t="str">
        <f>"Best Estimate Werte 
nicht diskontiert"</f>
        <v>Best Estimate Werte 
nicht diskontiert</v>
      </c>
      <c r="E70" s="150" t="s">
        <v>397</v>
      </c>
      <c r="F70" s="140" t="s">
        <v>537</v>
      </c>
    </row>
    <row r="71" spans="2:6" s="142" customFormat="1">
      <c r="B71" s="126"/>
      <c r="C71" s="137" t="s">
        <v>398</v>
      </c>
      <c r="D71" s="143" t="s">
        <v>399</v>
      </c>
      <c r="E71" s="140" t="s">
        <v>400</v>
      </c>
      <c r="F71" s="143" t="s">
        <v>401</v>
      </c>
    </row>
    <row r="72" spans="2:6" s="142" customFormat="1">
      <c r="B72" s="126"/>
      <c r="C72" s="137" t="s">
        <v>402</v>
      </c>
      <c r="D72" s="140" t="s">
        <v>542</v>
      </c>
      <c r="E72" s="140" t="s">
        <v>403</v>
      </c>
      <c r="F72" s="140" t="s">
        <v>404</v>
      </c>
    </row>
    <row r="73" spans="2:6" s="142" customFormat="1" ht="25.5">
      <c r="B73" s="126"/>
      <c r="C73" s="137" t="s">
        <v>502</v>
      </c>
      <c r="D73" s="140" t="s">
        <v>500</v>
      </c>
      <c r="E73" s="140" t="str">
        <f>"Réserve mathématique pour les nouvelles rentes "&amp;_million1</f>
        <v>Réserve mathématique pour les nouvelles rentes  (in Mio. CHF)</v>
      </c>
      <c r="F73" s="140" t="s">
        <v>505</v>
      </c>
    </row>
    <row r="74" spans="2:6" s="142" customFormat="1">
      <c r="B74" s="126"/>
      <c r="C74" s="137" t="s">
        <v>519</v>
      </c>
      <c r="D74" s="140" t="s">
        <v>520</v>
      </c>
      <c r="E74" s="205" t="s">
        <v>547</v>
      </c>
      <c r="F74" s="140" t="s">
        <v>521</v>
      </c>
    </row>
    <row r="75" spans="2:6" s="142" customFormat="1" ht="25.5">
      <c r="B75" s="126"/>
      <c r="C75" s="137" t="s">
        <v>534</v>
      </c>
      <c r="D75" s="140" t="str">
        <f>"Best Estimate Werte 
diskontiert"</f>
        <v>Best Estimate Werte 
diskontiert</v>
      </c>
      <c r="E75" s="206" t="s">
        <v>535</v>
      </c>
      <c r="F75" s="140" t="s">
        <v>536</v>
      </c>
    </row>
    <row r="76" spans="2:6" s="142" customFormat="1">
      <c r="B76" s="126"/>
      <c r="C76" s="137" t="s">
        <v>583</v>
      </c>
      <c r="D76" s="140" t="s">
        <v>580</v>
      </c>
      <c r="E76" s="140" t="s">
        <v>585</v>
      </c>
      <c r="F76" s="140" t="s">
        <v>584</v>
      </c>
    </row>
    <row r="78" spans="2:6">
      <c r="B78" s="128"/>
      <c r="C78" s="128" t="s">
        <v>405</v>
      </c>
      <c r="D78" s="128" t="s">
        <v>540</v>
      </c>
      <c r="E78" s="128" t="s">
        <v>406</v>
      </c>
      <c r="F78" s="128" t="s">
        <v>407</v>
      </c>
    </row>
    <row r="79" spans="2:6" s="142" customFormat="1">
      <c r="C79" s="152" t="s">
        <v>408</v>
      </c>
      <c r="D79" s="143" t="str">
        <f>"Best Estimate Werte am 1.01."&amp;current_year &amp;_million1</f>
        <v>Best Estimate Werte am 1.01.2024 (in Mio. CHF)</v>
      </c>
      <c r="E79" s="140" t="str">
        <f>"Valeur best estimate au 1.1."&amp;current_year &amp;_million1</f>
        <v>Valeur best estimate au 1.1.2024 (in Mio. CHF)</v>
      </c>
      <c r="F79" s="143" t="str">
        <f>"Best Estimate values at 1.01."&amp;current_year &amp;_million1</f>
        <v>Best Estimate values at 1.01.2024 (in Mio. CHF)</v>
      </c>
    </row>
    <row r="80" spans="2:6" s="139" customFormat="1">
      <c r="C80" s="152" t="s">
        <v>409</v>
      </c>
      <c r="D80" s="140" t="s">
        <v>410</v>
      </c>
      <c r="E80" s="140" t="s">
        <v>411</v>
      </c>
      <c r="F80" s="140" t="s">
        <v>412</v>
      </c>
    </row>
    <row r="81" spans="3:6" s="139" customFormat="1">
      <c r="C81" s="152" t="s">
        <v>413</v>
      </c>
      <c r="D81" s="140" t="str">
        <f>"diskontiert"</f>
        <v>diskontiert</v>
      </c>
      <c r="E81" s="140" t="s">
        <v>414</v>
      </c>
      <c r="F81" s="140" t="s">
        <v>415</v>
      </c>
    </row>
    <row r="82" spans="3:6" s="139" customFormat="1">
      <c r="C82" s="152" t="s">
        <v>416</v>
      </c>
      <c r="D82" s="140" t="str">
        <f>"nicht diskontiert"</f>
        <v>nicht diskontiert</v>
      </c>
      <c r="E82" s="140" t="s">
        <v>417</v>
      </c>
      <c r="F82" s="140" t="s">
        <v>418</v>
      </c>
    </row>
    <row r="83" spans="3:6" s="139" customFormat="1">
      <c r="C83" s="152" t="s">
        <v>419</v>
      </c>
      <c r="D83" s="140" t="s">
        <v>420</v>
      </c>
      <c r="E83" s="140" t="s">
        <v>421</v>
      </c>
      <c r="F83" s="140" t="s">
        <v>422</v>
      </c>
    </row>
    <row r="84" spans="3:6" s="139" customFormat="1">
      <c r="C84" s="152" t="s">
        <v>423</v>
      </c>
      <c r="D84" s="140" t="s">
        <v>424</v>
      </c>
      <c r="E84" s="140" t="s">
        <v>425</v>
      </c>
      <c r="F84" s="140" t="s">
        <v>426</v>
      </c>
    </row>
    <row r="85" spans="3:6" s="139" customFormat="1">
      <c r="C85" s="152" t="s">
        <v>427</v>
      </c>
      <c r="D85" s="140" t="s">
        <v>428</v>
      </c>
      <c r="E85" s="140" t="s">
        <v>429</v>
      </c>
      <c r="F85" s="140" t="s">
        <v>430</v>
      </c>
    </row>
    <row r="86" spans="3:6" s="142" customFormat="1">
      <c r="C86" s="152" t="s">
        <v>431</v>
      </c>
      <c r="D86" s="140" t="str">
        <f>"Zahlungen für am 1.01."&amp; current_year &amp;" bestehende Renten"</f>
        <v>Zahlungen für am 1.01.2024 bestehende Renten</v>
      </c>
      <c r="E86" s="140" t="s">
        <v>432</v>
      </c>
      <c r="F86" s="140" t="str">
        <f>"Payments for at 1.01."&amp; current_year &amp;" valid annuities"</f>
        <v>Payments for at 1.01.2024 valid annuities</v>
      </c>
    </row>
    <row r="87" spans="3:6" s="142" customFormat="1">
      <c r="C87" s="152" t="s">
        <v>433</v>
      </c>
      <c r="D87" s="140" t="str">
        <f>"Zahlungen für neue Renten ab 1.01."&amp;current_year</f>
        <v>Zahlungen für neue Renten ab 1.01.2024</v>
      </c>
      <c r="E87" s="140" t="s">
        <v>434</v>
      </c>
      <c r="F87" s="140" t="str">
        <f>"Payments for new annuities valid after 1.01."&amp; current_year</f>
        <v>Payments for new annuities valid after 1.01.2024</v>
      </c>
    </row>
    <row r="88" spans="3:6" s="142" customFormat="1">
      <c r="C88" s="152" t="s">
        <v>435</v>
      </c>
      <c r="D88" s="140" t="s">
        <v>436</v>
      </c>
      <c r="E88" s="140" t="s">
        <v>437</v>
      </c>
      <c r="F88" s="140" t="s">
        <v>438</v>
      </c>
    </row>
    <row r="89" spans="3:6" s="142" customFormat="1">
      <c r="C89" s="152" t="s">
        <v>439</v>
      </c>
      <c r="D89" s="140" t="str">
        <f>"bis 1.01."&amp;current_year &amp;" gesprochene Teuerungszulagen"</f>
        <v>bis 1.01.2024 gesprochene Teuerungszulagen</v>
      </c>
      <c r="E89" s="140" t="s">
        <v>440</v>
      </c>
      <c r="F89" s="140" t="str">
        <f>"Inflation allowence set till 1.01."&amp;current_year</f>
        <v>Inflation allowence set till 1.01.2024</v>
      </c>
    </row>
    <row r="90" spans="3:6" s="142" customFormat="1">
      <c r="C90" s="152" t="s">
        <v>441</v>
      </c>
      <c r="D90" s="140" t="str">
        <f>"ab 1.01."&amp;current_year&amp;" zuerkannte Teuerungszulagen, davon"</f>
        <v>ab 1.01.2024 zuerkannte Teuerungszulagen, davon</v>
      </c>
      <c r="E90" s="140" t="s">
        <v>442</v>
      </c>
      <c r="F90" s="140" t="str">
        <f>"Inflation allowence set after 1.01."&amp;current_year &amp;", thereof"</f>
        <v>Inflation allowence set after 1.01.2024, thereof</v>
      </c>
    </row>
    <row r="91" spans="3:6" s="142" customFormat="1">
      <c r="C91" s="152" t="s">
        <v>443</v>
      </c>
      <c r="D91" s="140" t="s">
        <v>444</v>
      </c>
      <c r="E91" s="140" t="s">
        <v>445</v>
      </c>
      <c r="F91" s="140" t="s">
        <v>446</v>
      </c>
    </row>
    <row r="92" spans="3:6" s="142" customFormat="1">
      <c r="C92" s="152" t="s">
        <v>447</v>
      </c>
      <c r="D92" s="140" t="s">
        <v>448</v>
      </c>
      <c r="E92" s="140" t="s">
        <v>449</v>
      </c>
      <c r="F92" s="140" t="s">
        <v>450</v>
      </c>
    </row>
    <row r="93" spans="3:6" s="142" customFormat="1">
      <c r="C93" s="152" t="s">
        <v>451</v>
      </c>
      <c r="D93" s="140" t="s">
        <v>452</v>
      </c>
      <c r="E93" s="140" t="s">
        <v>453</v>
      </c>
      <c r="F93" s="140" t="s">
        <v>454</v>
      </c>
    </row>
    <row r="94" spans="3:6" s="142" customFormat="1">
      <c r="C94" s="152" t="s">
        <v>455</v>
      </c>
      <c r="D94" s="140" t="s">
        <v>456</v>
      </c>
      <c r="E94" s="140" t="s">
        <v>457</v>
      </c>
      <c r="F94" s="140" t="s">
        <v>458</v>
      </c>
    </row>
    <row r="95" spans="3:6" s="142" customFormat="1">
      <c r="C95" s="152" t="s">
        <v>459</v>
      </c>
      <c r="D95" s="140" t="s">
        <v>460</v>
      </c>
      <c r="E95" s="140" t="s">
        <v>461</v>
      </c>
      <c r="F95" s="140" t="s">
        <v>462</v>
      </c>
    </row>
    <row r="96" spans="3:6" s="142" customFormat="1">
      <c r="C96" s="152" t="s">
        <v>463</v>
      </c>
      <c r="D96" s="140" t="s">
        <v>464</v>
      </c>
      <c r="E96" s="140" t="s">
        <v>465</v>
      </c>
      <c r="F96" s="140" t="s">
        <v>466</v>
      </c>
    </row>
    <row r="97" spans="2:6" s="142" customFormat="1">
      <c r="C97" s="152" t="s">
        <v>467</v>
      </c>
      <c r="D97" s="140" t="s">
        <v>468</v>
      </c>
      <c r="E97" s="140" t="s">
        <v>469</v>
      </c>
      <c r="F97" s="140" t="s">
        <v>470</v>
      </c>
    </row>
    <row r="98" spans="2:6" s="142" customFormat="1">
      <c r="C98" s="152" t="s">
        <v>471</v>
      </c>
      <c r="D98" s="140" t="s">
        <v>472</v>
      </c>
      <c r="E98" s="140" t="s">
        <v>473</v>
      </c>
      <c r="F98" s="140" t="s">
        <v>474</v>
      </c>
    </row>
    <row r="99" spans="2:6" s="142" customFormat="1">
      <c r="C99" s="152" t="s">
        <v>475</v>
      </c>
      <c r="D99" s="140" t="s">
        <v>476</v>
      </c>
      <c r="E99" s="140" t="s">
        <v>465</v>
      </c>
      <c r="F99" s="140" t="s">
        <v>477</v>
      </c>
    </row>
    <row r="100" spans="2:6" s="142" customFormat="1" ht="25.5">
      <c r="C100" s="152" t="s">
        <v>478</v>
      </c>
      <c r="D100" s="140" t="s">
        <v>479</v>
      </c>
      <c r="E100" s="140" t="s">
        <v>480</v>
      </c>
      <c r="F100" s="140" t="s">
        <v>481</v>
      </c>
    </row>
    <row r="101" spans="2:6" s="142" customFormat="1" ht="25.5">
      <c r="C101" s="152" t="s">
        <v>482</v>
      </c>
      <c r="D101" s="140" t="s">
        <v>483</v>
      </c>
      <c r="E101" s="140" t="s">
        <v>484</v>
      </c>
      <c r="F101" s="140" t="s">
        <v>485</v>
      </c>
    </row>
    <row r="102" spans="2:6">
      <c r="C102" s="152" t="s">
        <v>486</v>
      </c>
      <c r="D102" s="143" t="s">
        <v>487</v>
      </c>
      <c r="E102" s="140" t="s">
        <v>488</v>
      </c>
      <c r="F102" s="143" t="s">
        <v>489</v>
      </c>
    </row>
    <row r="103" spans="2:6">
      <c r="C103" s="152" t="s">
        <v>490</v>
      </c>
      <c r="D103" s="143" t="s">
        <v>491</v>
      </c>
      <c r="E103" s="140" t="s">
        <v>465</v>
      </c>
      <c r="F103" s="143" t="s">
        <v>477</v>
      </c>
    </row>
    <row r="104" spans="2:6">
      <c r="C104" s="152" t="s">
        <v>530</v>
      </c>
      <c r="D104" s="140" t="s">
        <v>531</v>
      </c>
      <c r="E104" s="205" t="s">
        <v>548</v>
      </c>
      <c r="F104" s="143" t="s">
        <v>532</v>
      </c>
    </row>
    <row r="105" spans="2:6">
      <c r="C105" s="152" t="s">
        <v>543</v>
      </c>
      <c r="D105" s="201" t="s">
        <v>533</v>
      </c>
      <c r="E105" s="207" t="s">
        <v>549</v>
      </c>
      <c r="F105" s="143"/>
    </row>
    <row r="106" spans="2:6" ht="25.5">
      <c r="C106" s="152" t="s">
        <v>544</v>
      </c>
      <c r="D106" s="203" t="s">
        <v>554</v>
      </c>
      <c r="E106" s="207" t="s">
        <v>587</v>
      </c>
      <c r="F106" s="143"/>
    </row>
    <row r="107" spans="2:6">
      <c r="C107" s="152" t="s">
        <v>550</v>
      </c>
      <c r="D107" s="140" t="s">
        <v>551</v>
      </c>
      <c r="E107" s="233" t="s">
        <v>552</v>
      </c>
      <c r="F107" s="143" t="s">
        <v>553</v>
      </c>
    </row>
    <row r="108" spans="2:6">
      <c r="B108" s="126" t="str">
        <f>IF(Language="EN",$F108,IF(Language="DE",$D108,$E108))</f>
        <v xml:space="preserve">Anfang </v>
      </c>
      <c r="C108" s="152" t="s">
        <v>492</v>
      </c>
      <c r="D108" s="143" t="s">
        <v>493</v>
      </c>
      <c r="E108" s="140" t="s">
        <v>494</v>
      </c>
      <c r="F108" s="143" t="s">
        <v>495</v>
      </c>
    </row>
    <row r="109" spans="2:6">
      <c r="B109" s="126" t="str">
        <f>IF(Language="EN",$F109,IF(Language="DE",$D109,$E109))</f>
        <v xml:space="preserve">Ende </v>
      </c>
      <c r="C109" s="152" t="s">
        <v>496</v>
      </c>
      <c r="D109" s="143" t="s">
        <v>497</v>
      </c>
      <c r="E109" s="140" t="s">
        <v>498</v>
      </c>
      <c r="F109" s="143" t="s">
        <v>499</v>
      </c>
    </row>
    <row r="110" spans="2:6">
      <c r="C110" s="144"/>
      <c r="D110" s="154"/>
      <c r="E110" s="154"/>
      <c r="F110" s="154"/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BFC7-A729-4390-9055-2975663BCE36}">
  <dimension ref="A1:T281"/>
  <sheetViews>
    <sheetView workbookViewId="0">
      <selection activeCell="J6" sqref="J6"/>
    </sheetView>
  </sheetViews>
  <sheetFormatPr defaultRowHeight="12.75"/>
  <cols>
    <col min="4" max="4" width="16.5703125" customWidth="1"/>
    <col min="5" max="5" width="19" customWidth="1"/>
    <col min="6" max="6" width="12.140625" customWidth="1"/>
    <col min="7" max="7" width="14.28515625" customWidth="1"/>
    <col min="8" max="8" width="14.42578125" customWidth="1"/>
    <col min="9" max="9" width="11.28515625" customWidth="1"/>
    <col min="10" max="10" width="10" customWidth="1"/>
    <col min="12" max="12" width="25.140625" customWidth="1"/>
    <col min="13" max="13" width="25.42578125" customWidth="1"/>
    <col min="14" max="14" width="20.28515625" customWidth="1"/>
    <col min="16" max="16" width="9.7109375" customWidth="1"/>
    <col min="17" max="17" width="9.28515625" customWidth="1"/>
    <col min="18" max="18" width="16.42578125" customWidth="1"/>
    <col min="19" max="19" width="18.42578125" customWidth="1"/>
    <col min="20" max="20" width="13.42578125" customWidth="1"/>
  </cols>
  <sheetData>
    <row r="1" spans="1:20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  <row r="2" spans="1:20">
      <c r="A2" t="s">
        <v>47</v>
      </c>
      <c r="B2" t="s">
        <v>48</v>
      </c>
      <c r="C2" t="s">
        <v>49</v>
      </c>
      <c r="D2" t="s">
        <v>50</v>
      </c>
      <c r="E2" t="s">
        <v>51</v>
      </c>
      <c r="F2" t="s">
        <v>51</v>
      </c>
      <c r="G2" t="s">
        <v>52</v>
      </c>
      <c r="H2" t="s">
        <v>52</v>
      </c>
      <c r="I2" t="s">
        <v>52</v>
      </c>
      <c r="J2" t="s">
        <v>52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56</v>
      </c>
      <c r="Q2" t="s">
        <v>51</v>
      </c>
      <c r="R2" t="s">
        <v>51</v>
      </c>
      <c r="S2" t="s">
        <v>51</v>
      </c>
      <c r="T2" t="s">
        <v>51</v>
      </c>
    </row>
    <row r="3" spans="1:20">
      <c r="A3" t="s">
        <v>57</v>
      </c>
      <c r="B3" t="s">
        <v>58</v>
      </c>
      <c r="C3" t="s">
        <v>49</v>
      </c>
      <c r="D3" t="s">
        <v>50</v>
      </c>
      <c r="E3" t="s">
        <v>51</v>
      </c>
      <c r="F3" t="s">
        <v>51</v>
      </c>
      <c r="G3" t="s">
        <v>52</v>
      </c>
      <c r="H3" t="s">
        <v>52</v>
      </c>
      <c r="I3" t="s">
        <v>52</v>
      </c>
      <c r="J3" t="s">
        <v>52</v>
      </c>
      <c r="K3" t="s">
        <v>52</v>
      </c>
      <c r="L3" t="s">
        <v>53</v>
      </c>
      <c r="M3" t="s">
        <v>54</v>
      </c>
      <c r="N3" t="s">
        <v>55</v>
      </c>
      <c r="O3" t="s">
        <v>56</v>
      </c>
      <c r="P3" t="s">
        <v>56</v>
      </c>
      <c r="Q3" t="s">
        <v>51</v>
      </c>
      <c r="R3" t="s">
        <v>51</v>
      </c>
      <c r="S3" t="s">
        <v>51</v>
      </c>
      <c r="T3" t="s">
        <v>51</v>
      </c>
    </row>
    <row r="4" spans="1:20">
      <c r="A4" t="s">
        <v>59</v>
      </c>
      <c r="B4" t="s">
        <v>60</v>
      </c>
      <c r="C4" t="s">
        <v>49</v>
      </c>
      <c r="D4" t="s">
        <v>50</v>
      </c>
      <c r="E4" t="s">
        <v>51</v>
      </c>
      <c r="F4" t="s">
        <v>51</v>
      </c>
      <c r="G4" t="s">
        <v>52</v>
      </c>
      <c r="H4" t="s">
        <v>52</v>
      </c>
      <c r="I4" t="s">
        <v>52</v>
      </c>
      <c r="J4" t="s">
        <v>52</v>
      </c>
      <c r="K4" t="s">
        <v>52</v>
      </c>
      <c r="L4" t="s">
        <v>53</v>
      </c>
      <c r="M4" t="s">
        <v>54</v>
      </c>
      <c r="N4" t="s">
        <v>55</v>
      </c>
      <c r="O4" t="s">
        <v>56</v>
      </c>
      <c r="P4" t="s">
        <v>56</v>
      </c>
      <c r="Q4" t="s">
        <v>51</v>
      </c>
      <c r="R4" t="s">
        <v>51</v>
      </c>
      <c r="S4" t="s">
        <v>51</v>
      </c>
      <c r="T4" t="s">
        <v>51</v>
      </c>
    </row>
    <row r="5" spans="1:20">
      <c r="A5" t="s">
        <v>61</v>
      </c>
      <c r="B5" t="s">
        <v>62</v>
      </c>
      <c r="C5" t="s">
        <v>49</v>
      </c>
      <c r="D5" t="s">
        <v>50</v>
      </c>
      <c r="E5" t="s">
        <v>51</v>
      </c>
      <c r="F5" t="s">
        <v>51</v>
      </c>
      <c r="G5" t="s">
        <v>52</v>
      </c>
      <c r="H5" t="s">
        <v>52</v>
      </c>
      <c r="I5" t="s">
        <v>52</v>
      </c>
      <c r="J5" t="s">
        <v>52</v>
      </c>
      <c r="K5" t="s">
        <v>52</v>
      </c>
      <c r="L5" t="s">
        <v>53</v>
      </c>
      <c r="M5" t="s">
        <v>54</v>
      </c>
      <c r="N5" t="s">
        <v>55</v>
      </c>
      <c r="O5" t="s">
        <v>56</v>
      </c>
      <c r="P5" t="s">
        <v>56</v>
      </c>
      <c r="Q5" t="s">
        <v>51</v>
      </c>
      <c r="R5" t="s">
        <v>51</v>
      </c>
      <c r="S5" t="s">
        <v>51</v>
      </c>
      <c r="T5" t="s">
        <v>51</v>
      </c>
    </row>
    <row r="6" spans="1:20">
      <c r="A6" t="s">
        <v>63</v>
      </c>
      <c r="B6" t="s">
        <v>56</v>
      </c>
      <c r="C6" t="s">
        <v>49</v>
      </c>
      <c r="D6" t="s">
        <v>50</v>
      </c>
      <c r="E6" t="s">
        <v>51</v>
      </c>
      <c r="F6" t="s">
        <v>51</v>
      </c>
      <c r="G6" t="s">
        <v>52</v>
      </c>
      <c r="H6" t="s">
        <v>52</v>
      </c>
      <c r="I6" t="s">
        <v>52</v>
      </c>
      <c r="J6" t="s">
        <v>52</v>
      </c>
      <c r="K6" t="s">
        <v>52</v>
      </c>
      <c r="L6" t="s">
        <v>53</v>
      </c>
      <c r="M6" t="s">
        <v>54</v>
      </c>
      <c r="N6" t="s">
        <v>55</v>
      </c>
      <c r="O6" t="s">
        <v>56</v>
      </c>
      <c r="P6" t="s">
        <v>56</v>
      </c>
      <c r="Q6" t="s">
        <v>51</v>
      </c>
      <c r="R6" t="s">
        <v>51</v>
      </c>
      <c r="S6" t="s">
        <v>51</v>
      </c>
      <c r="T6" t="s">
        <v>51</v>
      </c>
    </row>
    <row r="7" spans="1:20">
      <c r="A7" t="s">
        <v>64</v>
      </c>
      <c r="B7" t="s">
        <v>65</v>
      </c>
      <c r="C7" t="s">
        <v>49</v>
      </c>
      <c r="D7" t="s">
        <v>50</v>
      </c>
      <c r="E7" t="s">
        <v>51</v>
      </c>
      <c r="F7" t="s">
        <v>51</v>
      </c>
      <c r="G7" t="s">
        <v>52</v>
      </c>
      <c r="H7" t="s">
        <v>52</v>
      </c>
      <c r="I7" t="s">
        <v>52</v>
      </c>
      <c r="J7" t="s">
        <v>52</v>
      </c>
      <c r="K7" t="s">
        <v>52</v>
      </c>
      <c r="L7" t="s">
        <v>53</v>
      </c>
      <c r="M7" t="s">
        <v>54</v>
      </c>
      <c r="N7" t="s">
        <v>55</v>
      </c>
      <c r="O7" t="s">
        <v>56</v>
      </c>
      <c r="P7" t="s">
        <v>56</v>
      </c>
      <c r="Q7" t="s">
        <v>51</v>
      </c>
      <c r="R7" t="s">
        <v>51</v>
      </c>
      <c r="S7" t="s">
        <v>51</v>
      </c>
      <c r="T7" t="s">
        <v>51</v>
      </c>
    </row>
    <row r="8" spans="1:20">
      <c r="A8" t="s">
        <v>66</v>
      </c>
      <c r="B8" t="s">
        <v>67</v>
      </c>
      <c r="C8" t="s">
        <v>49</v>
      </c>
      <c r="D8" t="s">
        <v>50</v>
      </c>
      <c r="E8" t="s">
        <v>51</v>
      </c>
      <c r="F8" t="s">
        <v>51</v>
      </c>
      <c r="G8" t="s">
        <v>52</v>
      </c>
      <c r="H8" t="s">
        <v>52</v>
      </c>
      <c r="I8" t="s">
        <v>52</v>
      </c>
      <c r="J8" t="s">
        <v>52</v>
      </c>
      <c r="K8" t="s">
        <v>52</v>
      </c>
      <c r="L8" t="s">
        <v>53</v>
      </c>
      <c r="M8" t="s">
        <v>54</v>
      </c>
      <c r="N8" t="s">
        <v>55</v>
      </c>
      <c r="O8" t="s">
        <v>56</v>
      </c>
      <c r="P8" t="s">
        <v>56</v>
      </c>
      <c r="Q8" t="s">
        <v>51</v>
      </c>
      <c r="R8" t="s">
        <v>51</v>
      </c>
      <c r="S8" t="s">
        <v>51</v>
      </c>
      <c r="T8" t="s">
        <v>51</v>
      </c>
    </row>
    <row r="9" spans="1:20">
      <c r="A9" t="s">
        <v>68</v>
      </c>
      <c r="B9" t="s">
        <v>69</v>
      </c>
      <c r="C9" t="s">
        <v>49</v>
      </c>
      <c r="D9" t="s">
        <v>50</v>
      </c>
      <c r="E9" t="s">
        <v>51</v>
      </c>
      <c r="F9" t="s">
        <v>51</v>
      </c>
      <c r="G9" t="s">
        <v>52</v>
      </c>
      <c r="H9" t="s">
        <v>52</v>
      </c>
      <c r="I9" t="s">
        <v>52</v>
      </c>
      <c r="J9" t="s">
        <v>52</v>
      </c>
      <c r="K9" t="s">
        <v>52</v>
      </c>
      <c r="L9" t="s">
        <v>53</v>
      </c>
      <c r="M9" t="s">
        <v>54</v>
      </c>
      <c r="N9" t="s">
        <v>55</v>
      </c>
      <c r="O9" t="s">
        <v>56</v>
      </c>
      <c r="P9" t="s">
        <v>56</v>
      </c>
      <c r="Q9" t="s">
        <v>51</v>
      </c>
      <c r="R9" t="s">
        <v>51</v>
      </c>
      <c r="S9" t="s">
        <v>51</v>
      </c>
      <c r="T9" t="s">
        <v>51</v>
      </c>
    </row>
    <row r="10" spans="1:20">
      <c r="A10" t="s">
        <v>70</v>
      </c>
      <c r="B10" t="s">
        <v>71</v>
      </c>
      <c r="C10" t="s">
        <v>49</v>
      </c>
      <c r="D10" t="s">
        <v>50</v>
      </c>
      <c r="E10" t="s">
        <v>51</v>
      </c>
      <c r="F10" t="s">
        <v>51</v>
      </c>
      <c r="G10" t="s">
        <v>52</v>
      </c>
      <c r="H10" t="s">
        <v>52</v>
      </c>
      <c r="I10" t="s">
        <v>52</v>
      </c>
      <c r="J10" t="s">
        <v>52</v>
      </c>
      <c r="K10" t="s">
        <v>52</v>
      </c>
      <c r="L10" t="s">
        <v>53</v>
      </c>
      <c r="M10" t="s">
        <v>54</v>
      </c>
      <c r="N10" t="s">
        <v>55</v>
      </c>
      <c r="O10" t="s">
        <v>56</v>
      </c>
      <c r="P10" t="s">
        <v>56</v>
      </c>
      <c r="Q10" t="s">
        <v>51</v>
      </c>
      <c r="R10" t="s">
        <v>51</v>
      </c>
      <c r="S10" t="s">
        <v>51</v>
      </c>
      <c r="T10" t="s">
        <v>51</v>
      </c>
    </row>
    <row r="11" spans="1:20">
      <c r="A11" t="s">
        <v>72</v>
      </c>
      <c r="B11" t="s">
        <v>73</v>
      </c>
      <c r="C11" t="s">
        <v>49</v>
      </c>
      <c r="D11" t="s">
        <v>50</v>
      </c>
      <c r="E11" t="s">
        <v>51</v>
      </c>
      <c r="F11" t="s">
        <v>51</v>
      </c>
      <c r="G11" t="s">
        <v>52</v>
      </c>
      <c r="H11" t="s">
        <v>52</v>
      </c>
      <c r="I11" t="s">
        <v>52</v>
      </c>
      <c r="J11" t="s">
        <v>52</v>
      </c>
      <c r="K11" t="s">
        <v>52</v>
      </c>
      <c r="L11" t="s">
        <v>53</v>
      </c>
      <c r="M11" t="s">
        <v>54</v>
      </c>
      <c r="N11" t="s">
        <v>55</v>
      </c>
      <c r="O11" t="s">
        <v>56</v>
      </c>
      <c r="P11" t="s">
        <v>56</v>
      </c>
      <c r="Q11" t="s">
        <v>51</v>
      </c>
      <c r="R11" t="s">
        <v>51</v>
      </c>
      <c r="S11" t="s">
        <v>51</v>
      </c>
      <c r="T11" t="s">
        <v>51</v>
      </c>
    </row>
    <row r="12" spans="1:20">
      <c r="A12" t="s">
        <v>74</v>
      </c>
      <c r="B12" t="s">
        <v>75</v>
      </c>
      <c r="C12" t="s">
        <v>49</v>
      </c>
      <c r="D12" t="s">
        <v>50</v>
      </c>
      <c r="E12" t="s">
        <v>51</v>
      </c>
      <c r="F12" t="s">
        <v>51</v>
      </c>
      <c r="G12" t="s">
        <v>52</v>
      </c>
      <c r="H12" t="s">
        <v>52</v>
      </c>
      <c r="I12" t="s">
        <v>52</v>
      </c>
      <c r="J12" t="s">
        <v>52</v>
      </c>
      <c r="K12" t="s">
        <v>52</v>
      </c>
      <c r="L12" t="s">
        <v>53</v>
      </c>
      <c r="M12" t="s">
        <v>54</v>
      </c>
      <c r="N12" t="s">
        <v>55</v>
      </c>
      <c r="O12" t="s">
        <v>56</v>
      </c>
      <c r="P12" t="s">
        <v>56</v>
      </c>
      <c r="Q12" t="s">
        <v>51</v>
      </c>
      <c r="R12" t="s">
        <v>51</v>
      </c>
      <c r="S12" t="s">
        <v>51</v>
      </c>
      <c r="T12" t="s">
        <v>51</v>
      </c>
    </row>
    <row r="13" spans="1:20">
      <c r="A13" t="s">
        <v>76</v>
      </c>
      <c r="B13" t="s">
        <v>77</v>
      </c>
      <c r="C13" t="s">
        <v>49</v>
      </c>
      <c r="D13" t="s">
        <v>50</v>
      </c>
      <c r="E13" t="s">
        <v>51</v>
      </c>
      <c r="F13" t="s">
        <v>51</v>
      </c>
      <c r="G13" t="s">
        <v>52</v>
      </c>
      <c r="H13" t="s">
        <v>52</v>
      </c>
      <c r="I13" t="s">
        <v>52</v>
      </c>
      <c r="J13" t="s">
        <v>52</v>
      </c>
      <c r="K13" t="s">
        <v>52</v>
      </c>
      <c r="L13" t="s">
        <v>53</v>
      </c>
      <c r="M13" t="s">
        <v>54</v>
      </c>
      <c r="N13" t="s">
        <v>55</v>
      </c>
      <c r="O13" t="s">
        <v>56</v>
      </c>
      <c r="P13" t="s">
        <v>56</v>
      </c>
      <c r="Q13" t="s">
        <v>51</v>
      </c>
      <c r="R13" t="s">
        <v>51</v>
      </c>
      <c r="S13" t="s">
        <v>51</v>
      </c>
      <c r="T13" t="s">
        <v>51</v>
      </c>
    </row>
    <row r="14" spans="1:20">
      <c r="A14" t="s">
        <v>78</v>
      </c>
      <c r="B14" t="s">
        <v>79</v>
      </c>
      <c r="C14" t="s">
        <v>49</v>
      </c>
      <c r="D14" t="s">
        <v>50</v>
      </c>
      <c r="E14" t="s">
        <v>51</v>
      </c>
      <c r="F14" t="s">
        <v>51</v>
      </c>
      <c r="G14" t="s">
        <v>52</v>
      </c>
      <c r="H14" t="s">
        <v>52</v>
      </c>
      <c r="I14" t="s">
        <v>52</v>
      </c>
      <c r="J14" t="s">
        <v>52</v>
      </c>
      <c r="K14" t="s">
        <v>52</v>
      </c>
      <c r="L14" t="s">
        <v>53</v>
      </c>
      <c r="M14" t="s">
        <v>54</v>
      </c>
      <c r="N14" t="s">
        <v>55</v>
      </c>
      <c r="O14" t="s">
        <v>56</v>
      </c>
      <c r="P14" t="s">
        <v>56</v>
      </c>
      <c r="Q14" t="s">
        <v>51</v>
      </c>
      <c r="R14" t="s">
        <v>51</v>
      </c>
      <c r="S14" t="s">
        <v>51</v>
      </c>
      <c r="T14" t="s">
        <v>51</v>
      </c>
    </row>
    <row r="15" spans="1:20">
      <c r="A15" t="s">
        <v>80</v>
      </c>
      <c r="B15" t="s">
        <v>81</v>
      </c>
      <c r="C15" t="s">
        <v>49</v>
      </c>
      <c r="D15" t="s">
        <v>50</v>
      </c>
      <c r="E15" t="s">
        <v>51</v>
      </c>
      <c r="F15" t="s">
        <v>51</v>
      </c>
      <c r="G15" t="s">
        <v>52</v>
      </c>
      <c r="H15" t="s">
        <v>52</v>
      </c>
      <c r="I15" t="s">
        <v>52</v>
      </c>
      <c r="J15" t="s">
        <v>52</v>
      </c>
      <c r="K15" t="s">
        <v>52</v>
      </c>
      <c r="L15" t="s">
        <v>53</v>
      </c>
      <c r="M15" t="s">
        <v>54</v>
      </c>
      <c r="N15" t="s">
        <v>55</v>
      </c>
      <c r="O15" t="s">
        <v>56</v>
      </c>
      <c r="P15" t="s">
        <v>56</v>
      </c>
      <c r="Q15" t="s">
        <v>51</v>
      </c>
      <c r="R15" t="s">
        <v>51</v>
      </c>
      <c r="S15" t="s">
        <v>51</v>
      </c>
      <c r="T15" t="s">
        <v>51</v>
      </c>
    </row>
    <row r="16" spans="1:20">
      <c r="A16" t="s">
        <v>82</v>
      </c>
      <c r="B16" t="s">
        <v>83</v>
      </c>
      <c r="C16" t="s">
        <v>49</v>
      </c>
      <c r="D16" t="s">
        <v>50</v>
      </c>
      <c r="E16" t="s">
        <v>51</v>
      </c>
      <c r="F16" t="s">
        <v>51</v>
      </c>
      <c r="G16" t="s">
        <v>52</v>
      </c>
      <c r="H16" t="s">
        <v>52</v>
      </c>
      <c r="I16" t="s">
        <v>52</v>
      </c>
      <c r="J16" t="s">
        <v>52</v>
      </c>
      <c r="K16" t="s">
        <v>52</v>
      </c>
      <c r="L16" t="s">
        <v>53</v>
      </c>
      <c r="M16" t="s">
        <v>54</v>
      </c>
      <c r="N16" t="s">
        <v>55</v>
      </c>
      <c r="O16" t="s">
        <v>56</v>
      </c>
      <c r="P16" t="s">
        <v>56</v>
      </c>
      <c r="Q16" t="s">
        <v>51</v>
      </c>
      <c r="R16" t="s">
        <v>51</v>
      </c>
      <c r="S16" t="s">
        <v>51</v>
      </c>
      <c r="T16" t="s">
        <v>51</v>
      </c>
    </row>
    <row r="17" spans="1:20">
      <c r="A17" t="s">
        <v>84</v>
      </c>
      <c r="B17" t="s">
        <v>85</v>
      </c>
      <c r="C17" t="s">
        <v>49</v>
      </c>
      <c r="D17" t="s">
        <v>50</v>
      </c>
      <c r="E17" t="s">
        <v>51</v>
      </c>
      <c r="F17" t="s">
        <v>51</v>
      </c>
      <c r="G17" t="s">
        <v>52</v>
      </c>
      <c r="H17" t="s">
        <v>52</v>
      </c>
      <c r="I17" t="s">
        <v>52</v>
      </c>
      <c r="J17" t="s">
        <v>52</v>
      </c>
      <c r="K17" t="s">
        <v>52</v>
      </c>
      <c r="L17" t="s">
        <v>53</v>
      </c>
      <c r="M17" t="s">
        <v>54</v>
      </c>
      <c r="N17" t="s">
        <v>55</v>
      </c>
      <c r="O17" t="s">
        <v>56</v>
      </c>
      <c r="P17" t="s">
        <v>56</v>
      </c>
      <c r="Q17" t="s">
        <v>51</v>
      </c>
      <c r="R17" t="s">
        <v>51</v>
      </c>
      <c r="S17" t="s">
        <v>51</v>
      </c>
      <c r="T17" t="s">
        <v>51</v>
      </c>
    </row>
    <row r="18" spans="1:20">
      <c r="A18" t="s">
        <v>86</v>
      </c>
      <c r="B18" t="s">
        <v>87</v>
      </c>
      <c r="C18" t="s">
        <v>49</v>
      </c>
      <c r="D18" t="s">
        <v>50</v>
      </c>
      <c r="E18" t="s">
        <v>51</v>
      </c>
      <c r="F18" t="s">
        <v>51</v>
      </c>
      <c r="G18" t="s">
        <v>52</v>
      </c>
      <c r="H18" t="s">
        <v>52</v>
      </c>
      <c r="I18" t="s">
        <v>52</v>
      </c>
      <c r="J18" t="s">
        <v>52</v>
      </c>
      <c r="K18" t="s">
        <v>52</v>
      </c>
      <c r="L18" t="s">
        <v>53</v>
      </c>
      <c r="M18" t="s">
        <v>54</v>
      </c>
      <c r="N18" t="s">
        <v>55</v>
      </c>
      <c r="O18" t="s">
        <v>56</v>
      </c>
      <c r="P18" t="s">
        <v>56</v>
      </c>
      <c r="Q18" t="s">
        <v>51</v>
      </c>
      <c r="R18" t="s">
        <v>51</v>
      </c>
      <c r="S18" t="s">
        <v>51</v>
      </c>
      <c r="T18" t="s">
        <v>51</v>
      </c>
    </row>
    <row r="19" spans="1:20">
      <c r="A19" t="s">
        <v>88</v>
      </c>
      <c r="B19" t="s">
        <v>89</v>
      </c>
      <c r="C19" t="s">
        <v>49</v>
      </c>
      <c r="D19" t="s">
        <v>50</v>
      </c>
      <c r="E19" t="s">
        <v>51</v>
      </c>
      <c r="F19" t="s">
        <v>51</v>
      </c>
      <c r="G19" t="s">
        <v>52</v>
      </c>
      <c r="H19" t="s">
        <v>52</v>
      </c>
      <c r="I19" t="s">
        <v>52</v>
      </c>
      <c r="J19" t="s">
        <v>52</v>
      </c>
      <c r="K19" t="s">
        <v>52</v>
      </c>
      <c r="L19" t="s">
        <v>53</v>
      </c>
      <c r="M19" t="s">
        <v>54</v>
      </c>
      <c r="N19" t="s">
        <v>55</v>
      </c>
      <c r="O19" t="s">
        <v>56</v>
      </c>
      <c r="P19" t="s">
        <v>56</v>
      </c>
      <c r="Q19" t="s">
        <v>51</v>
      </c>
      <c r="R19" t="s">
        <v>51</v>
      </c>
      <c r="S19" t="s">
        <v>51</v>
      </c>
      <c r="T19" t="s">
        <v>51</v>
      </c>
    </row>
    <row r="20" spans="1:20">
      <c r="A20" t="s">
        <v>90</v>
      </c>
      <c r="B20" t="s">
        <v>91</v>
      </c>
      <c r="C20" t="s">
        <v>49</v>
      </c>
      <c r="D20" t="s">
        <v>50</v>
      </c>
      <c r="E20" t="s">
        <v>51</v>
      </c>
      <c r="F20" t="s">
        <v>51</v>
      </c>
      <c r="G20" t="s">
        <v>52</v>
      </c>
      <c r="H20" t="s">
        <v>52</v>
      </c>
      <c r="I20" t="s">
        <v>52</v>
      </c>
      <c r="J20" t="s">
        <v>52</v>
      </c>
      <c r="K20" t="s">
        <v>52</v>
      </c>
      <c r="L20" t="s">
        <v>53</v>
      </c>
      <c r="M20" t="s">
        <v>54</v>
      </c>
      <c r="N20" t="s">
        <v>55</v>
      </c>
      <c r="O20" t="s">
        <v>56</v>
      </c>
      <c r="P20" t="s">
        <v>56</v>
      </c>
      <c r="Q20" t="s">
        <v>51</v>
      </c>
      <c r="R20" t="s">
        <v>51</v>
      </c>
      <c r="S20" t="s">
        <v>51</v>
      </c>
      <c r="T20" t="s">
        <v>51</v>
      </c>
    </row>
    <row r="21" spans="1:20">
      <c r="A21" t="s">
        <v>92</v>
      </c>
      <c r="B21" t="s">
        <v>93</v>
      </c>
      <c r="C21" t="s">
        <v>49</v>
      </c>
      <c r="D21" t="s">
        <v>50</v>
      </c>
      <c r="E21" t="s">
        <v>51</v>
      </c>
      <c r="F21" t="s">
        <v>51</v>
      </c>
      <c r="G21" t="s">
        <v>52</v>
      </c>
      <c r="H21" t="s">
        <v>52</v>
      </c>
      <c r="I21" t="s">
        <v>52</v>
      </c>
      <c r="J21" t="s">
        <v>52</v>
      </c>
      <c r="K21" t="s">
        <v>52</v>
      </c>
      <c r="L21" t="s">
        <v>53</v>
      </c>
      <c r="M21" t="s">
        <v>54</v>
      </c>
      <c r="N21" t="s">
        <v>55</v>
      </c>
      <c r="O21" t="s">
        <v>56</v>
      </c>
      <c r="P21" t="s">
        <v>56</v>
      </c>
      <c r="Q21" t="s">
        <v>51</v>
      </c>
      <c r="R21" t="s">
        <v>51</v>
      </c>
      <c r="S21" t="s">
        <v>51</v>
      </c>
      <c r="T21" t="s">
        <v>51</v>
      </c>
    </row>
    <row r="22" spans="1:20">
      <c r="A22" t="s">
        <v>94</v>
      </c>
      <c r="B22" t="s">
        <v>95</v>
      </c>
      <c r="C22" t="s">
        <v>49</v>
      </c>
      <c r="D22" t="s">
        <v>50</v>
      </c>
      <c r="E22" t="s">
        <v>51</v>
      </c>
      <c r="F22" t="s">
        <v>51</v>
      </c>
      <c r="G22" t="s">
        <v>52</v>
      </c>
      <c r="H22" t="s">
        <v>52</v>
      </c>
      <c r="I22" t="s">
        <v>52</v>
      </c>
      <c r="J22" t="s">
        <v>52</v>
      </c>
      <c r="K22" t="s">
        <v>52</v>
      </c>
      <c r="L22" t="s">
        <v>53</v>
      </c>
      <c r="M22" t="s">
        <v>54</v>
      </c>
      <c r="N22" t="s">
        <v>55</v>
      </c>
      <c r="O22" t="s">
        <v>56</v>
      </c>
      <c r="P22" t="s">
        <v>56</v>
      </c>
      <c r="Q22" t="s">
        <v>51</v>
      </c>
      <c r="R22" t="s">
        <v>51</v>
      </c>
      <c r="S22" t="s">
        <v>51</v>
      </c>
      <c r="T22" t="s">
        <v>51</v>
      </c>
    </row>
    <row r="23" spans="1:20">
      <c r="A23" t="s">
        <v>96</v>
      </c>
      <c r="B23" t="s">
        <v>97</v>
      </c>
      <c r="C23" t="s">
        <v>49</v>
      </c>
      <c r="D23" t="s">
        <v>50</v>
      </c>
      <c r="E23" t="s">
        <v>51</v>
      </c>
      <c r="F23" t="s">
        <v>51</v>
      </c>
      <c r="G23" t="s">
        <v>52</v>
      </c>
      <c r="H23" t="s">
        <v>52</v>
      </c>
      <c r="I23" t="s">
        <v>52</v>
      </c>
      <c r="J23" t="s">
        <v>52</v>
      </c>
      <c r="K23" t="s">
        <v>52</v>
      </c>
      <c r="L23" t="s">
        <v>53</v>
      </c>
      <c r="M23" t="s">
        <v>54</v>
      </c>
      <c r="N23" t="s">
        <v>55</v>
      </c>
      <c r="O23" t="s">
        <v>56</v>
      </c>
      <c r="P23" t="s">
        <v>56</v>
      </c>
      <c r="Q23" t="s">
        <v>51</v>
      </c>
      <c r="R23" t="s">
        <v>51</v>
      </c>
      <c r="S23" t="s">
        <v>51</v>
      </c>
      <c r="T23" t="s">
        <v>51</v>
      </c>
    </row>
    <row r="24" spans="1:20">
      <c r="A24" t="s">
        <v>98</v>
      </c>
      <c r="B24" t="s">
        <v>99</v>
      </c>
      <c r="C24" t="s">
        <v>49</v>
      </c>
      <c r="D24" t="s">
        <v>50</v>
      </c>
      <c r="E24" t="s">
        <v>51</v>
      </c>
      <c r="F24" t="s">
        <v>51</v>
      </c>
      <c r="G24" t="s">
        <v>52</v>
      </c>
      <c r="H24" t="s">
        <v>52</v>
      </c>
      <c r="I24" t="s">
        <v>52</v>
      </c>
      <c r="J24" t="s">
        <v>52</v>
      </c>
      <c r="K24" t="s">
        <v>52</v>
      </c>
      <c r="L24" t="s">
        <v>53</v>
      </c>
      <c r="M24" t="s">
        <v>54</v>
      </c>
      <c r="N24" t="s">
        <v>55</v>
      </c>
      <c r="O24" t="s">
        <v>56</v>
      </c>
      <c r="P24" t="s">
        <v>56</v>
      </c>
      <c r="Q24" t="s">
        <v>51</v>
      </c>
      <c r="R24" t="s">
        <v>51</v>
      </c>
      <c r="S24" t="s">
        <v>51</v>
      </c>
      <c r="T24" t="s">
        <v>51</v>
      </c>
    </row>
    <row r="25" spans="1:20">
      <c r="A25" t="s">
        <v>100</v>
      </c>
      <c r="B25" t="s">
        <v>101</v>
      </c>
      <c r="C25" t="s">
        <v>49</v>
      </c>
      <c r="D25" t="s">
        <v>50</v>
      </c>
      <c r="E25" t="s">
        <v>51</v>
      </c>
      <c r="F25" t="s">
        <v>51</v>
      </c>
      <c r="G25" t="s">
        <v>52</v>
      </c>
      <c r="H25" t="s">
        <v>52</v>
      </c>
      <c r="I25" t="s">
        <v>52</v>
      </c>
      <c r="J25" t="s">
        <v>52</v>
      </c>
      <c r="K25" t="s">
        <v>52</v>
      </c>
      <c r="L25" t="s">
        <v>53</v>
      </c>
      <c r="M25" t="s">
        <v>54</v>
      </c>
      <c r="N25" t="s">
        <v>55</v>
      </c>
      <c r="O25" t="s">
        <v>56</v>
      </c>
      <c r="P25" t="s">
        <v>56</v>
      </c>
      <c r="Q25" t="s">
        <v>51</v>
      </c>
      <c r="R25" t="s">
        <v>51</v>
      </c>
      <c r="S25" t="s">
        <v>51</v>
      </c>
      <c r="T25" t="s">
        <v>51</v>
      </c>
    </row>
    <row r="26" spans="1:20">
      <c r="A26" t="s">
        <v>102</v>
      </c>
      <c r="B26" t="s">
        <v>103</v>
      </c>
      <c r="C26" t="s">
        <v>49</v>
      </c>
      <c r="D26" t="s">
        <v>50</v>
      </c>
      <c r="E26" t="s">
        <v>51</v>
      </c>
      <c r="F26" t="s">
        <v>51</v>
      </c>
      <c r="G26" t="s">
        <v>52</v>
      </c>
      <c r="H26" t="s">
        <v>52</v>
      </c>
      <c r="I26" t="s">
        <v>52</v>
      </c>
      <c r="J26" t="s">
        <v>52</v>
      </c>
      <c r="K26" t="s">
        <v>52</v>
      </c>
      <c r="L26" t="s">
        <v>53</v>
      </c>
      <c r="M26" t="s">
        <v>54</v>
      </c>
      <c r="N26" t="s">
        <v>55</v>
      </c>
      <c r="O26" t="s">
        <v>56</v>
      </c>
      <c r="P26" t="s">
        <v>56</v>
      </c>
      <c r="Q26" t="s">
        <v>51</v>
      </c>
      <c r="R26" t="s">
        <v>51</v>
      </c>
      <c r="S26" t="s">
        <v>51</v>
      </c>
      <c r="T26" t="s">
        <v>51</v>
      </c>
    </row>
    <row r="27" spans="1:20">
      <c r="A27" t="s">
        <v>104</v>
      </c>
      <c r="B27" t="s">
        <v>105</v>
      </c>
      <c r="C27" t="s">
        <v>49</v>
      </c>
      <c r="D27" t="s">
        <v>50</v>
      </c>
      <c r="E27" t="s">
        <v>51</v>
      </c>
      <c r="F27" t="s">
        <v>51</v>
      </c>
      <c r="G27" t="s">
        <v>52</v>
      </c>
      <c r="H27" t="s">
        <v>52</v>
      </c>
      <c r="I27" t="s">
        <v>52</v>
      </c>
      <c r="J27" t="s">
        <v>52</v>
      </c>
      <c r="K27" t="s">
        <v>52</v>
      </c>
      <c r="L27" t="s">
        <v>53</v>
      </c>
      <c r="M27" t="s">
        <v>54</v>
      </c>
      <c r="N27" t="s">
        <v>55</v>
      </c>
      <c r="O27" t="s">
        <v>56</v>
      </c>
      <c r="P27" t="s">
        <v>56</v>
      </c>
      <c r="Q27" t="s">
        <v>51</v>
      </c>
      <c r="R27" t="s">
        <v>51</v>
      </c>
      <c r="S27" t="s">
        <v>51</v>
      </c>
      <c r="T27" t="s">
        <v>51</v>
      </c>
    </row>
    <row r="28" spans="1:20">
      <c r="A28" t="s">
        <v>106</v>
      </c>
      <c r="B28" t="s">
        <v>107</v>
      </c>
      <c r="C28" t="s">
        <v>49</v>
      </c>
      <c r="D28" t="s">
        <v>50</v>
      </c>
      <c r="E28" t="s">
        <v>51</v>
      </c>
      <c r="F28" t="s">
        <v>51</v>
      </c>
      <c r="G28" t="s">
        <v>52</v>
      </c>
      <c r="H28" t="s">
        <v>52</v>
      </c>
      <c r="I28" t="s">
        <v>52</v>
      </c>
      <c r="J28" t="s">
        <v>52</v>
      </c>
      <c r="K28" t="s">
        <v>52</v>
      </c>
      <c r="L28" t="s">
        <v>53</v>
      </c>
      <c r="M28" t="s">
        <v>54</v>
      </c>
      <c r="N28" t="s">
        <v>55</v>
      </c>
      <c r="O28" t="s">
        <v>56</v>
      </c>
      <c r="P28" t="s">
        <v>56</v>
      </c>
      <c r="Q28" t="s">
        <v>51</v>
      </c>
      <c r="R28" t="s">
        <v>51</v>
      </c>
      <c r="S28" t="s">
        <v>51</v>
      </c>
      <c r="T28" t="s">
        <v>51</v>
      </c>
    </row>
    <row r="29" spans="1:20">
      <c r="A29" t="s">
        <v>108</v>
      </c>
      <c r="B29" t="s">
        <v>109</v>
      </c>
      <c r="C29" t="s">
        <v>49</v>
      </c>
      <c r="D29" t="s">
        <v>50</v>
      </c>
      <c r="E29" t="s">
        <v>51</v>
      </c>
      <c r="F29" t="s">
        <v>51</v>
      </c>
      <c r="G29" t="s">
        <v>52</v>
      </c>
      <c r="H29" t="s">
        <v>52</v>
      </c>
      <c r="I29" t="s">
        <v>52</v>
      </c>
      <c r="J29" t="s">
        <v>52</v>
      </c>
      <c r="K29" t="s">
        <v>52</v>
      </c>
      <c r="L29" t="s">
        <v>53</v>
      </c>
      <c r="M29" t="s">
        <v>54</v>
      </c>
      <c r="N29" t="s">
        <v>55</v>
      </c>
      <c r="O29" t="s">
        <v>56</v>
      </c>
      <c r="P29" t="s">
        <v>56</v>
      </c>
      <c r="Q29" t="s">
        <v>51</v>
      </c>
      <c r="R29" t="s">
        <v>51</v>
      </c>
      <c r="S29" t="s">
        <v>51</v>
      </c>
      <c r="T29" t="s">
        <v>51</v>
      </c>
    </row>
    <row r="30" spans="1:20">
      <c r="A30" t="s">
        <v>110</v>
      </c>
      <c r="B30" t="s">
        <v>111</v>
      </c>
      <c r="C30" t="s">
        <v>49</v>
      </c>
      <c r="D30" t="s">
        <v>50</v>
      </c>
      <c r="E30" t="s">
        <v>51</v>
      </c>
      <c r="F30" t="s">
        <v>51</v>
      </c>
      <c r="G30" t="s">
        <v>52</v>
      </c>
      <c r="H30" t="s">
        <v>52</v>
      </c>
      <c r="I30" t="s">
        <v>52</v>
      </c>
      <c r="J30" t="s">
        <v>52</v>
      </c>
      <c r="K30" t="s">
        <v>52</v>
      </c>
      <c r="L30" t="s">
        <v>53</v>
      </c>
      <c r="M30" t="s">
        <v>54</v>
      </c>
      <c r="N30" t="s">
        <v>55</v>
      </c>
      <c r="O30" t="s">
        <v>56</v>
      </c>
      <c r="P30" t="s">
        <v>56</v>
      </c>
      <c r="Q30" t="s">
        <v>51</v>
      </c>
      <c r="R30" t="s">
        <v>51</v>
      </c>
      <c r="S30" t="s">
        <v>51</v>
      </c>
      <c r="T30" t="s">
        <v>51</v>
      </c>
    </row>
    <row r="31" spans="1:20">
      <c r="A31" t="s">
        <v>112</v>
      </c>
      <c r="B31" t="s">
        <v>113</v>
      </c>
      <c r="C31" t="s">
        <v>49</v>
      </c>
      <c r="D31" t="s">
        <v>50</v>
      </c>
      <c r="E31" t="s">
        <v>51</v>
      </c>
      <c r="F31" t="s">
        <v>51</v>
      </c>
      <c r="G31" t="s">
        <v>52</v>
      </c>
      <c r="H31" t="s">
        <v>52</v>
      </c>
      <c r="I31" t="s">
        <v>52</v>
      </c>
      <c r="J31" t="s">
        <v>52</v>
      </c>
      <c r="K31" t="s">
        <v>52</v>
      </c>
      <c r="L31" t="s">
        <v>53</v>
      </c>
      <c r="M31" t="s">
        <v>54</v>
      </c>
      <c r="N31" t="s">
        <v>55</v>
      </c>
      <c r="O31" t="s">
        <v>56</v>
      </c>
      <c r="P31" t="s">
        <v>56</v>
      </c>
      <c r="Q31" t="s">
        <v>51</v>
      </c>
      <c r="R31" t="s">
        <v>51</v>
      </c>
      <c r="S31" t="s">
        <v>51</v>
      </c>
      <c r="T31" t="s">
        <v>51</v>
      </c>
    </row>
    <row r="32" spans="1:20">
      <c r="A32" t="s">
        <v>114</v>
      </c>
      <c r="B32" t="s">
        <v>115</v>
      </c>
      <c r="C32" t="s">
        <v>49</v>
      </c>
      <c r="D32" t="s">
        <v>50</v>
      </c>
      <c r="E32" t="s">
        <v>51</v>
      </c>
      <c r="F32" t="s">
        <v>51</v>
      </c>
      <c r="G32" t="s">
        <v>52</v>
      </c>
      <c r="H32" t="s">
        <v>52</v>
      </c>
      <c r="I32" t="s">
        <v>52</v>
      </c>
      <c r="J32" t="s">
        <v>52</v>
      </c>
      <c r="K32" t="s">
        <v>52</v>
      </c>
      <c r="L32" t="s">
        <v>53</v>
      </c>
      <c r="M32" t="s">
        <v>54</v>
      </c>
      <c r="N32" t="s">
        <v>55</v>
      </c>
      <c r="O32" t="s">
        <v>56</v>
      </c>
      <c r="P32" t="s">
        <v>56</v>
      </c>
      <c r="Q32" t="s">
        <v>51</v>
      </c>
      <c r="R32" t="s">
        <v>51</v>
      </c>
      <c r="S32" t="s">
        <v>51</v>
      </c>
      <c r="T32" t="s">
        <v>51</v>
      </c>
    </row>
    <row r="33" spans="1:20">
      <c r="A33" t="s">
        <v>116</v>
      </c>
      <c r="B33" t="s">
        <v>117</v>
      </c>
      <c r="C33" t="s">
        <v>49</v>
      </c>
      <c r="D33" t="s">
        <v>50</v>
      </c>
      <c r="E33" t="s">
        <v>51</v>
      </c>
      <c r="F33" t="s">
        <v>51</v>
      </c>
      <c r="G33" t="s">
        <v>52</v>
      </c>
      <c r="H33" t="s">
        <v>52</v>
      </c>
      <c r="I33" t="s">
        <v>52</v>
      </c>
      <c r="J33" t="s">
        <v>52</v>
      </c>
      <c r="K33" t="s">
        <v>52</v>
      </c>
      <c r="L33" t="s">
        <v>53</v>
      </c>
      <c r="M33" t="s">
        <v>54</v>
      </c>
      <c r="N33" t="s">
        <v>55</v>
      </c>
      <c r="O33" t="s">
        <v>56</v>
      </c>
      <c r="P33" t="s">
        <v>56</v>
      </c>
      <c r="Q33" t="s">
        <v>51</v>
      </c>
      <c r="R33" t="s">
        <v>51</v>
      </c>
      <c r="S33" t="s">
        <v>51</v>
      </c>
      <c r="T33" t="s">
        <v>51</v>
      </c>
    </row>
    <row r="34" spans="1:20">
      <c r="A34" t="s">
        <v>118</v>
      </c>
      <c r="B34" t="s">
        <v>119</v>
      </c>
      <c r="C34" t="s">
        <v>49</v>
      </c>
      <c r="D34" t="s">
        <v>50</v>
      </c>
      <c r="E34" t="s">
        <v>51</v>
      </c>
      <c r="F34" t="s">
        <v>51</v>
      </c>
      <c r="G34" t="s">
        <v>52</v>
      </c>
      <c r="H34" t="s">
        <v>52</v>
      </c>
      <c r="I34" t="s">
        <v>52</v>
      </c>
      <c r="J34" t="s">
        <v>52</v>
      </c>
      <c r="K34" t="s">
        <v>52</v>
      </c>
      <c r="L34" t="s">
        <v>53</v>
      </c>
      <c r="M34" t="s">
        <v>54</v>
      </c>
      <c r="N34" t="s">
        <v>55</v>
      </c>
      <c r="O34" t="s">
        <v>56</v>
      </c>
      <c r="P34" t="s">
        <v>56</v>
      </c>
      <c r="Q34" t="s">
        <v>51</v>
      </c>
      <c r="R34" t="s">
        <v>51</v>
      </c>
      <c r="S34" t="s">
        <v>51</v>
      </c>
      <c r="T34" t="s">
        <v>51</v>
      </c>
    </row>
    <row r="35" spans="1:20">
      <c r="A35" t="s">
        <v>120</v>
      </c>
      <c r="B35" t="s">
        <v>121</v>
      </c>
      <c r="C35" t="s">
        <v>49</v>
      </c>
      <c r="D35" t="s">
        <v>50</v>
      </c>
      <c r="E35" t="s">
        <v>51</v>
      </c>
      <c r="F35" t="s">
        <v>51</v>
      </c>
      <c r="G35" t="s">
        <v>52</v>
      </c>
      <c r="H35" t="s">
        <v>52</v>
      </c>
      <c r="I35" t="s">
        <v>52</v>
      </c>
      <c r="J35" t="s">
        <v>52</v>
      </c>
      <c r="K35" t="s">
        <v>52</v>
      </c>
      <c r="L35" t="s">
        <v>53</v>
      </c>
      <c r="M35" t="s">
        <v>54</v>
      </c>
      <c r="N35" t="s">
        <v>55</v>
      </c>
      <c r="O35" t="s">
        <v>56</v>
      </c>
      <c r="P35" t="s">
        <v>56</v>
      </c>
      <c r="Q35" t="s">
        <v>51</v>
      </c>
      <c r="R35" t="s">
        <v>51</v>
      </c>
      <c r="S35" t="s">
        <v>51</v>
      </c>
      <c r="T35" t="s">
        <v>51</v>
      </c>
    </row>
    <row r="36" spans="1:20">
      <c r="A36" t="s">
        <v>122</v>
      </c>
      <c r="B36" t="s">
        <v>123</v>
      </c>
      <c r="C36" t="s">
        <v>49</v>
      </c>
      <c r="D36" t="s">
        <v>50</v>
      </c>
      <c r="E36" t="s">
        <v>51</v>
      </c>
      <c r="F36" t="s">
        <v>51</v>
      </c>
      <c r="G36" t="s">
        <v>52</v>
      </c>
      <c r="H36" t="s">
        <v>52</v>
      </c>
      <c r="I36" t="s">
        <v>52</v>
      </c>
      <c r="J36" t="s">
        <v>52</v>
      </c>
      <c r="K36" t="s">
        <v>52</v>
      </c>
      <c r="L36" t="s">
        <v>53</v>
      </c>
      <c r="M36" t="s">
        <v>54</v>
      </c>
      <c r="N36" t="s">
        <v>55</v>
      </c>
      <c r="O36" t="s">
        <v>56</v>
      </c>
      <c r="P36" t="s">
        <v>56</v>
      </c>
      <c r="Q36" t="s">
        <v>51</v>
      </c>
      <c r="R36" t="s">
        <v>51</v>
      </c>
      <c r="S36" t="s">
        <v>51</v>
      </c>
      <c r="T36" t="s">
        <v>51</v>
      </c>
    </row>
    <row r="37" spans="1:20">
      <c r="A37" t="s">
        <v>124</v>
      </c>
      <c r="B37" t="s">
        <v>125</v>
      </c>
      <c r="C37" t="s">
        <v>49</v>
      </c>
      <c r="D37" t="s">
        <v>50</v>
      </c>
      <c r="E37" t="s">
        <v>51</v>
      </c>
      <c r="F37" t="s">
        <v>51</v>
      </c>
      <c r="G37" t="s">
        <v>52</v>
      </c>
      <c r="H37" t="s">
        <v>52</v>
      </c>
      <c r="I37" t="s">
        <v>52</v>
      </c>
      <c r="J37" t="s">
        <v>52</v>
      </c>
      <c r="K37" t="s">
        <v>52</v>
      </c>
      <c r="L37" t="s">
        <v>53</v>
      </c>
      <c r="M37" t="s">
        <v>54</v>
      </c>
      <c r="N37" t="s">
        <v>55</v>
      </c>
      <c r="O37" t="s">
        <v>56</v>
      </c>
      <c r="P37" t="s">
        <v>56</v>
      </c>
      <c r="Q37" t="s">
        <v>51</v>
      </c>
      <c r="R37" t="s">
        <v>51</v>
      </c>
      <c r="S37" t="s">
        <v>51</v>
      </c>
      <c r="T37" t="s">
        <v>51</v>
      </c>
    </row>
    <row r="38" spans="1:20">
      <c r="A38" t="s">
        <v>126</v>
      </c>
      <c r="B38" t="s">
        <v>127</v>
      </c>
      <c r="C38" t="s">
        <v>49</v>
      </c>
      <c r="D38" t="s">
        <v>50</v>
      </c>
      <c r="E38" t="s">
        <v>51</v>
      </c>
      <c r="F38" t="s">
        <v>51</v>
      </c>
      <c r="G38" t="s">
        <v>52</v>
      </c>
      <c r="H38" t="s">
        <v>52</v>
      </c>
      <c r="I38" t="s">
        <v>52</v>
      </c>
      <c r="J38" t="s">
        <v>52</v>
      </c>
      <c r="K38" t="s">
        <v>52</v>
      </c>
      <c r="L38" t="s">
        <v>53</v>
      </c>
      <c r="M38" t="s">
        <v>54</v>
      </c>
      <c r="N38" t="s">
        <v>55</v>
      </c>
      <c r="O38" t="s">
        <v>56</v>
      </c>
      <c r="P38" t="s">
        <v>56</v>
      </c>
      <c r="Q38" t="s">
        <v>51</v>
      </c>
      <c r="R38" t="s">
        <v>51</v>
      </c>
      <c r="S38" t="s">
        <v>51</v>
      </c>
      <c r="T38" t="s">
        <v>51</v>
      </c>
    </row>
    <row r="39" spans="1:20">
      <c r="A39" t="s">
        <v>128</v>
      </c>
      <c r="B39" t="s">
        <v>129</v>
      </c>
      <c r="C39" t="s">
        <v>49</v>
      </c>
      <c r="D39" t="s">
        <v>50</v>
      </c>
      <c r="E39" t="s">
        <v>51</v>
      </c>
      <c r="F39" t="s">
        <v>51</v>
      </c>
      <c r="G39" t="s">
        <v>52</v>
      </c>
      <c r="H39" t="s">
        <v>52</v>
      </c>
      <c r="I39" t="s">
        <v>52</v>
      </c>
      <c r="J39" t="s">
        <v>52</v>
      </c>
      <c r="K39" t="s">
        <v>52</v>
      </c>
      <c r="L39" t="s">
        <v>53</v>
      </c>
      <c r="M39" t="s">
        <v>54</v>
      </c>
      <c r="N39" t="s">
        <v>55</v>
      </c>
      <c r="O39" t="s">
        <v>56</v>
      </c>
      <c r="P39" t="s">
        <v>56</v>
      </c>
      <c r="Q39" t="s">
        <v>51</v>
      </c>
      <c r="R39" t="s">
        <v>51</v>
      </c>
      <c r="S39" t="s">
        <v>51</v>
      </c>
      <c r="T39" t="s">
        <v>51</v>
      </c>
    </row>
    <row r="40" spans="1:20">
      <c r="A40" t="s">
        <v>130</v>
      </c>
      <c r="B40" t="s">
        <v>131</v>
      </c>
      <c r="C40" t="s">
        <v>49</v>
      </c>
      <c r="D40" t="s">
        <v>50</v>
      </c>
      <c r="E40" t="s">
        <v>51</v>
      </c>
      <c r="F40" t="s">
        <v>51</v>
      </c>
      <c r="G40" t="s">
        <v>52</v>
      </c>
      <c r="H40" t="s">
        <v>52</v>
      </c>
      <c r="I40" t="s">
        <v>52</v>
      </c>
      <c r="J40" t="s">
        <v>52</v>
      </c>
      <c r="K40" t="s">
        <v>52</v>
      </c>
      <c r="L40" t="s">
        <v>53</v>
      </c>
      <c r="M40" t="s">
        <v>54</v>
      </c>
      <c r="N40" t="s">
        <v>55</v>
      </c>
      <c r="O40" t="s">
        <v>56</v>
      </c>
      <c r="P40" t="s">
        <v>56</v>
      </c>
      <c r="Q40" t="s">
        <v>51</v>
      </c>
      <c r="R40" t="s">
        <v>51</v>
      </c>
      <c r="S40" t="s">
        <v>51</v>
      </c>
      <c r="T40" t="s">
        <v>51</v>
      </c>
    </row>
    <row r="41" spans="1:20">
      <c r="A41" t="s">
        <v>132</v>
      </c>
      <c r="B41" t="s">
        <v>133</v>
      </c>
      <c r="C41" t="s">
        <v>49</v>
      </c>
      <c r="D41" t="s">
        <v>50</v>
      </c>
      <c r="E41" t="s">
        <v>51</v>
      </c>
      <c r="F41" t="s">
        <v>51</v>
      </c>
      <c r="G41" t="s">
        <v>52</v>
      </c>
      <c r="H41" t="s">
        <v>52</v>
      </c>
      <c r="I41" t="s">
        <v>52</v>
      </c>
      <c r="J41" t="s">
        <v>52</v>
      </c>
      <c r="K41" t="s">
        <v>52</v>
      </c>
      <c r="L41" t="s">
        <v>53</v>
      </c>
      <c r="M41" t="s">
        <v>54</v>
      </c>
      <c r="N41" t="s">
        <v>55</v>
      </c>
      <c r="O41" t="s">
        <v>56</v>
      </c>
      <c r="P41" t="s">
        <v>56</v>
      </c>
      <c r="Q41" t="s">
        <v>51</v>
      </c>
      <c r="R41" t="s">
        <v>51</v>
      </c>
      <c r="S41" t="s">
        <v>51</v>
      </c>
      <c r="T41" t="s">
        <v>51</v>
      </c>
    </row>
    <row r="42" spans="1:20">
      <c r="A42" t="s">
        <v>134</v>
      </c>
      <c r="B42" t="s">
        <v>135</v>
      </c>
      <c r="C42" t="s">
        <v>49</v>
      </c>
      <c r="D42" t="s">
        <v>50</v>
      </c>
      <c r="E42" t="s">
        <v>51</v>
      </c>
      <c r="F42" t="s">
        <v>51</v>
      </c>
      <c r="G42" t="s">
        <v>52</v>
      </c>
      <c r="H42" t="s">
        <v>52</v>
      </c>
      <c r="I42" t="s">
        <v>52</v>
      </c>
      <c r="J42" t="s">
        <v>52</v>
      </c>
      <c r="K42" t="s">
        <v>52</v>
      </c>
      <c r="L42" t="s">
        <v>53</v>
      </c>
      <c r="M42" t="s">
        <v>54</v>
      </c>
      <c r="N42" t="s">
        <v>55</v>
      </c>
      <c r="O42" t="s">
        <v>56</v>
      </c>
      <c r="P42" t="s">
        <v>56</v>
      </c>
      <c r="Q42" t="s">
        <v>51</v>
      </c>
      <c r="R42" t="s">
        <v>51</v>
      </c>
      <c r="S42" t="s">
        <v>51</v>
      </c>
      <c r="T42" t="s">
        <v>51</v>
      </c>
    </row>
    <row r="43" spans="1:20">
      <c r="A43" t="s">
        <v>136</v>
      </c>
      <c r="B43" t="s">
        <v>137</v>
      </c>
      <c r="C43" t="s">
        <v>49</v>
      </c>
      <c r="D43" t="s">
        <v>50</v>
      </c>
      <c r="E43" t="s">
        <v>51</v>
      </c>
      <c r="F43" t="s">
        <v>51</v>
      </c>
      <c r="G43" t="s">
        <v>52</v>
      </c>
      <c r="H43" t="s">
        <v>52</v>
      </c>
      <c r="I43" t="s">
        <v>52</v>
      </c>
      <c r="J43" t="s">
        <v>52</v>
      </c>
      <c r="K43" t="s">
        <v>52</v>
      </c>
      <c r="L43" t="s">
        <v>53</v>
      </c>
      <c r="M43" t="s">
        <v>54</v>
      </c>
      <c r="N43" t="s">
        <v>55</v>
      </c>
      <c r="O43" t="s">
        <v>56</v>
      </c>
      <c r="P43" t="s">
        <v>56</v>
      </c>
      <c r="Q43" t="s">
        <v>51</v>
      </c>
      <c r="R43" t="s">
        <v>51</v>
      </c>
      <c r="S43" t="s">
        <v>51</v>
      </c>
      <c r="T43" t="s">
        <v>51</v>
      </c>
    </row>
    <row r="44" spans="1:20">
      <c r="A44" t="s">
        <v>138</v>
      </c>
      <c r="B44" t="s">
        <v>139</v>
      </c>
      <c r="C44" t="s">
        <v>49</v>
      </c>
      <c r="D44" t="s">
        <v>50</v>
      </c>
      <c r="E44" t="s">
        <v>51</v>
      </c>
      <c r="F44" t="s">
        <v>51</v>
      </c>
      <c r="G44" t="s">
        <v>52</v>
      </c>
      <c r="H44" t="s">
        <v>52</v>
      </c>
      <c r="I44" t="s">
        <v>52</v>
      </c>
      <c r="J44" t="s">
        <v>52</v>
      </c>
      <c r="K44" t="s">
        <v>52</v>
      </c>
      <c r="L44" t="s">
        <v>53</v>
      </c>
      <c r="M44" t="s">
        <v>54</v>
      </c>
      <c r="N44" t="s">
        <v>55</v>
      </c>
      <c r="O44" t="s">
        <v>56</v>
      </c>
      <c r="P44" t="s">
        <v>56</v>
      </c>
      <c r="Q44" t="s">
        <v>51</v>
      </c>
      <c r="R44" t="s">
        <v>51</v>
      </c>
      <c r="S44" t="s">
        <v>51</v>
      </c>
      <c r="T44" t="s">
        <v>51</v>
      </c>
    </row>
    <row r="45" spans="1:20">
      <c r="A45" t="s">
        <v>140</v>
      </c>
      <c r="B45" t="s">
        <v>141</v>
      </c>
      <c r="C45" t="s">
        <v>49</v>
      </c>
      <c r="D45" t="s">
        <v>50</v>
      </c>
      <c r="E45" t="s">
        <v>51</v>
      </c>
      <c r="F45" t="s">
        <v>51</v>
      </c>
      <c r="G45" t="s">
        <v>52</v>
      </c>
      <c r="H45" t="s">
        <v>52</v>
      </c>
      <c r="I45" t="s">
        <v>52</v>
      </c>
      <c r="J45" t="s">
        <v>52</v>
      </c>
      <c r="K45" t="s">
        <v>52</v>
      </c>
      <c r="L45" t="s">
        <v>53</v>
      </c>
      <c r="M45" t="s">
        <v>54</v>
      </c>
      <c r="N45" t="s">
        <v>55</v>
      </c>
      <c r="O45" t="s">
        <v>56</v>
      </c>
      <c r="P45" t="s">
        <v>56</v>
      </c>
      <c r="Q45" t="s">
        <v>51</v>
      </c>
      <c r="R45" t="s">
        <v>51</v>
      </c>
      <c r="S45" t="s">
        <v>51</v>
      </c>
      <c r="T45" t="s">
        <v>51</v>
      </c>
    </row>
    <row r="46" spans="1:20">
      <c r="A46" t="s">
        <v>142</v>
      </c>
      <c r="B46" t="s">
        <v>143</v>
      </c>
      <c r="C46" t="s">
        <v>49</v>
      </c>
      <c r="D46" t="s">
        <v>50</v>
      </c>
      <c r="E46" t="s">
        <v>51</v>
      </c>
      <c r="F46" t="s">
        <v>51</v>
      </c>
      <c r="G46" t="s">
        <v>52</v>
      </c>
      <c r="H46" t="s">
        <v>52</v>
      </c>
      <c r="I46" t="s">
        <v>52</v>
      </c>
      <c r="J46" t="s">
        <v>52</v>
      </c>
      <c r="K46" t="s">
        <v>52</v>
      </c>
      <c r="L46" t="s">
        <v>53</v>
      </c>
      <c r="M46" t="s">
        <v>54</v>
      </c>
      <c r="N46" t="s">
        <v>55</v>
      </c>
      <c r="O46" t="s">
        <v>56</v>
      </c>
      <c r="P46" t="s">
        <v>56</v>
      </c>
      <c r="Q46" t="s">
        <v>51</v>
      </c>
      <c r="R46" t="s">
        <v>51</v>
      </c>
      <c r="S46" t="s">
        <v>51</v>
      </c>
      <c r="T46" t="s">
        <v>51</v>
      </c>
    </row>
    <row r="47" spans="1:20">
      <c r="A47" t="s">
        <v>144</v>
      </c>
      <c r="B47" t="s">
        <v>145</v>
      </c>
      <c r="C47" t="s">
        <v>49</v>
      </c>
      <c r="D47" t="s">
        <v>50</v>
      </c>
      <c r="E47" t="s">
        <v>51</v>
      </c>
      <c r="F47" t="s">
        <v>51</v>
      </c>
      <c r="G47" t="s">
        <v>52</v>
      </c>
      <c r="H47" t="s">
        <v>52</v>
      </c>
      <c r="I47" t="s">
        <v>52</v>
      </c>
      <c r="J47" t="s">
        <v>52</v>
      </c>
      <c r="K47" t="s">
        <v>52</v>
      </c>
      <c r="L47" t="s">
        <v>53</v>
      </c>
      <c r="M47" t="s">
        <v>54</v>
      </c>
      <c r="N47" t="s">
        <v>55</v>
      </c>
      <c r="O47" t="s">
        <v>56</v>
      </c>
      <c r="P47" t="s">
        <v>56</v>
      </c>
      <c r="Q47" t="s">
        <v>51</v>
      </c>
      <c r="R47" t="s">
        <v>51</v>
      </c>
      <c r="S47" t="s">
        <v>51</v>
      </c>
      <c r="T47" t="s">
        <v>51</v>
      </c>
    </row>
    <row r="48" spans="1:20">
      <c r="A48" t="s">
        <v>146</v>
      </c>
      <c r="B48" t="s">
        <v>147</v>
      </c>
      <c r="C48" t="s">
        <v>49</v>
      </c>
      <c r="D48" t="s">
        <v>50</v>
      </c>
      <c r="E48" t="s">
        <v>51</v>
      </c>
      <c r="F48" t="s">
        <v>51</v>
      </c>
      <c r="G48" t="s">
        <v>52</v>
      </c>
      <c r="H48" t="s">
        <v>52</v>
      </c>
      <c r="I48" t="s">
        <v>52</v>
      </c>
      <c r="J48" t="s">
        <v>52</v>
      </c>
      <c r="K48" t="s">
        <v>52</v>
      </c>
      <c r="L48" t="s">
        <v>53</v>
      </c>
      <c r="M48" t="s">
        <v>54</v>
      </c>
      <c r="N48" t="s">
        <v>55</v>
      </c>
      <c r="O48" t="s">
        <v>56</v>
      </c>
      <c r="P48" t="s">
        <v>56</v>
      </c>
      <c r="Q48" t="s">
        <v>51</v>
      </c>
      <c r="R48" t="s">
        <v>51</v>
      </c>
      <c r="S48" t="s">
        <v>51</v>
      </c>
      <c r="T48" t="s">
        <v>51</v>
      </c>
    </row>
    <row r="49" spans="1:20">
      <c r="A49" t="s">
        <v>148</v>
      </c>
      <c r="B49" t="s">
        <v>149</v>
      </c>
      <c r="C49" t="s">
        <v>49</v>
      </c>
      <c r="D49" t="s">
        <v>50</v>
      </c>
      <c r="E49" t="s">
        <v>51</v>
      </c>
      <c r="F49" t="s">
        <v>51</v>
      </c>
      <c r="G49" t="s">
        <v>52</v>
      </c>
      <c r="H49" t="s">
        <v>52</v>
      </c>
      <c r="I49" t="s">
        <v>52</v>
      </c>
      <c r="J49" t="s">
        <v>52</v>
      </c>
      <c r="K49" t="s">
        <v>52</v>
      </c>
      <c r="L49" t="s">
        <v>53</v>
      </c>
      <c r="M49" t="s">
        <v>54</v>
      </c>
      <c r="N49" t="s">
        <v>55</v>
      </c>
      <c r="O49" t="s">
        <v>56</v>
      </c>
      <c r="P49" t="s">
        <v>56</v>
      </c>
      <c r="Q49" t="s">
        <v>51</v>
      </c>
      <c r="R49" t="s">
        <v>51</v>
      </c>
      <c r="S49" t="s">
        <v>51</v>
      </c>
      <c r="T49" t="s">
        <v>51</v>
      </c>
    </row>
    <row r="50" spans="1:20">
      <c r="A50" t="s">
        <v>150</v>
      </c>
      <c r="B50" t="s">
        <v>151</v>
      </c>
      <c r="C50" t="s">
        <v>49</v>
      </c>
      <c r="D50" t="s">
        <v>50</v>
      </c>
      <c r="E50" t="s">
        <v>51</v>
      </c>
      <c r="F50" t="s">
        <v>51</v>
      </c>
      <c r="G50" t="s">
        <v>52</v>
      </c>
      <c r="H50" t="s">
        <v>52</v>
      </c>
      <c r="I50" t="s">
        <v>52</v>
      </c>
      <c r="J50" t="s">
        <v>52</v>
      </c>
      <c r="K50" t="s">
        <v>52</v>
      </c>
      <c r="L50" t="s">
        <v>53</v>
      </c>
      <c r="M50" t="s">
        <v>54</v>
      </c>
      <c r="N50" t="s">
        <v>55</v>
      </c>
      <c r="O50" t="s">
        <v>56</v>
      </c>
      <c r="P50" t="s">
        <v>56</v>
      </c>
      <c r="Q50" t="s">
        <v>51</v>
      </c>
      <c r="R50" t="s">
        <v>51</v>
      </c>
      <c r="S50" t="s">
        <v>51</v>
      </c>
      <c r="T50" t="s">
        <v>51</v>
      </c>
    </row>
    <row r="51" spans="1:20">
      <c r="A51" t="s">
        <v>152</v>
      </c>
      <c r="B51" t="s">
        <v>153</v>
      </c>
      <c r="C51" t="s">
        <v>49</v>
      </c>
      <c r="D51" t="s">
        <v>50</v>
      </c>
      <c r="E51" t="s">
        <v>51</v>
      </c>
      <c r="F51" t="s">
        <v>51</v>
      </c>
      <c r="G51" t="s">
        <v>52</v>
      </c>
      <c r="H51" t="s">
        <v>52</v>
      </c>
      <c r="I51" t="s">
        <v>52</v>
      </c>
      <c r="J51" t="s">
        <v>52</v>
      </c>
      <c r="K51" t="s">
        <v>52</v>
      </c>
      <c r="L51" t="s">
        <v>53</v>
      </c>
      <c r="M51" t="s">
        <v>54</v>
      </c>
      <c r="N51" t="s">
        <v>55</v>
      </c>
      <c r="O51" t="s">
        <v>56</v>
      </c>
      <c r="P51" t="s">
        <v>56</v>
      </c>
      <c r="Q51" t="s">
        <v>51</v>
      </c>
      <c r="R51" t="s">
        <v>51</v>
      </c>
      <c r="S51" t="s">
        <v>51</v>
      </c>
      <c r="T51" t="s">
        <v>51</v>
      </c>
    </row>
    <row r="52" spans="1:20">
      <c r="A52" t="s">
        <v>47</v>
      </c>
      <c r="B52" t="s">
        <v>48</v>
      </c>
      <c r="C52" t="s">
        <v>49</v>
      </c>
      <c r="D52" t="s">
        <v>50</v>
      </c>
      <c r="E52" t="s">
        <v>51</v>
      </c>
      <c r="F52" t="s">
        <v>51</v>
      </c>
      <c r="G52" t="s">
        <v>52</v>
      </c>
      <c r="H52" t="s">
        <v>52</v>
      </c>
      <c r="I52" t="s">
        <v>52</v>
      </c>
      <c r="J52" t="s">
        <v>52</v>
      </c>
      <c r="K52" t="s">
        <v>52</v>
      </c>
      <c r="L52" t="s">
        <v>172</v>
      </c>
      <c r="M52" t="s">
        <v>172</v>
      </c>
      <c r="N52" t="s">
        <v>164</v>
      </c>
      <c r="O52" t="s">
        <v>111</v>
      </c>
      <c r="P52" t="s">
        <v>111</v>
      </c>
      <c r="Q52" t="s">
        <v>51</v>
      </c>
      <c r="R52" t="s">
        <v>51</v>
      </c>
      <c r="S52" t="s">
        <v>51</v>
      </c>
      <c r="T52" t="s">
        <v>51</v>
      </c>
    </row>
    <row r="53" spans="1:20">
      <c r="A53" t="s">
        <v>57</v>
      </c>
      <c r="B53" t="s">
        <v>58</v>
      </c>
      <c r="C53" t="s">
        <v>49</v>
      </c>
      <c r="D53" t="s">
        <v>50</v>
      </c>
      <c r="E53" t="s">
        <v>51</v>
      </c>
      <c r="F53" t="s">
        <v>51</v>
      </c>
      <c r="G53" t="s">
        <v>52</v>
      </c>
      <c r="H53" t="s">
        <v>52</v>
      </c>
      <c r="I53" t="s">
        <v>52</v>
      </c>
      <c r="J53" t="s">
        <v>52</v>
      </c>
      <c r="K53" t="s">
        <v>52</v>
      </c>
      <c r="L53" t="s">
        <v>172</v>
      </c>
      <c r="M53" t="s">
        <v>172</v>
      </c>
      <c r="N53" t="s">
        <v>164</v>
      </c>
      <c r="O53" t="s">
        <v>111</v>
      </c>
      <c r="P53" t="s">
        <v>111</v>
      </c>
      <c r="Q53" t="s">
        <v>51</v>
      </c>
      <c r="R53" t="s">
        <v>51</v>
      </c>
      <c r="S53" t="s">
        <v>51</v>
      </c>
      <c r="T53" t="s">
        <v>51</v>
      </c>
    </row>
    <row r="54" spans="1:20">
      <c r="A54" t="s">
        <v>59</v>
      </c>
      <c r="B54" t="s">
        <v>60</v>
      </c>
      <c r="C54" t="s">
        <v>49</v>
      </c>
      <c r="D54" t="s">
        <v>50</v>
      </c>
      <c r="E54" t="s">
        <v>51</v>
      </c>
      <c r="F54" t="s">
        <v>51</v>
      </c>
      <c r="G54" t="s">
        <v>52</v>
      </c>
      <c r="H54" t="s">
        <v>52</v>
      </c>
      <c r="I54" t="s">
        <v>52</v>
      </c>
      <c r="J54" t="s">
        <v>52</v>
      </c>
      <c r="K54" t="s">
        <v>52</v>
      </c>
      <c r="L54" t="s">
        <v>172</v>
      </c>
      <c r="M54" t="s">
        <v>172</v>
      </c>
      <c r="N54" t="s">
        <v>164</v>
      </c>
      <c r="O54" t="s">
        <v>111</v>
      </c>
      <c r="P54" t="s">
        <v>111</v>
      </c>
      <c r="Q54" t="s">
        <v>51</v>
      </c>
      <c r="R54" t="s">
        <v>51</v>
      </c>
      <c r="S54" t="s">
        <v>51</v>
      </c>
      <c r="T54" t="s">
        <v>51</v>
      </c>
    </row>
    <row r="55" spans="1:20">
      <c r="A55" t="s">
        <v>61</v>
      </c>
      <c r="B55" t="s">
        <v>62</v>
      </c>
      <c r="C55" t="s">
        <v>49</v>
      </c>
      <c r="D55" t="s">
        <v>50</v>
      </c>
      <c r="E55" t="s">
        <v>51</v>
      </c>
      <c r="F55" t="s">
        <v>51</v>
      </c>
      <c r="G55" t="s">
        <v>52</v>
      </c>
      <c r="H55" t="s">
        <v>52</v>
      </c>
      <c r="I55" t="s">
        <v>52</v>
      </c>
      <c r="J55" t="s">
        <v>52</v>
      </c>
      <c r="K55" t="s">
        <v>52</v>
      </c>
      <c r="L55" t="s">
        <v>172</v>
      </c>
      <c r="M55" t="s">
        <v>172</v>
      </c>
      <c r="N55" t="s">
        <v>164</v>
      </c>
      <c r="O55" t="s">
        <v>111</v>
      </c>
      <c r="P55" t="s">
        <v>111</v>
      </c>
      <c r="Q55" t="s">
        <v>51</v>
      </c>
      <c r="R55" t="s">
        <v>51</v>
      </c>
      <c r="S55" t="s">
        <v>51</v>
      </c>
      <c r="T55" t="s">
        <v>51</v>
      </c>
    </row>
    <row r="56" spans="1:20">
      <c r="A56" t="s">
        <v>63</v>
      </c>
      <c r="B56" t="s">
        <v>56</v>
      </c>
      <c r="C56" t="s">
        <v>49</v>
      </c>
      <c r="D56" t="s">
        <v>50</v>
      </c>
      <c r="E56" t="s">
        <v>51</v>
      </c>
      <c r="F56" t="s">
        <v>51</v>
      </c>
      <c r="G56" t="s">
        <v>52</v>
      </c>
      <c r="H56" t="s">
        <v>52</v>
      </c>
      <c r="I56" t="s">
        <v>52</v>
      </c>
      <c r="J56" t="s">
        <v>52</v>
      </c>
      <c r="K56" t="s">
        <v>52</v>
      </c>
      <c r="L56" t="s">
        <v>172</v>
      </c>
      <c r="M56" t="s">
        <v>172</v>
      </c>
      <c r="N56" t="s">
        <v>164</v>
      </c>
      <c r="O56" t="s">
        <v>111</v>
      </c>
      <c r="P56" t="s">
        <v>111</v>
      </c>
      <c r="Q56" t="s">
        <v>51</v>
      </c>
      <c r="R56" t="s">
        <v>51</v>
      </c>
      <c r="S56" t="s">
        <v>51</v>
      </c>
      <c r="T56" t="s">
        <v>51</v>
      </c>
    </row>
    <row r="57" spans="1:20">
      <c r="A57" t="s">
        <v>47</v>
      </c>
      <c r="B57" t="s">
        <v>48</v>
      </c>
      <c r="C57" t="s">
        <v>49</v>
      </c>
      <c r="D57" t="s">
        <v>50</v>
      </c>
      <c r="E57" t="s">
        <v>51</v>
      </c>
      <c r="F57" t="s">
        <v>51</v>
      </c>
      <c r="G57" t="s">
        <v>52</v>
      </c>
      <c r="H57" t="s">
        <v>52</v>
      </c>
      <c r="I57" t="s">
        <v>52</v>
      </c>
      <c r="J57" t="s">
        <v>52</v>
      </c>
      <c r="K57" t="s">
        <v>52</v>
      </c>
      <c r="L57" t="s">
        <v>154</v>
      </c>
      <c r="M57" t="s">
        <v>155</v>
      </c>
      <c r="N57" t="s">
        <v>156</v>
      </c>
      <c r="O57" s="209">
        <v>27</v>
      </c>
      <c r="P57" s="209">
        <v>27</v>
      </c>
      <c r="Q57" t="s">
        <v>51</v>
      </c>
      <c r="R57" t="s">
        <v>51</v>
      </c>
      <c r="S57" t="s">
        <v>51</v>
      </c>
      <c r="T57" t="s">
        <v>51</v>
      </c>
    </row>
    <row r="58" spans="1:20">
      <c r="A58" t="s">
        <v>57</v>
      </c>
      <c r="B58" t="s">
        <v>58</v>
      </c>
      <c r="C58" t="s">
        <v>49</v>
      </c>
      <c r="D58" t="s">
        <v>50</v>
      </c>
      <c r="E58" t="s">
        <v>51</v>
      </c>
      <c r="F58" t="s">
        <v>51</v>
      </c>
      <c r="G58" t="s">
        <v>52</v>
      </c>
      <c r="H58" t="s">
        <v>52</v>
      </c>
      <c r="I58" t="s">
        <v>52</v>
      </c>
      <c r="J58" t="s">
        <v>52</v>
      </c>
      <c r="K58" t="s">
        <v>52</v>
      </c>
      <c r="L58" t="s">
        <v>154</v>
      </c>
      <c r="M58" t="s">
        <v>155</v>
      </c>
      <c r="N58" t="s">
        <v>156</v>
      </c>
      <c r="O58" s="209">
        <v>27</v>
      </c>
      <c r="P58" s="209">
        <v>27</v>
      </c>
      <c r="Q58" t="s">
        <v>51</v>
      </c>
      <c r="R58" t="s">
        <v>51</v>
      </c>
      <c r="S58" t="s">
        <v>51</v>
      </c>
      <c r="T58" t="s">
        <v>51</v>
      </c>
    </row>
    <row r="59" spans="1:20">
      <c r="A59" t="s">
        <v>59</v>
      </c>
      <c r="B59" t="s">
        <v>60</v>
      </c>
      <c r="C59" t="s">
        <v>49</v>
      </c>
      <c r="D59" t="s">
        <v>50</v>
      </c>
      <c r="E59" t="s">
        <v>51</v>
      </c>
      <c r="F59" t="s">
        <v>51</v>
      </c>
      <c r="G59" t="s">
        <v>52</v>
      </c>
      <c r="H59" t="s">
        <v>52</v>
      </c>
      <c r="I59" t="s">
        <v>52</v>
      </c>
      <c r="J59" t="s">
        <v>52</v>
      </c>
      <c r="K59" t="s">
        <v>52</v>
      </c>
      <c r="L59" t="s">
        <v>154</v>
      </c>
      <c r="M59" t="s">
        <v>155</v>
      </c>
      <c r="N59" t="s">
        <v>156</v>
      </c>
      <c r="O59" s="209">
        <v>27</v>
      </c>
      <c r="P59" s="209">
        <v>27</v>
      </c>
      <c r="Q59" t="s">
        <v>51</v>
      </c>
      <c r="R59" t="s">
        <v>51</v>
      </c>
      <c r="S59" t="s">
        <v>51</v>
      </c>
      <c r="T59" t="s">
        <v>51</v>
      </c>
    </row>
    <row r="60" spans="1:20">
      <c r="A60" t="s">
        <v>61</v>
      </c>
      <c r="B60" t="s">
        <v>62</v>
      </c>
      <c r="C60" t="s">
        <v>49</v>
      </c>
      <c r="D60" t="s">
        <v>50</v>
      </c>
      <c r="E60" t="s">
        <v>51</v>
      </c>
      <c r="F60" t="s">
        <v>51</v>
      </c>
      <c r="G60" t="s">
        <v>52</v>
      </c>
      <c r="H60" t="s">
        <v>52</v>
      </c>
      <c r="I60" t="s">
        <v>52</v>
      </c>
      <c r="J60" t="s">
        <v>52</v>
      </c>
      <c r="K60" t="s">
        <v>52</v>
      </c>
      <c r="L60" t="s">
        <v>154</v>
      </c>
      <c r="M60" t="s">
        <v>155</v>
      </c>
      <c r="N60" t="s">
        <v>156</v>
      </c>
      <c r="O60" s="209">
        <v>27</v>
      </c>
      <c r="P60" s="209">
        <v>27</v>
      </c>
      <c r="Q60" t="s">
        <v>51</v>
      </c>
      <c r="R60" t="s">
        <v>51</v>
      </c>
      <c r="S60" t="s">
        <v>51</v>
      </c>
      <c r="T60" t="s">
        <v>51</v>
      </c>
    </row>
    <row r="61" spans="1:20">
      <c r="A61" t="s">
        <v>63</v>
      </c>
      <c r="B61" t="s">
        <v>56</v>
      </c>
      <c r="C61" t="s">
        <v>49</v>
      </c>
      <c r="D61" t="s">
        <v>50</v>
      </c>
      <c r="E61" t="s">
        <v>51</v>
      </c>
      <c r="F61" t="s">
        <v>51</v>
      </c>
      <c r="G61" t="s">
        <v>52</v>
      </c>
      <c r="H61" t="s">
        <v>52</v>
      </c>
      <c r="I61" t="s">
        <v>52</v>
      </c>
      <c r="J61" t="s">
        <v>52</v>
      </c>
      <c r="K61" t="s">
        <v>52</v>
      </c>
      <c r="L61" t="s">
        <v>154</v>
      </c>
      <c r="M61" t="s">
        <v>155</v>
      </c>
      <c r="N61" t="s">
        <v>156</v>
      </c>
      <c r="O61" s="209">
        <v>27</v>
      </c>
      <c r="P61" s="209">
        <v>27</v>
      </c>
      <c r="Q61" t="s">
        <v>51</v>
      </c>
      <c r="R61" t="s">
        <v>51</v>
      </c>
      <c r="S61" t="s">
        <v>51</v>
      </c>
      <c r="T61" t="s">
        <v>51</v>
      </c>
    </row>
    <row r="62" spans="1:20">
      <c r="A62" t="s">
        <v>64</v>
      </c>
      <c r="B62" t="s">
        <v>65</v>
      </c>
      <c r="C62" t="s">
        <v>49</v>
      </c>
      <c r="D62" t="s">
        <v>50</v>
      </c>
      <c r="E62" t="s">
        <v>51</v>
      </c>
      <c r="F62" t="s">
        <v>51</v>
      </c>
      <c r="G62" t="s">
        <v>52</v>
      </c>
      <c r="H62" t="s">
        <v>52</v>
      </c>
      <c r="I62" t="s">
        <v>52</v>
      </c>
      <c r="J62" t="s">
        <v>52</v>
      </c>
      <c r="K62" t="s">
        <v>52</v>
      </c>
      <c r="L62" t="s">
        <v>154</v>
      </c>
      <c r="M62" t="s">
        <v>155</v>
      </c>
      <c r="N62" t="s">
        <v>156</v>
      </c>
      <c r="O62" s="209">
        <v>27</v>
      </c>
      <c r="P62" s="209">
        <v>27</v>
      </c>
      <c r="Q62" t="s">
        <v>51</v>
      </c>
      <c r="R62" t="s">
        <v>51</v>
      </c>
      <c r="S62" t="s">
        <v>51</v>
      </c>
      <c r="T62" t="s">
        <v>51</v>
      </c>
    </row>
    <row r="63" spans="1:20">
      <c r="A63" t="s">
        <v>66</v>
      </c>
      <c r="B63" t="s">
        <v>67</v>
      </c>
      <c r="C63" t="s">
        <v>49</v>
      </c>
      <c r="D63" t="s">
        <v>50</v>
      </c>
      <c r="E63" t="s">
        <v>51</v>
      </c>
      <c r="F63" t="s">
        <v>51</v>
      </c>
      <c r="G63" t="s">
        <v>52</v>
      </c>
      <c r="H63" t="s">
        <v>52</v>
      </c>
      <c r="I63" t="s">
        <v>52</v>
      </c>
      <c r="J63" t="s">
        <v>52</v>
      </c>
      <c r="K63" t="s">
        <v>52</v>
      </c>
      <c r="L63" t="s">
        <v>154</v>
      </c>
      <c r="M63" t="s">
        <v>155</v>
      </c>
      <c r="N63" t="s">
        <v>156</v>
      </c>
      <c r="O63" s="209">
        <v>27</v>
      </c>
      <c r="P63" s="209">
        <v>27</v>
      </c>
      <c r="Q63" t="s">
        <v>51</v>
      </c>
      <c r="R63" t="s">
        <v>51</v>
      </c>
      <c r="S63" t="s">
        <v>51</v>
      </c>
      <c r="T63" t="s">
        <v>51</v>
      </c>
    </row>
    <row r="64" spans="1:20">
      <c r="A64" t="s">
        <v>68</v>
      </c>
      <c r="B64" t="s">
        <v>69</v>
      </c>
      <c r="C64" t="s">
        <v>49</v>
      </c>
      <c r="D64" t="s">
        <v>50</v>
      </c>
      <c r="E64" t="s">
        <v>51</v>
      </c>
      <c r="F64" t="s">
        <v>51</v>
      </c>
      <c r="G64" t="s">
        <v>52</v>
      </c>
      <c r="H64" t="s">
        <v>52</v>
      </c>
      <c r="I64" t="s">
        <v>52</v>
      </c>
      <c r="J64" t="s">
        <v>52</v>
      </c>
      <c r="K64" t="s">
        <v>52</v>
      </c>
      <c r="L64" t="s">
        <v>154</v>
      </c>
      <c r="M64" t="s">
        <v>155</v>
      </c>
      <c r="N64" t="s">
        <v>156</v>
      </c>
      <c r="O64" s="209">
        <v>27</v>
      </c>
      <c r="P64" s="209">
        <v>27</v>
      </c>
      <c r="Q64" t="s">
        <v>51</v>
      </c>
      <c r="R64" t="s">
        <v>51</v>
      </c>
      <c r="S64" t="s">
        <v>51</v>
      </c>
      <c r="T64" t="s">
        <v>51</v>
      </c>
    </row>
    <row r="65" spans="1:20">
      <c r="A65" t="s">
        <v>70</v>
      </c>
      <c r="B65" t="s">
        <v>71</v>
      </c>
      <c r="C65" t="s">
        <v>49</v>
      </c>
      <c r="D65" t="s">
        <v>50</v>
      </c>
      <c r="E65" t="s">
        <v>51</v>
      </c>
      <c r="F65" t="s">
        <v>51</v>
      </c>
      <c r="G65" t="s">
        <v>52</v>
      </c>
      <c r="H65" t="s">
        <v>52</v>
      </c>
      <c r="I65" t="s">
        <v>52</v>
      </c>
      <c r="J65" t="s">
        <v>52</v>
      </c>
      <c r="K65" t="s">
        <v>52</v>
      </c>
      <c r="L65" t="s">
        <v>154</v>
      </c>
      <c r="M65" t="s">
        <v>155</v>
      </c>
      <c r="N65" t="s">
        <v>156</v>
      </c>
      <c r="O65" s="209">
        <v>27</v>
      </c>
      <c r="P65" s="209">
        <v>27</v>
      </c>
      <c r="Q65" t="s">
        <v>51</v>
      </c>
      <c r="R65" t="s">
        <v>51</v>
      </c>
      <c r="S65" t="s">
        <v>51</v>
      </c>
      <c r="T65" t="s">
        <v>51</v>
      </c>
    </row>
    <row r="66" spans="1:20">
      <c r="A66" t="s">
        <v>72</v>
      </c>
      <c r="B66" t="s">
        <v>73</v>
      </c>
      <c r="C66" t="s">
        <v>49</v>
      </c>
      <c r="D66" t="s">
        <v>50</v>
      </c>
      <c r="E66" t="s">
        <v>51</v>
      </c>
      <c r="F66" t="s">
        <v>51</v>
      </c>
      <c r="G66" t="s">
        <v>52</v>
      </c>
      <c r="H66" t="s">
        <v>52</v>
      </c>
      <c r="I66" t="s">
        <v>52</v>
      </c>
      <c r="J66" t="s">
        <v>52</v>
      </c>
      <c r="K66" t="s">
        <v>52</v>
      </c>
      <c r="L66" t="s">
        <v>154</v>
      </c>
      <c r="M66" t="s">
        <v>155</v>
      </c>
      <c r="N66" t="s">
        <v>156</v>
      </c>
      <c r="O66" s="209">
        <v>27</v>
      </c>
      <c r="P66" s="209">
        <v>27</v>
      </c>
      <c r="Q66" t="s">
        <v>51</v>
      </c>
      <c r="R66" t="s">
        <v>51</v>
      </c>
      <c r="S66" t="s">
        <v>51</v>
      </c>
      <c r="T66" t="s">
        <v>51</v>
      </c>
    </row>
    <row r="67" spans="1:20">
      <c r="A67" t="s">
        <v>74</v>
      </c>
      <c r="B67" t="s">
        <v>75</v>
      </c>
      <c r="C67" t="s">
        <v>49</v>
      </c>
      <c r="D67" t="s">
        <v>50</v>
      </c>
      <c r="E67" t="s">
        <v>51</v>
      </c>
      <c r="F67" t="s">
        <v>51</v>
      </c>
      <c r="G67" t="s">
        <v>52</v>
      </c>
      <c r="H67" t="s">
        <v>52</v>
      </c>
      <c r="I67" t="s">
        <v>52</v>
      </c>
      <c r="J67" t="s">
        <v>52</v>
      </c>
      <c r="K67" t="s">
        <v>52</v>
      </c>
      <c r="L67" t="s">
        <v>154</v>
      </c>
      <c r="M67" t="s">
        <v>155</v>
      </c>
      <c r="N67" t="s">
        <v>156</v>
      </c>
      <c r="O67" s="209">
        <v>27</v>
      </c>
      <c r="P67" s="209">
        <v>27</v>
      </c>
      <c r="Q67" t="s">
        <v>51</v>
      </c>
      <c r="R67" t="s">
        <v>51</v>
      </c>
      <c r="S67" t="s">
        <v>51</v>
      </c>
      <c r="T67" t="s">
        <v>51</v>
      </c>
    </row>
    <row r="68" spans="1:20">
      <c r="A68" t="s">
        <v>76</v>
      </c>
      <c r="B68" t="s">
        <v>77</v>
      </c>
      <c r="C68" t="s">
        <v>49</v>
      </c>
      <c r="D68" t="s">
        <v>50</v>
      </c>
      <c r="E68" t="s">
        <v>51</v>
      </c>
      <c r="F68" t="s">
        <v>51</v>
      </c>
      <c r="G68" t="s">
        <v>52</v>
      </c>
      <c r="H68" t="s">
        <v>52</v>
      </c>
      <c r="I68" t="s">
        <v>52</v>
      </c>
      <c r="J68" t="s">
        <v>52</v>
      </c>
      <c r="K68" t="s">
        <v>52</v>
      </c>
      <c r="L68" t="s">
        <v>154</v>
      </c>
      <c r="M68" t="s">
        <v>155</v>
      </c>
      <c r="N68" t="s">
        <v>156</v>
      </c>
      <c r="O68" s="209">
        <v>27</v>
      </c>
      <c r="P68" s="209">
        <v>27</v>
      </c>
      <c r="Q68" t="s">
        <v>51</v>
      </c>
      <c r="R68" t="s">
        <v>51</v>
      </c>
      <c r="S68" t="s">
        <v>51</v>
      </c>
      <c r="T68" t="s">
        <v>51</v>
      </c>
    </row>
    <row r="69" spans="1:20">
      <c r="A69" t="s">
        <v>78</v>
      </c>
      <c r="B69" t="s">
        <v>79</v>
      </c>
      <c r="C69" t="s">
        <v>49</v>
      </c>
      <c r="D69" t="s">
        <v>50</v>
      </c>
      <c r="E69" t="s">
        <v>51</v>
      </c>
      <c r="F69" t="s">
        <v>51</v>
      </c>
      <c r="G69" t="s">
        <v>52</v>
      </c>
      <c r="H69" t="s">
        <v>52</v>
      </c>
      <c r="I69" t="s">
        <v>52</v>
      </c>
      <c r="J69" t="s">
        <v>52</v>
      </c>
      <c r="K69" t="s">
        <v>52</v>
      </c>
      <c r="L69" t="s">
        <v>154</v>
      </c>
      <c r="M69" t="s">
        <v>155</v>
      </c>
      <c r="N69" t="s">
        <v>156</v>
      </c>
      <c r="O69" s="209">
        <v>27</v>
      </c>
      <c r="P69" s="209">
        <v>27</v>
      </c>
      <c r="Q69" t="s">
        <v>51</v>
      </c>
      <c r="R69" t="s">
        <v>51</v>
      </c>
      <c r="S69" t="s">
        <v>51</v>
      </c>
      <c r="T69" t="s">
        <v>51</v>
      </c>
    </row>
    <row r="70" spans="1:20">
      <c r="A70" t="s">
        <v>80</v>
      </c>
      <c r="B70" t="s">
        <v>81</v>
      </c>
      <c r="C70" t="s">
        <v>49</v>
      </c>
      <c r="D70" t="s">
        <v>50</v>
      </c>
      <c r="E70" t="s">
        <v>51</v>
      </c>
      <c r="F70" t="s">
        <v>51</v>
      </c>
      <c r="G70" t="s">
        <v>52</v>
      </c>
      <c r="H70" t="s">
        <v>52</v>
      </c>
      <c r="I70" t="s">
        <v>52</v>
      </c>
      <c r="J70" t="s">
        <v>52</v>
      </c>
      <c r="K70" t="s">
        <v>52</v>
      </c>
      <c r="L70" t="s">
        <v>154</v>
      </c>
      <c r="M70" t="s">
        <v>155</v>
      </c>
      <c r="N70" t="s">
        <v>156</v>
      </c>
      <c r="O70" s="209">
        <v>27</v>
      </c>
      <c r="P70" s="209">
        <v>27</v>
      </c>
      <c r="Q70" t="s">
        <v>51</v>
      </c>
      <c r="R70" t="s">
        <v>51</v>
      </c>
      <c r="S70" t="s">
        <v>51</v>
      </c>
      <c r="T70" t="s">
        <v>51</v>
      </c>
    </row>
    <row r="71" spans="1:20">
      <c r="A71" t="s">
        <v>82</v>
      </c>
      <c r="B71" t="s">
        <v>83</v>
      </c>
      <c r="C71" t="s">
        <v>49</v>
      </c>
      <c r="D71" t="s">
        <v>50</v>
      </c>
      <c r="E71" t="s">
        <v>51</v>
      </c>
      <c r="F71" t="s">
        <v>51</v>
      </c>
      <c r="G71" t="s">
        <v>52</v>
      </c>
      <c r="H71" t="s">
        <v>52</v>
      </c>
      <c r="I71" t="s">
        <v>52</v>
      </c>
      <c r="J71" t="s">
        <v>52</v>
      </c>
      <c r="K71" t="s">
        <v>52</v>
      </c>
      <c r="L71" t="s">
        <v>154</v>
      </c>
      <c r="M71" t="s">
        <v>155</v>
      </c>
      <c r="N71" t="s">
        <v>156</v>
      </c>
      <c r="O71" s="209">
        <v>27</v>
      </c>
      <c r="P71" s="209">
        <v>27</v>
      </c>
      <c r="Q71" t="s">
        <v>51</v>
      </c>
      <c r="R71" t="s">
        <v>51</v>
      </c>
      <c r="S71" t="s">
        <v>51</v>
      </c>
      <c r="T71" t="s">
        <v>51</v>
      </c>
    </row>
    <row r="72" spans="1:20">
      <c r="A72" t="s">
        <v>84</v>
      </c>
      <c r="B72" t="s">
        <v>85</v>
      </c>
      <c r="C72" t="s">
        <v>49</v>
      </c>
      <c r="D72" t="s">
        <v>50</v>
      </c>
      <c r="E72" t="s">
        <v>51</v>
      </c>
      <c r="F72" t="s">
        <v>51</v>
      </c>
      <c r="G72" t="s">
        <v>52</v>
      </c>
      <c r="H72" t="s">
        <v>52</v>
      </c>
      <c r="I72" t="s">
        <v>52</v>
      </c>
      <c r="J72" t="s">
        <v>52</v>
      </c>
      <c r="K72" t="s">
        <v>52</v>
      </c>
      <c r="L72" t="s">
        <v>154</v>
      </c>
      <c r="M72" t="s">
        <v>155</v>
      </c>
      <c r="N72" t="s">
        <v>156</v>
      </c>
      <c r="O72" s="209">
        <v>27</v>
      </c>
      <c r="P72" s="209">
        <v>27</v>
      </c>
      <c r="Q72" t="s">
        <v>51</v>
      </c>
      <c r="R72" t="s">
        <v>51</v>
      </c>
      <c r="S72" t="s">
        <v>51</v>
      </c>
      <c r="T72" t="s">
        <v>51</v>
      </c>
    </row>
    <row r="73" spans="1:20">
      <c r="A73" t="s">
        <v>86</v>
      </c>
      <c r="B73" t="s">
        <v>87</v>
      </c>
      <c r="C73" t="s">
        <v>49</v>
      </c>
      <c r="D73" t="s">
        <v>50</v>
      </c>
      <c r="E73" t="s">
        <v>51</v>
      </c>
      <c r="F73" t="s">
        <v>51</v>
      </c>
      <c r="G73" t="s">
        <v>52</v>
      </c>
      <c r="H73" t="s">
        <v>52</v>
      </c>
      <c r="I73" t="s">
        <v>52</v>
      </c>
      <c r="J73" t="s">
        <v>52</v>
      </c>
      <c r="K73" t="s">
        <v>52</v>
      </c>
      <c r="L73" t="s">
        <v>154</v>
      </c>
      <c r="M73" t="s">
        <v>155</v>
      </c>
      <c r="N73" t="s">
        <v>156</v>
      </c>
      <c r="O73" s="209">
        <v>27</v>
      </c>
      <c r="P73" s="209">
        <v>27</v>
      </c>
      <c r="Q73" t="s">
        <v>51</v>
      </c>
      <c r="R73" t="s">
        <v>51</v>
      </c>
      <c r="S73" t="s">
        <v>51</v>
      </c>
      <c r="T73" t="s">
        <v>51</v>
      </c>
    </row>
    <row r="74" spans="1:20">
      <c r="A74" t="s">
        <v>88</v>
      </c>
      <c r="B74" t="s">
        <v>89</v>
      </c>
      <c r="C74" t="s">
        <v>49</v>
      </c>
      <c r="D74" t="s">
        <v>50</v>
      </c>
      <c r="E74" t="s">
        <v>51</v>
      </c>
      <c r="F74" t="s">
        <v>51</v>
      </c>
      <c r="G74" t="s">
        <v>52</v>
      </c>
      <c r="H74" t="s">
        <v>52</v>
      </c>
      <c r="I74" t="s">
        <v>52</v>
      </c>
      <c r="J74" t="s">
        <v>52</v>
      </c>
      <c r="K74" t="s">
        <v>52</v>
      </c>
      <c r="L74" t="s">
        <v>154</v>
      </c>
      <c r="M74" t="s">
        <v>155</v>
      </c>
      <c r="N74" t="s">
        <v>156</v>
      </c>
      <c r="O74" s="209">
        <v>27</v>
      </c>
      <c r="P74" s="209">
        <v>27</v>
      </c>
      <c r="Q74" t="s">
        <v>51</v>
      </c>
      <c r="R74" t="s">
        <v>51</v>
      </c>
      <c r="S74" t="s">
        <v>51</v>
      </c>
      <c r="T74" t="s">
        <v>51</v>
      </c>
    </row>
    <row r="75" spans="1:20">
      <c r="A75" t="s">
        <v>90</v>
      </c>
      <c r="B75" t="s">
        <v>91</v>
      </c>
      <c r="C75" t="s">
        <v>49</v>
      </c>
      <c r="D75" t="s">
        <v>50</v>
      </c>
      <c r="E75" t="s">
        <v>51</v>
      </c>
      <c r="F75" t="s">
        <v>51</v>
      </c>
      <c r="G75" t="s">
        <v>52</v>
      </c>
      <c r="H75" t="s">
        <v>52</v>
      </c>
      <c r="I75" t="s">
        <v>52</v>
      </c>
      <c r="J75" t="s">
        <v>52</v>
      </c>
      <c r="K75" t="s">
        <v>52</v>
      </c>
      <c r="L75" t="s">
        <v>154</v>
      </c>
      <c r="M75" t="s">
        <v>155</v>
      </c>
      <c r="N75" t="s">
        <v>156</v>
      </c>
      <c r="O75" s="209">
        <v>27</v>
      </c>
      <c r="P75" s="209">
        <v>27</v>
      </c>
      <c r="Q75" t="s">
        <v>51</v>
      </c>
      <c r="R75" t="s">
        <v>51</v>
      </c>
      <c r="S75" t="s">
        <v>51</v>
      </c>
      <c r="T75" t="s">
        <v>51</v>
      </c>
    </row>
    <row r="76" spans="1:20">
      <c r="A76" t="s">
        <v>92</v>
      </c>
      <c r="B76" t="s">
        <v>93</v>
      </c>
      <c r="C76" t="s">
        <v>49</v>
      </c>
      <c r="D76" t="s">
        <v>50</v>
      </c>
      <c r="E76" t="s">
        <v>51</v>
      </c>
      <c r="F76" t="s">
        <v>51</v>
      </c>
      <c r="G76" t="s">
        <v>52</v>
      </c>
      <c r="H76" t="s">
        <v>52</v>
      </c>
      <c r="I76" t="s">
        <v>52</v>
      </c>
      <c r="J76" t="s">
        <v>52</v>
      </c>
      <c r="K76" t="s">
        <v>52</v>
      </c>
      <c r="L76" t="s">
        <v>154</v>
      </c>
      <c r="M76" t="s">
        <v>155</v>
      </c>
      <c r="N76" t="s">
        <v>156</v>
      </c>
      <c r="O76" s="209">
        <v>27</v>
      </c>
      <c r="P76" s="209">
        <v>27</v>
      </c>
      <c r="Q76" t="s">
        <v>51</v>
      </c>
      <c r="R76" t="s">
        <v>51</v>
      </c>
      <c r="S76" t="s">
        <v>51</v>
      </c>
      <c r="T76" t="s">
        <v>51</v>
      </c>
    </row>
    <row r="77" spans="1:20">
      <c r="A77" t="s">
        <v>94</v>
      </c>
      <c r="B77" t="s">
        <v>95</v>
      </c>
      <c r="C77" t="s">
        <v>49</v>
      </c>
      <c r="D77" t="s">
        <v>50</v>
      </c>
      <c r="E77" t="s">
        <v>51</v>
      </c>
      <c r="F77" t="s">
        <v>51</v>
      </c>
      <c r="G77" t="s">
        <v>52</v>
      </c>
      <c r="H77" t="s">
        <v>52</v>
      </c>
      <c r="I77" t="s">
        <v>52</v>
      </c>
      <c r="J77" t="s">
        <v>52</v>
      </c>
      <c r="K77" t="s">
        <v>52</v>
      </c>
      <c r="L77" t="s">
        <v>154</v>
      </c>
      <c r="M77" t="s">
        <v>155</v>
      </c>
      <c r="N77" t="s">
        <v>156</v>
      </c>
      <c r="O77" s="209">
        <v>27</v>
      </c>
      <c r="P77" s="209">
        <v>27</v>
      </c>
      <c r="Q77" t="s">
        <v>51</v>
      </c>
      <c r="R77" t="s">
        <v>51</v>
      </c>
      <c r="S77" t="s">
        <v>51</v>
      </c>
      <c r="T77" t="s">
        <v>51</v>
      </c>
    </row>
    <row r="78" spans="1:20">
      <c r="A78" t="s">
        <v>96</v>
      </c>
      <c r="B78" t="s">
        <v>97</v>
      </c>
      <c r="C78" t="s">
        <v>49</v>
      </c>
      <c r="D78" t="s">
        <v>50</v>
      </c>
      <c r="E78" t="s">
        <v>51</v>
      </c>
      <c r="F78" t="s">
        <v>51</v>
      </c>
      <c r="G78" t="s">
        <v>52</v>
      </c>
      <c r="H78" t="s">
        <v>52</v>
      </c>
      <c r="I78" t="s">
        <v>52</v>
      </c>
      <c r="J78" t="s">
        <v>52</v>
      </c>
      <c r="K78" t="s">
        <v>52</v>
      </c>
      <c r="L78" t="s">
        <v>154</v>
      </c>
      <c r="M78" t="s">
        <v>155</v>
      </c>
      <c r="N78" t="s">
        <v>156</v>
      </c>
      <c r="O78" s="209">
        <v>27</v>
      </c>
      <c r="P78" s="209">
        <v>27</v>
      </c>
      <c r="Q78" t="s">
        <v>51</v>
      </c>
      <c r="R78" t="s">
        <v>51</v>
      </c>
      <c r="S78" t="s">
        <v>51</v>
      </c>
      <c r="T78" t="s">
        <v>51</v>
      </c>
    </row>
    <row r="79" spans="1:20">
      <c r="A79" t="s">
        <v>98</v>
      </c>
      <c r="B79" t="s">
        <v>99</v>
      </c>
      <c r="C79" t="s">
        <v>49</v>
      </c>
      <c r="D79" t="s">
        <v>50</v>
      </c>
      <c r="E79" t="s">
        <v>51</v>
      </c>
      <c r="F79" t="s">
        <v>51</v>
      </c>
      <c r="G79" t="s">
        <v>52</v>
      </c>
      <c r="H79" t="s">
        <v>52</v>
      </c>
      <c r="I79" t="s">
        <v>52</v>
      </c>
      <c r="J79" t="s">
        <v>52</v>
      </c>
      <c r="K79" t="s">
        <v>52</v>
      </c>
      <c r="L79" t="s">
        <v>154</v>
      </c>
      <c r="M79" t="s">
        <v>155</v>
      </c>
      <c r="N79" t="s">
        <v>156</v>
      </c>
      <c r="O79" s="209">
        <v>27</v>
      </c>
      <c r="P79" s="209">
        <v>27</v>
      </c>
      <c r="Q79" t="s">
        <v>51</v>
      </c>
      <c r="R79" t="s">
        <v>51</v>
      </c>
      <c r="S79" t="s">
        <v>51</v>
      </c>
      <c r="T79" t="s">
        <v>51</v>
      </c>
    </row>
    <row r="80" spans="1:20">
      <c r="A80" t="s">
        <v>100</v>
      </c>
      <c r="B80" t="s">
        <v>101</v>
      </c>
      <c r="C80" t="s">
        <v>49</v>
      </c>
      <c r="D80" t="s">
        <v>50</v>
      </c>
      <c r="E80" t="s">
        <v>51</v>
      </c>
      <c r="F80" t="s">
        <v>51</v>
      </c>
      <c r="G80" t="s">
        <v>52</v>
      </c>
      <c r="H80" t="s">
        <v>52</v>
      </c>
      <c r="I80" t="s">
        <v>52</v>
      </c>
      <c r="J80" t="s">
        <v>52</v>
      </c>
      <c r="K80" t="s">
        <v>52</v>
      </c>
      <c r="L80" t="s">
        <v>154</v>
      </c>
      <c r="M80" t="s">
        <v>155</v>
      </c>
      <c r="N80" t="s">
        <v>156</v>
      </c>
      <c r="O80" s="209">
        <v>27</v>
      </c>
      <c r="P80" s="209">
        <v>27</v>
      </c>
      <c r="Q80" t="s">
        <v>51</v>
      </c>
      <c r="R80" t="s">
        <v>51</v>
      </c>
      <c r="S80" t="s">
        <v>51</v>
      </c>
      <c r="T80" t="s">
        <v>51</v>
      </c>
    </row>
    <row r="81" spans="1:20">
      <c r="A81" t="s">
        <v>102</v>
      </c>
      <c r="B81" t="s">
        <v>103</v>
      </c>
      <c r="C81" t="s">
        <v>49</v>
      </c>
      <c r="D81" t="s">
        <v>50</v>
      </c>
      <c r="E81" t="s">
        <v>51</v>
      </c>
      <c r="F81" t="s">
        <v>51</v>
      </c>
      <c r="G81" t="s">
        <v>52</v>
      </c>
      <c r="H81" t="s">
        <v>52</v>
      </c>
      <c r="I81" t="s">
        <v>52</v>
      </c>
      <c r="J81" t="s">
        <v>52</v>
      </c>
      <c r="K81" t="s">
        <v>52</v>
      </c>
      <c r="L81" t="s">
        <v>154</v>
      </c>
      <c r="M81" t="s">
        <v>155</v>
      </c>
      <c r="N81" t="s">
        <v>156</v>
      </c>
      <c r="O81" s="209">
        <v>27</v>
      </c>
      <c r="P81" s="209">
        <v>27</v>
      </c>
      <c r="Q81" t="s">
        <v>51</v>
      </c>
      <c r="R81" t="s">
        <v>51</v>
      </c>
      <c r="S81" t="s">
        <v>51</v>
      </c>
      <c r="T81" t="s">
        <v>51</v>
      </c>
    </row>
    <row r="82" spans="1:20">
      <c r="A82" t="s">
        <v>104</v>
      </c>
      <c r="B82" t="s">
        <v>105</v>
      </c>
      <c r="C82" t="s">
        <v>49</v>
      </c>
      <c r="D82" t="s">
        <v>50</v>
      </c>
      <c r="E82" t="s">
        <v>51</v>
      </c>
      <c r="F82" t="s">
        <v>51</v>
      </c>
      <c r="G82" t="s">
        <v>52</v>
      </c>
      <c r="H82" t="s">
        <v>52</v>
      </c>
      <c r="I82" t="s">
        <v>52</v>
      </c>
      <c r="J82" t="s">
        <v>52</v>
      </c>
      <c r="K82" t="s">
        <v>52</v>
      </c>
      <c r="L82" t="s">
        <v>154</v>
      </c>
      <c r="M82" t="s">
        <v>155</v>
      </c>
      <c r="N82" t="s">
        <v>156</v>
      </c>
      <c r="O82" s="209">
        <v>27</v>
      </c>
      <c r="P82" s="209">
        <v>27</v>
      </c>
      <c r="Q82" t="s">
        <v>51</v>
      </c>
      <c r="R82" t="s">
        <v>51</v>
      </c>
      <c r="S82" t="s">
        <v>51</v>
      </c>
      <c r="T82" t="s">
        <v>51</v>
      </c>
    </row>
    <row r="83" spans="1:20">
      <c r="A83" t="s">
        <v>106</v>
      </c>
      <c r="B83" t="s">
        <v>107</v>
      </c>
      <c r="C83" t="s">
        <v>49</v>
      </c>
      <c r="D83" t="s">
        <v>50</v>
      </c>
      <c r="E83" t="s">
        <v>51</v>
      </c>
      <c r="F83" t="s">
        <v>51</v>
      </c>
      <c r="G83" t="s">
        <v>52</v>
      </c>
      <c r="H83" t="s">
        <v>52</v>
      </c>
      <c r="I83" t="s">
        <v>52</v>
      </c>
      <c r="J83" t="s">
        <v>52</v>
      </c>
      <c r="K83" t="s">
        <v>52</v>
      </c>
      <c r="L83" t="s">
        <v>154</v>
      </c>
      <c r="M83" t="s">
        <v>155</v>
      </c>
      <c r="N83" t="s">
        <v>156</v>
      </c>
      <c r="O83" s="209">
        <v>27</v>
      </c>
      <c r="P83" s="209">
        <v>27</v>
      </c>
      <c r="Q83" t="s">
        <v>51</v>
      </c>
      <c r="R83" t="s">
        <v>51</v>
      </c>
      <c r="S83" t="s">
        <v>51</v>
      </c>
      <c r="T83" t="s">
        <v>51</v>
      </c>
    </row>
    <row r="84" spans="1:20">
      <c r="A84" t="s">
        <v>108</v>
      </c>
      <c r="B84" t="s">
        <v>109</v>
      </c>
      <c r="C84" t="s">
        <v>49</v>
      </c>
      <c r="D84" t="s">
        <v>50</v>
      </c>
      <c r="E84" t="s">
        <v>51</v>
      </c>
      <c r="F84" t="s">
        <v>51</v>
      </c>
      <c r="G84" t="s">
        <v>52</v>
      </c>
      <c r="H84" t="s">
        <v>52</v>
      </c>
      <c r="I84" t="s">
        <v>52</v>
      </c>
      <c r="J84" t="s">
        <v>52</v>
      </c>
      <c r="K84" t="s">
        <v>52</v>
      </c>
      <c r="L84" t="s">
        <v>154</v>
      </c>
      <c r="M84" t="s">
        <v>155</v>
      </c>
      <c r="N84" t="s">
        <v>156</v>
      </c>
      <c r="O84" s="209">
        <v>27</v>
      </c>
      <c r="P84" s="209">
        <v>27</v>
      </c>
      <c r="Q84" t="s">
        <v>51</v>
      </c>
      <c r="R84" t="s">
        <v>51</v>
      </c>
      <c r="S84" t="s">
        <v>51</v>
      </c>
      <c r="T84" t="s">
        <v>51</v>
      </c>
    </row>
    <row r="85" spans="1:20">
      <c r="A85" t="s">
        <v>110</v>
      </c>
      <c r="B85" t="s">
        <v>111</v>
      </c>
      <c r="C85" t="s">
        <v>49</v>
      </c>
      <c r="D85" t="s">
        <v>50</v>
      </c>
      <c r="E85" t="s">
        <v>51</v>
      </c>
      <c r="F85" t="s">
        <v>51</v>
      </c>
      <c r="G85" t="s">
        <v>52</v>
      </c>
      <c r="H85" t="s">
        <v>52</v>
      </c>
      <c r="I85" t="s">
        <v>52</v>
      </c>
      <c r="J85" t="s">
        <v>52</v>
      </c>
      <c r="K85" t="s">
        <v>52</v>
      </c>
      <c r="L85" t="s">
        <v>154</v>
      </c>
      <c r="M85" t="s">
        <v>155</v>
      </c>
      <c r="N85" t="s">
        <v>156</v>
      </c>
      <c r="O85" s="209">
        <v>27</v>
      </c>
      <c r="P85" s="209">
        <v>27</v>
      </c>
      <c r="Q85" t="s">
        <v>51</v>
      </c>
      <c r="R85" t="s">
        <v>51</v>
      </c>
      <c r="S85" t="s">
        <v>51</v>
      </c>
      <c r="T85" t="s">
        <v>51</v>
      </c>
    </row>
    <row r="86" spans="1:20">
      <c r="A86" t="s">
        <v>112</v>
      </c>
      <c r="B86" t="s">
        <v>113</v>
      </c>
      <c r="C86" t="s">
        <v>49</v>
      </c>
      <c r="D86" t="s">
        <v>50</v>
      </c>
      <c r="E86" t="s">
        <v>51</v>
      </c>
      <c r="F86" t="s">
        <v>51</v>
      </c>
      <c r="G86" t="s">
        <v>52</v>
      </c>
      <c r="H86" t="s">
        <v>52</v>
      </c>
      <c r="I86" t="s">
        <v>52</v>
      </c>
      <c r="J86" t="s">
        <v>52</v>
      </c>
      <c r="K86" t="s">
        <v>52</v>
      </c>
      <c r="L86" t="s">
        <v>154</v>
      </c>
      <c r="M86" t="s">
        <v>155</v>
      </c>
      <c r="N86" t="s">
        <v>156</v>
      </c>
      <c r="O86" s="209">
        <v>27</v>
      </c>
      <c r="P86" s="209">
        <v>27</v>
      </c>
      <c r="Q86" t="s">
        <v>51</v>
      </c>
      <c r="R86" t="s">
        <v>51</v>
      </c>
      <c r="S86" t="s">
        <v>51</v>
      </c>
      <c r="T86" t="s">
        <v>51</v>
      </c>
    </row>
    <row r="87" spans="1:20">
      <c r="A87" t="s">
        <v>114</v>
      </c>
      <c r="B87" t="s">
        <v>115</v>
      </c>
      <c r="C87" t="s">
        <v>49</v>
      </c>
      <c r="D87" t="s">
        <v>50</v>
      </c>
      <c r="E87" t="s">
        <v>51</v>
      </c>
      <c r="F87" t="s">
        <v>51</v>
      </c>
      <c r="G87" t="s">
        <v>52</v>
      </c>
      <c r="H87" t="s">
        <v>52</v>
      </c>
      <c r="I87" t="s">
        <v>52</v>
      </c>
      <c r="J87" t="s">
        <v>52</v>
      </c>
      <c r="K87" t="s">
        <v>52</v>
      </c>
      <c r="L87" t="s">
        <v>154</v>
      </c>
      <c r="M87" t="s">
        <v>155</v>
      </c>
      <c r="N87" t="s">
        <v>156</v>
      </c>
      <c r="O87" s="209">
        <v>27</v>
      </c>
      <c r="P87" s="209">
        <v>27</v>
      </c>
      <c r="Q87" t="s">
        <v>51</v>
      </c>
      <c r="R87" t="s">
        <v>51</v>
      </c>
      <c r="S87" t="s">
        <v>51</v>
      </c>
      <c r="T87" t="s">
        <v>51</v>
      </c>
    </row>
    <row r="88" spans="1:20">
      <c r="A88" t="s">
        <v>116</v>
      </c>
      <c r="B88" t="s">
        <v>117</v>
      </c>
      <c r="C88" t="s">
        <v>49</v>
      </c>
      <c r="D88" t="s">
        <v>50</v>
      </c>
      <c r="E88" t="s">
        <v>51</v>
      </c>
      <c r="F88" t="s">
        <v>51</v>
      </c>
      <c r="G88" t="s">
        <v>52</v>
      </c>
      <c r="H88" t="s">
        <v>52</v>
      </c>
      <c r="I88" t="s">
        <v>52</v>
      </c>
      <c r="J88" t="s">
        <v>52</v>
      </c>
      <c r="K88" t="s">
        <v>52</v>
      </c>
      <c r="L88" t="s">
        <v>154</v>
      </c>
      <c r="M88" t="s">
        <v>155</v>
      </c>
      <c r="N88" t="s">
        <v>156</v>
      </c>
      <c r="O88" s="209">
        <v>27</v>
      </c>
      <c r="P88" s="209">
        <v>27</v>
      </c>
      <c r="Q88" t="s">
        <v>51</v>
      </c>
      <c r="R88" t="s">
        <v>51</v>
      </c>
      <c r="S88" t="s">
        <v>51</v>
      </c>
      <c r="T88" t="s">
        <v>51</v>
      </c>
    </row>
    <row r="89" spans="1:20">
      <c r="A89" t="s">
        <v>118</v>
      </c>
      <c r="B89" t="s">
        <v>119</v>
      </c>
      <c r="C89" t="s">
        <v>49</v>
      </c>
      <c r="D89" t="s">
        <v>50</v>
      </c>
      <c r="E89" t="s">
        <v>51</v>
      </c>
      <c r="F89" t="s">
        <v>51</v>
      </c>
      <c r="G89" t="s">
        <v>52</v>
      </c>
      <c r="H89" t="s">
        <v>52</v>
      </c>
      <c r="I89" t="s">
        <v>52</v>
      </c>
      <c r="J89" t="s">
        <v>52</v>
      </c>
      <c r="K89" t="s">
        <v>52</v>
      </c>
      <c r="L89" t="s">
        <v>154</v>
      </c>
      <c r="M89" t="s">
        <v>155</v>
      </c>
      <c r="N89" t="s">
        <v>156</v>
      </c>
      <c r="O89" s="209">
        <v>27</v>
      </c>
      <c r="P89" s="209">
        <v>27</v>
      </c>
      <c r="Q89" t="s">
        <v>51</v>
      </c>
      <c r="R89" t="s">
        <v>51</v>
      </c>
      <c r="S89" t="s">
        <v>51</v>
      </c>
      <c r="T89" t="s">
        <v>51</v>
      </c>
    </row>
    <row r="90" spans="1:20">
      <c r="A90" t="s">
        <v>120</v>
      </c>
      <c r="B90" t="s">
        <v>121</v>
      </c>
      <c r="C90" t="s">
        <v>49</v>
      </c>
      <c r="D90" t="s">
        <v>50</v>
      </c>
      <c r="E90" t="s">
        <v>51</v>
      </c>
      <c r="F90" t="s">
        <v>51</v>
      </c>
      <c r="G90" t="s">
        <v>52</v>
      </c>
      <c r="H90" t="s">
        <v>52</v>
      </c>
      <c r="I90" t="s">
        <v>52</v>
      </c>
      <c r="J90" t="s">
        <v>52</v>
      </c>
      <c r="K90" t="s">
        <v>52</v>
      </c>
      <c r="L90" t="s">
        <v>154</v>
      </c>
      <c r="M90" t="s">
        <v>155</v>
      </c>
      <c r="N90" t="s">
        <v>156</v>
      </c>
      <c r="O90" s="209">
        <v>27</v>
      </c>
      <c r="P90" s="209">
        <v>27</v>
      </c>
      <c r="Q90" t="s">
        <v>51</v>
      </c>
      <c r="R90" t="s">
        <v>51</v>
      </c>
      <c r="S90" t="s">
        <v>51</v>
      </c>
      <c r="T90" t="s">
        <v>51</v>
      </c>
    </row>
    <row r="91" spans="1:20">
      <c r="A91" t="s">
        <v>122</v>
      </c>
      <c r="B91" t="s">
        <v>123</v>
      </c>
      <c r="C91" t="s">
        <v>49</v>
      </c>
      <c r="D91" t="s">
        <v>50</v>
      </c>
      <c r="E91" t="s">
        <v>51</v>
      </c>
      <c r="F91" t="s">
        <v>51</v>
      </c>
      <c r="G91" t="s">
        <v>52</v>
      </c>
      <c r="H91" t="s">
        <v>52</v>
      </c>
      <c r="I91" t="s">
        <v>52</v>
      </c>
      <c r="J91" t="s">
        <v>52</v>
      </c>
      <c r="K91" t="s">
        <v>52</v>
      </c>
      <c r="L91" t="s">
        <v>154</v>
      </c>
      <c r="M91" t="s">
        <v>155</v>
      </c>
      <c r="N91" t="s">
        <v>156</v>
      </c>
      <c r="O91" s="209">
        <v>27</v>
      </c>
      <c r="P91" s="209">
        <v>27</v>
      </c>
      <c r="Q91" t="s">
        <v>51</v>
      </c>
      <c r="R91" t="s">
        <v>51</v>
      </c>
      <c r="S91" t="s">
        <v>51</v>
      </c>
      <c r="T91" t="s">
        <v>51</v>
      </c>
    </row>
    <row r="92" spans="1:20">
      <c r="A92" t="s">
        <v>124</v>
      </c>
      <c r="B92" t="s">
        <v>125</v>
      </c>
      <c r="C92" t="s">
        <v>49</v>
      </c>
      <c r="D92" t="s">
        <v>50</v>
      </c>
      <c r="E92" t="s">
        <v>51</v>
      </c>
      <c r="F92" t="s">
        <v>51</v>
      </c>
      <c r="G92" t="s">
        <v>52</v>
      </c>
      <c r="H92" t="s">
        <v>52</v>
      </c>
      <c r="I92" t="s">
        <v>52</v>
      </c>
      <c r="J92" t="s">
        <v>52</v>
      </c>
      <c r="K92" t="s">
        <v>52</v>
      </c>
      <c r="L92" t="s">
        <v>154</v>
      </c>
      <c r="M92" t="s">
        <v>155</v>
      </c>
      <c r="N92" t="s">
        <v>156</v>
      </c>
      <c r="O92" s="209">
        <v>27</v>
      </c>
      <c r="P92" s="209">
        <v>27</v>
      </c>
      <c r="Q92" t="s">
        <v>51</v>
      </c>
      <c r="R92" t="s">
        <v>51</v>
      </c>
      <c r="S92" t="s">
        <v>51</v>
      </c>
      <c r="T92" t="s">
        <v>51</v>
      </c>
    </row>
    <row r="93" spans="1:20">
      <c r="A93" t="s">
        <v>126</v>
      </c>
      <c r="B93" t="s">
        <v>127</v>
      </c>
      <c r="C93" t="s">
        <v>49</v>
      </c>
      <c r="D93" t="s">
        <v>50</v>
      </c>
      <c r="E93" t="s">
        <v>51</v>
      </c>
      <c r="F93" t="s">
        <v>51</v>
      </c>
      <c r="G93" t="s">
        <v>52</v>
      </c>
      <c r="H93" t="s">
        <v>52</v>
      </c>
      <c r="I93" t="s">
        <v>52</v>
      </c>
      <c r="J93" t="s">
        <v>52</v>
      </c>
      <c r="K93" t="s">
        <v>52</v>
      </c>
      <c r="L93" t="s">
        <v>154</v>
      </c>
      <c r="M93" t="s">
        <v>155</v>
      </c>
      <c r="N93" t="s">
        <v>156</v>
      </c>
      <c r="O93" s="209">
        <v>27</v>
      </c>
      <c r="P93" s="209">
        <v>27</v>
      </c>
      <c r="Q93" t="s">
        <v>51</v>
      </c>
      <c r="R93" t="s">
        <v>51</v>
      </c>
      <c r="S93" t="s">
        <v>51</v>
      </c>
      <c r="T93" t="s">
        <v>51</v>
      </c>
    </row>
    <row r="94" spans="1:20">
      <c r="A94" t="s">
        <v>128</v>
      </c>
      <c r="B94" t="s">
        <v>129</v>
      </c>
      <c r="C94" t="s">
        <v>49</v>
      </c>
      <c r="D94" t="s">
        <v>50</v>
      </c>
      <c r="E94" t="s">
        <v>51</v>
      </c>
      <c r="F94" t="s">
        <v>51</v>
      </c>
      <c r="G94" t="s">
        <v>52</v>
      </c>
      <c r="H94" t="s">
        <v>52</v>
      </c>
      <c r="I94" t="s">
        <v>52</v>
      </c>
      <c r="J94" t="s">
        <v>52</v>
      </c>
      <c r="K94" t="s">
        <v>52</v>
      </c>
      <c r="L94" t="s">
        <v>154</v>
      </c>
      <c r="M94" t="s">
        <v>155</v>
      </c>
      <c r="N94" t="s">
        <v>156</v>
      </c>
      <c r="O94" s="209">
        <v>27</v>
      </c>
      <c r="P94" s="209">
        <v>27</v>
      </c>
      <c r="Q94" t="s">
        <v>51</v>
      </c>
      <c r="R94" t="s">
        <v>51</v>
      </c>
      <c r="S94" t="s">
        <v>51</v>
      </c>
      <c r="T94" t="s">
        <v>51</v>
      </c>
    </row>
    <row r="95" spans="1:20">
      <c r="A95" t="s">
        <v>130</v>
      </c>
      <c r="B95" t="s">
        <v>131</v>
      </c>
      <c r="C95" t="s">
        <v>49</v>
      </c>
      <c r="D95" t="s">
        <v>50</v>
      </c>
      <c r="E95" t="s">
        <v>51</v>
      </c>
      <c r="F95" t="s">
        <v>51</v>
      </c>
      <c r="G95" t="s">
        <v>52</v>
      </c>
      <c r="H95" t="s">
        <v>52</v>
      </c>
      <c r="I95" t="s">
        <v>52</v>
      </c>
      <c r="J95" t="s">
        <v>52</v>
      </c>
      <c r="K95" t="s">
        <v>52</v>
      </c>
      <c r="L95" t="s">
        <v>154</v>
      </c>
      <c r="M95" t="s">
        <v>155</v>
      </c>
      <c r="N95" t="s">
        <v>156</v>
      </c>
      <c r="O95" s="209">
        <v>27</v>
      </c>
      <c r="P95" s="209">
        <v>27</v>
      </c>
      <c r="Q95" t="s">
        <v>51</v>
      </c>
      <c r="R95" t="s">
        <v>51</v>
      </c>
      <c r="S95" t="s">
        <v>51</v>
      </c>
      <c r="T95" t="s">
        <v>51</v>
      </c>
    </row>
    <row r="96" spans="1:20">
      <c r="A96" t="s">
        <v>132</v>
      </c>
      <c r="B96" t="s">
        <v>133</v>
      </c>
      <c r="C96" t="s">
        <v>49</v>
      </c>
      <c r="D96" t="s">
        <v>50</v>
      </c>
      <c r="E96" t="s">
        <v>51</v>
      </c>
      <c r="F96" t="s">
        <v>51</v>
      </c>
      <c r="G96" t="s">
        <v>52</v>
      </c>
      <c r="H96" t="s">
        <v>52</v>
      </c>
      <c r="I96" t="s">
        <v>52</v>
      </c>
      <c r="J96" t="s">
        <v>52</v>
      </c>
      <c r="K96" t="s">
        <v>52</v>
      </c>
      <c r="L96" t="s">
        <v>154</v>
      </c>
      <c r="M96" t="s">
        <v>155</v>
      </c>
      <c r="N96" t="s">
        <v>156</v>
      </c>
      <c r="O96" s="209">
        <v>27</v>
      </c>
      <c r="P96" s="209">
        <v>27</v>
      </c>
      <c r="Q96" t="s">
        <v>51</v>
      </c>
      <c r="R96" t="s">
        <v>51</v>
      </c>
      <c r="S96" t="s">
        <v>51</v>
      </c>
      <c r="T96" t="s">
        <v>51</v>
      </c>
    </row>
    <row r="97" spans="1:20">
      <c r="A97" t="s">
        <v>134</v>
      </c>
      <c r="B97" t="s">
        <v>135</v>
      </c>
      <c r="C97" t="s">
        <v>49</v>
      </c>
      <c r="D97" t="s">
        <v>50</v>
      </c>
      <c r="E97" t="s">
        <v>51</v>
      </c>
      <c r="F97" t="s">
        <v>51</v>
      </c>
      <c r="G97" t="s">
        <v>52</v>
      </c>
      <c r="H97" t="s">
        <v>52</v>
      </c>
      <c r="I97" t="s">
        <v>52</v>
      </c>
      <c r="J97" t="s">
        <v>52</v>
      </c>
      <c r="K97" t="s">
        <v>52</v>
      </c>
      <c r="L97" t="s">
        <v>154</v>
      </c>
      <c r="M97" t="s">
        <v>155</v>
      </c>
      <c r="N97" t="s">
        <v>156</v>
      </c>
      <c r="O97" s="209">
        <v>27</v>
      </c>
      <c r="P97" s="209">
        <v>27</v>
      </c>
      <c r="Q97" t="s">
        <v>51</v>
      </c>
      <c r="R97" t="s">
        <v>51</v>
      </c>
      <c r="S97" t="s">
        <v>51</v>
      </c>
      <c r="T97" t="s">
        <v>51</v>
      </c>
    </row>
    <row r="98" spans="1:20">
      <c r="A98" t="s">
        <v>136</v>
      </c>
      <c r="B98" t="s">
        <v>137</v>
      </c>
      <c r="C98" t="s">
        <v>49</v>
      </c>
      <c r="D98" t="s">
        <v>50</v>
      </c>
      <c r="E98" t="s">
        <v>51</v>
      </c>
      <c r="F98" t="s">
        <v>51</v>
      </c>
      <c r="G98" t="s">
        <v>52</v>
      </c>
      <c r="H98" t="s">
        <v>52</v>
      </c>
      <c r="I98" t="s">
        <v>52</v>
      </c>
      <c r="J98" t="s">
        <v>52</v>
      </c>
      <c r="K98" t="s">
        <v>52</v>
      </c>
      <c r="L98" t="s">
        <v>154</v>
      </c>
      <c r="M98" t="s">
        <v>155</v>
      </c>
      <c r="N98" t="s">
        <v>156</v>
      </c>
      <c r="O98" s="209">
        <v>27</v>
      </c>
      <c r="P98" s="209">
        <v>27</v>
      </c>
      <c r="Q98" t="s">
        <v>51</v>
      </c>
      <c r="R98" t="s">
        <v>51</v>
      </c>
      <c r="S98" t="s">
        <v>51</v>
      </c>
      <c r="T98" t="s">
        <v>51</v>
      </c>
    </row>
    <row r="99" spans="1:20">
      <c r="A99" t="s">
        <v>138</v>
      </c>
      <c r="B99" t="s">
        <v>139</v>
      </c>
      <c r="C99" t="s">
        <v>49</v>
      </c>
      <c r="D99" t="s">
        <v>50</v>
      </c>
      <c r="E99" t="s">
        <v>51</v>
      </c>
      <c r="F99" t="s">
        <v>51</v>
      </c>
      <c r="G99" t="s">
        <v>52</v>
      </c>
      <c r="H99" t="s">
        <v>52</v>
      </c>
      <c r="I99" t="s">
        <v>52</v>
      </c>
      <c r="J99" t="s">
        <v>52</v>
      </c>
      <c r="K99" t="s">
        <v>52</v>
      </c>
      <c r="L99" t="s">
        <v>154</v>
      </c>
      <c r="M99" t="s">
        <v>155</v>
      </c>
      <c r="N99" t="s">
        <v>156</v>
      </c>
      <c r="O99" s="209">
        <v>27</v>
      </c>
      <c r="P99" s="209">
        <v>27</v>
      </c>
      <c r="Q99" t="s">
        <v>51</v>
      </c>
      <c r="R99" t="s">
        <v>51</v>
      </c>
      <c r="S99" t="s">
        <v>51</v>
      </c>
      <c r="T99" t="s">
        <v>51</v>
      </c>
    </row>
    <row r="100" spans="1:20">
      <c r="A100" t="s">
        <v>140</v>
      </c>
      <c r="B100" t="s">
        <v>141</v>
      </c>
      <c r="C100" t="s">
        <v>49</v>
      </c>
      <c r="D100" t="s">
        <v>50</v>
      </c>
      <c r="E100" t="s">
        <v>51</v>
      </c>
      <c r="F100" t="s">
        <v>51</v>
      </c>
      <c r="G100" t="s">
        <v>52</v>
      </c>
      <c r="H100" t="s">
        <v>52</v>
      </c>
      <c r="I100" t="s">
        <v>52</v>
      </c>
      <c r="J100" t="s">
        <v>52</v>
      </c>
      <c r="K100" t="s">
        <v>52</v>
      </c>
      <c r="L100" t="s">
        <v>154</v>
      </c>
      <c r="M100" t="s">
        <v>155</v>
      </c>
      <c r="N100" t="s">
        <v>156</v>
      </c>
      <c r="O100" s="209">
        <v>27</v>
      </c>
      <c r="P100" s="209">
        <v>27</v>
      </c>
      <c r="Q100" t="s">
        <v>51</v>
      </c>
      <c r="R100" t="s">
        <v>51</v>
      </c>
      <c r="S100" t="s">
        <v>51</v>
      </c>
      <c r="T100" t="s">
        <v>51</v>
      </c>
    </row>
    <row r="101" spans="1:20">
      <c r="A101" t="s">
        <v>142</v>
      </c>
      <c r="B101" t="s">
        <v>143</v>
      </c>
      <c r="C101" t="s">
        <v>49</v>
      </c>
      <c r="D101" t="s">
        <v>50</v>
      </c>
      <c r="E101" t="s">
        <v>51</v>
      </c>
      <c r="F101" t="s">
        <v>51</v>
      </c>
      <c r="G101" t="s">
        <v>52</v>
      </c>
      <c r="H101" t="s">
        <v>52</v>
      </c>
      <c r="I101" t="s">
        <v>52</v>
      </c>
      <c r="J101" t="s">
        <v>52</v>
      </c>
      <c r="K101" t="s">
        <v>52</v>
      </c>
      <c r="L101" t="s">
        <v>154</v>
      </c>
      <c r="M101" t="s">
        <v>155</v>
      </c>
      <c r="N101" t="s">
        <v>156</v>
      </c>
      <c r="O101" s="209">
        <v>27</v>
      </c>
      <c r="P101" s="209">
        <v>27</v>
      </c>
      <c r="Q101" t="s">
        <v>51</v>
      </c>
      <c r="R101" t="s">
        <v>51</v>
      </c>
      <c r="S101" t="s">
        <v>51</v>
      </c>
      <c r="T101" t="s">
        <v>51</v>
      </c>
    </row>
    <row r="102" spans="1:20">
      <c r="A102" t="s">
        <v>144</v>
      </c>
      <c r="B102" t="s">
        <v>145</v>
      </c>
      <c r="C102" t="s">
        <v>49</v>
      </c>
      <c r="D102" t="s">
        <v>50</v>
      </c>
      <c r="E102" t="s">
        <v>51</v>
      </c>
      <c r="F102" t="s">
        <v>51</v>
      </c>
      <c r="G102" t="s">
        <v>52</v>
      </c>
      <c r="H102" t="s">
        <v>52</v>
      </c>
      <c r="I102" t="s">
        <v>52</v>
      </c>
      <c r="J102" t="s">
        <v>52</v>
      </c>
      <c r="K102" t="s">
        <v>52</v>
      </c>
      <c r="L102" t="s">
        <v>154</v>
      </c>
      <c r="M102" t="s">
        <v>155</v>
      </c>
      <c r="N102" t="s">
        <v>156</v>
      </c>
      <c r="O102" s="209">
        <v>27</v>
      </c>
      <c r="P102" s="209">
        <v>27</v>
      </c>
      <c r="Q102" t="s">
        <v>51</v>
      </c>
      <c r="R102" t="s">
        <v>51</v>
      </c>
      <c r="S102" t="s">
        <v>51</v>
      </c>
      <c r="T102" t="s">
        <v>51</v>
      </c>
    </row>
    <row r="103" spans="1:20">
      <c r="A103" t="s">
        <v>146</v>
      </c>
      <c r="B103" t="s">
        <v>147</v>
      </c>
      <c r="C103" t="s">
        <v>49</v>
      </c>
      <c r="D103" t="s">
        <v>50</v>
      </c>
      <c r="E103" t="s">
        <v>51</v>
      </c>
      <c r="F103" t="s">
        <v>51</v>
      </c>
      <c r="G103" t="s">
        <v>52</v>
      </c>
      <c r="H103" t="s">
        <v>52</v>
      </c>
      <c r="I103" t="s">
        <v>52</v>
      </c>
      <c r="J103" t="s">
        <v>52</v>
      </c>
      <c r="K103" t="s">
        <v>52</v>
      </c>
      <c r="L103" t="s">
        <v>154</v>
      </c>
      <c r="M103" t="s">
        <v>155</v>
      </c>
      <c r="N103" t="s">
        <v>156</v>
      </c>
      <c r="O103" s="209">
        <v>27</v>
      </c>
      <c r="P103" s="209">
        <v>27</v>
      </c>
      <c r="Q103" t="s">
        <v>51</v>
      </c>
      <c r="R103" t="s">
        <v>51</v>
      </c>
      <c r="S103" t="s">
        <v>51</v>
      </c>
      <c r="T103" t="s">
        <v>51</v>
      </c>
    </row>
    <row r="104" spans="1:20">
      <c r="A104" t="s">
        <v>148</v>
      </c>
      <c r="B104" t="s">
        <v>149</v>
      </c>
      <c r="C104" t="s">
        <v>49</v>
      </c>
      <c r="D104" t="s">
        <v>50</v>
      </c>
      <c r="E104" t="s">
        <v>51</v>
      </c>
      <c r="F104" t="s">
        <v>51</v>
      </c>
      <c r="G104" t="s">
        <v>52</v>
      </c>
      <c r="H104" t="s">
        <v>52</v>
      </c>
      <c r="I104" t="s">
        <v>52</v>
      </c>
      <c r="J104" t="s">
        <v>52</v>
      </c>
      <c r="K104" t="s">
        <v>52</v>
      </c>
      <c r="L104" t="s">
        <v>154</v>
      </c>
      <c r="M104" t="s">
        <v>155</v>
      </c>
      <c r="N104" t="s">
        <v>156</v>
      </c>
      <c r="O104" s="209">
        <v>27</v>
      </c>
      <c r="P104" s="209">
        <v>27</v>
      </c>
      <c r="Q104" t="s">
        <v>51</v>
      </c>
      <c r="R104" t="s">
        <v>51</v>
      </c>
      <c r="S104" t="s">
        <v>51</v>
      </c>
      <c r="T104" t="s">
        <v>51</v>
      </c>
    </row>
    <row r="105" spans="1:20">
      <c r="A105" t="s">
        <v>150</v>
      </c>
      <c r="B105" t="s">
        <v>151</v>
      </c>
      <c r="C105" t="s">
        <v>49</v>
      </c>
      <c r="D105" t="s">
        <v>50</v>
      </c>
      <c r="E105" t="s">
        <v>51</v>
      </c>
      <c r="F105" t="s">
        <v>51</v>
      </c>
      <c r="G105" t="s">
        <v>52</v>
      </c>
      <c r="H105" t="s">
        <v>52</v>
      </c>
      <c r="I105" t="s">
        <v>52</v>
      </c>
      <c r="J105" t="s">
        <v>52</v>
      </c>
      <c r="K105" t="s">
        <v>52</v>
      </c>
      <c r="L105" t="s">
        <v>154</v>
      </c>
      <c r="M105" t="s">
        <v>155</v>
      </c>
      <c r="N105" t="s">
        <v>156</v>
      </c>
      <c r="O105" s="209">
        <v>27</v>
      </c>
      <c r="P105" s="209">
        <v>27</v>
      </c>
      <c r="Q105" t="s">
        <v>51</v>
      </c>
      <c r="R105" t="s">
        <v>51</v>
      </c>
      <c r="S105" t="s">
        <v>51</v>
      </c>
      <c r="T105" t="s">
        <v>51</v>
      </c>
    </row>
    <row r="106" spans="1:20">
      <c r="A106" t="s">
        <v>152</v>
      </c>
      <c r="B106" t="s">
        <v>153</v>
      </c>
      <c r="C106" t="s">
        <v>49</v>
      </c>
      <c r="D106" t="s">
        <v>50</v>
      </c>
      <c r="E106" t="s">
        <v>51</v>
      </c>
      <c r="F106" t="s">
        <v>51</v>
      </c>
      <c r="G106" t="s">
        <v>52</v>
      </c>
      <c r="H106" t="s">
        <v>52</v>
      </c>
      <c r="I106" t="s">
        <v>52</v>
      </c>
      <c r="J106" t="s">
        <v>52</v>
      </c>
      <c r="K106" t="s">
        <v>52</v>
      </c>
      <c r="L106" t="s">
        <v>154</v>
      </c>
      <c r="M106" t="s">
        <v>155</v>
      </c>
      <c r="N106" t="s">
        <v>156</v>
      </c>
      <c r="O106" s="209">
        <v>27</v>
      </c>
      <c r="P106" s="209">
        <v>27</v>
      </c>
      <c r="Q106" t="s">
        <v>51</v>
      </c>
      <c r="R106" t="s">
        <v>51</v>
      </c>
      <c r="S106" t="s">
        <v>51</v>
      </c>
      <c r="T106" t="s">
        <v>51</v>
      </c>
    </row>
    <row r="107" spans="1:20">
      <c r="A107" t="s">
        <v>47</v>
      </c>
      <c r="B107" t="s">
        <v>48</v>
      </c>
      <c r="C107" t="s">
        <v>49</v>
      </c>
      <c r="D107" t="s">
        <v>50</v>
      </c>
      <c r="E107" t="s">
        <v>51</v>
      </c>
      <c r="F107" t="s">
        <v>51</v>
      </c>
      <c r="G107" t="s">
        <v>52</v>
      </c>
      <c r="H107" t="s">
        <v>52</v>
      </c>
      <c r="I107" t="s">
        <v>52</v>
      </c>
      <c r="J107" t="s">
        <v>52</v>
      </c>
      <c r="K107" t="s">
        <v>52</v>
      </c>
      <c r="L107" t="s">
        <v>157</v>
      </c>
      <c r="M107" t="s">
        <v>555</v>
      </c>
      <c r="N107" t="s">
        <v>156</v>
      </c>
      <c r="O107" s="209">
        <v>45</v>
      </c>
      <c r="P107" s="209">
        <v>45</v>
      </c>
      <c r="Q107" t="s">
        <v>51</v>
      </c>
      <c r="R107" t="s">
        <v>51</v>
      </c>
      <c r="S107" t="s">
        <v>51</v>
      </c>
      <c r="T107" t="s">
        <v>51</v>
      </c>
    </row>
    <row r="108" spans="1:20">
      <c r="A108" t="s">
        <v>57</v>
      </c>
      <c r="B108" t="s">
        <v>58</v>
      </c>
      <c r="C108" t="s">
        <v>49</v>
      </c>
      <c r="D108" t="s">
        <v>50</v>
      </c>
      <c r="E108" t="s">
        <v>51</v>
      </c>
      <c r="F108" t="s">
        <v>51</v>
      </c>
      <c r="G108" t="s">
        <v>52</v>
      </c>
      <c r="H108" t="s">
        <v>52</v>
      </c>
      <c r="I108" t="s">
        <v>52</v>
      </c>
      <c r="J108" t="s">
        <v>52</v>
      </c>
      <c r="K108" t="s">
        <v>52</v>
      </c>
      <c r="L108" t="s">
        <v>157</v>
      </c>
      <c r="M108" t="s">
        <v>555</v>
      </c>
      <c r="N108" t="s">
        <v>156</v>
      </c>
      <c r="O108" s="209">
        <v>45</v>
      </c>
      <c r="P108" s="209">
        <v>45</v>
      </c>
      <c r="Q108" t="s">
        <v>51</v>
      </c>
      <c r="R108" t="s">
        <v>51</v>
      </c>
      <c r="S108" t="s">
        <v>51</v>
      </c>
      <c r="T108" t="s">
        <v>51</v>
      </c>
    </row>
    <row r="109" spans="1:20">
      <c r="A109" t="s">
        <v>59</v>
      </c>
      <c r="B109" t="s">
        <v>60</v>
      </c>
      <c r="C109" t="s">
        <v>49</v>
      </c>
      <c r="D109" t="s">
        <v>50</v>
      </c>
      <c r="E109" t="s">
        <v>51</v>
      </c>
      <c r="F109" t="s">
        <v>51</v>
      </c>
      <c r="G109" t="s">
        <v>52</v>
      </c>
      <c r="H109" t="s">
        <v>52</v>
      </c>
      <c r="I109" t="s">
        <v>52</v>
      </c>
      <c r="J109" t="s">
        <v>52</v>
      </c>
      <c r="K109" t="s">
        <v>52</v>
      </c>
      <c r="L109" t="s">
        <v>157</v>
      </c>
      <c r="M109" t="s">
        <v>555</v>
      </c>
      <c r="N109" t="s">
        <v>156</v>
      </c>
      <c r="O109" s="209">
        <v>45</v>
      </c>
      <c r="P109" s="209">
        <v>45</v>
      </c>
      <c r="Q109" t="s">
        <v>51</v>
      </c>
      <c r="R109" t="s">
        <v>51</v>
      </c>
      <c r="S109" t="s">
        <v>51</v>
      </c>
      <c r="T109" t="s">
        <v>51</v>
      </c>
    </row>
    <row r="110" spans="1:20">
      <c r="A110" t="s">
        <v>61</v>
      </c>
      <c r="B110" t="s">
        <v>62</v>
      </c>
      <c r="C110" t="s">
        <v>49</v>
      </c>
      <c r="D110" t="s">
        <v>50</v>
      </c>
      <c r="E110" t="s">
        <v>51</v>
      </c>
      <c r="F110" t="s">
        <v>51</v>
      </c>
      <c r="G110" t="s">
        <v>52</v>
      </c>
      <c r="H110" t="s">
        <v>52</v>
      </c>
      <c r="I110" t="s">
        <v>52</v>
      </c>
      <c r="J110" t="s">
        <v>52</v>
      </c>
      <c r="K110" t="s">
        <v>52</v>
      </c>
      <c r="L110" t="s">
        <v>157</v>
      </c>
      <c r="M110" t="s">
        <v>555</v>
      </c>
      <c r="N110" t="s">
        <v>156</v>
      </c>
      <c r="O110" s="209">
        <v>45</v>
      </c>
      <c r="P110" s="209">
        <v>45</v>
      </c>
      <c r="Q110" t="s">
        <v>51</v>
      </c>
      <c r="R110" t="s">
        <v>51</v>
      </c>
      <c r="S110" t="s">
        <v>51</v>
      </c>
      <c r="T110" t="s">
        <v>51</v>
      </c>
    </row>
    <row r="111" spans="1:20">
      <c r="A111" t="s">
        <v>63</v>
      </c>
      <c r="B111" t="s">
        <v>56</v>
      </c>
      <c r="C111" t="s">
        <v>49</v>
      </c>
      <c r="D111" t="s">
        <v>50</v>
      </c>
      <c r="E111" t="s">
        <v>51</v>
      </c>
      <c r="F111" t="s">
        <v>51</v>
      </c>
      <c r="G111" t="s">
        <v>52</v>
      </c>
      <c r="H111" t="s">
        <v>52</v>
      </c>
      <c r="I111" t="s">
        <v>52</v>
      </c>
      <c r="J111" t="s">
        <v>52</v>
      </c>
      <c r="K111" t="s">
        <v>52</v>
      </c>
      <c r="L111" t="s">
        <v>157</v>
      </c>
      <c r="M111" t="s">
        <v>555</v>
      </c>
      <c r="N111" t="s">
        <v>156</v>
      </c>
      <c r="O111" s="209">
        <v>45</v>
      </c>
      <c r="P111" s="209">
        <v>45</v>
      </c>
      <c r="Q111" t="s">
        <v>51</v>
      </c>
      <c r="R111" t="s">
        <v>51</v>
      </c>
      <c r="S111" t="s">
        <v>51</v>
      </c>
      <c r="T111" t="s">
        <v>51</v>
      </c>
    </row>
    <row r="112" spans="1:20">
      <c r="A112" t="s">
        <v>64</v>
      </c>
      <c r="B112" t="s">
        <v>65</v>
      </c>
      <c r="C112" t="s">
        <v>49</v>
      </c>
      <c r="D112" t="s">
        <v>50</v>
      </c>
      <c r="E112" t="s">
        <v>51</v>
      </c>
      <c r="F112" t="s">
        <v>51</v>
      </c>
      <c r="G112" t="s">
        <v>52</v>
      </c>
      <c r="H112" t="s">
        <v>52</v>
      </c>
      <c r="I112" t="s">
        <v>52</v>
      </c>
      <c r="J112" t="s">
        <v>52</v>
      </c>
      <c r="K112" t="s">
        <v>52</v>
      </c>
      <c r="L112" t="s">
        <v>157</v>
      </c>
      <c r="M112" t="s">
        <v>555</v>
      </c>
      <c r="N112" t="s">
        <v>156</v>
      </c>
      <c r="O112" s="209">
        <v>45</v>
      </c>
      <c r="P112" s="209">
        <v>45</v>
      </c>
      <c r="Q112" t="s">
        <v>51</v>
      </c>
      <c r="R112" t="s">
        <v>51</v>
      </c>
      <c r="S112" t="s">
        <v>51</v>
      </c>
      <c r="T112" t="s">
        <v>51</v>
      </c>
    </row>
    <row r="113" spans="1:20">
      <c r="A113" t="s">
        <v>66</v>
      </c>
      <c r="B113" t="s">
        <v>67</v>
      </c>
      <c r="C113" t="s">
        <v>49</v>
      </c>
      <c r="D113" t="s">
        <v>50</v>
      </c>
      <c r="E113" t="s">
        <v>51</v>
      </c>
      <c r="F113" t="s">
        <v>51</v>
      </c>
      <c r="G113" t="s">
        <v>52</v>
      </c>
      <c r="H113" t="s">
        <v>52</v>
      </c>
      <c r="I113" t="s">
        <v>52</v>
      </c>
      <c r="J113" t="s">
        <v>52</v>
      </c>
      <c r="K113" t="s">
        <v>52</v>
      </c>
      <c r="L113" t="s">
        <v>157</v>
      </c>
      <c r="M113" t="s">
        <v>555</v>
      </c>
      <c r="N113" t="s">
        <v>156</v>
      </c>
      <c r="O113" s="209">
        <v>45</v>
      </c>
      <c r="P113" s="209">
        <v>45</v>
      </c>
      <c r="Q113" t="s">
        <v>51</v>
      </c>
      <c r="R113" t="s">
        <v>51</v>
      </c>
      <c r="S113" t="s">
        <v>51</v>
      </c>
      <c r="T113" t="s">
        <v>51</v>
      </c>
    </row>
    <row r="114" spans="1:20">
      <c r="A114" t="s">
        <v>68</v>
      </c>
      <c r="B114" t="s">
        <v>69</v>
      </c>
      <c r="C114" t="s">
        <v>49</v>
      </c>
      <c r="D114" t="s">
        <v>50</v>
      </c>
      <c r="E114" t="s">
        <v>51</v>
      </c>
      <c r="F114" t="s">
        <v>51</v>
      </c>
      <c r="G114" t="s">
        <v>52</v>
      </c>
      <c r="H114" t="s">
        <v>52</v>
      </c>
      <c r="I114" t="s">
        <v>52</v>
      </c>
      <c r="J114" t="s">
        <v>52</v>
      </c>
      <c r="K114" t="s">
        <v>52</v>
      </c>
      <c r="L114" t="s">
        <v>157</v>
      </c>
      <c r="M114" t="s">
        <v>555</v>
      </c>
      <c r="N114" t="s">
        <v>156</v>
      </c>
      <c r="O114" s="209">
        <v>45</v>
      </c>
      <c r="P114" s="209">
        <v>45</v>
      </c>
      <c r="Q114" t="s">
        <v>51</v>
      </c>
      <c r="R114" t="s">
        <v>51</v>
      </c>
      <c r="S114" t="s">
        <v>51</v>
      </c>
      <c r="T114" t="s">
        <v>51</v>
      </c>
    </row>
    <row r="115" spans="1:20">
      <c r="A115" t="s">
        <v>70</v>
      </c>
      <c r="B115" t="s">
        <v>71</v>
      </c>
      <c r="C115" t="s">
        <v>49</v>
      </c>
      <c r="D115" t="s">
        <v>50</v>
      </c>
      <c r="E115" t="s">
        <v>51</v>
      </c>
      <c r="F115" t="s">
        <v>51</v>
      </c>
      <c r="G115" t="s">
        <v>52</v>
      </c>
      <c r="H115" t="s">
        <v>52</v>
      </c>
      <c r="I115" t="s">
        <v>52</v>
      </c>
      <c r="J115" t="s">
        <v>52</v>
      </c>
      <c r="K115" t="s">
        <v>52</v>
      </c>
      <c r="L115" t="s">
        <v>157</v>
      </c>
      <c r="M115" t="s">
        <v>555</v>
      </c>
      <c r="N115" t="s">
        <v>156</v>
      </c>
      <c r="O115" s="209">
        <v>45</v>
      </c>
      <c r="P115" s="209">
        <v>45</v>
      </c>
      <c r="Q115" t="s">
        <v>51</v>
      </c>
      <c r="R115" t="s">
        <v>51</v>
      </c>
      <c r="S115" t="s">
        <v>51</v>
      </c>
      <c r="T115" t="s">
        <v>51</v>
      </c>
    </row>
    <row r="116" spans="1:20">
      <c r="A116" t="s">
        <v>72</v>
      </c>
      <c r="B116" t="s">
        <v>73</v>
      </c>
      <c r="C116" t="s">
        <v>49</v>
      </c>
      <c r="D116" t="s">
        <v>50</v>
      </c>
      <c r="E116" t="s">
        <v>51</v>
      </c>
      <c r="F116" t="s">
        <v>51</v>
      </c>
      <c r="G116" t="s">
        <v>52</v>
      </c>
      <c r="H116" t="s">
        <v>52</v>
      </c>
      <c r="I116" t="s">
        <v>52</v>
      </c>
      <c r="J116" t="s">
        <v>52</v>
      </c>
      <c r="K116" t="s">
        <v>52</v>
      </c>
      <c r="L116" t="s">
        <v>157</v>
      </c>
      <c r="M116" t="s">
        <v>555</v>
      </c>
      <c r="N116" t="s">
        <v>156</v>
      </c>
      <c r="O116" s="209">
        <v>45</v>
      </c>
      <c r="P116" s="209">
        <v>45</v>
      </c>
      <c r="Q116" t="s">
        <v>51</v>
      </c>
      <c r="R116" t="s">
        <v>51</v>
      </c>
      <c r="S116" t="s">
        <v>51</v>
      </c>
      <c r="T116" t="s">
        <v>51</v>
      </c>
    </row>
    <row r="117" spans="1:20">
      <c r="A117" t="s">
        <v>74</v>
      </c>
      <c r="B117" t="s">
        <v>75</v>
      </c>
      <c r="C117" t="s">
        <v>49</v>
      </c>
      <c r="D117" t="s">
        <v>50</v>
      </c>
      <c r="E117" t="s">
        <v>51</v>
      </c>
      <c r="F117" t="s">
        <v>51</v>
      </c>
      <c r="G117" t="s">
        <v>52</v>
      </c>
      <c r="H117" t="s">
        <v>52</v>
      </c>
      <c r="I117" t="s">
        <v>52</v>
      </c>
      <c r="J117" t="s">
        <v>52</v>
      </c>
      <c r="K117" t="s">
        <v>52</v>
      </c>
      <c r="L117" t="s">
        <v>157</v>
      </c>
      <c r="M117" t="s">
        <v>555</v>
      </c>
      <c r="N117" t="s">
        <v>156</v>
      </c>
      <c r="O117" s="209">
        <v>45</v>
      </c>
      <c r="P117" s="209">
        <v>45</v>
      </c>
      <c r="Q117" t="s">
        <v>51</v>
      </c>
      <c r="R117" t="s">
        <v>51</v>
      </c>
      <c r="S117" t="s">
        <v>51</v>
      </c>
      <c r="T117" t="s">
        <v>51</v>
      </c>
    </row>
    <row r="118" spans="1:20">
      <c r="A118" t="s">
        <v>76</v>
      </c>
      <c r="B118" t="s">
        <v>77</v>
      </c>
      <c r="C118" t="s">
        <v>49</v>
      </c>
      <c r="D118" t="s">
        <v>50</v>
      </c>
      <c r="E118" t="s">
        <v>51</v>
      </c>
      <c r="F118" t="s">
        <v>51</v>
      </c>
      <c r="G118" t="s">
        <v>52</v>
      </c>
      <c r="H118" t="s">
        <v>52</v>
      </c>
      <c r="I118" t="s">
        <v>52</v>
      </c>
      <c r="J118" t="s">
        <v>52</v>
      </c>
      <c r="K118" t="s">
        <v>52</v>
      </c>
      <c r="L118" t="s">
        <v>157</v>
      </c>
      <c r="M118" t="s">
        <v>555</v>
      </c>
      <c r="N118" t="s">
        <v>156</v>
      </c>
      <c r="O118" s="209">
        <v>45</v>
      </c>
      <c r="P118" s="209">
        <v>45</v>
      </c>
      <c r="Q118" t="s">
        <v>51</v>
      </c>
      <c r="R118" t="s">
        <v>51</v>
      </c>
      <c r="S118" t="s">
        <v>51</v>
      </c>
      <c r="T118" t="s">
        <v>51</v>
      </c>
    </row>
    <row r="119" spans="1:20">
      <c r="A119" t="s">
        <v>78</v>
      </c>
      <c r="B119" t="s">
        <v>79</v>
      </c>
      <c r="C119" t="s">
        <v>49</v>
      </c>
      <c r="D119" t="s">
        <v>50</v>
      </c>
      <c r="E119" t="s">
        <v>51</v>
      </c>
      <c r="F119" t="s">
        <v>51</v>
      </c>
      <c r="G119" t="s">
        <v>52</v>
      </c>
      <c r="H119" t="s">
        <v>52</v>
      </c>
      <c r="I119" t="s">
        <v>52</v>
      </c>
      <c r="J119" t="s">
        <v>52</v>
      </c>
      <c r="K119" t="s">
        <v>52</v>
      </c>
      <c r="L119" t="s">
        <v>157</v>
      </c>
      <c r="M119" t="s">
        <v>555</v>
      </c>
      <c r="N119" t="s">
        <v>156</v>
      </c>
      <c r="O119" s="209">
        <v>45</v>
      </c>
      <c r="P119" s="209">
        <v>45</v>
      </c>
      <c r="Q119" t="s">
        <v>51</v>
      </c>
      <c r="R119" t="s">
        <v>51</v>
      </c>
      <c r="S119" t="s">
        <v>51</v>
      </c>
      <c r="T119" t="s">
        <v>51</v>
      </c>
    </row>
    <row r="120" spans="1:20">
      <c r="A120" t="s">
        <v>80</v>
      </c>
      <c r="B120" t="s">
        <v>81</v>
      </c>
      <c r="C120" t="s">
        <v>49</v>
      </c>
      <c r="D120" t="s">
        <v>50</v>
      </c>
      <c r="E120" t="s">
        <v>51</v>
      </c>
      <c r="F120" t="s">
        <v>51</v>
      </c>
      <c r="G120" t="s">
        <v>52</v>
      </c>
      <c r="H120" t="s">
        <v>52</v>
      </c>
      <c r="I120" t="s">
        <v>52</v>
      </c>
      <c r="J120" t="s">
        <v>52</v>
      </c>
      <c r="K120" t="s">
        <v>52</v>
      </c>
      <c r="L120" t="s">
        <v>157</v>
      </c>
      <c r="M120" t="s">
        <v>555</v>
      </c>
      <c r="N120" t="s">
        <v>156</v>
      </c>
      <c r="O120" s="209">
        <v>45</v>
      </c>
      <c r="P120" s="209">
        <v>45</v>
      </c>
      <c r="Q120" t="s">
        <v>51</v>
      </c>
      <c r="R120" t="s">
        <v>51</v>
      </c>
      <c r="S120" t="s">
        <v>51</v>
      </c>
      <c r="T120" t="s">
        <v>51</v>
      </c>
    </row>
    <row r="121" spans="1:20">
      <c r="A121" t="s">
        <v>82</v>
      </c>
      <c r="B121" t="s">
        <v>83</v>
      </c>
      <c r="C121" t="s">
        <v>49</v>
      </c>
      <c r="D121" t="s">
        <v>50</v>
      </c>
      <c r="E121" t="s">
        <v>51</v>
      </c>
      <c r="F121" t="s">
        <v>51</v>
      </c>
      <c r="G121" t="s">
        <v>52</v>
      </c>
      <c r="H121" t="s">
        <v>52</v>
      </c>
      <c r="I121" t="s">
        <v>52</v>
      </c>
      <c r="J121" t="s">
        <v>52</v>
      </c>
      <c r="K121" t="s">
        <v>52</v>
      </c>
      <c r="L121" t="s">
        <v>157</v>
      </c>
      <c r="M121" t="s">
        <v>555</v>
      </c>
      <c r="N121" t="s">
        <v>156</v>
      </c>
      <c r="O121" s="209">
        <v>45</v>
      </c>
      <c r="P121" s="209">
        <v>45</v>
      </c>
      <c r="Q121" t="s">
        <v>51</v>
      </c>
      <c r="R121" t="s">
        <v>51</v>
      </c>
      <c r="S121" t="s">
        <v>51</v>
      </c>
      <c r="T121" t="s">
        <v>51</v>
      </c>
    </row>
    <row r="122" spans="1:20">
      <c r="A122" t="s">
        <v>84</v>
      </c>
      <c r="B122" t="s">
        <v>85</v>
      </c>
      <c r="C122" t="s">
        <v>49</v>
      </c>
      <c r="D122" t="s">
        <v>50</v>
      </c>
      <c r="E122" t="s">
        <v>51</v>
      </c>
      <c r="F122" t="s">
        <v>51</v>
      </c>
      <c r="G122" t="s">
        <v>52</v>
      </c>
      <c r="H122" t="s">
        <v>52</v>
      </c>
      <c r="I122" t="s">
        <v>52</v>
      </c>
      <c r="J122" t="s">
        <v>52</v>
      </c>
      <c r="K122" t="s">
        <v>52</v>
      </c>
      <c r="L122" t="s">
        <v>157</v>
      </c>
      <c r="M122" t="s">
        <v>555</v>
      </c>
      <c r="N122" t="s">
        <v>156</v>
      </c>
      <c r="O122" s="209">
        <v>45</v>
      </c>
      <c r="P122" s="209">
        <v>45</v>
      </c>
      <c r="Q122" t="s">
        <v>51</v>
      </c>
      <c r="R122" t="s">
        <v>51</v>
      </c>
      <c r="S122" t="s">
        <v>51</v>
      </c>
      <c r="T122" t="s">
        <v>51</v>
      </c>
    </row>
    <row r="123" spans="1:20">
      <c r="A123" t="s">
        <v>86</v>
      </c>
      <c r="B123" t="s">
        <v>87</v>
      </c>
      <c r="C123" t="s">
        <v>49</v>
      </c>
      <c r="D123" t="s">
        <v>50</v>
      </c>
      <c r="E123" t="s">
        <v>51</v>
      </c>
      <c r="F123" t="s">
        <v>51</v>
      </c>
      <c r="G123" t="s">
        <v>52</v>
      </c>
      <c r="H123" t="s">
        <v>52</v>
      </c>
      <c r="I123" t="s">
        <v>52</v>
      </c>
      <c r="J123" t="s">
        <v>52</v>
      </c>
      <c r="K123" t="s">
        <v>52</v>
      </c>
      <c r="L123" t="s">
        <v>157</v>
      </c>
      <c r="M123" t="s">
        <v>555</v>
      </c>
      <c r="N123" t="s">
        <v>156</v>
      </c>
      <c r="O123" s="209">
        <v>45</v>
      </c>
      <c r="P123" s="209">
        <v>45</v>
      </c>
      <c r="Q123" t="s">
        <v>51</v>
      </c>
      <c r="R123" t="s">
        <v>51</v>
      </c>
      <c r="S123" t="s">
        <v>51</v>
      </c>
      <c r="T123" t="s">
        <v>51</v>
      </c>
    </row>
    <row r="124" spans="1:20">
      <c r="A124" t="s">
        <v>88</v>
      </c>
      <c r="B124" t="s">
        <v>89</v>
      </c>
      <c r="C124" t="s">
        <v>49</v>
      </c>
      <c r="D124" t="s">
        <v>50</v>
      </c>
      <c r="E124" t="s">
        <v>51</v>
      </c>
      <c r="F124" t="s">
        <v>51</v>
      </c>
      <c r="G124" t="s">
        <v>52</v>
      </c>
      <c r="H124" t="s">
        <v>52</v>
      </c>
      <c r="I124" t="s">
        <v>52</v>
      </c>
      <c r="J124" t="s">
        <v>52</v>
      </c>
      <c r="K124" t="s">
        <v>52</v>
      </c>
      <c r="L124" t="s">
        <v>157</v>
      </c>
      <c r="M124" t="s">
        <v>555</v>
      </c>
      <c r="N124" t="s">
        <v>156</v>
      </c>
      <c r="O124" s="209">
        <v>45</v>
      </c>
      <c r="P124" s="209">
        <v>45</v>
      </c>
      <c r="Q124" t="s">
        <v>51</v>
      </c>
      <c r="R124" t="s">
        <v>51</v>
      </c>
      <c r="S124" t="s">
        <v>51</v>
      </c>
      <c r="T124" t="s">
        <v>51</v>
      </c>
    </row>
    <row r="125" spans="1:20">
      <c r="A125" t="s">
        <v>90</v>
      </c>
      <c r="B125" t="s">
        <v>91</v>
      </c>
      <c r="C125" t="s">
        <v>49</v>
      </c>
      <c r="D125" t="s">
        <v>50</v>
      </c>
      <c r="E125" t="s">
        <v>51</v>
      </c>
      <c r="F125" t="s">
        <v>51</v>
      </c>
      <c r="G125" t="s">
        <v>52</v>
      </c>
      <c r="H125" t="s">
        <v>52</v>
      </c>
      <c r="I125" t="s">
        <v>52</v>
      </c>
      <c r="J125" t="s">
        <v>52</v>
      </c>
      <c r="K125" t="s">
        <v>52</v>
      </c>
      <c r="L125" t="s">
        <v>157</v>
      </c>
      <c r="M125" t="s">
        <v>555</v>
      </c>
      <c r="N125" t="s">
        <v>156</v>
      </c>
      <c r="O125" s="209">
        <v>45</v>
      </c>
      <c r="P125" s="209">
        <v>45</v>
      </c>
      <c r="Q125" t="s">
        <v>51</v>
      </c>
      <c r="R125" t="s">
        <v>51</v>
      </c>
      <c r="S125" t="s">
        <v>51</v>
      </c>
      <c r="T125" t="s">
        <v>51</v>
      </c>
    </row>
    <row r="126" spans="1:20">
      <c r="A126" t="s">
        <v>92</v>
      </c>
      <c r="B126" t="s">
        <v>93</v>
      </c>
      <c r="C126" t="s">
        <v>49</v>
      </c>
      <c r="D126" t="s">
        <v>50</v>
      </c>
      <c r="E126" t="s">
        <v>51</v>
      </c>
      <c r="F126" t="s">
        <v>51</v>
      </c>
      <c r="G126" t="s">
        <v>52</v>
      </c>
      <c r="H126" t="s">
        <v>52</v>
      </c>
      <c r="I126" t="s">
        <v>52</v>
      </c>
      <c r="J126" t="s">
        <v>52</v>
      </c>
      <c r="K126" t="s">
        <v>52</v>
      </c>
      <c r="L126" t="s">
        <v>157</v>
      </c>
      <c r="M126" t="s">
        <v>555</v>
      </c>
      <c r="N126" t="s">
        <v>156</v>
      </c>
      <c r="O126" s="209">
        <v>45</v>
      </c>
      <c r="P126" s="209">
        <v>45</v>
      </c>
      <c r="Q126" t="s">
        <v>51</v>
      </c>
      <c r="R126" t="s">
        <v>51</v>
      </c>
      <c r="S126" t="s">
        <v>51</v>
      </c>
      <c r="T126" t="s">
        <v>51</v>
      </c>
    </row>
    <row r="127" spans="1:20">
      <c r="A127" t="s">
        <v>94</v>
      </c>
      <c r="B127" t="s">
        <v>95</v>
      </c>
      <c r="C127" t="s">
        <v>49</v>
      </c>
      <c r="D127" t="s">
        <v>50</v>
      </c>
      <c r="E127" t="s">
        <v>51</v>
      </c>
      <c r="F127" t="s">
        <v>51</v>
      </c>
      <c r="G127" t="s">
        <v>52</v>
      </c>
      <c r="H127" t="s">
        <v>52</v>
      </c>
      <c r="I127" t="s">
        <v>52</v>
      </c>
      <c r="J127" t="s">
        <v>52</v>
      </c>
      <c r="K127" t="s">
        <v>52</v>
      </c>
      <c r="L127" t="s">
        <v>157</v>
      </c>
      <c r="M127" t="s">
        <v>555</v>
      </c>
      <c r="N127" t="s">
        <v>156</v>
      </c>
      <c r="O127" s="209">
        <v>45</v>
      </c>
      <c r="P127" s="209">
        <v>45</v>
      </c>
      <c r="Q127" t="s">
        <v>51</v>
      </c>
      <c r="R127" t="s">
        <v>51</v>
      </c>
      <c r="S127" t="s">
        <v>51</v>
      </c>
      <c r="T127" t="s">
        <v>51</v>
      </c>
    </row>
    <row r="128" spans="1:20">
      <c r="A128" t="s">
        <v>96</v>
      </c>
      <c r="B128" t="s">
        <v>97</v>
      </c>
      <c r="C128" t="s">
        <v>49</v>
      </c>
      <c r="D128" t="s">
        <v>50</v>
      </c>
      <c r="E128" t="s">
        <v>51</v>
      </c>
      <c r="F128" t="s">
        <v>51</v>
      </c>
      <c r="G128" t="s">
        <v>52</v>
      </c>
      <c r="H128" t="s">
        <v>52</v>
      </c>
      <c r="I128" t="s">
        <v>52</v>
      </c>
      <c r="J128" t="s">
        <v>52</v>
      </c>
      <c r="K128" t="s">
        <v>52</v>
      </c>
      <c r="L128" t="s">
        <v>157</v>
      </c>
      <c r="M128" t="s">
        <v>555</v>
      </c>
      <c r="N128" t="s">
        <v>156</v>
      </c>
      <c r="O128" s="209">
        <v>45</v>
      </c>
      <c r="P128" s="209">
        <v>45</v>
      </c>
      <c r="Q128" t="s">
        <v>51</v>
      </c>
      <c r="R128" t="s">
        <v>51</v>
      </c>
      <c r="S128" t="s">
        <v>51</v>
      </c>
      <c r="T128" t="s">
        <v>51</v>
      </c>
    </row>
    <row r="129" spans="1:20">
      <c r="A129" t="s">
        <v>98</v>
      </c>
      <c r="B129" t="s">
        <v>99</v>
      </c>
      <c r="C129" t="s">
        <v>49</v>
      </c>
      <c r="D129" t="s">
        <v>50</v>
      </c>
      <c r="E129" t="s">
        <v>51</v>
      </c>
      <c r="F129" t="s">
        <v>51</v>
      </c>
      <c r="G129" t="s">
        <v>52</v>
      </c>
      <c r="H129" t="s">
        <v>52</v>
      </c>
      <c r="I129" t="s">
        <v>52</v>
      </c>
      <c r="J129" t="s">
        <v>52</v>
      </c>
      <c r="K129" t="s">
        <v>52</v>
      </c>
      <c r="L129" t="s">
        <v>157</v>
      </c>
      <c r="M129" t="s">
        <v>555</v>
      </c>
      <c r="N129" t="s">
        <v>156</v>
      </c>
      <c r="O129" s="209">
        <v>45</v>
      </c>
      <c r="P129" s="209">
        <v>45</v>
      </c>
      <c r="Q129" t="s">
        <v>51</v>
      </c>
      <c r="R129" t="s">
        <v>51</v>
      </c>
      <c r="S129" t="s">
        <v>51</v>
      </c>
      <c r="T129" t="s">
        <v>51</v>
      </c>
    </row>
    <row r="130" spans="1:20">
      <c r="A130" t="s">
        <v>100</v>
      </c>
      <c r="B130" t="s">
        <v>101</v>
      </c>
      <c r="C130" t="s">
        <v>49</v>
      </c>
      <c r="D130" t="s">
        <v>50</v>
      </c>
      <c r="E130" t="s">
        <v>51</v>
      </c>
      <c r="F130" t="s">
        <v>51</v>
      </c>
      <c r="G130" t="s">
        <v>52</v>
      </c>
      <c r="H130" t="s">
        <v>52</v>
      </c>
      <c r="I130" t="s">
        <v>52</v>
      </c>
      <c r="J130" t="s">
        <v>52</v>
      </c>
      <c r="K130" t="s">
        <v>52</v>
      </c>
      <c r="L130" t="s">
        <v>157</v>
      </c>
      <c r="M130" t="s">
        <v>555</v>
      </c>
      <c r="N130" t="s">
        <v>156</v>
      </c>
      <c r="O130" s="209">
        <v>45</v>
      </c>
      <c r="P130" s="209">
        <v>45</v>
      </c>
      <c r="Q130" t="s">
        <v>51</v>
      </c>
      <c r="R130" t="s">
        <v>51</v>
      </c>
      <c r="S130" t="s">
        <v>51</v>
      </c>
      <c r="T130" t="s">
        <v>51</v>
      </c>
    </row>
    <row r="131" spans="1:20">
      <c r="A131" t="s">
        <v>102</v>
      </c>
      <c r="B131" t="s">
        <v>103</v>
      </c>
      <c r="C131" t="s">
        <v>49</v>
      </c>
      <c r="D131" t="s">
        <v>50</v>
      </c>
      <c r="E131" t="s">
        <v>51</v>
      </c>
      <c r="F131" t="s">
        <v>51</v>
      </c>
      <c r="G131" t="s">
        <v>52</v>
      </c>
      <c r="H131" t="s">
        <v>52</v>
      </c>
      <c r="I131" t="s">
        <v>52</v>
      </c>
      <c r="J131" t="s">
        <v>52</v>
      </c>
      <c r="K131" t="s">
        <v>52</v>
      </c>
      <c r="L131" t="s">
        <v>157</v>
      </c>
      <c r="M131" t="s">
        <v>555</v>
      </c>
      <c r="N131" t="s">
        <v>156</v>
      </c>
      <c r="O131" s="209">
        <v>45</v>
      </c>
      <c r="P131" s="209">
        <v>45</v>
      </c>
      <c r="Q131" t="s">
        <v>51</v>
      </c>
      <c r="R131" t="s">
        <v>51</v>
      </c>
      <c r="S131" t="s">
        <v>51</v>
      </c>
      <c r="T131" t="s">
        <v>51</v>
      </c>
    </row>
    <row r="132" spans="1:20">
      <c r="A132" t="s">
        <v>104</v>
      </c>
      <c r="B132" t="s">
        <v>105</v>
      </c>
      <c r="C132" t="s">
        <v>49</v>
      </c>
      <c r="D132" t="s">
        <v>50</v>
      </c>
      <c r="E132" t="s">
        <v>51</v>
      </c>
      <c r="F132" t="s">
        <v>51</v>
      </c>
      <c r="G132" t="s">
        <v>52</v>
      </c>
      <c r="H132" t="s">
        <v>52</v>
      </c>
      <c r="I132" t="s">
        <v>52</v>
      </c>
      <c r="J132" t="s">
        <v>52</v>
      </c>
      <c r="K132" t="s">
        <v>52</v>
      </c>
      <c r="L132" t="s">
        <v>157</v>
      </c>
      <c r="M132" t="s">
        <v>555</v>
      </c>
      <c r="N132" t="s">
        <v>156</v>
      </c>
      <c r="O132" s="209">
        <v>45</v>
      </c>
      <c r="P132" s="209">
        <v>45</v>
      </c>
      <c r="Q132" t="s">
        <v>51</v>
      </c>
      <c r="R132" t="s">
        <v>51</v>
      </c>
      <c r="S132" t="s">
        <v>51</v>
      </c>
      <c r="T132" t="s">
        <v>51</v>
      </c>
    </row>
    <row r="133" spans="1:20">
      <c r="A133" t="s">
        <v>106</v>
      </c>
      <c r="B133" t="s">
        <v>107</v>
      </c>
      <c r="C133" t="s">
        <v>49</v>
      </c>
      <c r="D133" t="s">
        <v>50</v>
      </c>
      <c r="E133" t="s">
        <v>51</v>
      </c>
      <c r="F133" t="s">
        <v>51</v>
      </c>
      <c r="G133" t="s">
        <v>52</v>
      </c>
      <c r="H133" t="s">
        <v>52</v>
      </c>
      <c r="I133" t="s">
        <v>52</v>
      </c>
      <c r="J133" t="s">
        <v>52</v>
      </c>
      <c r="K133" t="s">
        <v>52</v>
      </c>
      <c r="L133" t="s">
        <v>157</v>
      </c>
      <c r="M133" t="s">
        <v>555</v>
      </c>
      <c r="N133" t="s">
        <v>156</v>
      </c>
      <c r="O133" s="209">
        <v>45</v>
      </c>
      <c r="P133" s="209">
        <v>45</v>
      </c>
      <c r="Q133" t="s">
        <v>51</v>
      </c>
      <c r="R133" t="s">
        <v>51</v>
      </c>
      <c r="S133" t="s">
        <v>51</v>
      </c>
      <c r="T133" t="s">
        <v>51</v>
      </c>
    </row>
    <row r="134" spans="1:20">
      <c r="A134" t="s">
        <v>108</v>
      </c>
      <c r="B134" t="s">
        <v>109</v>
      </c>
      <c r="C134" t="s">
        <v>49</v>
      </c>
      <c r="D134" t="s">
        <v>50</v>
      </c>
      <c r="E134" t="s">
        <v>51</v>
      </c>
      <c r="F134" t="s">
        <v>51</v>
      </c>
      <c r="G134" t="s">
        <v>52</v>
      </c>
      <c r="H134" t="s">
        <v>52</v>
      </c>
      <c r="I134" t="s">
        <v>52</v>
      </c>
      <c r="J134" t="s">
        <v>52</v>
      </c>
      <c r="K134" t="s">
        <v>52</v>
      </c>
      <c r="L134" t="s">
        <v>157</v>
      </c>
      <c r="M134" t="s">
        <v>555</v>
      </c>
      <c r="N134" t="s">
        <v>156</v>
      </c>
      <c r="O134" s="209">
        <v>45</v>
      </c>
      <c r="P134" s="209">
        <v>45</v>
      </c>
      <c r="Q134" t="s">
        <v>51</v>
      </c>
      <c r="R134" t="s">
        <v>51</v>
      </c>
      <c r="S134" t="s">
        <v>51</v>
      </c>
      <c r="T134" t="s">
        <v>51</v>
      </c>
    </row>
    <row r="135" spans="1:20">
      <c r="A135" t="s">
        <v>110</v>
      </c>
      <c r="B135" t="s">
        <v>111</v>
      </c>
      <c r="C135" t="s">
        <v>49</v>
      </c>
      <c r="D135" t="s">
        <v>50</v>
      </c>
      <c r="E135" t="s">
        <v>51</v>
      </c>
      <c r="F135" t="s">
        <v>51</v>
      </c>
      <c r="G135" t="s">
        <v>52</v>
      </c>
      <c r="H135" t="s">
        <v>52</v>
      </c>
      <c r="I135" t="s">
        <v>52</v>
      </c>
      <c r="J135" t="s">
        <v>52</v>
      </c>
      <c r="K135" t="s">
        <v>52</v>
      </c>
      <c r="L135" t="s">
        <v>157</v>
      </c>
      <c r="M135" t="s">
        <v>555</v>
      </c>
      <c r="N135" t="s">
        <v>156</v>
      </c>
      <c r="O135" s="209">
        <v>45</v>
      </c>
      <c r="P135" s="209">
        <v>45</v>
      </c>
      <c r="Q135" t="s">
        <v>51</v>
      </c>
      <c r="R135" t="s">
        <v>51</v>
      </c>
      <c r="S135" t="s">
        <v>51</v>
      </c>
      <c r="T135" t="s">
        <v>51</v>
      </c>
    </row>
    <row r="136" spans="1:20">
      <c r="A136" t="s">
        <v>112</v>
      </c>
      <c r="B136" t="s">
        <v>113</v>
      </c>
      <c r="C136" t="s">
        <v>49</v>
      </c>
      <c r="D136" t="s">
        <v>50</v>
      </c>
      <c r="E136" t="s">
        <v>51</v>
      </c>
      <c r="F136" t="s">
        <v>51</v>
      </c>
      <c r="G136" t="s">
        <v>52</v>
      </c>
      <c r="H136" t="s">
        <v>52</v>
      </c>
      <c r="I136" t="s">
        <v>52</v>
      </c>
      <c r="J136" t="s">
        <v>52</v>
      </c>
      <c r="K136" t="s">
        <v>52</v>
      </c>
      <c r="L136" t="s">
        <v>157</v>
      </c>
      <c r="M136" t="s">
        <v>555</v>
      </c>
      <c r="N136" t="s">
        <v>156</v>
      </c>
      <c r="O136" s="209">
        <v>45</v>
      </c>
      <c r="P136" s="209">
        <v>45</v>
      </c>
      <c r="Q136" t="s">
        <v>51</v>
      </c>
      <c r="R136" t="s">
        <v>51</v>
      </c>
      <c r="S136" t="s">
        <v>51</v>
      </c>
      <c r="T136" t="s">
        <v>51</v>
      </c>
    </row>
    <row r="137" spans="1:20">
      <c r="A137" t="s">
        <v>114</v>
      </c>
      <c r="B137" t="s">
        <v>115</v>
      </c>
      <c r="C137" t="s">
        <v>49</v>
      </c>
      <c r="D137" t="s">
        <v>50</v>
      </c>
      <c r="E137" t="s">
        <v>51</v>
      </c>
      <c r="F137" t="s">
        <v>51</v>
      </c>
      <c r="G137" t="s">
        <v>52</v>
      </c>
      <c r="H137" t="s">
        <v>52</v>
      </c>
      <c r="I137" t="s">
        <v>52</v>
      </c>
      <c r="J137" t="s">
        <v>52</v>
      </c>
      <c r="K137" t="s">
        <v>52</v>
      </c>
      <c r="L137" t="s">
        <v>157</v>
      </c>
      <c r="M137" t="s">
        <v>555</v>
      </c>
      <c r="N137" t="s">
        <v>156</v>
      </c>
      <c r="O137" s="209">
        <v>45</v>
      </c>
      <c r="P137" s="209">
        <v>45</v>
      </c>
      <c r="Q137" t="s">
        <v>51</v>
      </c>
      <c r="R137" t="s">
        <v>51</v>
      </c>
      <c r="S137" t="s">
        <v>51</v>
      </c>
      <c r="T137" t="s">
        <v>51</v>
      </c>
    </row>
    <row r="138" spans="1:20">
      <c r="A138" t="s">
        <v>116</v>
      </c>
      <c r="B138" t="s">
        <v>117</v>
      </c>
      <c r="C138" t="s">
        <v>49</v>
      </c>
      <c r="D138" t="s">
        <v>50</v>
      </c>
      <c r="E138" t="s">
        <v>51</v>
      </c>
      <c r="F138" t="s">
        <v>51</v>
      </c>
      <c r="G138" t="s">
        <v>52</v>
      </c>
      <c r="H138" t="s">
        <v>52</v>
      </c>
      <c r="I138" t="s">
        <v>52</v>
      </c>
      <c r="J138" t="s">
        <v>52</v>
      </c>
      <c r="K138" t="s">
        <v>52</v>
      </c>
      <c r="L138" t="s">
        <v>157</v>
      </c>
      <c r="M138" t="s">
        <v>555</v>
      </c>
      <c r="N138" t="s">
        <v>156</v>
      </c>
      <c r="O138" s="209">
        <v>45</v>
      </c>
      <c r="P138" s="209">
        <v>45</v>
      </c>
      <c r="Q138" t="s">
        <v>51</v>
      </c>
      <c r="R138" t="s">
        <v>51</v>
      </c>
      <c r="S138" t="s">
        <v>51</v>
      </c>
      <c r="T138" t="s">
        <v>51</v>
      </c>
    </row>
    <row r="139" spans="1:20">
      <c r="A139" t="s">
        <v>118</v>
      </c>
      <c r="B139" t="s">
        <v>119</v>
      </c>
      <c r="C139" t="s">
        <v>49</v>
      </c>
      <c r="D139" t="s">
        <v>50</v>
      </c>
      <c r="E139" t="s">
        <v>51</v>
      </c>
      <c r="F139" t="s">
        <v>51</v>
      </c>
      <c r="G139" t="s">
        <v>52</v>
      </c>
      <c r="H139" t="s">
        <v>52</v>
      </c>
      <c r="I139" t="s">
        <v>52</v>
      </c>
      <c r="J139" t="s">
        <v>52</v>
      </c>
      <c r="K139" t="s">
        <v>52</v>
      </c>
      <c r="L139" t="s">
        <v>157</v>
      </c>
      <c r="M139" t="s">
        <v>555</v>
      </c>
      <c r="N139" t="s">
        <v>156</v>
      </c>
      <c r="O139" s="209">
        <v>45</v>
      </c>
      <c r="P139" s="209">
        <v>45</v>
      </c>
      <c r="Q139" t="s">
        <v>51</v>
      </c>
      <c r="R139" t="s">
        <v>51</v>
      </c>
      <c r="S139" t="s">
        <v>51</v>
      </c>
      <c r="T139" t="s">
        <v>51</v>
      </c>
    </row>
    <row r="140" spans="1:20">
      <c r="A140" t="s">
        <v>120</v>
      </c>
      <c r="B140" t="s">
        <v>121</v>
      </c>
      <c r="C140" t="s">
        <v>49</v>
      </c>
      <c r="D140" t="s">
        <v>50</v>
      </c>
      <c r="E140" t="s">
        <v>51</v>
      </c>
      <c r="F140" t="s">
        <v>51</v>
      </c>
      <c r="G140" t="s">
        <v>52</v>
      </c>
      <c r="H140" t="s">
        <v>52</v>
      </c>
      <c r="I140" t="s">
        <v>52</v>
      </c>
      <c r="J140" t="s">
        <v>52</v>
      </c>
      <c r="K140" t="s">
        <v>52</v>
      </c>
      <c r="L140" t="s">
        <v>157</v>
      </c>
      <c r="M140" t="s">
        <v>555</v>
      </c>
      <c r="N140" t="s">
        <v>156</v>
      </c>
      <c r="O140" s="209">
        <v>45</v>
      </c>
      <c r="P140" s="209">
        <v>45</v>
      </c>
      <c r="Q140" t="s">
        <v>51</v>
      </c>
      <c r="R140" t="s">
        <v>51</v>
      </c>
      <c r="S140" t="s">
        <v>51</v>
      </c>
      <c r="T140" t="s">
        <v>51</v>
      </c>
    </row>
    <row r="141" spans="1:20">
      <c r="A141" t="s">
        <v>122</v>
      </c>
      <c r="B141" t="s">
        <v>123</v>
      </c>
      <c r="C141" t="s">
        <v>49</v>
      </c>
      <c r="D141" t="s">
        <v>50</v>
      </c>
      <c r="E141" t="s">
        <v>51</v>
      </c>
      <c r="F141" t="s">
        <v>51</v>
      </c>
      <c r="G141" t="s">
        <v>52</v>
      </c>
      <c r="H141" t="s">
        <v>52</v>
      </c>
      <c r="I141" t="s">
        <v>52</v>
      </c>
      <c r="J141" t="s">
        <v>52</v>
      </c>
      <c r="K141" t="s">
        <v>52</v>
      </c>
      <c r="L141" t="s">
        <v>157</v>
      </c>
      <c r="M141" t="s">
        <v>555</v>
      </c>
      <c r="N141" t="s">
        <v>156</v>
      </c>
      <c r="O141" s="209">
        <v>45</v>
      </c>
      <c r="P141" s="209">
        <v>45</v>
      </c>
      <c r="Q141" t="s">
        <v>51</v>
      </c>
      <c r="R141" t="s">
        <v>51</v>
      </c>
      <c r="S141" t="s">
        <v>51</v>
      </c>
      <c r="T141" t="s">
        <v>51</v>
      </c>
    </row>
    <row r="142" spans="1:20">
      <c r="A142" t="s">
        <v>124</v>
      </c>
      <c r="B142" t="s">
        <v>125</v>
      </c>
      <c r="C142" t="s">
        <v>49</v>
      </c>
      <c r="D142" t="s">
        <v>50</v>
      </c>
      <c r="E142" t="s">
        <v>51</v>
      </c>
      <c r="F142" t="s">
        <v>51</v>
      </c>
      <c r="G142" t="s">
        <v>52</v>
      </c>
      <c r="H142" t="s">
        <v>52</v>
      </c>
      <c r="I142" t="s">
        <v>52</v>
      </c>
      <c r="J142" t="s">
        <v>52</v>
      </c>
      <c r="K142" t="s">
        <v>52</v>
      </c>
      <c r="L142" t="s">
        <v>157</v>
      </c>
      <c r="M142" t="s">
        <v>555</v>
      </c>
      <c r="N142" t="s">
        <v>156</v>
      </c>
      <c r="O142" s="209">
        <v>45</v>
      </c>
      <c r="P142" s="209">
        <v>45</v>
      </c>
      <c r="Q142" t="s">
        <v>51</v>
      </c>
      <c r="R142" t="s">
        <v>51</v>
      </c>
      <c r="S142" t="s">
        <v>51</v>
      </c>
      <c r="T142" t="s">
        <v>51</v>
      </c>
    </row>
    <row r="143" spans="1:20">
      <c r="A143" t="s">
        <v>126</v>
      </c>
      <c r="B143" t="s">
        <v>127</v>
      </c>
      <c r="C143" t="s">
        <v>49</v>
      </c>
      <c r="D143" t="s">
        <v>50</v>
      </c>
      <c r="E143" t="s">
        <v>51</v>
      </c>
      <c r="F143" t="s">
        <v>51</v>
      </c>
      <c r="G143" t="s">
        <v>52</v>
      </c>
      <c r="H143" t="s">
        <v>52</v>
      </c>
      <c r="I143" t="s">
        <v>52</v>
      </c>
      <c r="J143" t="s">
        <v>52</v>
      </c>
      <c r="K143" t="s">
        <v>52</v>
      </c>
      <c r="L143" t="s">
        <v>157</v>
      </c>
      <c r="M143" t="s">
        <v>555</v>
      </c>
      <c r="N143" t="s">
        <v>156</v>
      </c>
      <c r="O143" s="209">
        <v>45</v>
      </c>
      <c r="P143" s="209">
        <v>45</v>
      </c>
      <c r="Q143" t="s">
        <v>51</v>
      </c>
      <c r="R143" t="s">
        <v>51</v>
      </c>
      <c r="S143" t="s">
        <v>51</v>
      </c>
      <c r="T143" t="s">
        <v>51</v>
      </c>
    </row>
    <row r="144" spans="1:20">
      <c r="A144" t="s">
        <v>128</v>
      </c>
      <c r="B144" t="s">
        <v>129</v>
      </c>
      <c r="C144" t="s">
        <v>49</v>
      </c>
      <c r="D144" t="s">
        <v>50</v>
      </c>
      <c r="E144" t="s">
        <v>51</v>
      </c>
      <c r="F144" t="s">
        <v>51</v>
      </c>
      <c r="G144" t="s">
        <v>52</v>
      </c>
      <c r="H144" t="s">
        <v>52</v>
      </c>
      <c r="I144" t="s">
        <v>52</v>
      </c>
      <c r="J144" t="s">
        <v>52</v>
      </c>
      <c r="K144" t="s">
        <v>52</v>
      </c>
      <c r="L144" t="s">
        <v>157</v>
      </c>
      <c r="M144" t="s">
        <v>555</v>
      </c>
      <c r="N144" t="s">
        <v>156</v>
      </c>
      <c r="O144" s="209">
        <v>45</v>
      </c>
      <c r="P144" s="209">
        <v>45</v>
      </c>
      <c r="Q144" t="s">
        <v>51</v>
      </c>
      <c r="R144" t="s">
        <v>51</v>
      </c>
      <c r="S144" t="s">
        <v>51</v>
      </c>
      <c r="T144" t="s">
        <v>51</v>
      </c>
    </row>
    <row r="145" spans="1:20">
      <c r="A145" t="s">
        <v>130</v>
      </c>
      <c r="B145" t="s">
        <v>131</v>
      </c>
      <c r="C145" t="s">
        <v>49</v>
      </c>
      <c r="D145" t="s">
        <v>50</v>
      </c>
      <c r="E145" t="s">
        <v>51</v>
      </c>
      <c r="F145" t="s">
        <v>51</v>
      </c>
      <c r="G145" t="s">
        <v>52</v>
      </c>
      <c r="H145" t="s">
        <v>52</v>
      </c>
      <c r="I145" t="s">
        <v>52</v>
      </c>
      <c r="J145" t="s">
        <v>52</v>
      </c>
      <c r="K145" t="s">
        <v>52</v>
      </c>
      <c r="L145" t="s">
        <v>157</v>
      </c>
      <c r="M145" t="s">
        <v>555</v>
      </c>
      <c r="N145" t="s">
        <v>156</v>
      </c>
      <c r="O145" s="209">
        <v>45</v>
      </c>
      <c r="P145" s="209">
        <v>45</v>
      </c>
      <c r="Q145" t="s">
        <v>51</v>
      </c>
      <c r="R145" t="s">
        <v>51</v>
      </c>
      <c r="S145" t="s">
        <v>51</v>
      </c>
      <c r="T145" t="s">
        <v>51</v>
      </c>
    </row>
    <row r="146" spans="1:20">
      <c r="A146" t="s">
        <v>132</v>
      </c>
      <c r="B146" t="s">
        <v>133</v>
      </c>
      <c r="C146" t="s">
        <v>49</v>
      </c>
      <c r="D146" t="s">
        <v>50</v>
      </c>
      <c r="E146" t="s">
        <v>51</v>
      </c>
      <c r="F146" t="s">
        <v>51</v>
      </c>
      <c r="G146" t="s">
        <v>52</v>
      </c>
      <c r="H146" t="s">
        <v>52</v>
      </c>
      <c r="I146" t="s">
        <v>52</v>
      </c>
      <c r="J146" t="s">
        <v>52</v>
      </c>
      <c r="K146" t="s">
        <v>52</v>
      </c>
      <c r="L146" t="s">
        <v>157</v>
      </c>
      <c r="M146" t="s">
        <v>555</v>
      </c>
      <c r="N146" t="s">
        <v>156</v>
      </c>
      <c r="O146" s="209">
        <v>45</v>
      </c>
      <c r="P146" s="209">
        <v>45</v>
      </c>
      <c r="Q146" t="s">
        <v>51</v>
      </c>
      <c r="R146" t="s">
        <v>51</v>
      </c>
      <c r="S146" t="s">
        <v>51</v>
      </c>
      <c r="T146" t="s">
        <v>51</v>
      </c>
    </row>
    <row r="147" spans="1:20">
      <c r="A147" t="s">
        <v>134</v>
      </c>
      <c r="B147" t="s">
        <v>135</v>
      </c>
      <c r="C147" t="s">
        <v>49</v>
      </c>
      <c r="D147" t="s">
        <v>50</v>
      </c>
      <c r="E147" t="s">
        <v>51</v>
      </c>
      <c r="F147" t="s">
        <v>51</v>
      </c>
      <c r="G147" t="s">
        <v>52</v>
      </c>
      <c r="H147" t="s">
        <v>52</v>
      </c>
      <c r="I147" t="s">
        <v>52</v>
      </c>
      <c r="J147" t="s">
        <v>52</v>
      </c>
      <c r="K147" t="s">
        <v>52</v>
      </c>
      <c r="L147" t="s">
        <v>157</v>
      </c>
      <c r="M147" t="s">
        <v>555</v>
      </c>
      <c r="N147" t="s">
        <v>156</v>
      </c>
      <c r="O147" s="209">
        <v>45</v>
      </c>
      <c r="P147" s="209">
        <v>45</v>
      </c>
      <c r="Q147" t="s">
        <v>51</v>
      </c>
      <c r="R147" t="s">
        <v>51</v>
      </c>
      <c r="S147" t="s">
        <v>51</v>
      </c>
      <c r="T147" t="s">
        <v>51</v>
      </c>
    </row>
    <row r="148" spans="1:20">
      <c r="A148" t="s">
        <v>136</v>
      </c>
      <c r="B148" t="s">
        <v>137</v>
      </c>
      <c r="C148" t="s">
        <v>49</v>
      </c>
      <c r="D148" t="s">
        <v>50</v>
      </c>
      <c r="E148" t="s">
        <v>51</v>
      </c>
      <c r="F148" t="s">
        <v>51</v>
      </c>
      <c r="G148" t="s">
        <v>52</v>
      </c>
      <c r="H148" t="s">
        <v>52</v>
      </c>
      <c r="I148" t="s">
        <v>52</v>
      </c>
      <c r="J148" t="s">
        <v>52</v>
      </c>
      <c r="K148" t="s">
        <v>52</v>
      </c>
      <c r="L148" t="s">
        <v>157</v>
      </c>
      <c r="M148" t="s">
        <v>555</v>
      </c>
      <c r="N148" t="s">
        <v>156</v>
      </c>
      <c r="O148" s="209">
        <v>45</v>
      </c>
      <c r="P148" s="209">
        <v>45</v>
      </c>
      <c r="Q148" t="s">
        <v>51</v>
      </c>
      <c r="R148" t="s">
        <v>51</v>
      </c>
      <c r="S148" t="s">
        <v>51</v>
      </c>
      <c r="T148" t="s">
        <v>51</v>
      </c>
    </row>
    <row r="149" spans="1:20">
      <c r="A149" t="s">
        <v>138</v>
      </c>
      <c r="B149" t="s">
        <v>139</v>
      </c>
      <c r="C149" t="s">
        <v>49</v>
      </c>
      <c r="D149" t="s">
        <v>50</v>
      </c>
      <c r="E149" t="s">
        <v>51</v>
      </c>
      <c r="F149" t="s">
        <v>51</v>
      </c>
      <c r="G149" t="s">
        <v>52</v>
      </c>
      <c r="H149" t="s">
        <v>52</v>
      </c>
      <c r="I149" t="s">
        <v>52</v>
      </c>
      <c r="J149" t="s">
        <v>52</v>
      </c>
      <c r="K149" t="s">
        <v>52</v>
      </c>
      <c r="L149" t="s">
        <v>157</v>
      </c>
      <c r="M149" t="s">
        <v>555</v>
      </c>
      <c r="N149" t="s">
        <v>156</v>
      </c>
      <c r="O149" s="209">
        <v>45</v>
      </c>
      <c r="P149" s="209">
        <v>45</v>
      </c>
      <c r="Q149" t="s">
        <v>51</v>
      </c>
      <c r="R149" t="s">
        <v>51</v>
      </c>
      <c r="S149" t="s">
        <v>51</v>
      </c>
      <c r="T149" t="s">
        <v>51</v>
      </c>
    </row>
    <row r="150" spans="1:20">
      <c r="A150" t="s">
        <v>140</v>
      </c>
      <c r="B150" t="s">
        <v>141</v>
      </c>
      <c r="C150" t="s">
        <v>49</v>
      </c>
      <c r="D150" t="s">
        <v>50</v>
      </c>
      <c r="E150" t="s">
        <v>51</v>
      </c>
      <c r="F150" t="s">
        <v>51</v>
      </c>
      <c r="G150" t="s">
        <v>52</v>
      </c>
      <c r="H150" t="s">
        <v>52</v>
      </c>
      <c r="I150" t="s">
        <v>52</v>
      </c>
      <c r="J150" t="s">
        <v>52</v>
      </c>
      <c r="K150" t="s">
        <v>52</v>
      </c>
      <c r="L150" t="s">
        <v>157</v>
      </c>
      <c r="M150" t="s">
        <v>555</v>
      </c>
      <c r="N150" t="s">
        <v>156</v>
      </c>
      <c r="O150" s="209">
        <v>45</v>
      </c>
      <c r="P150" s="209">
        <v>45</v>
      </c>
      <c r="Q150" t="s">
        <v>51</v>
      </c>
      <c r="R150" t="s">
        <v>51</v>
      </c>
      <c r="S150" t="s">
        <v>51</v>
      </c>
      <c r="T150" t="s">
        <v>51</v>
      </c>
    </row>
    <row r="151" spans="1:20">
      <c r="A151" t="s">
        <v>142</v>
      </c>
      <c r="B151" t="s">
        <v>143</v>
      </c>
      <c r="C151" t="s">
        <v>49</v>
      </c>
      <c r="D151" t="s">
        <v>50</v>
      </c>
      <c r="E151" t="s">
        <v>51</v>
      </c>
      <c r="F151" t="s">
        <v>51</v>
      </c>
      <c r="G151" t="s">
        <v>52</v>
      </c>
      <c r="H151" t="s">
        <v>52</v>
      </c>
      <c r="I151" t="s">
        <v>52</v>
      </c>
      <c r="J151" t="s">
        <v>52</v>
      </c>
      <c r="K151" t="s">
        <v>52</v>
      </c>
      <c r="L151" t="s">
        <v>157</v>
      </c>
      <c r="M151" t="s">
        <v>555</v>
      </c>
      <c r="N151" t="s">
        <v>156</v>
      </c>
      <c r="O151" s="209">
        <v>45</v>
      </c>
      <c r="P151" s="209">
        <v>45</v>
      </c>
      <c r="Q151" t="s">
        <v>51</v>
      </c>
      <c r="R151" t="s">
        <v>51</v>
      </c>
      <c r="S151" t="s">
        <v>51</v>
      </c>
      <c r="T151" t="s">
        <v>51</v>
      </c>
    </row>
    <row r="152" spans="1:20">
      <c r="A152" t="s">
        <v>144</v>
      </c>
      <c r="B152" t="s">
        <v>145</v>
      </c>
      <c r="C152" t="s">
        <v>49</v>
      </c>
      <c r="D152" t="s">
        <v>50</v>
      </c>
      <c r="E152" t="s">
        <v>51</v>
      </c>
      <c r="F152" t="s">
        <v>51</v>
      </c>
      <c r="G152" t="s">
        <v>52</v>
      </c>
      <c r="H152" t="s">
        <v>52</v>
      </c>
      <c r="I152" t="s">
        <v>52</v>
      </c>
      <c r="J152" t="s">
        <v>52</v>
      </c>
      <c r="K152" t="s">
        <v>52</v>
      </c>
      <c r="L152" t="s">
        <v>157</v>
      </c>
      <c r="M152" t="s">
        <v>555</v>
      </c>
      <c r="N152" t="s">
        <v>156</v>
      </c>
      <c r="O152" s="209">
        <v>45</v>
      </c>
      <c r="P152" s="209">
        <v>45</v>
      </c>
      <c r="Q152" t="s">
        <v>51</v>
      </c>
      <c r="R152" t="s">
        <v>51</v>
      </c>
      <c r="S152" t="s">
        <v>51</v>
      </c>
      <c r="T152" t="s">
        <v>51</v>
      </c>
    </row>
    <row r="153" spans="1:20">
      <c r="A153" t="s">
        <v>146</v>
      </c>
      <c r="B153" t="s">
        <v>147</v>
      </c>
      <c r="C153" t="s">
        <v>49</v>
      </c>
      <c r="D153" t="s">
        <v>50</v>
      </c>
      <c r="E153" t="s">
        <v>51</v>
      </c>
      <c r="F153" t="s">
        <v>51</v>
      </c>
      <c r="G153" t="s">
        <v>52</v>
      </c>
      <c r="H153" t="s">
        <v>52</v>
      </c>
      <c r="I153" t="s">
        <v>52</v>
      </c>
      <c r="J153" t="s">
        <v>52</v>
      </c>
      <c r="K153" t="s">
        <v>52</v>
      </c>
      <c r="L153" t="s">
        <v>157</v>
      </c>
      <c r="M153" t="s">
        <v>555</v>
      </c>
      <c r="N153" t="s">
        <v>156</v>
      </c>
      <c r="O153" s="209">
        <v>45</v>
      </c>
      <c r="P153" s="209">
        <v>45</v>
      </c>
      <c r="Q153" t="s">
        <v>51</v>
      </c>
      <c r="R153" t="s">
        <v>51</v>
      </c>
      <c r="S153" t="s">
        <v>51</v>
      </c>
      <c r="T153" t="s">
        <v>51</v>
      </c>
    </row>
    <row r="154" spans="1:20">
      <c r="A154" t="s">
        <v>148</v>
      </c>
      <c r="B154" t="s">
        <v>149</v>
      </c>
      <c r="C154" t="s">
        <v>49</v>
      </c>
      <c r="D154" t="s">
        <v>50</v>
      </c>
      <c r="E154" t="s">
        <v>51</v>
      </c>
      <c r="F154" t="s">
        <v>51</v>
      </c>
      <c r="G154" t="s">
        <v>52</v>
      </c>
      <c r="H154" t="s">
        <v>52</v>
      </c>
      <c r="I154" t="s">
        <v>52</v>
      </c>
      <c r="J154" t="s">
        <v>52</v>
      </c>
      <c r="K154" t="s">
        <v>52</v>
      </c>
      <c r="L154" t="s">
        <v>157</v>
      </c>
      <c r="M154" t="s">
        <v>555</v>
      </c>
      <c r="N154" t="s">
        <v>156</v>
      </c>
      <c r="O154" s="209">
        <v>45</v>
      </c>
      <c r="P154" s="209">
        <v>45</v>
      </c>
      <c r="Q154" t="s">
        <v>51</v>
      </c>
      <c r="R154" t="s">
        <v>51</v>
      </c>
      <c r="S154" t="s">
        <v>51</v>
      </c>
      <c r="T154" t="s">
        <v>51</v>
      </c>
    </row>
    <row r="155" spans="1:20">
      <c r="A155" t="s">
        <v>150</v>
      </c>
      <c r="B155" t="s">
        <v>151</v>
      </c>
      <c r="C155" t="s">
        <v>49</v>
      </c>
      <c r="D155" t="s">
        <v>50</v>
      </c>
      <c r="E155" t="s">
        <v>51</v>
      </c>
      <c r="F155" t="s">
        <v>51</v>
      </c>
      <c r="G155" t="s">
        <v>52</v>
      </c>
      <c r="H155" t="s">
        <v>52</v>
      </c>
      <c r="I155" t="s">
        <v>52</v>
      </c>
      <c r="J155" t="s">
        <v>52</v>
      </c>
      <c r="K155" t="s">
        <v>52</v>
      </c>
      <c r="L155" t="s">
        <v>157</v>
      </c>
      <c r="M155" t="s">
        <v>555</v>
      </c>
      <c r="N155" t="s">
        <v>156</v>
      </c>
      <c r="O155" s="209">
        <v>45</v>
      </c>
      <c r="P155" s="209">
        <v>45</v>
      </c>
      <c r="Q155" t="s">
        <v>51</v>
      </c>
      <c r="R155" t="s">
        <v>51</v>
      </c>
      <c r="S155" t="s">
        <v>51</v>
      </c>
      <c r="T155" t="s">
        <v>51</v>
      </c>
    </row>
    <row r="156" spans="1:20">
      <c r="A156" t="s">
        <v>152</v>
      </c>
      <c r="B156" t="s">
        <v>153</v>
      </c>
      <c r="C156" t="s">
        <v>49</v>
      </c>
      <c r="D156" t="s">
        <v>50</v>
      </c>
      <c r="E156" t="s">
        <v>51</v>
      </c>
      <c r="F156" t="s">
        <v>51</v>
      </c>
      <c r="G156" t="s">
        <v>52</v>
      </c>
      <c r="H156" t="s">
        <v>52</v>
      </c>
      <c r="I156" t="s">
        <v>52</v>
      </c>
      <c r="J156" t="s">
        <v>52</v>
      </c>
      <c r="K156" t="s">
        <v>52</v>
      </c>
      <c r="L156" t="s">
        <v>157</v>
      </c>
      <c r="M156" t="s">
        <v>555</v>
      </c>
      <c r="N156" t="s">
        <v>156</v>
      </c>
      <c r="O156" s="209">
        <v>45</v>
      </c>
      <c r="P156" s="209">
        <v>45</v>
      </c>
      <c r="Q156" t="s">
        <v>51</v>
      </c>
      <c r="R156" t="s">
        <v>51</v>
      </c>
      <c r="S156" t="s">
        <v>51</v>
      </c>
      <c r="T156" t="s">
        <v>51</v>
      </c>
    </row>
    <row r="157" spans="1:20">
      <c r="A157" t="s">
        <v>47</v>
      </c>
      <c r="B157" t="s">
        <v>48</v>
      </c>
      <c r="C157" t="s">
        <v>49</v>
      </c>
      <c r="D157" t="s">
        <v>50</v>
      </c>
      <c r="E157" t="s">
        <v>51</v>
      </c>
      <c r="F157" t="s">
        <v>51</v>
      </c>
      <c r="G157" t="s">
        <v>52</v>
      </c>
      <c r="H157" t="s">
        <v>52</v>
      </c>
      <c r="I157" t="s">
        <v>52</v>
      </c>
      <c r="J157" t="s">
        <v>52</v>
      </c>
      <c r="K157" t="s">
        <v>52</v>
      </c>
      <c r="L157" t="s">
        <v>158</v>
      </c>
      <c r="M157" t="s">
        <v>556</v>
      </c>
      <c r="N157" t="s">
        <v>156</v>
      </c>
      <c r="O157" s="209">
        <v>48</v>
      </c>
      <c r="P157" s="209">
        <v>48</v>
      </c>
      <c r="Q157" t="s">
        <v>51</v>
      </c>
      <c r="R157" t="s">
        <v>51</v>
      </c>
      <c r="S157" t="s">
        <v>51</v>
      </c>
      <c r="T157" t="s">
        <v>51</v>
      </c>
    </row>
    <row r="158" spans="1:20">
      <c r="A158" t="s">
        <v>57</v>
      </c>
      <c r="B158" t="s">
        <v>58</v>
      </c>
      <c r="C158" t="s">
        <v>49</v>
      </c>
      <c r="D158" t="s">
        <v>50</v>
      </c>
      <c r="E158" t="s">
        <v>51</v>
      </c>
      <c r="F158" t="s">
        <v>51</v>
      </c>
      <c r="G158" t="s">
        <v>52</v>
      </c>
      <c r="H158" t="s">
        <v>52</v>
      </c>
      <c r="I158" t="s">
        <v>52</v>
      </c>
      <c r="J158" t="s">
        <v>52</v>
      </c>
      <c r="K158" t="s">
        <v>52</v>
      </c>
      <c r="L158" t="s">
        <v>158</v>
      </c>
      <c r="M158" t="s">
        <v>556</v>
      </c>
      <c r="N158" t="s">
        <v>156</v>
      </c>
      <c r="O158" s="209">
        <v>48</v>
      </c>
      <c r="P158" s="209">
        <v>48</v>
      </c>
      <c r="Q158" t="s">
        <v>51</v>
      </c>
      <c r="R158" t="s">
        <v>51</v>
      </c>
      <c r="S158" t="s">
        <v>51</v>
      </c>
      <c r="T158" t="s">
        <v>51</v>
      </c>
    </row>
    <row r="159" spans="1:20">
      <c r="A159" t="s">
        <v>59</v>
      </c>
      <c r="B159" t="s">
        <v>60</v>
      </c>
      <c r="C159" t="s">
        <v>49</v>
      </c>
      <c r="D159" t="s">
        <v>50</v>
      </c>
      <c r="E159" t="s">
        <v>51</v>
      </c>
      <c r="F159" t="s">
        <v>51</v>
      </c>
      <c r="G159" t="s">
        <v>52</v>
      </c>
      <c r="H159" t="s">
        <v>52</v>
      </c>
      <c r="I159" t="s">
        <v>52</v>
      </c>
      <c r="J159" t="s">
        <v>52</v>
      </c>
      <c r="K159" t="s">
        <v>52</v>
      </c>
      <c r="L159" t="s">
        <v>158</v>
      </c>
      <c r="M159" t="s">
        <v>556</v>
      </c>
      <c r="N159" t="s">
        <v>156</v>
      </c>
      <c r="O159" s="209">
        <v>48</v>
      </c>
      <c r="P159" s="209">
        <v>48</v>
      </c>
      <c r="Q159" t="s">
        <v>51</v>
      </c>
      <c r="R159" t="s">
        <v>51</v>
      </c>
      <c r="S159" t="s">
        <v>51</v>
      </c>
      <c r="T159" t="s">
        <v>51</v>
      </c>
    </row>
    <row r="160" spans="1:20">
      <c r="A160" t="s">
        <v>61</v>
      </c>
      <c r="B160" t="s">
        <v>62</v>
      </c>
      <c r="C160" t="s">
        <v>49</v>
      </c>
      <c r="D160" t="s">
        <v>50</v>
      </c>
      <c r="E160" t="s">
        <v>51</v>
      </c>
      <c r="F160" t="s">
        <v>51</v>
      </c>
      <c r="G160" t="s">
        <v>52</v>
      </c>
      <c r="H160" t="s">
        <v>52</v>
      </c>
      <c r="I160" t="s">
        <v>52</v>
      </c>
      <c r="J160" t="s">
        <v>52</v>
      </c>
      <c r="K160" t="s">
        <v>52</v>
      </c>
      <c r="L160" t="s">
        <v>158</v>
      </c>
      <c r="M160" t="s">
        <v>556</v>
      </c>
      <c r="N160" t="s">
        <v>156</v>
      </c>
      <c r="O160" s="209">
        <v>48</v>
      </c>
      <c r="P160" s="209">
        <v>48</v>
      </c>
      <c r="Q160" t="s">
        <v>51</v>
      </c>
      <c r="R160" t="s">
        <v>51</v>
      </c>
      <c r="S160" t="s">
        <v>51</v>
      </c>
      <c r="T160" t="s">
        <v>51</v>
      </c>
    </row>
    <row r="161" spans="1:20">
      <c r="A161" t="s">
        <v>63</v>
      </c>
      <c r="B161" t="s">
        <v>56</v>
      </c>
      <c r="C161" t="s">
        <v>49</v>
      </c>
      <c r="D161" t="s">
        <v>50</v>
      </c>
      <c r="E161" t="s">
        <v>51</v>
      </c>
      <c r="F161" t="s">
        <v>51</v>
      </c>
      <c r="G161" t="s">
        <v>52</v>
      </c>
      <c r="H161" t="s">
        <v>52</v>
      </c>
      <c r="I161" t="s">
        <v>52</v>
      </c>
      <c r="J161" t="s">
        <v>52</v>
      </c>
      <c r="K161" t="s">
        <v>52</v>
      </c>
      <c r="L161" t="s">
        <v>158</v>
      </c>
      <c r="M161" t="s">
        <v>556</v>
      </c>
      <c r="N161" t="s">
        <v>156</v>
      </c>
      <c r="O161" s="209">
        <v>48</v>
      </c>
      <c r="P161" s="209">
        <v>48</v>
      </c>
      <c r="Q161" t="s">
        <v>51</v>
      </c>
      <c r="R161" t="s">
        <v>51</v>
      </c>
      <c r="S161" t="s">
        <v>51</v>
      </c>
      <c r="T161" t="s">
        <v>51</v>
      </c>
    </row>
    <row r="162" spans="1:20">
      <c r="A162" t="s">
        <v>64</v>
      </c>
      <c r="B162" t="s">
        <v>65</v>
      </c>
      <c r="C162" t="s">
        <v>49</v>
      </c>
      <c r="D162" t="s">
        <v>50</v>
      </c>
      <c r="E162" t="s">
        <v>51</v>
      </c>
      <c r="F162" t="s">
        <v>51</v>
      </c>
      <c r="G162" t="s">
        <v>52</v>
      </c>
      <c r="H162" t="s">
        <v>52</v>
      </c>
      <c r="I162" t="s">
        <v>52</v>
      </c>
      <c r="J162" t="s">
        <v>52</v>
      </c>
      <c r="K162" t="s">
        <v>52</v>
      </c>
      <c r="L162" t="s">
        <v>158</v>
      </c>
      <c r="M162" t="s">
        <v>556</v>
      </c>
      <c r="N162" t="s">
        <v>156</v>
      </c>
      <c r="O162" s="209">
        <v>48</v>
      </c>
      <c r="P162" s="209">
        <v>48</v>
      </c>
      <c r="Q162" t="s">
        <v>51</v>
      </c>
      <c r="R162" t="s">
        <v>51</v>
      </c>
      <c r="S162" t="s">
        <v>51</v>
      </c>
      <c r="T162" t="s">
        <v>51</v>
      </c>
    </row>
    <row r="163" spans="1:20">
      <c r="A163" t="s">
        <v>66</v>
      </c>
      <c r="B163" t="s">
        <v>67</v>
      </c>
      <c r="C163" t="s">
        <v>49</v>
      </c>
      <c r="D163" t="s">
        <v>50</v>
      </c>
      <c r="E163" t="s">
        <v>51</v>
      </c>
      <c r="F163" t="s">
        <v>51</v>
      </c>
      <c r="G163" t="s">
        <v>52</v>
      </c>
      <c r="H163" t="s">
        <v>52</v>
      </c>
      <c r="I163" t="s">
        <v>52</v>
      </c>
      <c r="J163" t="s">
        <v>52</v>
      </c>
      <c r="K163" t="s">
        <v>52</v>
      </c>
      <c r="L163" t="s">
        <v>158</v>
      </c>
      <c r="M163" t="s">
        <v>556</v>
      </c>
      <c r="N163" t="s">
        <v>156</v>
      </c>
      <c r="O163" s="209">
        <v>48</v>
      </c>
      <c r="P163" s="209">
        <v>48</v>
      </c>
      <c r="Q163" t="s">
        <v>51</v>
      </c>
      <c r="R163" t="s">
        <v>51</v>
      </c>
      <c r="S163" t="s">
        <v>51</v>
      </c>
      <c r="T163" t="s">
        <v>51</v>
      </c>
    </row>
    <row r="164" spans="1:20">
      <c r="A164" t="s">
        <v>68</v>
      </c>
      <c r="B164" t="s">
        <v>69</v>
      </c>
      <c r="C164" t="s">
        <v>49</v>
      </c>
      <c r="D164" t="s">
        <v>50</v>
      </c>
      <c r="E164" t="s">
        <v>51</v>
      </c>
      <c r="F164" t="s">
        <v>51</v>
      </c>
      <c r="G164" t="s">
        <v>52</v>
      </c>
      <c r="H164" t="s">
        <v>52</v>
      </c>
      <c r="I164" t="s">
        <v>52</v>
      </c>
      <c r="J164" t="s">
        <v>52</v>
      </c>
      <c r="K164" t="s">
        <v>52</v>
      </c>
      <c r="L164" t="s">
        <v>158</v>
      </c>
      <c r="M164" t="s">
        <v>556</v>
      </c>
      <c r="N164" t="s">
        <v>156</v>
      </c>
      <c r="O164" s="209">
        <v>48</v>
      </c>
      <c r="P164" s="209">
        <v>48</v>
      </c>
      <c r="Q164" t="s">
        <v>51</v>
      </c>
      <c r="R164" t="s">
        <v>51</v>
      </c>
      <c r="S164" t="s">
        <v>51</v>
      </c>
      <c r="T164" t="s">
        <v>51</v>
      </c>
    </row>
    <row r="165" spans="1:20">
      <c r="A165" t="s">
        <v>70</v>
      </c>
      <c r="B165" t="s">
        <v>71</v>
      </c>
      <c r="C165" t="s">
        <v>49</v>
      </c>
      <c r="D165" t="s">
        <v>50</v>
      </c>
      <c r="E165" t="s">
        <v>51</v>
      </c>
      <c r="F165" t="s">
        <v>51</v>
      </c>
      <c r="G165" t="s">
        <v>52</v>
      </c>
      <c r="H165" t="s">
        <v>52</v>
      </c>
      <c r="I165" t="s">
        <v>52</v>
      </c>
      <c r="J165" t="s">
        <v>52</v>
      </c>
      <c r="K165" t="s">
        <v>52</v>
      </c>
      <c r="L165" t="s">
        <v>158</v>
      </c>
      <c r="M165" t="s">
        <v>556</v>
      </c>
      <c r="N165" t="s">
        <v>156</v>
      </c>
      <c r="O165" s="209">
        <v>48</v>
      </c>
      <c r="P165" s="209">
        <v>48</v>
      </c>
      <c r="Q165" t="s">
        <v>51</v>
      </c>
      <c r="R165" t="s">
        <v>51</v>
      </c>
      <c r="S165" t="s">
        <v>51</v>
      </c>
      <c r="T165" t="s">
        <v>51</v>
      </c>
    </row>
    <row r="166" spans="1:20">
      <c r="A166" t="s">
        <v>72</v>
      </c>
      <c r="B166" t="s">
        <v>73</v>
      </c>
      <c r="C166" t="s">
        <v>49</v>
      </c>
      <c r="D166" t="s">
        <v>50</v>
      </c>
      <c r="E166" t="s">
        <v>51</v>
      </c>
      <c r="F166" t="s">
        <v>51</v>
      </c>
      <c r="G166" t="s">
        <v>52</v>
      </c>
      <c r="H166" t="s">
        <v>52</v>
      </c>
      <c r="I166" t="s">
        <v>52</v>
      </c>
      <c r="J166" t="s">
        <v>52</v>
      </c>
      <c r="K166" t="s">
        <v>52</v>
      </c>
      <c r="L166" t="s">
        <v>158</v>
      </c>
      <c r="M166" t="s">
        <v>556</v>
      </c>
      <c r="N166" t="s">
        <v>156</v>
      </c>
      <c r="O166" s="209">
        <v>48</v>
      </c>
      <c r="P166" s="209">
        <v>48</v>
      </c>
      <c r="Q166" t="s">
        <v>51</v>
      </c>
      <c r="R166" t="s">
        <v>51</v>
      </c>
      <c r="S166" t="s">
        <v>51</v>
      </c>
      <c r="T166" t="s">
        <v>51</v>
      </c>
    </row>
    <row r="167" spans="1:20">
      <c r="A167" t="s">
        <v>74</v>
      </c>
      <c r="B167" t="s">
        <v>75</v>
      </c>
      <c r="C167" t="s">
        <v>49</v>
      </c>
      <c r="D167" t="s">
        <v>50</v>
      </c>
      <c r="E167" t="s">
        <v>51</v>
      </c>
      <c r="F167" t="s">
        <v>51</v>
      </c>
      <c r="G167" t="s">
        <v>52</v>
      </c>
      <c r="H167" t="s">
        <v>52</v>
      </c>
      <c r="I167" t="s">
        <v>52</v>
      </c>
      <c r="J167" t="s">
        <v>52</v>
      </c>
      <c r="K167" t="s">
        <v>52</v>
      </c>
      <c r="L167" t="s">
        <v>158</v>
      </c>
      <c r="M167" t="s">
        <v>556</v>
      </c>
      <c r="N167" t="s">
        <v>156</v>
      </c>
      <c r="O167" s="209">
        <v>48</v>
      </c>
      <c r="P167" s="209">
        <v>48</v>
      </c>
      <c r="Q167" t="s">
        <v>51</v>
      </c>
      <c r="R167" t="s">
        <v>51</v>
      </c>
      <c r="S167" t="s">
        <v>51</v>
      </c>
      <c r="T167" t="s">
        <v>51</v>
      </c>
    </row>
    <row r="168" spans="1:20">
      <c r="A168" t="s">
        <v>76</v>
      </c>
      <c r="B168" t="s">
        <v>77</v>
      </c>
      <c r="C168" t="s">
        <v>49</v>
      </c>
      <c r="D168" t="s">
        <v>50</v>
      </c>
      <c r="E168" t="s">
        <v>51</v>
      </c>
      <c r="F168" t="s">
        <v>51</v>
      </c>
      <c r="G168" t="s">
        <v>52</v>
      </c>
      <c r="H168" t="s">
        <v>52</v>
      </c>
      <c r="I168" t="s">
        <v>52</v>
      </c>
      <c r="J168" t="s">
        <v>52</v>
      </c>
      <c r="K168" t="s">
        <v>52</v>
      </c>
      <c r="L168" t="s">
        <v>158</v>
      </c>
      <c r="M168" t="s">
        <v>556</v>
      </c>
      <c r="N168" t="s">
        <v>156</v>
      </c>
      <c r="O168" s="209">
        <v>48</v>
      </c>
      <c r="P168" s="209">
        <v>48</v>
      </c>
      <c r="Q168" t="s">
        <v>51</v>
      </c>
      <c r="R168" t="s">
        <v>51</v>
      </c>
      <c r="S168" t="s">
        <v>51</v>
      </c>
      <c r="T168" t="s">
        <v>51</v>
      </c>
    </row>
    <row r="169" spans="1:20">
      <c r="A169" t="s">
        <v>78</v>
      </c>
      <c r="B169" t="s">
        <v>79</v>
      </c>
      <c r="C169" t="s">
        <v>49</v>
      </c>
      <c r="D169" t="s">
        <v>50</v>
      </c>
      <c r="E169" t="s">
        <v>51</v>
      </c>
      <c r="F169" t="s">
        <v>51</v>
      </c>
      <c r="G169" t="s">
        <v>52</v>
      </c>
      <c r="H169" t="s">
        <v>52</v>
      </c>
      <c r="I169" t="s">
        <v>52</v>
      </c>
      <c r="J169" t="s">
        <v>52</v>
      </c>
      <c r="K169" t="s">
        <v>52</v>
      </c>
      <c r="L169" t="s">
        <v>158</v>
      </c>
      <c r="M169" t="s">
        <v>556</v>
      </c>
      <c r="N169" t="s">
        <v>156</v>
      </c>
      <c r="O169" s="209">
        <v>48</v>
      </c>
      <c r="P169" s="209">
        <v>48</v>
      </c>
      <c r="Q169" t="s">
        <v>51</v>
      </c>
      <c r="R169" t="s">
        <v>51</v>
      </c>
      <c r="S169" t="s">
        <v>51</v>
      </c>
      <c r="T169" t="s">
        <v>51</v>
      </c>
    </row>
    <row r="170" spans="1:20">
      <c r="A170" t="s">
        <v>80</v>
      </c>
      <c r="B170" t="s">
        <v>81</v>
      </c>
      <c r="C170" t="s">
        <v>49</v>
      </c>
      <c r="D170" t="s">
        <v>50</v>
      </c>
      <c r="E170" t="s">
        <v>51</v>
      </c>
      <c r="F170" t="s">
        <v>51</v>
      </c>
      <c r="G170" t="s">
        <v>52</v>
      </c>
      <c r="H170" t="s">
        <v>52</v>
      </c>
      <c r="I170" t="s">
        <v>52</v>
      </c>
      <c r="J170" t="s">
        <v>52</v>
      </c>
      <c r="K170" t="s">
        <v>52</v>
      </c>
      <c r="L170" t="s">
        <v>158</v>
      </c>
      <c r="M170" t="s">
        <v>556</v>
      </c>
      <c r="N170" t="s">
        <v>156</v>
      </c>
      <c r="O170" s="209">
        <v>48</v>
      </c>
      <c r="P170" s="209">
        <v>48</v>
      </c>
      <c r="Q170" t="s">
        <v>51</v>
      </c>
      <c r="R170" t="s">
        <v>51</v>
      </c>
      <c r="S170" t="s">
        <v>51</v>
      </c>
      <c r="T170" t="s">
        <v>51</v>
      </c>
    </row>
    <row r="171" spans="1:20">
      <c r="A171" t="s">
        <v>82</v>
      </c>
      <c r="B171" t="s">
        <v>83</v>
      </c>
      <c r="C171" t="s">
        <v>49</v>
      </c>
      <c r="D171" t="s">
        <v>50</v>
      </c>
      <c r="E171" t="s">
        <v>51</v>
      </c>
      <c r="F171" t="s">
        <v>51</v>
      </c>
      <c r="G171" t="s">
        <v>52</v>
      </c>
      <c r="H171" t="s">
        <v>52</v>
      </c>
      <c r="I171" t="s">
        <v>52</v>
      </c>
      <c r="J171" t="s">
        <v>52</v>
      </c>
      <c r="K171" t="s">
        <v>52</v>
      </c>
      <c r="L171" t="s">
        <v>158</v>
      </c>
      <c r="M171" t="s">
        <v>556</v>
      </c>
      <c r="N171" t="s">
        <v>156</v>
      </c>
      <c r="O171" s="209">
        <v>48</v>
      </c>
      <c r="P171" s="209">
        <v>48</v>
      </c>
      <c r="Q171" t="s">
        <v>51</v>
      </c>
      <c r="R171" t="s">
        <v>51</v>
      </c>
      <c r="S171" t="s">
        <v>51</v>
      </c>
      <c r="T171" t="s">
        <v>51</v>
      </c>
    </row>
    <row r="172" spans="1:20">
      <c r="A172" t="s">
        <v>84</v>
      </c>
      <c r="B172" t="s">
        <v>85</v>
      </c>
      <c r="C172" t="s">
        <v>49</v>
      </c>
      <c r="D172" t="s">
        <v>50</v>
      </c>
      <c r="E172" t="s">
        <v>51</v>
      </c>
      <c r="F172" t="s">
        <v>51</v>
      </c>
      <c r="G172" t="s">
        <v>52</v>
      </c>
      <c r="H172" t="s">
        <v>52</v>
      </c>
      <c r="I172" t="s">
        <v>52</v>
      </c>
      <c r="J172" t="s">
        <v>52</v>
      </c>
      <c r="K172" t="s">
        <v>52</v>
      </c>
      <c r="L172" t="s">
        <v>158</v>
      </c>
      <c r="M172" t="s">
        <v>556</v>
      </c>
      <c r="N172" t="s">
        <v>156</v>
      </c>
      <c r="O172" s="209">
        <v>48</v>
      </c>
      <c r="P172" s="209">
        <v>48</v>
      </c>
      <c r="Q172" t="s">
        <v>51</v>
      </c>
      <c r="R172" t="s">
        <v>51</v>
      </c>
      <c r="S172" t="s">
        <v>51</v>
      </c>
      <c r="T172" t="s">
        <v>51</v>
      </c>
    </row>
    <row r="173" spans="1:20">
      <c r="A173" t="s">
        <v>86</v>
      </c>
      <c r="B173" t="s">
        <v>87</v>
      </c>
      <c r="C173" t="s">
        <v>49</v>
      </c>
      <c r="D173" t="s">
        <v>50</v>
      </c>
      <c r="E173" t="s">
        <v>51</v>
      </c>
      <c r="F173" t="s">
        <v>51</v>
      </c>
      <c r="G173" t="s">
        <v>52</v>
      </c>
      <c r="H173" t="s">
        <v>52</v>
      </c>
      <c r="I173" t="s">
        <v>52</v>
      </c>
      <c r="J173" t="s">
        <v>52</v>
      </c>
      <c r="K173" t="s">
        <v>52</v>
      </c>
      <c r="L173" t="s">
        <v>158</v>
      </c>
      <c r="M173" t="s">
        <v>556</v>
      </c>
      <c r="N173" t="s">
        <v>156</v>
      </c>
      <c r="O173" s="209">
        <v>48</v>
      </c>
      <c r="P173" s="209">
        <v>48</v>
      </c>
      <c r="Q173" t="s">
        <v>51</v>
      </c>
      <c r="R173" t="s">
        <v>51</v>
      </c>
      <c r="S173" t="s">
        <v>51</v>
      </c>
      <c r="T173" t="s">
        <v>51</v>
      </c>
    </row>
    <row r="174" spans="1:20">
      <c r="A174" t="s">
        <v>88</v>
      </c>
      <c r="B174" t="s">
        <v>89</v>
      </c>
      <c r="C174" t="s">
        <v>49</v>
      </c>
      <c r="D174" t="s">
        <v>50</v>
      </c>
      <c r="E174" t="s">
        <v>51</v>
      </c>
      <c r="F174" t="s">
        <v>51</v>
      </c>
      <c r="G174" t="s">
        <v>52</v>
      </c>
      <c r="H174" t="s">
        <v>52</v>
      </c>
      <c r="I174" t="s">
        <v>52</v>
      </c>
      <c r="J174" t="s">
        <v>52</v>
      </c>
      <c r="K174" t="s">
        <v>52</v>
      </c>
      <c r="L174" t="s">
        <v>158</v>
      </c>
      <c r="M174" t="s">
        <v>556</v>
      </c>
      <c r="N174" t="s">
        <v>156</v>
      </c>
      <c r="O174" s="209">
        <v>48</v>
      </c>
      <c r="P174" s="209">
        <v>48</v>
      </c>
      <c r="Q174" t="s">
        <v>51</v>
      </c>
      <c r="R174" t="s">
        <v>51</v>
      </c>
      <c r="S174" t="s">
        <v>51</v>
      </c>
      <c r="T174" t="s">
        <v>51</v>
      </c>
    </row>
    <row r="175" spans="1:20">
      <c r="A175" t="s">
        <v>90</v>
      </c>
      <c r="B175" t="s">
        <v>91</v>
      </c>
      <c r="C175" t="s">
        <v>49</v>
      </c>
      <c r="D175" t="s">
        <v>50</v>
      </c>
      <c r="E175" t="s">
        <v>51</v>
      </c>
      <c r="F175" t="s">
        <v>51</v>
      </c>
      <c r="G175" t="s">
        <v>52</v>
      </c>
      <c r="H175" t="s">
        <v>52</v>
      </c>
      <c r="I175" t="s">
        <v>52</v>
      </c>
      <c r="J175" t="s">
        <v>52</v>
      </c>
      <c r="K175" t="s">
        <v>52</v>
      </c>
      <c r="L175" t="s">
        <v>158</v>
      </c>
      <c r="M175" t="s">
        <v>556</v>
      </c>
      <c r="N175" t="s">
        <v>156</v>
      </c>
      <c r="O175" s="209">
        <v>48</v>
      </c>
      <c r="P175" s="209">
        <v>48</v>
      </c>
      <c r="Q175" t="s">
        <v>51</v>
      </c>
      <c r="R175" t="s">
        <v>51</v>
      </c>
      <c r="S175" t="s">
        <v>51</v>
      </c>
      <c r="T175" t="s">
        <v>51</v>
      </c>
    </row>
    <row r="176" spans="1:20">
      <c r="A176" t="s">
        <v>92</v>
      </c>
      <c r="B176" t="s">
        <v>93</v>
      </c>
      <c r="C176" t="s">
        <v>49</v>
      </c>
      <c r="D176" t="s">
        <v>50</v>
      </c>
      <c r="E176" t="s">
        <v>51</v>
      </c>
      <c r="F176" t="s">
        <v>51</v>
      </c>
      <c r="G176" t="s">
        <v>52</v>
      </c>
      <c r="H176" t="s">
        <v>52</v>
      </c>
      <c r="I176" t="s">
        <v>52</v>
      </c>
      <c r="J176" t="s">
        <v>52</v>
      </c>
      <c r="K176" t="s">
        <v>52</v>
      </c>
      <c r="L176" t="s">
        <v>158</v>
      </c>
      <c r="M176" t="s">
        <v>556</v>
      </c>
      <c r="N176" t="s">
        <v>156</v>
      </c>
      <c r="O176" s="209">
        <v>48</v>
      </c>
      <c r="P176" s="209">
        <v>48</v>
      </c>
      <c r="Q176" t="s">
        <v>51</v>
      </c>
      <c r="R176" t="s">
        <v>51</v>
      </c>
      <c r="S176" t="s">
        <v>51</v>
      </c>
      <c r="T176" t="s">
        <v>51</v>
      </c>
    </row>
    <row r="177" spans="1:20">
      <c r="A177" t="s">
        <v>94</v>
      </c>
      <c r="B177" t="s">
        <v>95</v>
      </c>
      <c r="C177" t="s">
        <v>49</v>
      </c>
      <c r="D177" t="s">
        <v>50</v>
      </c>
      <c r="E177" t="s">
        <v>51</v>
      </c>
      <c r="F177" t="s">
        <v>51</v>
      </c>
      <c r="G177" t="s">
        <v>52</v>
      </c>
      <c r="H177" t="s">
        <v>52</v>
      </c>
      <c r="I177" t="s">
        <v>52</v>
      </c>
      <c r="J177" t="s">
        <v>52</v>
      </c>
      <c r="K177" t="s">
        <v>52</v>
      </c>
      <c r="L177" t="s">
        <v>158</v>
      </c>
      <c r="M177" t="s">
        <v>556</v>
      </c>
      <c r="N177" t="s">
        <v>156</v>
      </c>
      <c r="O177" s="209">
        <v>48</v>
      </c>
      <c r="P177" s="209">
        <v>48</v>
      </c>
      <c r="Q177" t="s">
        <v>51</v>
      </c>
      <c r="R177" t="s">
        <v>51</v>
      </c>
      <c r="S177" t="s">
        <v>51</v>
      </c>
      <c r="T177" t="s">
        <v>51</v>
      </c>
    </row>
    <row r="178" spans="1:20">
      <c r="A178" t="s">
        <v>96</v>
      </c>
      <c r="B178" t="s">
        <v>97</v>
      </c>
      <c r="C178" t="s">
        <v>49</v>
      </c>
      <c r="D178" t="s">
        <v>50</v>
      </c>
      <c r="E178" t="s">
        <v>51</v>
      </c>
      <c r="F178" t="s">
        <v>51</v>
      </c>
      <c r="G178" t="s">
        <v>52</v>
      </c>
      <c r="H178" t="s">
        <v>52</v>
      </c>
      <c r="I178" t="s">
        <v>52</v>
      </c>
      <c r="J178" t="s">
        <v>52</v>
      </c>
      <c r="K178" t="s">
        <v>52</v>
      </c>
      <c r="L178" t="s">
        <v>158</v>
      </c>
      <c r="M178" t="s">
        <v>556</v>
      </c>
      <c r="N178" t="s">
        <v>156</v>
      </c>
      <c r="O178" s="209">
        <v>48</v>
      </c>
      <c r="P178" s="209">
        <v>48</v>
      </c>
      <c r="Q178" t="s">
        <v>51</v>
      </c>
      <c r="R178" t="s">
        <v>51</v>
      </c>
      <c r="S178" t="s">
        <v>51</v>
      </c>
      <c r="T178" t="s">
        <v>51</v>
      </c>
    </row>
    <row r="179" spans="1:20">
      <c r="A179" t="s">
        <v>98</v>
      </c>
      <c r="B179" t="s">
        <v>99</v>
      </c>
      <c r="C179" t="s">
        <v>49</v>
      </c>
      <c r="D179" t="s">
        <v>50</v>
      </c>
      <c r="E179" t="s">
        <v>51</v>
      </c>
      <c r="F179" t="s">
        <v>51</v>
      </c>
      <c r="G179" t="s">
        <v>52</v>
      </c>
      <c r="H179" t="s">
        <v>52</v>
      </c>
      <c r="I179" t="s">
        <v>52</v>
      </c>
      <c r="J179" t="s">
        <v>52</v>
      </c>
      <c r="K179" t="s">
        <v>52</v>
      </c>
      <c r="L179" t="s">
        <v>158</v>
      </c>
      <c r="M179" t="s">
        <v>556</v>
      </c>
      <c r="N179" t="s">
        <v>156</v>
      </c>
      <c r="O179" s="209">
        <v>48</v>
      </c>
      <c r="P179" s="209">
        <v>48</v>
      </c>
      <c r="Q179" t="s">
        <v>51</v>
      </c>
      <c r="R179" t="s">
        <v>51</v>
      </c>
      <c r="S179" t="s">
        <v>51</v>
      </c>
      <c r="T179" t="s">
        <v>51</v>
      </c>
    </row>
    <row r="180" spans="1:20">
      <c r="A180" t="s">
        <v>100</v>
      </c>
      <c r="B180" t="s">
        <v>101</v>
      </c>
      <c r="C180" t="s">
        <v>49</v>
      </c>
      <c r="D180" t="s">
        <v>50</v>
      </c>
      <c r="E180" t="s">
        <v>51</v>
      </c>
      <c r="F180" t="s">
        <v>51</v>
      </c>
      <c r="G180" t="s">
        <v>52</v>
      </c>
      <c r="H180" t="s">
        <v>52</v>
      </c>
      <c r="I180" t="s">
        <v>52</v>
      </c>
      <c r="J180" t="s">
        <v>52</v>
      </c>
      <c r="K180" t="s">
        <v>52</v>
      </c>
      <c r="L180" t="s">
        <v>158</v>
      </c>
      <c r="M180" t="s">
        <v>556</v>
      </c>
      <c r="N180" t="s">
        <v>156</v>
      </c>
      <c r="O180" s="209">
        <v>48</v>
      </c>
      <c r="P180" s="209">
        <v>48</v>
      </c>
      <c r="Q180" t="s">
        <v>51</v>
      </c>
      <c r="R180" t="s">
        <v>51</v>
      </c>
      <c r="S180" t="s">
        <v>51</v>
      </c>
      <c r="T180" t="s">
        <v>51</v>
      </c>
    </row>
    <row r="181" spans="1:20">
      <c r="A181" t="s">
        <v>102</v>
      </c>
      <c r="B181" t="s">
        <v>103</v>
      </c>
      <c r="C181" t="s">
        <v>49</v>
      </c>
      <c r="D181" t="s">
        <v>50</v>
      </c>
      <c r="E181" t="s">
        <v>51</v>
      </c>
      <c r="F181" t="s">
        <v>51</v>
      </c>
      <c r="G181" t="s">
        <v>52</v>
      </c>
      <c r="H181" t="s">
        <v>52</v>
      </c>
      <c r="I181" t="s">
        <v>52</v>
      </c>
      <c r="J181" t="s">
        <v>52</v>
      </c>
      <c r="K181" t="s">
        <v>52</v>
      </c>
      <c r="L181" t="s">
        <v>158</v>
      </c>
      <c r="M181" t="s">
        <v>556</v>
      </c>
      <c r="N181" t="s">
        <v>156</v>
      </c>
      <c r="O181" s="209">
        <v>48</v>
      </c>
      <c r="P181" s="209">
        <v>48</v>
      </c>
      <c r="Q181" t="s">
        <v>51</v>
      </c>
      <c r="R181" t="s">
        <v>51</v>
      </c>
      <c r="S181" t="s">
        <v>51</v>
      </c>
      <c r="T181" t="s">
        <v>51</v>
      </c>
    </row>
    <row r="182" spans="1:20">
      <c r="A182" t="s">
        <v>104</v>
      </c>
      <c r="B182" t="s">
        <v>105</v>
      </c>
      <c r="C182" t="s">
        <v>49</v>
      </c>
      <c r="D182" t="s">
        <v>50</v>
      </c>
      <c r="E182" t="s">
        <v>51</v>
      </c>
      <c r="F182" t="s">
        <v>51</v>
      </c>
      <c r="G182" t="s">
        <v>52</v>
      </c>
      <c r="H182" t="s">
        <v>52</v>
      </c>
      <c r="I182" t="s">
        <v>52</v>
      </c>
      <c r="J182" t="s">
        <v>52</v>
      </c>
      <c r="K182" t="s">
        <v>52</v>
      </c>
      <c r="L182" t="s">
        <v>158</v>
      </c>
      <c r="M182" t="s">
        <v>556</v>
      </c>
      <c r="N182" t="s">
        <v>156</v>
      </c>
      <c r="O182" s="209">
        <v>48</v>
      </c>
      <c r="P182" s="209">
        <v>48</v>
      </c>
      <c r="Q182" t="s">
        <v>51</v>
      </c>
      <c r="R182" t="s">
        <v>51</v>
      </c>
      <c r="S182" t="s">
        <v>51</v>
      </c>
      <c r="T182" t="s">
        <v>51</v>
      </c>
    </row>
    <row r="183" spans="1:20">
      <c r="A183" t="s">
        <v>106</v>
      </c>
      <c r="B183" t="s">
        <v>107</v>
      </c>
      <c r="C183" t="s">
        <v>49</v>
      </c>
      <c r="D183" t="s">
        <v>50</v>
      </c>
      <c r="E183" t="s">
        <v>51</v>
      </c>
      <c r="F183" t="s">
        <v>51</v>
      </c>
      <c r="G183" t="s">
        <v>52</v>
      </c>
      <c r="H183" t="s">
        <v>52</v>
      </c>
      <c r="I183" t="s">
        <v>52</v>
      </c>
      <c r="J183" t="s">
        <v>52</v>
      </c>
      <c r="K183" t="s">
        <v>52</v>
      </c>
      <c r="L183" t="s">
        <v>158</v>
      </c>
      <c r="M183" t="s">
        <v>556</v>
      </c>
      <c r="N183" t="s">
        <v>156</v>
      </c>
      <c r="O183" s="209">
        <v>48</v>
      </c>
      <c r="P183" s="209">
        <v>48</v>
      </c>
      <c r="Q183" t="s">
        <v>51</v>
      </c>
      <c r="R183" t="s">
        <v>51</v>
      </c>
      <c r="S183" t="s">
        <v>51</v>
      </c>
      <c r="T183" t="s">
        <v>51</v>
      </c>
    </row>
    <row r="184" spans="1:20">
      <c r="A184" t="s">
        <v>108</v>
      </c>
      <c r="B184" t="s">
        <v>109</v>
      </c>
      <c r="C184" t="s">
        <v>49</v>
      </c>
      <c r="D184" t="s">
        <v>50</v>
      </c>
      <c r="E184" t="s">
        <v>51</v>
      </c>
      <c r="F184" t="s">
        <v>51</v>
      </c>
      <c r="G184" t="s">
        <v>52</v>
      </c>
      <c r="H184" t="s">
        <v>52</v>
      </c>
      <c r="I184" t="s">
        <v>52</v>
      </c>
      <c r="J184" t="s">
        <v>52</v>
      </c>
      <c r="K184" t="s">
        <v>52</v>
      </c>
      <c r="L184" t="s">
        <v>158</v>
      </c>
      <c r="M184" t="s">
        <v>556</v>
      </c>
      <c r="N184" t="s">
        <v>156</v>
      </c>
      <c r="O184" s="209">
        <v>48</v>
      </c>
      <c r="P184" s="209">
        <v>48</v>
      </c>
      <c r="Q184" t="s">
        <v>51</v>
      </c>
      <c r="R184" t="s">
        <v>51</v>
      </c>
      <c r="S184" t="s">
        <v>51</v>
      </c>
      <c r="T184" t="s">
        <v>51</v>
      </c>
    </row>
    <row r="185" spans="1:20">
      <c r="A185" t="s">
        <v>110</v>
      </c>
      <c r="B185" t="s">
        <v>111</v>
      </c>
      <c r="C185" t="s">
        <v>49</v>
      </c>
      <c r="D185" t="s">
        <v>50</v>
      </c>
      <c r="E185" t="s">
        <v>51</v>
      </c>
      <c r="F185" t="s">
        <v>51</v>
      </c>
      <c r="G185" t="s">
        <v>52</v>
      </c>
      <c r="H185" t="s">
        <v>52</v>
      </c>
      <c r="I185" t="s">
        <v>52</v>
      </c>
      <c r="J185" t="s">
        <v>52</v>
      </c>
      <c r="K185" t="s">
        <v>52</v>
      </c>
      <c r="L185" t="s">
        <v>158</v>
      </c>
      <c r="M185" t="s">
        <v>556</v>
      </c>
      <c r="N185" t="s">
        <v>156</v>
      </c>
      <c r="O185" s="209">
        <v>48</v>
      </c>
      <c r="P185" s="209">
        <v>48</v>
      </c>
      <c r="Q185" t="s">
        <v>51</v>
      </c>
      <c r="R185" t="s">
        <v>51</v>
      </c>
      <c r="S185" t="s">
        <v>51</v>
      </c>
      <c r="T185" t="s">
        <v>51</v>
      </c>
    </row>
    <row r="186" spans="1:20">
      <c r="A186" t="s">
        <v>112</v>
      </c>
      <c r="B186" t="s">
        <v>113</v>
      </c>
      <c r="C186" t="s">
        <v>49</v>
      </c>
      <c r="D186" t="s">
        <v>50</v>
      </c>
      <c r="E186" t="s">
        <v>51</v>
      </c>
      <c r="F186" t="s">
        <v>51</v>
      </c>
      <c r="G186" t="s">
        <v>52</v>
      </c>
      <c r="H186" t="s">
        <v>52</v>
      </c>
      <c r="I186" t="s">
        <v>52</v>
      </c>
      <c r="J186" t="s">
        <v>52</v>
      </c>
      <c r="K186" t="s">
        <v>52</v>
      </c>
      <c r="L186" t="s">
        <v>158</v>
      </c>
      <c r="M186" t="s">
        <v>556</v>
      </c>
      <c r="N186" t="s">
        <v>156</v>
      </c>
      <c r="O186" s="209">
        <v>48</v>
      </c>
      <c r="P186" s="209">
        <v>48</v>
      </c>
      <c r="Q186" t="s">
        <v>51</v>
      </c>
      <c r="R186" t="s">
        <v>51</v>
      </c>
      <c r="S186" t="s">
        <v>51</v>
      </c>
      <c r="T186" t="s">
        <v>51</v>
      </c>
    </row>
    <row r="187" spans="1:20">
      <c r="A187" t="s">
        <v>114</v>
      </c>
      <c r="B187" t="s">
        <v>115</v>
      </c>
      <c r="C187" t="s">
        <v>49</v>
      </c>
      <c r="D187" t="s">
        <v>50</v>
      </c>
      <c r="E187" t="s">
        <v>51</v>
      </c>
      <c r="F187" t="s">
        <v>51</v>
      </c>
      <c r="G187" t="s">
        <v>52</v>
      </c>
      <c r="H187" t="s">
        <v>52</v>
      </c>
      <c r="I187" t="s">
        <v>52</v>
      </c>
      <c r="J187" t="s">
        <v>52</v>
      </c>
      <c r="K187" t="s">
        <v>52</v>
      </c>
      <c r="L187" t="s">
        <v>158</v>
      </c>
      <c r="M187" t="s">
        <v>556</v>
      </c>
      <c r="N187" t="s">
        <v>156</v>
      </c>
      <c r="O187" s="209">
        <v>48</v>
      </c>
      <c r="P187" s="209">
        <v>48</v>
      </c>
      <c r="Q187" t="s">
        <v>51</v>
      </c>
      <c r="R187" t="s">
        <v>51</v>
      </c>
      <c r="S187" t="s">
        <v>51</v>
      </c>
      <c r="T187" t="s">
        <v>51</v>
      </c>
    </row>
    <row r="188" spans="1:20">
      <c r="A188" t="s">
        <v>116</v>
      </c>
      <c r="B188" t="s">
        <v>117</v>
      </c>
      <c r="C188" t="s">
        <v>49</v>
      </c>
      <c r="D188" t="s">
        <v>50</v>
      </c>
      <c r="E188" t="s">
        <v>51</v>
      </c>
      <c r="F188" t="s">
        <v>51</v>
      </c>
      <c r="G188" t="s">
        <v>52</v>
      </c>
      <c r="H188" t="s">
        <v>52</v>
      </c>
      <c r="I188" t="s">
        <v>52</v>
      </c>
      <c r="J188" t="s">
        <v>52</v>
      </c>
      <c r="K188" t="s">
        <v>52</v>
      </c>
      <c r="L188" t="s">
        <v>158</v>
      </c>
      <c r="M188" t="s">
        <v>556</v>
      </c>
      <c r="N188" t="s">
        <v>156</v>
      </c>
      <c r="O188" s="209">
        <v>48</v>
      </c>
      <c r="P188" s="209">
        <v>48</v>
      </c>
      <c r="Q188" t="s">
        <v>51</v>
      </c>
      <c r="R188" t="s">
        <v>51</v>
      </c>
      <c r="S188" t="s">
        <v>51</v>
      </c>
      <c r="T188" t="s">
        <v>51</v>
      </c>
    </row>
    <row r="189" spans="1:20">
      <c r="A189" t="s">
        <v>118</v>
      </c>
      <c r="B189" t="s">
        <v>119</v>
      </c>
      <c r="C189" t="s">
        <v>49</v>
      </c>
      <c r="D189" t="s">
        <v>50</v>
      </c>
      <c r="E189" t="s">
        <v>51</v>
      </c>
      <c r="F189" t="s">
        <v>51</v>
      </c>
      <c r="G189" t="s">
        <v>52</v>
      </c>
      <c r="H189" t="s">
        <v>52</v>
      </c>
      <c r="I189" t="s">
        <v>52</v>
      </c>
      <c r="J189" t="s">
        <v>52</v>
      </c>
      <c r="K189" t="s">
        <v>52</v>
      </c>
      <c r="L189" t="s">
        <v>158</v>
      </c>
      <c r="M189" t="s">
        <v>556</v>
      </c>
      <c r="N189" t="s">
        <v>156</v>
      </c>
      <c r="O189" s="209">
        <v>48</v>
      </c>
      <c r="P189" s="209">
        <v>48</v>
      </c>
      <c r="Q189" t="s">
        <v>51</v>
      </c>
      <c r="R189" t="s">
        <v>51</v>
      </c>
      <c r="S189" t="s">
        <v>51</v>
      </c>
      <c r="T189" t="s">
        <v>51</v>
      </c>
    </row>
    <row r="190" spans="1:20">
      <c r="A190" t="s">
        <v>120</v>
      </c>
      <c r="B190" t="s">
        <v>121</v>
      </c>
      <c r="C190" t="s">
        <v>49</v>
      </c>
      <c r="D190" t="s">
        <v>50</v>
      </c>
      <c r="E190" t="s">
        <v>51</v>
      </c>
      <c r="F190" t="s">
        <v>51</v>
      </c>
      <c r="G190" t="s">
        <v>52</v>
      </c>
      <c r="H190" t="s">
        <v>52</v>
      </c>
      <c r="I190" t="s">
        <v>52</v>
      </c>
      <c r="J190" t="s">
        <v>52</v>
      </c>
      <c r="K190" t="s">
        <v>52</v>
      </c>
      <c r="L190" t="s">
        <v>158</v>
      </c>
      <c r="M190" t="s">
        <v>556</v>
      </c>
      <c r="N190" t="s">
        <v>156</v>
      </c>
      <c r="O190" s="209">
        <v>48</v>
      </c>
      <c r="P190" s="209">
        <v>48</v>
      </c>
      <c r="Q190" t="s">
        <v>51</v>
      </c>
      <c r="R190" t="s">
        <v>51</v>
      </c>
      <c r="S190" t="s">
        <v>51</v>
      </c>
      <c r="T190" t="s">
        <v>51</v>
      </c>
    </row>
    <row r="191" spans="1:20">
      <c r="A191" t="s">
        <v>122</v>
      </c>
      <c r="B191" t="s">
        <v>123</v>
      </c>
      <c r="C191" t="s">
        <v>49</v>
      </c>
      <c r="D191" t="s">
        <v>50</v>
      </c>
      <c r="E191" t="s">
        <v>51</v>
      </c>
      <c r="F191" t="s">
        <v>51</v>
      </c>
      <c r="G191" t="s">
        <v>52</v>
      </c>
      <c r="H191" t="s">
        <v>52</v>
      </c>
      <c r="I191" t="s">
        <v>52</v>
      </c>
      <c r="J191" t="s">
        <v>52</v>
      </c>
      <c r="K191" t="s">
        <v>52</v>
      </c>
      <c r="L191" t="s">
        <v>158</v>
      </c>
      <c r="M191" t="s">
        <v>556</v>
      </c>
      <c r="N191" t="s">
        <v>156</v>
      </c>
      <c r="O191" s="209">
        <v>48</v>
      </c>
      <c r="P191" s="209">
        <v>48</v>
      </c>
      <c r="Q191" t="s">
        <v>51</v>
      </c>
      <c r="R191" t="s">
        <v>51</v>
      </c>
      <c r="S191" t="s">
        <v>51</v>
      </c>
      <c r="T191" t="s">
        <v>51</v>
      </c>
    </row>
    <row r="192" spans="1:20">
      <c r="A192" t="s">
        <v>124</v>
      </c>
      <c r="B192" t="s">
        <v>125</v>
      </c>
      <c r="C192" t="s">
        <v>49</v>
      </c>
      <c r="D192" t="s">
        <v>50</v>
      </c>
      <c r="E192" t="s">
        <v>51</v>
      </c>
      <c r="F192" t="s">
        <v>51</v>
      </c>
      <c r="G192" t="s">
        <v>52</v>
      </c>
      <c r="H192" t="s">
        <v>52</v>
      </c>
      <c r="I192" t="s">
        <v>52</v>
      </c>
      <c r="J192" t="s">
        <v>52</v>
      </c>
      <c r="K192" t="s">
        <v>52</v>
      </c>
      <c r="L192" t="s">
        <v>158</v>
      </c>
      <c r="M192" t="s">
        <v>556</v>
      </c>
      <c r="N192" t="s">
        <v>156</v>
      </c>
      <c r="O192" s="209">
        <v>48</v>
      </c>
      <c r="P192" s="209">
        <v>48</v>
      </c>
      <c r="Q192" t="s">
        <v>51</v>
      </c>
      <c r="R192" t="s">
        <v>51</v>
      </c>
      <c r="S192" t="s">
        <v>51</v>
      </c>
      <c r="T192" t="s">
        <v>51</v>
      </c>
    </row>
    <row r="193" spans="1:20">
      <c r="A193" t="s">
        <v>126</v>
      </c>
      <c r="B193" t="s">
        <v>127</v>
      </c>
      <c r="C193" t="s">
        <v>49</v>
      </c>
      <c r="D193" t="s">
        <v>50</v>
      </c>
      <c r="E193" t="s">
        <v>51</v>
      </c>
      <c r="F193" t="s">
        <v>51</v>
      </c>
      <c r="G193" t="s">
        <v>52</v>
      </c>
      <c r="H193" t="s">
        <v>52</v>
      </c>
      <c r="I193" t="s">
        <v>52</v>
      </c>
      <c r="J193" t="s">
        <v>52</v>
      </c>
      <c r="K193" t="s">
        <v>52</v>
      </c>
      <c r="L193" t="s">
        <v>158</v>
      </c>
      <c r="M193" t="s">
        <v>556</v>
      </c>
      <c r="N193" t="s">
        <v>156</v>
      </c>
      <c r="O193" s="209">
        <v>48</v>
      </c>
      <c r="P193" s="209">
        <v>48</v>
      </c>
      <c r="Q193" t="s">
        <v>51</v>
      </c>
      <c r="R193" t="s">
        <v>51</v>
      </c>
      <c r="S193" t="s">
        <v>51</v>
      </c>
      <c r="T193" t="s">
        <v>51</v>
      </c>
    </row>
    <row r="194" spans="1:20">
      <c r="A194" t="s">
        <v>128</v>
      </c>
      <c r="B194" t="s">
        <v>129</v>
      </c>
      <c r="C194" t="s">
        <v>49</v>
      </c>
      <c r="D194" t="s">
        <v>50</v>
      </c>
      <c r="E194" t="s">
        <v>51</v>
      </c>
      <c r="F194" t="s">
        <v>51</v>
      </c>
      <c r="G194" t="s">
        <v>52</v>
      </c>
      <c r="H194" t="s">
        <v>52</v>
      </c>
      <c r="I194" t="s">
        <v>52</v>
      </c>
      <c r="J194" t="s">
        <v>52</v>
      </c>
      <c r="K194" t="s">
        <v>52</v>
      </c>
      <c r="L194" t="s">
        <v>158</v>
      </c>
      <c r="M194" t="s">
        <v>556</v>
      </c>
      <c r="N194" t="s">
        <v>156</v>
      </c>
      <c r="O194" s="209">
        <v>48</v>
      </c>
      <c r="P194" s="209">
        <v>48</v>
      </c>
      <c r="Q194" t="s">
        <v>51</v>
      </c>
      <c r="R194" t="s">
        <v>51</v>
      </c>
      <c r="S194" t="s">
        <v>51</v>
      </c>
      <c r="T194" t="s">
        <v>51</v>
      </c>
    </row>
    <row r="195" spans="1:20">
      <c r="A195" t="s">
        <v>130</v>
      </c>
      <c r="B195" t="s">
        <v>131</v>
      </c>
      <c r="C195" t="s">
        <v>49</v>
      </c>
      <c r="D195" t="s">
        <v>50</v>
      </c>
      <c r="E195" t="s">
        <v>51</v>
      </c>
      <c r="F195" t="s">
        <v>51</v>
      </c>
      <c r="G195" t="s">
        <v>52</v>
      </c>
      <c r="H195" t="s">
        <v>52</v>
      </c>
      <c r="I195" t="s">
        <v>52</v>
      </c>
      <c r="J195" t="s">
        <v>52</v>
      </c>
      <c r="K195" t="s">
        <v>52</v>
      </c>
      <c r="L195" t="s">
        <v>158</v>
      </c>
      <c r="M195" t="s">
        <v>556</v>
      </c>
      <c r="N195" t="s">
        <v>156</v>
      </c>
      <c r="O195" s="209">
        <v>48</v>
      </c>
      <c r="P195" s="209">
        <v>48</v>
      </c>
      <c r="Q195" t="s">
        <v>51</v>
      </c>
      <c r="R195" t="s">
        <v>51</v>
      </c>
      <c r="S195" t="s">
        <v>51</v>
      </c>
      <c r="T195" t="s">
        <v>51</v>
      </c>
    </row>
    <row r="196" spans="1:20">
      <c r="A196" t="s">
        <v>132</v>
      </c>
      <c r="B196" t="s">
        <v>133</v>
      </c>
      <c r="C196" t="s">
        <v>49</v>
      </c>
      <c r="D196" t="s">
        <v>50</v>
      </c>
      <c r="E196" t="s">
        <v>51</v>
      </c>
      <c r="F196" t="s">
        <v>51</v>
      </c>
      <c r="G196" t="s">
        <v>52</v>
      </c>
      <c r="H196" t="s">
        <v>52</v>
      </c>
      <c r="I196" t="s">
        <v>52</v>
      </c>
      <c r="J196" t="s">
        <v>52</v>
      </c>
      <c r="K196" t="s">
        <v>52</v>
      </c>
      <c r="L196" t="s">
        <v>158</v>
      </c>
      <c r="M196" t="s">
        <v>556</v>
      </c>
      <c r="N196" t="s">
        <v>156</v>
      </c>
      <c r="O196" s="209">
        <v>48</v>
      </c>
      <c r="P196" s="209">
        <v>48</v>
      </c>
      <c r="Q196" t="s">
        <v>51</v>
      </c>
      <c r="R196" t="s">
        <v>51</v>
      </c>
      <c r="S196" t="s">
        <v>51</v>
      </c>
      <c r="T196" t="s">
        <v>51</v>
      </c>
    </row>
    <row r="197" spans="1:20">
      <c r="A197" t="s">
        <v>134</v>
      </c>
      <c r="B197" t="s">
        <v>135</v>
      </c>
      <c r="C197" t="s">
        <v>49</v>
      </c>
      <c r="D197" t="s">
        <v>50</v>
      </c>
      <c r="E197" t="s">
        <v>51</v>
      </c>
      <c r="F197" t="s">
        <v>51</v>
      </c>
      <c r="G197" t="s">
        <v>52</v>
      </c>
      <c r="H197" t="s">
        <v>52</v>
      </c>
      <c r="I197" t="s">
        <v>52</v>
      </c>
      <c r="J197" t="s">
        <v>52</v>
      </c>
      <c r="K197" t="s">
        <v>52</v>
      </c>
      <c r="L197" t="s">
        <v>158</v>
      </c>
      <c r="M197" t="s">
        <v>556</v>
      </c>
      <c r="N197" t="s">
        <v>156</v>
      </c>
      <c r="O197" s="209">
        <v>48</v>
      </c>
      <c r="P197" s="209">
        <v>48</v>
      </c>
      <c r="Q197" t="s">
        <v>51</v>
      </c>
      <c r="R197" t="s">
        <v>51</v>
      </c>
      <c r="S197" t="s">
        <v>51</v>
      </c>
      <c r="T197" t="s">
        <v>51</v>
      </c>
    </row>
    <row r="198" spans="1:20">
      <c r="A198" t="s">
        <v>136</v>
      </c>
      <c r="B198" t="s">
        <v>137</v>
      </c>
      <c r="C198" t="s">
        <v>49</v>
      </c>
      <c r="D198" t="s">
        <v>50</v>
      </c>
      <c r="E198" t="s">
        <v>51</v>
      </c>
      <c r="F198" t="s">
        <v>51</v>
      </c>
      <c r="G198" t="s">
        <v>52</v>
      </c>
      <c r="H198" t="s">
        <v>52</v>
      </c>
      <c r="I198" t="s">
        <v>52</v>
      </c>
      <c r="J198" t="s">
        <v>52</v>
      </c>
      <c r="K198" t="s">
        <v>52</v>
      </c>
      <c r="L198" t="s">
        <v>158</v>
      </c>
      <c r="M198" t="s">
        <v>556</v>
      </c>
      <c r="N198" t="s">
        <v>156</v>
      </c>
      <c r="O198" s="209">
        <v>48</v>
      </c>
      <c r="P198" s="209">
        <v>48</v>
      </c>
      <c r="Q198" t="s">
        <v>51</v>
      </c>
      <c r="R198" t="s">
        <v>51</v>
      </c>
      <c r="S198" t="s">
        <v>51</v>
      </c>
      <c r="T198" t="s">
        <v>51</v>
      </c>
    </row>
    <row r="199" spans="1:20">
      <c r="A199" t="s">
        <v>138</v>
      </c>
      <c r="B199" t="s">
        <v>139</v>
      </c>
      <c r="C199" t="s">
        <v>49</v>
      </c>
      <c r="D199" t="s">
        <v>50</v>
      </c>
      <c r="E199" t="s">
        <v>51</v>
      </c>
      <c r="F199" t="s">
        <v>51</v>
      </c>
      <c r="G199" t="s">
        <v>52</v>
      </c>
      <c r="H199" t="s">
        <v>52</v>
      </c>
      <c r="I199" t="s">
        <v>52</v>
      </c>
      <c r="J199" t="s">
        <v>52</v>
      </c>
      <c r="K199" t="s">
        <v>52</v>
      </c>
      <c r="L199" t="s">
        <v>158</v>
      </c>
      <c r="M199" t="s">
        <v>556</v>
      </c>
      <c r="N199" t="s">
        <v>156</v>
      </c>
      <c r="O199" s="209">
        <v>48</v>
      </c>
      <c r="P199" s="209">
        <v>48</v>
      </c>
      <c r="Q199" t="s">
        <v>51</v>
      </c>
      <c r="R199" t="s">
        <v>51</v>
      </c>
      <c r="S199" t="s">
        <v>51</v>
      </c>
      <c r="T199" t="s">
        <v>51</v>
      </c>
    </row>
    <row r="200" spans="1:20">
      <c r="A200" t="s">
        <v>140</v>
      </c>
      <c r="B200" t="s">
        <v>141</v>
      </c>
      <c r="C200" t="s">
        <v>49</v>
      </c>
      <c r="D200" t="s">
        <v>50</v>
      </c>
      <c r="E200" t="s">
        <v>51</v>
      </c>
      <c r="F200" t="s">
        <v>51</v>
      </c>
      <c r="G200" t="s">
        <v>52</v>
      </c>
      <c r="H200" t="s">
        <v>52</v>
      </c>
      <c r="I200" t="s">
        <v>52</v>
      </c>
      <c r="J200" t="s">
        <v>52</v>
      </c>
      <c r="K200" t="s">
        <v>52</v>
      </c>
      <c r="L200" t="s">
        <v>158</v>
      </c>
      <c r="M200" t="s">
        <v>556</v>
      </c>
      <c r="N200" t="s">
        <v>156</v>
      </c>
      <c r="O200" s="209">
        <v>48</v>
      </c>
      <c r="P200" s="209">
        <v>48</v>
      </c>
      <c r="Q200" t="s">
        <v>51</v>
      </c>
      <c r="R200" t="s">
        <v>51</v>
      </c>
      <c r="S200" t="s">
        <v>51</v>
      </c>
      <c r="T200" t="s">
        <v>51</v>
      </c>
    </row>
    <row r="201" spans="1:20">
      <c r="A201" t="s">
        <v>142</v>
      </c>
      <c r="B201" t="s">
        <v>143</v>
      </c>
      <c r="C201" t="s">
        <v>49</v>
      </c>
      <c r="D201" t="s">
        <v>50</v>
      </c>
      <c r="E201" t="s">
        <v>51</v>
      </c>
      <c r="F201" t="s">
        <v>51</v>
      </c>
      <c r="G201" t="s">
        <v>52</v>
      </c>
      <c r="H201" t="s">
        <v>52</v>
      </c>
      <c r="I201" t="s">
        <v>52</v>
      </c>
      <c r="J201" t="s">
        <v>52</v>
      </c>
      <c r="K201" t="s">
        <v>52</v>
      </c>
      <c r="L201" t="s">
        <v>158</v>
      </c>
      <c r="M201" t="s">
        <v>556</v>
      </c>
      <c r="N201" t="s">
        <v>156</v>
      </c>
      <c r="O201" s="209">
        <v>48</v>
      </c>
      <c r="P201" s="209">
        <v>48</v>
      </c>
      <c r="Q201" t="s">
        <v>51</v>
      </c>
      <c r="R201" t="s">
        <v>51</v>
      </c>
      <c r="S201" t="s">
        <v>51</v>
      </c>
      <c r="T201" t="s">
        <v>51</v>
      </c>
    </row>
    <row r="202" spans="1:20">
      <c r="A202" t="s">
        <v>144</v>
      </c>
      <c r="B202" t="s">
        <v>145</v>
      </c>
      <c r="C202" t="s">
        <v>49</v>
      </c>
      <c r="D202" t="s">
        <v>50</v>
      </c>
      <c r="E202" t="s">
        <v>51</v>
      </c>
      <c r="F202" t="s">
        <v>51</v>
      </c>
      <c r="G202" t="s">
        <v>52</v>
      </c>
      <c r="H202" t="s">
        <v>52</v>
      </c>
      <c r="I202" t="s">
        <v>52</v>
      </c>
      <c r="J202" t="s">
        <v>52</v>
      </c>
      <c r="K202" t="s">
        <v>52</v>
      </c>
      <c r="L202" t="s">
        <v>158</v>
      </c>
      <c r="M202" t="s">
        <v>556</v>
      </c>
      <c r="N202" t="s">
        <v>156</v>
      </c>
      <c r="O202" s="209">
        <v>48</v>
      </c>
      <c r="P202" s="209">
        <v>48</v>
      </c>
      <c r="Q202" t="s">
        <v>51</v>
      </c>
      <c r="R202" t="s">
        <v>51</v>
      </c>
      <c r="S202" t="s">
        <v>51</v>
      </c>
      <c r="T202" t="s">
        <v>51</v>
      </c>
    </row>
    <row r="203" spans="1:20">
      <c r="A203" t="s">
        <v>146</v>
      </c>
      <c r="B203" t="s">
        <v>147</v>
      </c>
      <c r="C203" t="s">
        <v>49</v>
      </c>
      <c r="D203" t="s">
        <v>50</v>
      </c>
      <c r="E203" t="s">
        <v>51</v>
      </c>
      <c r="F203" t="s">
        <v>51</v>
      </c>
      <c r="G203" t="s">
        <v>52</v>
      </c>
      <c r="H203" t="s">
        <v>52</v>
      </c>
      <c r="I203" t="s">
        <v>52</v>
      </c>
      <c r="J203" t="s">
        <v>52</v>
      </c>
      <c r="K203" t="s">
        <v>52</v>
      </c>
      <c r="L203" t="s">
        <v>158</v>
      </c>
      <c r="M203" t="s">
        <v>556</v>
      </c>
      <c r="N203" t="s">
        <v>156</v>
      </c>
      <c r="O203" s="209">
        <v>48</v>
      </c>
      <c r="P203" s="209">
        <v>48</v>
      </c>
      <c r="Q203" t="s">
        <v>51</v>
      </c>
      <c r="R203" t="s">
        <v>51</v>
      </c>
      <c r="S203" t="s">
        <v>51</v>
      </c>
      <c r="T203" t="s">
        <v>51</v>
      </c>
    </row>
    <row r="204" spans="1:20">
      <c r="A204" t="s">
        <v>148</v>
      </c>
      <c r="B204" t="s">
        <v>149</v>
      </c>
      <c r="C204" t="s">
        <v>49</v>
      </c>
      <c r="D204" t="s">
        <v>50</v>
      </c>
      <c r="E204" t="s">
        <v>51</v>
      </c>
      <c r="F204" t="s">
        <v>51</v>
      </c>
      <c r="G204" t="s">
        <v>52</v>
      </c>
      <c r="H204" t="s">
        <v>52</v>
      </c>
      <c r="I204" t="s">
        <v>52</v>
      </c>
      <c r="J204" t="s">
        <v>52</v>
      </c>
      <c r="K204" t="s">
        <v>52</v>
      </c>
      <c r="L204" t="s">
        <v>158</v>
      </c>
      <c r="M204" t="s">
        <v>556</v>
      </c>
      <c r="N204" t="s">
        <v>156</v>
      </c>
      <c r="O204" s="209">
        <v>48</v>
      </c>
      <c r="P204" s="209">
        <v>48</v>
      </c>
      <c r="Q204" t="s">
        <v>51</v>
      </c>
      <c r="R204" t="s">
        <v>51</v>
      </c>
      <c r="S204" t="s">
        <v>51</v>
      </c>
      <c r="T204" t="s">
        <v>51</v>
      </c>
    </row>
    <row r="205" spans="1:20">
      <c r="A205" t="s">
        <v>150</v>
      </c>
      <c r="B205" t="s">
        <v>151</v>
      </c>
      <c r="C205" t="s">
        <v>49</v>
      </c>
      <c r="D205" t="s">
        <v>50</v>
      </c>
      <c r="E205" t="s">
        <v>51</v>
      </c>
      <c r="F205" t="s">
        <v>51</v>
      </c>
      <c r="G205" t="s">
        <v>52</v>
      </c>
      <c r="H205" t="s">
        <v>52</v>
      </c>
      <c r="I205" t="s">
        <v>52</v>
      </c>
      <c r="J205" t="s">
        <v>52</v>
      </c>
      <c r="K205" t="s">
        <v>52</v>
      </c>
      <c r="L205" t="s">
        <v>158</v>
      </c>
      <c r="M205" t="s">
        <v>556</v>
      </c>
      <c r="N205" t="s">
        <v>156</v>
      </c>
      <c r="O205" s="209">
        <v>48</v>
      </c>
      <c r="P205" s="209">
        <v>48</v>
      </c>
      <c r="Q205" t="s">
        <v>51</v>
      </c>
      <c r="R205" t="s">
        <v>51</v>
      </c>
      <c r="S205" t="s">
        <v>51</v>
      </c>
      <c r="T205" t="s">
        <v>51</v>
      </c>
    </row>
    <row r="206" spans="1:20">
      <c r="A206" t="s">
        <v>152</v>
      </c>
      <c r="B206" t="s">
        <v>153</v>
      </c>
      <c r="C206" t="s">
        <v>49</v>
      </c>
      <c r="D206" t="s">
        <v>50</v>
      </c>
      <c r="E206" t="s">
        <v>51</v>
      </c>
      <c r="F206" t="s">
        <v>51</v>
      </c>
      <c r="G206" t="s">
        <v>52</v>
      </c>
      <c r="H206" t="s">
        <v>52</v>
      </c>
      <c r="I206" t="s">
        <v>52</v>
      </c>
      <c r="J206" t="s">
        <v>52</v>
      </c>
      <c r="K206" t="s">
        <v>52</v>
      </c>
      <c r="L206" t="s">
        <v>158</v>
      </c>
      <c r="M206" t="s">
        <v>556</v>
      </c>
      <c r="N206" t="s">
        <v>156</v>
      </c>
      <c r="O206" s="209">
        <v>48</v>
      </c>
      <c r="P206" s="209">
        <v>48</v>
      </c>
      <c r="Q206" t="s">
        <v>51</v>
      </c>
      <c r="R206" t="s">
        <v>51</v>
      </c>
      <c r="S206" t="s">
        <v>51</v>
      </c>
      <c r="T206" t="s">
        <v>51</v>
      </c>
    </row>
    <row r="207" spans="1:20">
      <c r="A207" t="s">
        <v>47</v>
      </c>
      <c r="B207" t="s">
        <v>48</v>
      </c>
      <c r="C207" t="s">
        <v>49</v>
      </c>
      <c r="D207" t="s">
        <v>50</v>
      </c>
      <c r="E207" t="s">
        <v>51</v>
      </c>
      <c r="F207" t="s">
        <v>51</v>
      </c>
      <c r="G207" t="s">
        <v>52</v>
      </c>
      <c r="H207" t="s">
        <v>52</v>
      </c>
      <c r="I207" t="s">
        <v>52</v>
      </c>
      <c r="J207" t="s">
        <v>52</v>
      </c>
      <c r="K207" t="s">
        <v>52</v>
      </c>
      <c r="L207" t="s">
        <v>159</v>
      </c>
      <c r="M207" t="s">
        <v>557</v>
      </c>
      <c r="N207" t="s">
        <v>156</v>
      </c>
      <c r="O207" s="209">
        <v>49</v>
      </c>
      <c r="P207" s="209">
        <v>49</v>
      </c>
      <c r="Q207" t="s">
        <v>51</v>
      </c>
      <c r="R207" t="s">
        <v>51</v>
      </c>
      <c r="S207" t="s">
        <v>51</v>
      </c>
      <c r="T207" t="s">
        <v>51</v>
      </c>
    </row>
    <row r="208" spans="1:20">
      <c r="A208" t="s">
        <v>57</v>
      </c>
      <c r="B208" t="s">
        <v>58</v>
      </c>
      <c r="C208" t="s">
        <v>49</v>
      </c>
      <c r="D208" t="s">
        <v>50</v>
      </c>
      <c r="E208" t="s">
        <v>51</v>
      </c>
      <c r="F208" t="s">
        <v>51</v>
      </c>
      <c r="G208" t="s">
        <v>52</v>
      </c>
      <c r="H208" t="s">
        <v>52</v>
      </c>
      <c r="I208" t="s">
        <v>52</v>
      </c>
      <c r="J208" t="s">
        <v>52</v>
      </c>
      <c r="K208" t="s">
        <v>52</v>
      </c>
      <c r="L208" t="s">
        <v>159</v>
      </c>
      <c r="M208" t="s">
        <v>557</v>
      </c>
      <c r="N208" t="s">
        <v>156</v>
      </c>
      <c r="O208" s="209">
        <v>49</v>
      </c>
      <c r="P208" s="209">
        <v>49</v>
      </c>
      <c r="Q208" t="s">
        <v>51</v>
      </c>
      <c r="R208" t="s">
        <v>51</v>
      </c>
      <c r="S208" t="s">
        <v>51</v>
      </c>
      <c r="T208" t="s">
        <v>51</v>
      </c>
    </row>
    <row r="209" spans="1:20">
      <c r="A209" t="s">
        <v>59</v>
      </c>
      <c r="B209" t="s">
        <v>60</v>
      </c>
      <c r="C209" t="s">
        <v>49</v>
      </c>
      <c r="D209" t="s">
        <v>50</v>
      </c>
      <c r="E209" t="s">
        <v>51</v>
      </c>
      <c r="F209" t="s">
        <v>51</v>
      </c>
      <c r="G209" t="s">
        <v>52</v>
      </c>
      <c r="H209" t="s">
        <v>52</v>
      </c>
      <c r="I209" t="s">
        <v>52</v>
      </c>
      <c r="J209" t="s">
        <v>52</v>
      </c>
      <c r="K209" t="s">
        <v>52</v>
      </c>
      <c r="L209" t="s">
        <v>159</v>
      </c>
      <c r="M209" t="s">
        <v>557</v>
      </c>
      <c r="N209" t="s">
        <v>156</v>
      </c>
      <c r="O209" s="209">
        <v>49</v>
      </c>
      <c r="P209" s="209">
        <v>49</v>
      </c>
      <c r="Q209" t="s">
        <v>51</v>
      </c>
      <c r="R209" t="s">
        <v>51</v>
      </c>
      <c r="S209" t="s">
        <v>51</v>
      </c>
      <c r="T209" t="s">
        <v>51</v>
      </c>
    </row>
    <row r="210" spans="1:20">
      <c r="A210" t="s">
        <v>61</v>
      </c>
      <c r="B210" t="s">
        <v>62</v>
      </c>
      <c r="C210" t="s">
        <v>49</v>
      </c>
      <c r="D210" t="s">
        <v>50</v>
      </c>
      <c r="E210" t="s">
        <v>51</v>
      </c>
      <c r="F210" t="s">
        <v>51</v>
      </c>
      <c r="G210" t="s">
        <v>52</v>
      </c>
      <c r="H210" t="s">
        <v>52</v>
      </c>
      <c r="I210" t="s">
        <v>52</v>
      </c>
      <c r="J210" t="s">
        <v>52</v>
      </c>
      <c r="K210" t="s">
        <v>52</v>
      </c>
      <c r="L210" t="s">
        <v>159</v>
      </c>
      <c r="M210" t="s">
        <v>557</v>
      </c>
      <c r="N210" t="s">
        <v>156</v>
      </c>
      <c r="O210" s="209">
        <v>49</v>
      </c>
      <c r="P210" s="209">
        <v>49</v>
      </c>
      <c r="Q210" t="s">
        <v>51</v>
      </c>
      <c r="R210" t="s">
        <v>51</v>
      </c>
      <c r="S210" t="s">
        <v>51</v>
      </c>
      <c r="T210" t="s">
        <v>51</v>
      </c>
    </row>
    <row r="211" spans="1:20">
      <c r="A211" t="s">
        <v>63</v>
      </c>
      <c r="B211" t="s">
        <v>56</v>
      </c>
      <c r="C211" t="s">
        <v>49</v>
      </c>
      <c r="D211" t="s">
        <v>50</v>
      </c>
      <c r="E211" t="s">
        <v>51</v>
      </c>
      <c r="F211" t="s">
        <v>51</v>
      </c>
      <c r="G211" t="s">
        <v>52</v>
      </c>
      <c r="H211" t="s">
        <v>52</v>
      </c>
      <c r="I211" t="s">
        <v>52</v>
      </c>
      <c r="J211" t="s">
        <v>52</v>
      </c>
      <c r="K211" t="s">
        <v>52</v>
      </c>
      <c r="L211" t="s">
        <v>159</v>
      </c>
      <c r="M211" t="s">
        <v>557</v>
      </c>
      <c r="N211" t="s">
        <v>156</v>
      </c>
      <c r="O211" s="209">
        <v>49</v>
      </c>
      <c r="P211" s="209">
        <v>49</v>
      </c>
      <c r="Q211" t="s">
        <v>51</v>
      </c>
      <c r="R211" t="s">
        <v>51</v>
      </c>
      <c r="S211" t="s">
        <v>51</v>
      </c>
      <c r="T211" t="s">
        <v>51</v>
      </c>
    </row>
    <row r="212" spans="1:20">
      <c r="A212" t="s">
        <v>64</v>
      </c>
      <c r="B212" t="s">
        <v>65</v>
      </c>
      <c r="C212" t="s">
        <v>49</v>
      </c>
      <c r="D212" t="s">
        <v>50</v>
      </c>
      <c r="E212" t="s">
        <v>51</v>
      </c>
      <c r="F212" t="s">
        <v>51</v>
      </c>
      <c r="G212" t="s">
        <v>52</v>
      </c>
      <c r="H212" t="s">
        <v>52</v>
      </c>
      <c r="I212" t="s">
        <v>52</v>
      </c>
      <c r="J212" t="s">
        <v>52</v>
      </c>
      <c r="K212" t="s">
        <v>52</v>
      </c>
      <c r="L212" t="s">
        <v>159</v>
      </c>
      <c r="M212" t="s">
        <v>557</v>
      </c>
      <c r="N212" t="s">
        <v>156</v>
      </c>
      <c r="O212" s="209">
        <v>49</v>
      </c>
      <c r="P212" s="209">
        <v>49</v>
      </c>
      <c r="Q212" t="s">
        <v>51</v>
      </c>
      <c r="R212" t="s">
        <v>51</v>
      </c>
      <c r="S212" t="s">
        <v>51</v>
      </c>
      <c r="T212" t="s">
        <v>51</v>
      </c>
    </row>
    <row r="213" spans="1:20">
      <c r="A213" t="s">
        <v>66</v>
      </c>
      <c r="B213" t="s">
        <v>67</v>
      </c>
      <c r="C213" t="s">
        <v>49</v>
      </c>
      <c r="D213" t="s">
        <v>50</v>
      </c>
      <c r="E213" t="s">
        <v>51</v>
      </c>
      <c r="F213" t="s">
        <v>51</v>
      </c>
      <c r="G213" t="s">
        <v>52</v>
      </c>
      <c r="H213" t="s">
        <v>52</v>
      </c>
      <c r="I213" t="s">
        <v>52</v>
      </c>
      <c r="J213" t="s">
        <v>52</v>
      </c>
      <c r="K213" t="s">
        <v>52</v>
      </c>
      <c r="L213" t="s">
        <v>159</v>
      </c>
      <c r="M213" t="s">
        <v>557</v>
      </c>
      <c r="N213" t="s">
        <v>156</v>
      </c>
      <c r="O213" s="209">
        <v>49</v>
      </c>
      <c r="P213" s="209">
        <v>49</v>
      </c>
      <c r="Q213" t="s">
        <v>51</v>
      </c>
      <c r="R213" t="s">
        <v>51</v>
      </c>
      <c r="S213" t="s">
        <v>51</v>
      </c>
      <c r="T213" t="s">
        <v>51</v>
      </c>
    </row>
    <row r="214" spans="1:20">
      <c r="A214" t="s">
        <v>68</v>
      </c>
      <c r="B214" t="s">
        <v>69</v>
      </c>
      <c r="C214" t="s">
        <v>49</v>
      </c>
      <c r="D214" t="s">
        <v>50</v>
      </c>
      <c r="E214" t="s">
        <v>51</v>
      </c>
      <c r="F214" t="s">
        <v>51</v>
      </c>
      <c r="G214" t="s">
        <v>52</v>
      </c>
      <c r="H214" t="s">
        <v>52</v>
      </c>
      <c r="I214" t="s">
        <v>52</v>
      </c>
      <c r="J214" t="s">
        <v>52</v>
      </c>
      <c r="K214" t="s">
        <v>52</v>
      </c>
      <c r="L214" t="s">
        <v>159</v>
      </c>
      <c r="M214" t="s">
        <v>557</v>
      </c>
      <c r="N214" t="s">
        <v>156</v>
      </c>
      <c r="O214" s="209">
        <v>49</v>
      </c>
      <c r="P214" s="209">
        <v>49</v>
      </c>
      <c r="Q214" t="s">
        <v>51</v>
      </c>
      <c r="R214" t="s">
        <v>51</v>
      </c>
      <c r="S214" t="s">
        <v>51</v>
      </c>
      <c r="T214" t="s">
        <v>51</v>
      </c>
    </row>
    <row r="215" spans="1:20">
      <c r="A215" t="s">
        <v>70</v>
      </c>
      <c r="B215" t="s">
        <v>71</v>
      </c>
      <c r="C215" t="s">
        <v>49</v>
      </c>
      <c r="D215" t="s">
        <v>50</v>
      </c>
      <c r="E215" t="s">
        <v>51</v>
      </c>
      <c r="F215" t="s">
        <v>51</v>
      </c>
      <c r="G215" t="s">
        <v>52</v>
      </c>
      <c r="H215" t="s">
        <v>52</v>
      </c>
      <c r="I215" t="s">
        <v>52</v>
      </c>
      <c r="J215" t="s">
        <v>52</v>
      </c>
      <c r="K215" t="s">
        <v>52</v>
      </c>
      <c r="L215" t="s">
        <v>159</v>
      </c>
      <c r="M215" t="s">
        <v>557</v>
      </c>
      <c r="N215" t="s">
        <v>156</v>
      </c>
      <c r="O215" s="209">
        <v>49</v>
      </c>
      <c r="P215" s="209">
        <v>49</v>
      </c>
      <c r="Q215" t="s">
        <v>51</v>
      </c>
      <c r="R215" t="s">
        <v>51</v>
      </c>
      <c r="S215" t="s">
        <v>51</v>
      </c>
      <c r="T215" t="s">
        <v>51</v>
      </c>
    </row>
    <row r="216" spans="1:20">
      <c r="A216" t="s">
        <v>72</v>
      </c>
      <c r="B216" t="s">
        <v>73</v>
      </c>
      <c r="C216" t="s">
        <v>49</v>
      </c>
      <c r="D216" t="s">
        <v>50</v>
      </c>
      <c r="E216" t="s">
        <v>51</v>
      </c>
      <c r="F216" t="s">
        <v>51</v>
      </c>
      <c r="G216" t="s">
        <v>52</v>
      </c>
      <c r="H216" t="s">
        <v>52</v>
      </c>
      <c r="I216" t="s">
        <v>52</v>
      </c>
      <c r="J216" t="s">
        <v>52</v>
      </c>
      <c r="K216" t="s">
        <v>52</v>
      </c>
      <c r="L216" t="s">
        <v>159</v>
      </c>
      <c r="M216" t="s">
        <v>557</v>
      </c>
      <c r="N216" t="s">
        <v>156</v>
      </c>
      <c r="O216" s="209">
        <v>49</v>
      </c>
      <c r="P216" s="209">
        <v>49</v>
      </c>
      <c r="Q216" t="s">
        <v>51</v>
      </c>
      <c r="R216" t="s">
        <v>51</v>
      </c>
      <c r="S216" t="s">
        <v>51</v>
      </c>
      <c r="T216" t="s">
        <v>51</v>
      </c>
    </row>
    <row r="217" spans="1:20">
      <c r="A217" t="s">
        <v>74</v>
      </c>
      <c r="B217" t="s">
        <v>75</v>
      </c>
      <c r="C217" t="s">
        <v>49</v>
      </c>
      <c r="D217" t="s">
        <v>50</v>
      </c>
      <c r="E217" t="s">
        <v>51</v>
      </c>
      <c r="F217" t="s">
        <v>51</v>
      </c>
      <c r="G217" t="s">
        <v>52</v>
      </c>
      <c r="H217" t="s">
        <v>52</v>
      </c>
      <c r="I217" t="s">
        <v>52</v>
      </c>
      <c r="J217" t="s">
        <v>52</v>
      </c>
      <c r="K217" t="s">
        <v>52</v>
      </c>
      <c r="L217" t="s">
        <v>159</v>
      </c>
      <c r="M217" t="s">
        <v>557</v>
      </c>
      <c r="N217" t="s">
        <v>156</v>
      </c>
      <c r="O217" s="209">
        <v>49</v>
      </c>
      <c r="P217" s="209">
        <v>49</v>
      </c>
      <c r="Q217" t="s">
        <v>51</v>
      </c>
      <c r="R217" t="s">
        <v>51</v>
      </c>
      <c r="S217" t="s">
        <v>51</v>
      </c>
      <c r="T217" t="s">
        <v>51</v>
      </c>
    </row>
    <row r="218" spans="1:20">
      <c r="A218" t="s">
        <v>76</v>
      </c>
      <c r="B218" t="s">
        <v>77</v>
      </c>
      <c r="C218" t="s">
        <v>49</v>
      </c>
      <c r="D218" t="s">
        <v>50</v>
      </c>
      <c r="E218" t="s">
        <v>51</v>
      </c>
      <c r="F218" t="s">
        <v>51</v>
      </c>
      <c r="G218" t="s">
        <v>52</v>
      </c>
      <c r="H218" t="s">
        <v>52</v>
      </c>
      <c r="I218" t="s">
        <v>52</v>
      </c>
      <c r="J218" t="s">
        <v>52</v>
      </c>
      <c r="K218" t="s">
        <v>52</v>
      </c>
      <c r="L218" t="s">
        <v>159</v>
      </c>
      <c r="M218" t="s">
        <v>557</v>
      </c>
      <c r="N218" t="s">
        <v>156</v>
      </c>
      <c r="O218" s="209">
        <v>49</v>
      </c>
      <c r="P218" s="209">
        <v>49</v>
      </c>
      <c r="Q218" t="s">
        <v>51</v>
      </c>
      <c r="R218" t="s">
        <v>51</v>
      </c>
      <c r="S218" t="s">
        <v>51</v>
      </c>
      <c r="T218" t="s">
        <v>51</v>
      </c>
    </row>
    <row r="219" spans="1:20">
      <c r="A219" t="s">
        <v>78</v>
      </c>
      <c r="B219" t="s">
        <v>79</v>
      </c>
      <c r="C219" t="s">
        <v>49</v>
      </c>
      <c r="D219" t="s">
        <v>50</v>
      </c>
      <c r="E219" t="s">
        <v>51</v>
      </c>
      <c r="F219" t="s">
        <v>51</v>
      </c>
      <c r="G219" t="s">
        <v>52</v>
      </c>
      <c r="H219" t="s">
        <v>52</v>
      </c>
      <c r="I219" t="s">
        <v>52</v>
      </c>
      <c r="J219" t="s">
        <v>52</v>
      </c>
      <c r="K219" t="s">
        <v>52</v>
      </c>
      <c r="L219" t="s">
        <v>159</v>
      </c>
      <c r="M219" t="s">
        <v>557</v>
      </c>
      <c r="N219" t="s">
        <v>156</v>
      </c>
      <c r="O219" s="209">
        <v>49</v>
      </c>
      <c r="P219" s="209">
        <v>49</v>
      </c>
      <c r="Q219" t="s">
        <v>51</v>
      </c>
      <c r="R219" t="s">
        <v>51</v>
      </c>
      <c r="S219" t="s">
        <v>51</v>
      </c>
      <c r="T219" t="s">
        <v>51</v>
      </c>
    </row>
    <row r="220" spans="1:20">
      <c r="A220" t="s">
        <v>80</v>
      </c>
      <c r="B220" t="s">
        <v>81</v>
      </c>
      <c r="C220" t="s">
        <v>49</v>
      </c>
      <c r="D220" t="s">
        <v>50</v>
      </c>
      <c r="E220" t="s">
        <v>51</v>
      </c>
      <c r="F220" t="s">
        <v>51</v>
      </c>
      <c r="G220" t="s">
        <v>52</v>
      </c>
      <c r="H220" t="s">
        <v>52</v>
      </c>
      <c r="I220" t="s">
        <v>52</v>
      </c>
      <c r="J220" t="s">
        <v>52</v>
      </c>
      <c r="K220" t="s">
        <v>52</v>
      </c>
      <c r="L220" t="s">
        <v>159</v>
      </c>
      <c r="M220" t="s">
        <v>557</v>
      </c>
      <c r="N220" t="s">
        <v>156</v>
      </c>
      <c r="O220" s="209">
        <v>49</v>
      </c>
      <c r="P220" s="209">
        <v>49</v>
      </c>
      <c r="Q220" t="s">
        <v>51</v>
      </c>
      <c r="R220" t="s">
        <v>51</v>
      </c>
      <c r="S220" t="s">
        <v>51</v>
      </c>
      <c r="T220" t="s">
        <v>51</v>
      </c>
    </row>
    <row r="221" spans="1:20">
      <c r="A221" t="s">
        <v>82</v>
      </c>
      <c r="B221" t="s">
        <v>83</v>
      </c>
      <c r="C221" t="s">
        <v>49</v>
      </c>
      <c r="D221" t="s">
        <v>50</v>
      </c>
      <c r="E221" t="s">
        <v>51</v>
      </c>
      <c r="F221" t="s">
        <v>51</v>
      </c>
      <c r="G221" t="s">
        <v>52</v>
      </c>
      <c r="H221" t="s">
        <v>52</v>
      </c>
      <c r="I221" t="s">
        <v>52</v>
      </c>
      <c r="J221" t="s">
        <v>52</v>
      </c>
      <c r="K221" t="s">
        <v>52</v>
      </c>
      <c r="L221" t="s">
        <v>159</v>
      </c>
      <c r="M221" t="s">
        <v>557</v>
      </c>
      <c r="N221" t="s">
        <v>156</v>
      </c>
      <c r="O221" s="209">
        <v>49</v>
      </c>
      <c r="P221" s="209">
        <v>49</v>
      </c>
      <c r="Q221" t="s">
        <v>51</v>
      </c>
      <c r="R221" t="s">
        <v>51</v>
      </c>
      <c r="S221" t="s">
        <v>51</v>
      </c>
      <c r="T221" t="s">
        <v>51</v>
      </c>
    </row>
    <row r="222" spans="1:20">
      <c r="A222" t="s">
        <v>84</v>
      </c>
      <c r="B222" t="s">
        <v>85</v>
      </c>
      <c r="C222" t="s">
        <v>49</v>
      </c>
      <c r="D222" t="s">
        <v>50</v>
      </c>
      <c r="E222" t="s">
        <v>51</v>
      </c>
      <c r="F222" t="s">
        <v>51</v>
      </c>
      <c r="G222" t="s">
        <v>52</v>
      </c>
      <c r="H222" t="s">
        <v>52</v>
      </c>
      <c r="I222" t="s">
        <v>52</v>
      </c>
      <c r="J222" t="s">
        <v>52</v>
      </c>
      <c r="K222" t="s">
        <v>52</v>
      </c>
      <c r="L222" t="s">
        <v>159</v>
      </c>
      <c r="M222" t="s">
        <v>557</v>
      </c>
      <c r="N222" t="s">
        <v>156</v>
      </c>
      <c r="O222" s="209">
        <v>49</v>
      </c>
      <c r="P222" s="209">
        <v>49</v>
      </c>
      <c r="Q222" t="s">
        <v>51</v>
      </c>
      <c r="R222" t="s">
        <v>51</v>
      </c>
      <c r="S222" t="s">
        <v>51</v>
      </c>
      <c r="T222" t="s">
        <v>51</v>
      </c>
    </row>
    <row r="223" spans="1:20">
      <c r="A223" t="s">
        <v>86</v>
      </c>
      <c r="B223" t="s">
        <v>87</v>
      </c>
      <c r="C223" t="s">
        <v>49</v>
      </c>
      <c r="D223" t="s">
        <v>50</v>
      </c>
      <c r="E223" t="s">
        <v>51</v>
      </c>
      <c r="F223" t="s">
        <v>51</v>
      </c>
      <c r="G223" t="s">
        <v>52</v>
      </c>
      <c r="H223" t="s">
        <v>52</v>
      </c>
      <c r="I223" t="s">
        <v>52</v>
      </c>
      <c r="J223" t="s">
        <v>52</v>
      </c>
      <c r="K223" t="s">
        <v>52</v>
      </c>
      <c r="L223" t="s">
        <v>159</v>
      </c>
      <c r="M223" t="s">
        <v>557</v>
      </c>
      <c r="N223" t="s">
        <v>156</v>
      </c>
      <c r="O223" s="209">
        <v>49</v>
      </c>
      <c r="P223" s="209">
        <v>49</v>
      </c>
      <c r="Q223" t="s">
        <v>51</v>
      </c>
      <c r="R223" t="s">
        <v>51</v>
      </c>
      <c r="S223" t="s">
        <v>51</v>
      </c>
      <c r="T223" t="s">
        <v>51</v>
      </c>
    </row>
    <row r="224" spans="1:20">
      <c r="A224" t="s">
        <v>88</v>
      </c>
      <c r="B224" t="s">
        <v>89</v>
      </c>
      <c r="C224" t="s">
        <v>49</v>
      </c>
      <c r="D224" t="s">
        <v>50</v>
      </c>
      <c r="E224" t="s">
        <v>51</v>
      </c>
      <c r="F224" t="s">
        <v>51</v>
      </c>
      <c r="G224" t="s">
        <v>52</v>
      </c>
      <c r="H224" t="s">
        <v>52</v>
      </c>
      <c r="I224" t="s">
        <v>52</v>
      </c>
      <c r="J224" t="s">
        <v>52</v>
      </c>
      <c r="K224" t="s">
        <v>52</v>
      </c>
      <c r="L224" t="s">
        <v>159</v>
      </c>
      <c r="M224" t="s">
        <v>557</v>
      </c>
      <c r="N224" t="s">
        <v>156</v>
      </c>
      <c r="O224" s="209">
        <v>49</v>
      </c>
      <c r="P224" s="209">
        <v>49</v>
      </c>
      <c r="Q224" t="s">
        <v>51</v>
      </c>
      <c r="R224" t="s">
        <v>51</v>
      </c>
      <c r="S224" t="s">
        <v>51</v>
      </c>
      <c r="T224" t="s">
        <v>51</v>
      </c>
    </row>
    <row r="225" spans="1:20">
      <c r="A225" t="s">
        <v>90</v>
      </c>
      <c r="B225" t="s">
        <v>91</v>
      </c>
      <c r="C225" t="s">
        <v>49</v>
      </c>
      <c r="D225" t="s">
        <v>50</v>
      </c>
      <c r="E225" t="s">
        <v>51</v>
      </c>
      <c r="F225" t="s">
        <v>51</v>
      </c>
      <c r="G225" t="s">
        <v>52</v>
      </c>
      <c r="H225" t="s">
        <v>52</v>
      </c>
      <c r="I225" t="s">
        <v>52</v>
      </c>
      <c r="J225" t="s">
        <v>52</v>
      </c>
      <c r="K225" t="s">
        <v>52</v>
      </c>
      <c r="L225" t="s">
        <v>159</v>
      </c>
      <c r="M225" t="s">
        <v>557</v>
      </c>
      <c r="N225" t="s">
        <v>156</v>
      </c>
      <c r="O225" s="209">
        <v>49</v>
      </c>
      <c r="P225" s="209">
        <v>49</v>
      </c>
      <c r="Q225" t="s">
        <v>51</v>
      </c>
      <c r="R225" t="s">
        <v>51</v>
      </c>
      <c r="S225" t="s">
        <v>51</v>
      </c>
      <c r="T225" t="s">
        <v>51</v>
      </c>
    </row>
    <row r="226" spans="1:20">
      <c r="A226" t="s">
        <v>92</v>
      </c>
      <c r="B226" t="s">
        <v>93</v>
      </c>
      <c r="C226" t="s">
        <v>49</v>
      </c>
      <c r="D226" t="s">
        <v>50</v>
      </c>
      <c r="E226" t="s">
        <v>51</v>
      </c>
      <c r="F226" t="s">
        <v>51</v>
      </c>
      <c r="G226" t="s">
        <v>52</v>
      </c>
      <c r="H226" t="s">
        <v>52</v>
      </c>
      <c r="I226" t="s">
        <v>52</v>
      </c>
      <c r="J226" t="s">
        <v>52</v>
      </c>
      <c r="K226" t="s">
        <v>52</v>
      </c>
      <c r="L226" t="s">
        <v>159</v>
      </c>
      <c r="M226" t="s">
        <v>557</v>
      </c>
      <c r="N226" t="s">
        <v>156</v>
      </c>
      <c r="O226" s="209">
        <v>49</v>
      </c>
      <c r="P226" s="209">
        <v>49</v>
      </c>
      <c r="Q226" t="s">
        <v>51</v>
      </c>
      <c r="R226" t="s">
        <v>51</v>
      </c>
      <c r="S226" t="s">
        <v>51</v>
      </c>
      <c r="T226" t="s">
        <v>51</v>
      </c>
    </row>
    <row r="227" spans="1:20">
      <c r="A227" t="s">
        <v>94</v>
      </c>
      <c r="B227" t="s">
        <v>95</v>
      </c>
      <c r="C227" t="s">
        <v>49</v>
      </c>
      <c r="D227" t="s">
        <v>50</v>
      </c>
      <c r="E227" t="s">
        <v>51</v>
      </c>
      <c r="F227" t="s">
        <v>51</v>
      </c>
      <c r="G227" t="s">
        <v>52</v>
      </c>
      <c r="H227" t="s">
        <v>52</v>
      </c>
      <c r="I227" t="s">
        <v>52</v>
      </c>
      <c r="J227" t="s">
        <v>52</v>
      </c>
      <c r="K227" t="s">
        <v>52</v>
      </c>
      <c r="L227" t="s">
        <v>159</v>
      </c>
      <c r="M227" t="s">
        <v>557</v>
      </c>
      <c r="N227" t="s">
        <v>156</v>
      </c>
      <c r="O227" s="209">
        <v>49</v>
      </c>
      <c r="P227" s="209">
        <v>49</v>
      </c>
      <c r="Q227" t="s">
        <v>51</v>
      </c>
      <c r="R227" t="s">
        <v>51</v>
      </c>
      <c r="S227" t="s">
        <v>51</v>
      </c>
      <c r="T227" t="s">
        <v>51</v>
      </c>
    </row>
    <row r="228" spans="1:20">
      <c r="A228" t="s">
        <v>96</v>
      </c>
      <c r="B228" t="s">
        <v>97</v>
      </c>
      <c r="C228" t="s">
        <v>49</v>
      </c>
      <c r="D228" t="s">
        <v>50</v>
      </c>
      <c r="E228" t="s">
        <v>51</v>
      </c>
      <c r="F228" t="s">
        <v>51</v>
      </c>
      <c r="G228" t="s">
        <v>52</v>
      </c>
      <c r="H228" t="s">
        <v>52</v>
      </c>
      <c r="I228" t="s">
        <v>52</v>
      </c>
      <c r="J228" t="s">
        <v>52</v>
      </c>
      <c r="K228" t="s">
        <v>52</v>
      </c>
      <c r="L228" t="s">
        <v>159</v>
      </c>
      <c r="M228" t="s">
        <v>557</v>
      </c>
      <c r="N228" t="s">
        <v>156</v>
      </c>
      <c r="O228" s="209">
        <v>49</v>
      </c>
      <c r="P228" s="209">
        <v>49</v>
      </c>
      <c r="Q228" t="s">
        <v>51</v>
      </c>
      <c r="R228" t="s">
        <v>51</v>
      </c>
      <c r="S228" t="s">
        <v>51</v>
      </c>
      <c r="T228" t="s">
        <v>51</v>
      </c>
    </row>
    <row r="229" spans="1:20">
      <c r="A229" t="s">
        <v>98</v>
      </c>
      <c r="B229" t="s">
        <v>99</v>
      </c>
      <c r="C229" t="s">
        <v>49</v>
      </c>
      <c r="D229" t="s">
        <v>50</v>
      </c>
      <c r="E229" t="s">
        <v>51</v>
      </c>
      <c r="F229" t="s">
        <v>51</v>
      </c>
      <c r="G229" t="s">
        <v>52</v>
      </c>
      <c r="H229" t="s">
        <v>52</v>
      </c>
      <c r="I229" t="s">
        <v>52</v>
      </c>
      <c r="J229" t="s">
        <v>52</v>
      </c>
      <c r="K229" t="s">
        <v>52</v>
      </c>
      <c r="L229" t="s">
        <v>159</v>
      </c>
      <c r="M229" t="s">
        <v>557</v>
      </c>
      <c r="N229" t="s">
        <v>156</v>
      </c>
      <c r="O229" s="209">
        <v>49</v>
      </c>
      <c r="P229" s="209">
        <v>49</v>
      </c>
      <c r="Q229" t="s">
        <v>51</v>
      </c>
      <c r="R229" t="s">
        <v>51</v>
      </c>
      <c r="S229" t="s">
        <v>51</v>
      </c>
      <c r="T229" t="s">
        <v>51</v>
      </c>
    </row>
    <row r="230" spans="1:20">
      <c r="A230" t="s">
        <v>100</v>
      </c>
      <c r="B230" t="s">
        <v>101</v>
      </c>
      <c r="C230" t="s">
        <v>49</v>
      </c>
      <c r="D230" t="s">
        <v>50</v>
      </c>
      <c r="E230" t="s">
        <v>51</v>
      </c>
      <c r="F230" t="s">
        <v>51</v>
      </c>
      <c r="G230" t="s">
        <v>52</v>
      </c>
      <c r="H230" t="s">
        <v>52</v>
      </c>
      <c r="I230" t="s">
        <v>52</v>
      </c>
      <c r="J230" t="s">
        <v>52</v>
      </c>
      <c r="K230" t="s">
        <v>52</v>
      </c>
      <c r="L230" t="s">
        <v>159</v>
      </c>
      <c r="M230" t="s">
        <v>557</v>
      </c>
      <c r="N230" t="s">
        <v>156</v>
      </c>
      <c r="O230" s="209">
        <v>49</v>
      </c>
      <c r="P230" s="209">
        <v>49</v>
      </c>
      <c r="Q230" t="s">
        <v>51</v>
      </c>
      <c r="R230" t="s">
        <v>51</v>
      </c>
      <c r="S230" t="s">
        <v>51</v>
      </c>
      <c r="T230" t="s">
        <v>51</v>
      </c>
    </row>
    <row r="231" spans="1:20">
      <c r="A231" t="s">
        <v>102</v>
      </c>
      <c r="B231" t="s">
        <v>103</v>
      </c>
      <c r="C231" t="s">
        <v>49</v>
      </c>
      <c r="D231" t="s">
        <v>50</v>
      </c>
      <c r="E231" t="s">
        <v>51</v>
      </c>
      <c r="F231" t="s">
        <v>51</v>
      </c>
      <c r="G231" t="s">
        <v>52</v>
      </c>
      <c r="H231" t="s">
        <v>52</v>
      </c>
      <c r="I231" t="s">
        <v>52</v>
      </c>
      <c r="J231" t="s">
        <v>52</v>
      </c>
      <c r="K231" t="s">
        <v>52</v>
      </c>
      <c r="L231" t="s">
        <v>159</v>
      </c>
      <c r="M231" t="s">
        <v>557</v>
      </c>
      <c r="N231" t="s">
        <v>156</v>
      </c>
      <c r="O231" s="209">
        <v>49</v>
      </c>
      <c r="P231" s="209">
        <v>49</v>
      </c>
      <c r="Q231" t="s">
        <v>51</v>
      </c>
      <c r="R231" t="s">
        <v>51</v>
      </c>
      <c r="S231" t="s">
        <v>51</v>
      </c>
      <c r="T231" t="s">
        <v>51</v>
      </c>
    </row>
    <row r="232" spans="1:20">
      <c r="A232" t="s">
        <v>104</v>
      </c>
      <c r="B232" t="s">
        <v>105</v>
      </c>
      <c r="C232" t="s">
        <v>49</v>
      </c>
      <c r="D232" t="s">
        <v>50</v>
      </c>
      <c r="E232" t="s">
        <v>51</v>
      </c>
      <c r="F232" t="s">
        <v>51</v>
      </c>
      <c r="G232" t="s">
        <v>52</v>
      </c>
      <c r="H232" t="s">
        <v>52</v>
      </c>
      <c r="I232" t="s">
        <v>52</v>
      </c>
      <c r="J232" t="s">
        <v>52</v>
      </c>
      <c r="K232" t="s">
        <v>52</v>
      </c>
      <c r="L232" t="s">
        <v>159</v>
      </c>
      <c r="M232" t="s">
        <v>557</v>
      </c>
      <c r="N232" t="s">
        <v>156</v>
      </c>
      <c r="O232" s="209">
        <v>49</v>
      </c>
      <c r="P232" s="209">
        <v>49</v>
      </c>
      <c r="Q232" t="s">
        <v>51</v>
      </c>
      <c r="R232" t="s">
        <v>51</v>
      </c>
      <c r="S232" t="s">
        <v>51</v>
      </c>
      <c r="T232" t="s">
        <v>51</v>
      </c>
    </row>
    <row r="233" spans="1:20">
      <c r="A233" t="s">
        <v>106</v>
      </c>
      <c r="B233" t="s">
        <v>107</v>
      </c>
      <c r="C233" t="s">
        <v>49</v>
      </c>
      <c r="D233" t="s">
        <v>50</v>
      </c>
      <c r="E233" t="s">
        <v>51</v>
      </c>
      <c r="F233" t="s">
        <v>51</v>
      </c>
      <c r="G233" t="s">
        <v>52</v>
      </c>
      <c r="H233" t="s">
        <v>52</v>
      </c>
      <c r="I233" t="s">
        <v>52</v>
      </c>
      <c r="J233" t="s">
        <v>52</v>
      </c>
      <c r="K233" t="s">
        <v>52</v>
      </c>
      <c r="L233" t="s">
        <v>159</v>
      </c>
      <c r="M233" t="s">
        <v>557</v>
      </c>
      <c r="N233" t="s">
        <v>156</v>
      </c>
      <c r="O233" s="209">
        <v>49</v>
      </c>
      <c r="P233" s="209">
        <v>49</v>
      </c>
      <c r="Q233" t="s">
        <v>51</v>
      </c>
      <c r="R233" t="s">
        <v>51</v>
      </c>
      <c r="S233" t="s">
        <v>51</v>
      </c>
      <c r="T233" t="s">
        <v>51</v>
      </c>
    </row>
    <row r="234" spans="1:20">
      <c r="A234" t="s">
        <v>108</v>
      </c>
      <c r="B234" t="s">
        <v>109</v>
      </c>
      <c r="C234" t="s">
        <v>49</v>
      </c>
      <c r="D234" t="s">
        <v>50</v>
      </c>
      <c r="E234" t="s">
        <v>51</v>
      </c>
      <c r="F234" t="s">
        <v>51</v>
      </c>
      <c r="G234" t="s">
        <v>52</v>
      </c>
      <c r="H234" t="s">
        <v>52</v>
      </c>
      <c r="I234" t="s">
        <v>52</v>
      </c>
      <c r="J234" t="s">
        <v>52</v>
      </c>
      <c r="K234" t="s">
        <v>52</v>
      </c>
      <c r="L234" t="s">
        <v>159</v>
      </c>
      <c r="M234" t="s">
        <v>557</v>
      </c>
      <c r="N234" t="s">
        <v>156</v>
      </c>
      <c r="O234" s="209">
        <v>49</v>
      </c>
      <c r="P234" s="209">
        <v>49</v>
      </c>
      <c r="Q234" t="s">
        <v>51</v>
      </c>
      <c r="R234" t="s">
        <v>51</v>
      </c>
      <c r="S234" t="s">
        <v>51</v>
      </c>
      <c r="T234" t="s">
        <v>51</v>
      </c>
    </row>
    <row r="235" spans="1:20">
      <c r="A235" t="s">
        <v>110</v>
      </c>
      <c r="B235" t="s">
        <v>111</v>
      </c>
      <c r="C235" t="s">
        <v>49</v>
      </c>
      <c r="D235" t="s">
        <v>50</v>
      </c>
      <c r="E235" t="s">
        <v>51</v>
      </c>
      <c r="F235" t="s">
        <v>51</v>
      </c>
      <c r="G235" t="s">
        <v>52</v>
      </c>
      <c r="H235" t="s">
        <v>52</v>
      </c>
      <c r="I235" t="s">
        <v>52</v>
      </c>
      <c r="J235" t="s">
        <v>52</v>
      </c>
      <c r="K235" t="s">
        <v>52</v>
      </c>
      <c r="L235" t="s">
        <v>159</v>
      </c>
      <c r="M235" t="s">
        <v>557</v>
      </c>
      <c r="N235" t="s">
        <v>156</v>
      </c>
      <c r="O235" s="209">
        <v>49</v>
      </c>
      <c r="P235" s="209">
        <v>49</v>
      </c>
      <c r="Q235" t="s">
        <v>51</v>
      </c>
      <c r="R235" t="s">
        <v>51</v>
      </c>
      <c r="S235" t="s">
        <v>51</v>
      </c>
      <c r="T235" t="s">
        <v>51</v>
      </c>
    </row>
    <row r="236" spans="1:20">
      <c r="A236" t="s">
        <v>112</v>
      </c>
      <c r="B236" t="s">
        <v>113</v>
      </c>
      <c r="C236" t="s">
        <v>49</v>
      </c>
      <c r="D236" t="s">
        <v>50</v>
      </c>
      <c r="E236" t="s">
        <v>51</v>
      </c>
      <c r="F236" t="s">
        <v>51</v>
      </c>
      <c r="G236" t="s">
        <v>52</v>
      </c>
      <c r="H236" t="s">
        <v>52</v>
      </c>
      <c r="I236" t="s">
        <v>52</v>
      </c>
      <c r="J236" t="s">
        <v>52</v>
      </c>
      <c r="K236" t="s">
        <v>52</v>
      </c>
      <c r="L236" t="s">
        <v>159</v>
      </c>
      <c r="M236" t="s">
        <v>557</v>
      </c>
      <c r="N236" t="s">
        <v>156</v>
      </c>
      <c r="O236" s="209">
        <v>49</v>
      </c>
      <c r="P236" s="209">
        <v>49</v>
      </c>
      <c r="Q236" t="s">
        <v>51</v>
      </c>
      <c r="R236" t="s">
        <v>51</v>
      </c>
      <c r="S236" t="s">
        <v>51</v>
      </c>
      <c r="T236" t="s">
        <v>51</v>
      </c>
    </row>
    <row r="237" spans="1:20">
      <c r="A237" t="s">
        <v>114</v>
      </c>
      <c r="B237" t="s">
        <v>115</v>
      </c>
      <c r="C237" t="s">
        <v>49</v>
      </c>
      <c r="D237" t="s">
        <v>50</v>
      </c>
      <c r="E237" t="s">
        <v>51</v>
      </c>
      <c r="F237" t="s">
        <v>51</v>
      </c>
      <c r="G237" t="s">
        <v>52</v>
      </c>
      <c r="H237" t="s">
        <v>52</v>
      </c>
      <c r="I237" t="s">
        <v>52</v>
      </c>
      <c r="J237" t="s">
        <v>52</v>
      </c>
      <c r="K237" t="s">
        <v>52</v>
      </c>
      <c r="L237" t="s">
        <v>159</v>
      </c>
      <c r="M237" t="s">
        <v>557</v>
      </c>
      <c r="N237" t="s">
        <v>156</v>
      </c>
      <c r="O237" s="209">
        <v>49</v>
      </c>
      <c r="P237" s="209">
        <v>49</v>
      </c>
      <c r="Q237" t="s">
        <v>51</v>
      </c>
      <c r="R237" t="s">
        <v>51</v>
      </c>
      <c r="S237" t="s">
        <v>51</v>
      </c>
      <c r="T237" t="s">
        <v>51</v>
      </c>
    </row>
    <row r="238" spans="1:20">
      <c r="A238" t="s">
        <v>116</v>
      </c>
      <c r="B238" t="s">
        <v>117</v>
      </c>
      <c r="C238" t="s">
        <v>49</v>
      </c>
      <c r="D238" t="s">
        <v>50</v>
      </c>
      <c r="E238" t="s">
        <v>51</v>
      </c>
      <c r="F238" t="s">
        <v>51</v>
      </c>
      <c r="G238" t="s">
        <v>52</v>
      </c>
      <c r="H238" t="s">
        <v>52</v>
      </c>
      <c r="I238" t="s">
        <v>52</v>
      </c>
      <c r="J238" t="s">
        <v>52</v>
      </c>
      <c r="K238" t="s">
        <v>52</v>
      </c>
      <c r="L238" t="s">
        <v>159</v>
      </c>
      <c r="M238" t="s">
        <v>557</v>
      </c>
      <c r="N238" t="s">
        <v>156</v>
      </c>
      <c r="O238" s="209">
        <v>49</v>
      </c>
      <c r="P238" s="209">
        <v>49</v>
      </c>
      <c r="Q238" t="s">
        <v>51</v>
      </c>
      <c r="R238" t="s">
        <v>51</v>
      </c>
      <c r="S238" t="s">
        <v>51</v>
      </c>
      <c r="T238" t="s">
        <v>51</v>
      </c>
    </row>
    <row r="239" spans="1:20">
      <c r="A239" t="s">
        <v>118</v>
      </c>
      <c r="B239" t="s">
        <v>119</v>
      </c>
      <c r="C239" t="s">
        <v>49</v>
      </c>
      <c r="D239" t="s">
        <v>50</v>
      </c>
      <c r="E239" t="s">
        <v>51</v>
      </c>
      <c r="F239" t="s">
        <v>51</v>
      </c>
      <c r="G239" t="s">
        <v>52</v>
      </c>
      <c r="H239" t="s">
        <v>52</v>
      </c>
      <c r="I239" t="s">
        <v>52</v>
      </c>
      <c r="J239" t="s">
        <v>52</v>
      </c>
      <c r="K239" t="s">
        <v>52</v>
      </c>
      <c r="L239" t="s">
        <v>159</v>
      </c>
      <c r="M239" t="s">
        <v>557</v>
      </c>
      <c r="N239" t="s">
        <v>156</v>
      </c>
      <c r="O239" s="209">
        <v>49</v>
      </c>
      <c r="P239" s="209">
        <v>49</v>
      </c>
      <c r="Q239" t="s">
        <v>51</v>
      </c>
      <c r="R239" t="s">
        <v>51</v>
      </c>
      <c r="S239" t="s">
        <v>51</v>
      </c>
      <c r="T239" t="s">
        <v>51</v>
      </c>
    </row>
    <row r="240" spans="1:20">
      <c r="A240" t="s">
        <v>120</v>
      </c>
      <c r="B240" t="s">
        <v>121</v>
      </c>
      <c r="C240" t="s">
        <v>49</v>
      </c>
      <c r="D240" t="s">
        <v>50</v>
      </c>
      <c r="E240" t="s">
        <v>51</v>
      </c>
      <c r="F240" t="s">
        <v>51</v>
      </c>
      <c r="G240" t="s">
        <v>52</v>
      </c>
      <c r="H240" t="s">
        <v>52</v>
      </c>
      <c r="I240" t="s">
        <v>52</v>
      </c>
      <c r="J240" t="s">
        <v>52</v>
      </c>
      <c r="K240" t="s">
        <v>52</v>
      </c>
      <c r="L240" t="s">
        <v>159</v>
      </c>
      <c r="M240" t="s">
        <v>557</v>
      </c>
      <c r="N240" t="s">
        <v>156</v>
      </c>
      <c r="O240" s="209">
        <v>49</v>
      </c>
      <c r="P240" s="209">
        <v>49</v>
      </c>
      <c r="Q240" t="s">
        <v>51</v>
      </c>
      <c r="R240" t="s">
        <v>51</v>
      </c>
      <c r="S240" t="s">
        <v>51</v>
      </c>
      <c r="T240" t="s">
        <v>51</v>
      </c>
    </row>
    <row r="241" spans="1:20">
      <c r="A241" t="s">
        <v>122</v>
      </c>
      <c r="B241" t="s">
        <v>123</v>
      </c>
      <c r="C241" t="s">
        <v>49</v>
      </c>
      <c r="D241" t="s">
        <v>50</v>
      </c>
      <c r="E241" t="s">
        <v>51</v>
      </c>
      <c r="F241" t="s">
        <v>51</v>
      </c>
      <c r="G241" t="s">
        <v>52</v>
      </c>
      <c r="H241" t="s">
        <v>52</v>
      </c>
      <c r="I241" t="s">
        <v>52</v>
      </c>
      <c r="J241" t="s">
        <v>52</v>
      </c>
      <c r="K241" t="s">
        <v>52</v>
      </c>
      <c r="L241" t="s">
        <v>159</v>
      </c>
      <c r="M241" t="s">
        <v>557</v>
      </c>
      <c r="N241" t="s">
        <v>156</v>
      </c>
      <c r="O241" s="209">
        <v>49</v>
      </c>
      <c r="P241" s="209">
        <v>49</v>
      </c>
      <c r="Q241" t="s">
        <v>51</v>
      </c>
      <c r="R241" t="s">
        <v>51</v>
      </c>
      <c r="S241" t="s">
        <v>51</v>
      </c>
      <c r="T241" t="s">
        <v>51</v>
      </c>
    </row>
    <row r="242" spans="1:20">
      <c r="A242" t="s">
        <v>124</v>
      </c>
      <c r="B242" t="s">
        <v>125</v>
      </c>
      <c r="C242" t="s">
        <v>49</v>
      </c>
      <c r="D242" t="s">
        <v>50</v>
      </c>
      <c r="E242" t="s">
        <v>51</v>
      </c>
      <c r="F242" t="s">
        <v>51</v>
      </c>
      <c r="G242" t="s">
        <v>52</v>
      </c>
      <c r="H242" t="s">
        <v>52</v>
      </c>
      <c r="I242" t="s">
        <v>52</v>
      </c>
      <c r="J242" t="s">
        <v>52</v>
      </c>
      <c r="K242" t="s">
        <v>52</v>
      </c>
      <c r="L242" t="s">
        <v>159</v>
      </c>
      <c r="M242" t="s">
        <v>557</v>
      </c>
      <c r="N242" t="s">
        <v>156</v>
      </c>
      <c r="O242" s="209">
        <v>49</v>
      </c>
      <c r="P242" s="209">
        <v>49</v>
      </c>
      <c r="Q242" t="s">
        <v>51</v>
      </c>
      <c r="R242" t="s">
        <v>51</v>
      </c>
      <c r="S242" t="s">
        <v>51</v>
      </c>
      <c r="T242" t="s">
        <v>51</v>
      </c>
    </row>
    <row r="243" spans="1:20">
      <c r="A243" t="s">
        <v>126</v>
      </c>
      <c r="B243" t="s">
        <v>127</v>
      </c>
      <c r="C243" t="s">
        <v>49</v>
      </c>
      <c r="D243" t="s">
        <v>50</v>
      </c>
      <c r="E243" t="s">
        <v>51</v>
      </c>
      <c r="F243" t="s">
        <v>51</v>
      </c>
      <c r="G243" t="s">
        <v>52</v>
      </c>
      <c r="H243" t="s">
        <v>52</v>
      </c>
      <c r="I243" t="s">
        <v>52</v>
      </c>
      <c r="J243" t="s">
        <v>52</v>
      </c>
      <c r="K243" t="s">
        <v>52</v>
      </c>
      <c r="L243" t="s">
        <v>159</v>
      </c>
      <c r="M243" t="s">
        <v>557</v>
      </c>
      <c r="N243" t="s">
        <v>156</v>
      </c>
      <c r="O243" s="209">
        <v>49</v>
      </c>
      <c r="P243" s="209">
        <v>49</v>
      </c>
      <c r="Q243" t="s">
        <v>51</v>
      </c>
      <c r="R243" t="s">
        <v>51</v>
      </c>
      <c r="S243" t="s">
        <v>51</v>
      </c>
      <c r="T243" t="s">
        <v>51</v>
      </c>
    </row>
    <row r="244" spans="1:20">
      <c r="A244" t="s">
        <v>128</v>
      </c>
      <c r="B244" t="s">
        <v>129</v>
      </c>
      <c r="C244" t="s">
        <v>49</v>
      </c>
      <c r="D244" t="s">
        <v>50</v>
      </c>
      <c r="E244" t="s">
        <v>51</v>
      </c>
      <c r="F244" t="s">
        <v>51</v>
      </c>
      <c r="G244" t="s">
        <v>52</v>
      </c>
      <c r="H244" t="s">
        <v>52</v>
      </c>
      <c r="I244" t="s">
        <v>52</v>
      </c>
      <c r="J244" t="s">
        <v>52</v>
      </c>
      <c r="K244" t="s">
        <v>52</v>
      </c>
      <c r="L244" t="s">
        <v>159</v>
      </c>
      <c r="M244" t="s">
        <v>557</v>
      </c>
      <c r="N244" t="s">
        <v>156</v>
      </c>
      <c r="O244" s="209">
        <v>49</v>
      </c>
      <c r="P244" s="209">
        <v>49</v>
      </c>
      <c r="Q244" t="s">
        <v>51</v>
      </c>
      <c r="R244" t="s">
        <v>51</v>
      </c>
      <c r="S244" t="s">
        <v>51</v>
      </c>
      <c r="T244" t="s">
        <v>51</v>
      </c>
    </row>
    <row r="245" spans="1:20">
      <c r="A245" t="s">
        <v>130</v>
      </c>
      <c r="B245" t="s">
        <v>131</v>
      </c>
      <c r="C245" t="s">
        <v>49</v>
      </c>
      <c r="D245" t="s">
        <v>50</v>
      </c>
      <c r="E245" t="s">
        <v>51</v>
      </c>
      <c r="F245" t="s">
        <v>51</v>
      </c>
      <c r="G245" t="s">
        <v>52</v>
      </c>
      <c r="H245" t="s">
        <v>52</v>
      </c>
      <c r="I245" t="s">
        <v>52</v>
      </c>
      <c r="J245" t="s">
        <v>52</v>
      </c>
      <c r="K245" t="s">
        <v>52</v>
      </c>
      <c r="L245" t="s">
        <v>159</v>
      </c>
      <c r="M245" t="s">
        <v>557</v>
      </c>
      <c r="N245" t="s">
        <v>156</v>
      </c>
      <c r="O245" s="209">
        <v>49</v>
      </c>
      <c r="P245" s="209">
        <v>49</v>
      </c>
      <c r="Q245" t="s">
        <v>51</v>
      </c>
      <c r="R245" t="s">
        <v>51</v>
      </c>
      <c r="S245" t="s">
        <v>51</v>
      </c>
      <c r="T245" t="s">
        <v>51</v>
      </c>
    </row>
    <row r="246" spans="1:20">
      <c r="A246" t="s">
        <v>132</v>
      </c>
      <c r="B246" t="s">
        <v>133</v>
      </c>
      <c r="C246" t="s">
        <v>49</v>
      </c>
      <c r="D246" t="s">
        <v>50</v>
      </c>
      <c r="E246" t="s">
        <v>51</v>
      </c>
      <c r="F246" t="s">
        <v>51</v>
      </c>
      <c r="G246" t="s">
        <v>52</v>
      </c>
      <c r="H246" t="s">
        <v>52</v>
      </c>
      <c r="I246" t="s">
        <v>52</v>
      </c>
      <c r="J246" t="s">
        <v>52</v>
      </c>
      <c r="K246" t="s">
        <v>52</v>
      </c>
      <c r="L246" t="s">
        <v>159</v>
      </c>
      <c r="M246" t="s">
        <v>557</v>
      </c>
      <c r="N246" t="s">
        <v>156</v>
      </c>
      <c r="O246" s="209">
        <v>49</v>
      </c>
      <c r="P246" s="209">
        <v>49</v>
      </c>
      <c r="Q246" t="s">
        <v>51</v>
      </c>
      <c r="R246" t="s">
        <v>51</v>
      </c>
      <c r="S246" t="s">
        <v>51</v>
      </c>
      <c r="T246" t="s">
        <v>51</v>
      </c>
    </row>
    <row r="247" spans="1:20">
      <c r="A247" t="s">
        <v>134</v>
      </c>
      <c r="B247" t="s">
        <v>135</v>
      </c>
      <c r="C247" t="s">
        <v>49</v>
      </c>
      <c r="D247" t="s">
        <v>50</v>
      </c>
      <c r="E247" t="s">
        <v>51</v>
      </c>
      <c r="F247" t="s">
        <v>51</v>
      </c>
      <c r="G247" t="s">
        <v>52</v>
      </c>
      <c r="H247" t="s">
        <v>52</v>
      </c>
      <c r="I247" t="s">
        <v>52</v>
      </c>
      <c r="J247" t="s">
        <v>52</v>
      </c>
      <c r="K247" t="s">
        <v>52</v>
      </c>
      <c r="L247" t="s">
        <v>159</v>
      </c>
      <c r="M247" t="s">
        <v>557</v>
      </c>
      <c r="N247" t="s">
        <v>156</v>
      </c>
      <c r="O247" s="209">
        <v>49</v>
      </c>
      <c r="P247" s="209">
        <v>49</v>
      </c>
      <c r="Q247" t="s">
        <v>51</v>
      </c>
      <c r="R247" t="s">
        <v>51</v>
      </c>
      <c r="S247" t="s">
        <v>51</v>
      </c>
      <c r="T247" t="s">
        <v>51</v>
      </c>
    </row>
    <row r="248" spans="1:20">
      <c r="A248" t="s">
        <v>136</v>
      </c>
      <c r="B248" t="s">
        <v>137</v>
      </c>
      <c r="C248" t="s">
        <v>49</v>
      </c>
      <c r="D248" t="s">
        <v>50</v>
      </c>
      <c r="E248" t="s">
        <v>51</v>
      </c>
      <c r="F248" t="s">
        <v>51</v>
      </c>
      <c r="G248" t="s">
        <v>52</v>
      </c>
      <c r="H248" t="s">
        <v>52</v>
      </c>
      <c r="I248" t="s">
        <v>52</v>
      </c>
      <c r="J248" t="s">
        <v>52</v>
      </c>
      <c r="K248" t="s">
        <v>52</v>
      </c>
      <c r="L248" t="s">
        <v>159</v>
      </c>
      <c r="M248" t="s">
        <v>557</v>
      </c>
      <c r="N248" t="s">
        <v>156</v>
      </c>
      <c r="O248" s="209">
        <v>49</v>
      </c>
      <c r="P248" s="209">
        <v>49</v>
      </c>
      <c r="Q248" t="s">
        <v>51</v>
      </c>
      <c r="R248" t="s">
        <v>51</v>
      </c>
      <c r="S248" t="s">
        <v>51</v>
      </c>
      <c r="T248" t="s">
        <v>51</v>
      </c>
    </row>
    <row r="249" spans="1:20">
      <c r="A249" t="s">
        <v>138</v>
      </c>
      <c r="B249" t="s">
        <v>139</v>
      </c>
      <c r="C249" t="s">
        <v>49</v>
      </c>
      <c r="D249" t="s">
        <v>50</v>
      </c>
      <c r="E249" t="s">
        <v>51</v>
      </c>
      <c r="F249" t="s">
        <v>51</v>
      </c>
      <c r="G249" t="s">
        <v>52</v>
      </c>
      <c r="H249" t="s">
        <v>52</v>
      </c>
      <c r="I249" t="s">
        <v>52</v>
      </c>
      <c r="J249" t="s">
        <v>52</v>
      </c>
      <c r="K249" t="s">
        <v>52</v>
      </c>
      <c r="L249" t="s">
        <v>159</v>
      </c>
      <c r="M249" t="s">
        <v>557</v>
      </c>
      <c r="N249" t="s">
        <v>156</v>
      </c>
      <c r="O249" s="209">
        <v>49</v>
      </c>
      <c r="P249" s="209">
        <v>49</v>
      </c>
      <c r="Q249" t="s">
        <v>51</v>
      </c>
      <c r="R249" t="s">
        <v>51</v>
      </c>
      <c r="S249" t="s">
        <v>51</v>
      </c>
      <c r="T249" t="s">
        <v>51</v>
      </c>
    </row>
    <row r="250" spans="1:20">
      <c r="A250" t="s">
        <v>140</v>
      </c>
      <c r="B250" t="s">
        <v>141</v>
      </c>
      <c r="C250" t="s">
        <v>49</v>
      </c>
      <c r="D250" t="s">
        <v>50</v>
      </c>
      <c r="E250" t="s">
        <v>51</v>
      </c>
      <c r="F250" t="s">
        <v>51</v>
      </c>
      <c r="G250" t="s">
        <v>52</v>
      </c>
      <c r="H250" t="s">
        <v>52</v>
      </c>
      <c r="I250" t="s">
        <v>52</v>
      </c>
      <c r="J250" t="s">
        <v>52</v>
      </c>
      <c r="K250" t="s">
        <v>52</v>
      </c>
      <c r="L250" t="s">
        <v>159</v>
      </c>
      <c r="M250" t="s">
        <v>557</v>
      </c>
      <c r="N250" t="s">
        <v>156</v>
      </c>
      <c r="O250" s="209">
        <v>49</v>
      </c>
      <c r="P250" s="209">
        <v>49</v>
      </c>
      <c r="Q250" t="s">
        <v>51</v>
      </c>
      <c r="R250" t="s">
        <v>51</v>
      </c>
      <c r="S250" t="s">
        <v>51</v>
      </c>
      <c r="T250" t="s">
        <v>51</v>
      </c>
    </row>
    <row r="251" spans="1:20">
      <c r="A251" t="s">
        <v>142</v>
      </c>
      <c r="B251" t="s">
        <v>143</v>
      </c>
      <c r="C251" t="s">
        <v>49</v>
      </c>
      <c r="D251" t="s">
        <v>50</v>
      </c>
      <c r="E251" t="s">
        <v>51</v>
      </c>
      <c r="F251" t="s">
        <v>51</v>
      </c>
      <c r="G251" t="s">
        <v>52</v>
      </c>
      <c r="H251" t="s">
        <v>52</v>
      </c>
      <c r="I251" t="s">
        <v>52</v>
      </c>
      <c r="J251" t="s">
        <v>52</v>
      </c>
      <c r="K251" t="s">
        <v>52</v>
      </c>
      <c r="L251" t="s">
        <v>159</v>
      </c>
      <c r="M251" t="s">
        <v>557</v>
      </c>
      <c r="N251" t="s">
        <v>156</v>
      </c>
      <c r="O251" s="209">
        <v>49</v>
      </c>
      <c r="P251" s="209">
        <v>49</v>
      </c>
      <c r="Q251" t="s">
        <v>51</v>
      </c>
      <c r="R251" t="s">
        <v>51</v>
      </c>
      <c r="S251" t="s">
        <v>51</v>
      </c>
      <c r="T251" t="s">
        <v>51</v>
      </c>
    </row>
    <row r="252" spans="1:20">
      <c r="A252" t="s">
        <v>144</v>
      </c>
      <c r="B252" t="s">
        <v>145</v>
      </c>
      <c r="C252" t="s">
        <v>49</v>
      </c>
      <c r="D252" t="s">
        <v>50</v>
      </c>
      <c r="E252" t="s">
        <v>51</v>
      </c>
      <c r="F252" t="s">
        <v>51</v>
      </c>
      <c r="G252" t="s">
        <v>52</v>
      </c>
      <c r="H252" t="s">
        <v>52</v>
      </c>
      <c r="I252" t="s">
        <v>52</v>
      </c>
      <c r="J252" t="s">
        <v>52</v>
      </c>
      <c r="K252" t="s">
        <v>52</v>
      </c>
      <c r="L252" t="s">
        <v>159</v>
      </c>
      <c r="M252" t="s">
        <v>557</v>
      </c>
      <c r="N252" t="s">
        <v>156</v>
      </c>
      <c r="O252" s="209">
        <v>49</v>
      </c>
      <c r="P252" s="209">
        <v>49</v>
      </c>
      <c r="Q252" t="s">
        <v>51</v>
      </c>
      <c r="R252" t="s">
        <v>51</v>
      </c>
      <c r="S252" t="s">
        <v>51</v>
      </c>
      <c r="T252" t="s">
        <v>51</v>
      </c>
    </row>
    <row r="253" spans="1:20">
      <c r="A253" t="s">
        <v>146</v>
      </c>
      <c r="B253" t="s">
        <v>147</v>
      </c>
      <c r="C253" t="s">
        <v>49</v>
      </c>
      <c r="D253" t="s">
        <v>50</v>
      </c>
      <c r="E253" t="s">
        <v>51</v>
      </c>
      <c r="F253" t="s">
        <v>51</v>
      </c>
      <c r="G253" t="s">
        <v>52</v>
      </c>
      <c r="H253" t="s">
        <v>52</v>
      </c>
      <c r="I253" t="s">
        <v>52</v>
      </c>
      <c r="J253" t="s">
        <v>52</v>
      </c>
      <c r="K253" t="s">
        <v>52</v>
      </c>
      <c r="L253" t="s">
        <v>159</v>
      </c>
      <c r="M253" t="s">
        <v>557</v>
      </c>
      <c r="N253" t="s">
        <v>156</v>
      </c>
      <c r="O253" s="209">
        <v>49</v>
      </c>
      <c r="P253" s="209">
        <v>49</v>
      </c>
      <c r="Q253" t="s">
        <v>51</v>
      </c>
      <c r="R253" t="s">
        <v>51</v>
      </c>
      <c r="S253" t="s">
        <v>51</v>
      </c>
      <c r="T253" t="s">
        <v>51</v>
      </c>
    </row>
    <row r="254" spans="1:20">
      <c r="A254" t="s">
        <v>148</v>
      </c>
      <c r="B254" t="s">
        <v>149</v>
      </c>
      <c r="C254" t="s">
        <v>49</v>
      </c>
      <c r="D254" t="s">
        <v>50</v>
      </c>
      <c r="E254" t="s">
        <v>51</v>
      </c>
      <c r="F254" t="s">
        <v>51</v>
      </c>
      <c r="G254" t="s">
        <v>52</v>
      </c>
      <c r="H254" t="s">
        <v>52</v>
      </c>
      <c r="I254" t="s">
        <v>52</v>
      </c>
      <c r="J254" t="s">
        <v>52</v>
      </c>
      <c r="K254" t="s">
        <v>52</v>
      </c>
      <c r="L254" t="s">
        <v>159</v>
      </c>
      <c r="M254" t="s">
        <v>557</v>
      </c>
      <c r="N254" t="s">
        <v>156</v>
      </c>
      <c r="O254" s="209">
        <v>49</v>
      </c>
      <c r="P254" s="209">
        <v>49</v>
      </c>
      <c r="Q254" t="s">
        <v>51</v>
      </c>
      <c r="R254" t="s">
        <v>51</v>
      </c>
      <c r="S254" t="s">
        <v>51</v>
      </c>
      <c r="T254" t="s">
        <v>51</v>
      </c>
    </row>
    <row r="255" spans="1:20">
      <c r="A255" t="s">
        <v>150</v>
      </c>
      <c r="B255" t="s">
        <v>151</v>
      </c>
      <c r="C255" t="s">
        <v>49</v>
      </c>
      <c r="D255" t="s">
        <v>50</v>
      </c>
      <c r="E255" t="s">
        <v>51</v>
      </c>
      <c r="F255" t="s">
        <v>51</v>
      </c>
      <c r="G255" t="s">
        <v>52</v>
      </c>
      <c r="H255" t="s">
        <v>52</v>
      </c>
      <c r="I255" t="s">
        <v>52</v>
      </c>
      <c r="J255" t="s">
        <v>52</v>
      </c>
      <c r="K255" t="s">
        <v>52</v>
      </c>
      <c r="L255" t="s">
        <v>159</v>
      </c>
      <c r="M255" t="s">
        <v>557</v>
      </c>
      <c r="N255" t="s">
        <v>156</v>
      </c>
      <c r="O255" s="209">
        <v>49</v>
      </c>
      <c r="P255" s="209">
        <v>49</v>
      </c>
      <c r="Q255" t="s">
        <v>51</v>
      </c>
      <c r="R255" t="s">
        <v>51</v>
      </c>
      <c r="S255" t="s">
        <v>51</v>
      </c>
      <c r="T255" t="s">
        <v>51</v>
      </c>
    </row>
    <row r="256" spans="1:20">
      <c r="A256" t="s">
        <v>152</v>
      </c>
      <c r="B256" t="s">
        <v>153</v>
      </c>
      <c r="C256" t="s">
        <v>49</v>
      </c>
      <c r="D256" t="s">
        <v>50</v>
      </c>
      <c r="E256" t="s">
        <v>51</v>
      </c>
      <c r="F256" t="s">
        <v>51</v>
      </c>
      <c r="G256" t="s">
        <v>52</v>
      </c>
      <c r="H256" t="s">
        <v>52</v>
      </c>
      <c r="I256" t="s">
        <v>52</v>
      </c>
      <c r="J256" t="s">
        <v>52</v>
      </c>
      <c r="K256" t="s">
        <v>52</v>
      </c>
      <c r="L256" t="s">
        <v>159</v>
      </c>
      <c r="M256" t="s">
        <v>557</v>
      </c>
      <c r="N256" t="s">
        <v>156</v>
      </c>
      <c r="O256" s="209">
        <v>49</v>
      </c>
      <c r="P256" s="209">
        <v>49</v>
      </c>
      <c r="Q256" t="s">
        <v>51</v>
      </c>
      <c r="R256" t="s">
        <v>51</v>
      </c>
      <c r="S256" t="s">
        <v>51</v>
      </c>
      <c r="T256" t="s">
        <v>51</v>
      </c>
    </row>
    <row r="257" spans="1:20">
      <c r="A257" t="s">
        <v>160</v>
      </c>
      <c r="B257" t="s">
        <v>48</v>
      </c>
      <c r="C257" t="s">
        <v>49</v>
      </c>
      <c r="D257" t="s">
        <v>51</v>
      </c>
      <c r="E257" t="s">
        <v>50</v>
      </c>
      <c r="F257" t="s">
        <v>51</v>
      </c>
      <c r="G257" t="s">
        <v>52</v>
      </c>
      <c r="H257" t="s">
        <v>52</v>
      </c>
      <c r="I257" t="s">
        <v>52</v>
      </c>
      <c r="J257" t="s">
        <v>52</v>
      </c>
      <c r="K257" t="s">
        <v>52</v>
      </c>
      <c r="L257" t="s">
        <v>162</v>
      </c>
      <c r="M257" t="s">
        <v>163</v>
      </c>
      <c r="N257" t="s">
        <v>164</v>
      </c>
      <c r="O257" t="s">
        <v>115</v>
      </c>
      <c r="P257" t="s">
        <v>52</v>
      </c>
      <c r="Q257" t="s">
        <v>50</v>
      </c>
      <c r="R257" t="s">
        <v>51</v>
      </c>
      <c r="S257" t="s">
        <v>51</v>
      </c>
      <c r="T257" t="s">
        <v>51</v>
      </c>
    </row>
    <row r="258" spans="1:20">
      <c r="A258" t="s">
        <v>165</v>
      </c>
      <c r="B258" t="s">
        <v>48</v>
      </c>
      <c r="C258" t="s">
        <v>166</v>
      </c>
      <c r="D258" t="s">
        <v>50</v>
      </c>
      <c r="E258" t="s">
        <v>51</v>
      </c>
      <c r="F258" t="s">
        <v>51</v>
      </c>
      <c r="G258" t="s">
        <v>52</v>
      </c>
      <c r="H258" t="s">
        <v>52</v>
      </c>
      <c r="I258" t="s">
        <v>52</v>
      </c>
      <c r="J258" t="s">
        <v>52</v>
      </c>
      <c r="K258" t="s">
        <v>52</v>
      </c>
      <c r="L258" t="s">
        <v>167</v>
      </c>
      <c r="M258" t="s">
        <v>168</v>
      </c>
      <c r="N258" t="s">
        <v>55</v>
      </c>
      <c r="O258" t="s">
        <v>137</v>
      </c>
      <c r="P258" t="s">
        <v>139</v>
      </c>
      <c r="Q258" t="s">
        <v>51</v>
      </c>
      <c r="R258" t="s">
        <v>51</v>
      </c>
      <c r="S258" t="s">
        <v>51</v>
      </c>
      <c r="T258" t="s">
        <v>51</v>
      </c>
    </row>
    <row r="259" spans="1:20">
      <c r="A259" t="s">
        <v>169</v>
      </c>
      <c r="B259" t="s">
        <v>58</v>
      </c>
      <c r="C259" t="s">
        <v>166</v>
      </c>
      <c r="D259" t="s">
        <v>50</v>
      </c>
      <c r="E259" t="s">
        <v>51</v>
      </c>
      <c r="F259" t="s">
        <v>51</v>
      </c>
      <c r="G259" t="s">
        <v>52</v>
      </c>
      <c r="H259" t="s">
        <v>52</v>
      </c>
      <c r="I259" t="s">
        <v>52</v>
      </c>
      <c r="J259" t="s">
        <v>52</v>
      </c>
      <c r="K259" t="s">
        <v>52</v>
      </c>
      <c r="L259" t="s">
        <v>167</v>
      </c>
      <c r="M259" t="s">
        <v>168</v>
      </c>
      <c r="N259" t="s">
        <v>55</v>
      </c>
      <c r="O259" t="s">
        <v>137</v>
      </c>
      <c r="P259" t="s">
        <v>139</v>
      </c>
      <c r="Q259" t="s">
        <v>51</v>
      </c>
      <c r="R259" t="s">
        <v>51</v>
      </c>
      <c r="S259" t="s">
        <v>51</v>
      </c>
      <c r="T259" t="s">
        <v>51</v>
      </c>
    </row>
    <row r="260" spans="1:20">
      <c r="A260" t="s">
        <v>160</v>
      </c>
      <c r="B260" t="s">
        <v>48</v>
      </c>
      <c r="C260" t="s">
        <v>49</v>
      </c>
      <c r="D260" t="s">
        <v>51</v>
      </c>
      <c r="E260" t="s">
        <v>50</v>
      </c>
      <c r="F260" t="s">
        <v>51</v>
      </c>
      <c r="G260" t="s">
        <v>52</v>
      </c>
      <c r="H260" t="s">
        <v>52</v>
      </c>
      <c r="I260" t="s">
        <v>52</v>
      </c>
      <c r="J260" t="s">
        <v>161</v>
      </c>
      <c r="K260" t="s">
        <v>52</v>
      </c>
      <c r="L260" t="s">
        <v>170</v>
      </c>
      <c r="M260" t="s">
        <v>171</v>
      </c>
      <c r="N260" t="s">
        <v>164</v>
      </c>
      <c r="O260" t="s">
        <v>83</v>
      </c>
      <c r="P260" t="s">
        <v>52</v>
      </c>
      <c r="Q260" t="s">
        <v>50</v>
      </c>
      <c r="R260" t="s">
        <v>51</v>
      </c>
      <c r="S260" t="s">
        <v>51</v>
      </c>
      <c r="T260" t="s">
        <v>51</v>
      </c>
    </row>
    <row r="261" spans="1:20">
      <c r="A261" t="s">
        <v>160</v>
      </c>
      <c r="B261" t="s">
        <v>48</v>
      </c>
      <c r="C261" t="s">
        <v>49</v>
      </c>
      <c r="D261" t="s">
        <v>51</v>
      </c>
      <c r="E261" t="s">
        <v>50</v>
      </c>
      <c r="F261" t="s">
        <v>51</v>
      </c>
      <c r="G261" t="s">
        <v>52</v>
      </c>
      <c r="H261" t="s">
        <v>52</v>
      </c>
      <c r="I261" t="s">
        <v>52</v>
      </c>
      <c r="J261" t="s">
        <v>161</v>
      </c>
      <c r="K261" t="s">
        <v>52</v>
      </c>
      <c r="L261" t="s">
        <v>173</v>
      </c>
      <c r="M261" t="s">
        <v>174</v>
      </c>
      <c r="N261" t="s">
        <v>55</v>
      </c>
      <c r="O261" t="s">
        <v>115</v>
      </c>
      <c r="P261" t="s">
        <v>52</v>
      </c>
      <c r="Q261" t="s">
        <v>50</v>
      </c>
      <c r="R261" t="s">
        <v>51</v>
      </c>
      <c r="S261" t="s">
        <v>51</v>
      </c>
      <c r="T261" t="s">
        <v>51</v>
      </c>
    </row>
    <row r="262" spans="1:20">
      <c r="A262" t="s">
        <v>175</v>
      </c>
      <c r="B262" t="s">
        <v>48</v>
      </c>
      <c r="C262" t="s">
        <v>49</v>
      </c>
      <c r="D262" t="s">
        <v>50</v>
      </c>
      <c r="E262" t="s">
        <v>51</v>
      </c>
      <c r="F262" t="s">
        <v>51</v>
      </c>
      <c r="G262" t="s">
        <v>52</v>
      </c>
      <c r="H262" t="s">
        <v>52</v>
      </c>
      <c r="I262" t="s">
        <v>52</v>
      </c>
      <c r="J262" t="s">
        <v>52</v>
      </c>
      <c r="K262" t="s">
        <v>52</v>
      </c>
      <c r="L262" t="s">
        <v>176</v>
      </c>
      <c r="M262" t="s">
        <v>177</v>
      </c>
      <c r="N262" t="s">
        <v>55</v>
      </c>
      <c r="O262" t="s">
        <v>83</v>
      </c>
      <c r="P262" t="s">
        <v>83</v>
      </c>
      <c r="Q262" t="s">
        <v>51</v>
      </c>
      <c r="R262" t="s">
        <v>51</v>
      </c>
      <c r="S262" t="s">
        <v>51</v>
      </c>
      <c r="T262" t="s">
        <v>51</v>
      </c>
    </row>
    <row r="263" spans="1:20">
      <c r="A263" t="s">
        <v>178</v>
      </c>
      <c r="B263" t="s">
        <v>58</v>
      </c>
      <c r="C263" t="s">
        <v>49</v>
      </c>
      <c r="D263" t="s">
        <v>50</v>
      </c>
      <c r="E263" t="s">
        <v>51</v>
      </c>
      <c r="F263" t="s">
        <v>51</v>
      </c>
      <c r="G263" t="s">
        <v>52</v>
      </c>
      <c r="H263" t="s">
        <v>52</v>
      </c>
      <c r="I263" t="s">
        <v>52</v>
      </c>
      <c r="J263" t="s">
        <v>52</v>
      </c>
      <c r="K263" t="s">
        <v>52</v>
      </c>
      <c r="L263" t="s">
        <v>176</v>
      </c>
      <c r="M263" t="s">
        <v>177</v>
      </c>
      <c r="N263" t="s">
        <v>55</v>
      </c>
      <c r="O263" t="s">
        <v>83</v>
      </c>
      <c r="P263" t="s">
        <v>83</v>
      </c>
      <c r="Q263" t="s">
        <v>51</v>
      </c>
      <c r="R263" t="s">
        <v>51</v>
      </c>
      <c r="S263" t="s">
        <v>51</v>
      </c>
      <c r="T263" t="s">
        <v>51</v>
      </c>
    </row>
    <row r="264" spans="1:20">
      <c r="A264" t="s">
        <v>179</v>
      </c>
      <c r="B264" t="s">
        <v>60</v>
      </c>
      <c r="C264" t="s">
        <v>49</v>
      </c>
      <c r="D264" t="s">
        <v>50</v>
      </c>
      <c r="E264" t="s">
        <v>51</v>
      </c>
      <c r="F264" t="s">
        <v>51</v>
      </c>
      <c r="G264" t="s">
        <v>52</v>
      </c>
      <c r="H264" t="s">
        <v>52</v>
      </c>
      <c r="I264" t="s">
        <v>52</v>
      </c>
      <c r="J264" t="s">
        <v>52</v>
      </c>
      <c r="K264" t="s">
        <v>52</v>
      </c>
      <c r="L264" t="s">
        <v>176</v>
      </c>
      <c r="M264" t="s">
        <v>177</v>
      </c>
      <c r="N264" t="s">
        <v>55</v>
      </c>
      <c r="O264" t="s">
        <v>83</v>
      </c>
      <c r="P264" t="s">
        <v>83</v>
      </c>
      <c r="Q264" t="s">
        <v>51</v>
      </c>
      <c r="R264" t="s">
        <v>51</v>
      </c>
      <c r="S264" t="s">
        <v>51</v>
      </c>
      <c r="T264" t="s">
        <v>51</v>
      </c>
    </row>
    <row r="265" spans="1:20">
      <c r="A265" t="s">
        <v>180</v>
      </c>
      <c r="B265" t="s">
        <v>62</v>
      </c>
      <c r="C265" t="s">
        <v>49</v>
      </c>
      <c r="D265" t="s">
        <v>50</v>
      </c>
      <c r="E265" t="s">
        <v>51</v>
      </c>
      <c r="F265" t="s">
        <v>51</v>
      </c>
      <c r="G265" t="s">
        <v>52</v>
      </c>
      <c r="H265" t="s">
        <v>52</v>
      </c>
      <c r="I265" t="s">
        <v>52</v>
      </c>
      <c r="J265" t="s">
        <v>52</v>
      </c>
      <c r="K265" t="s">
        <v>52</v>
      </c>
      <c r="L265" t="s">
        <v>176</v>
      </c>
      <c r="M265" t="s">
        <v>177</v>
      </c>
      <c r="N265" t="s">
        <v>55</v>
      </c>
      <c r="O265" t="s">
        <v>83</v>
      </c>
      <c r="P265" t="s">
        <v>83</v>
      </c>
      <c r="Q265" t="s">
        <v>51</v>
      </c>
      <c r="R265" t="s">
        <v>51</v>
      </c>
      <c r="S265" t="s">
        <v>51</v>
      </c>
      <c r="T265" t="s">
        <v>51</v>
      </c>
    </row>
    <row r="266" spans="1:20">
      <c r="A266" t="s">
        <v>181</v>
      </c>
      <c r="B266" t="s">
        <v>56</v>
      </c>
      <c r="C266" t="s">
        <v>49</v>
      </c>
      <c r="D266" t="s">
        <v>50</v>
      </c>
      <c r="E266" t="s">
        <v>51</v>
      </c>
      <c r="F266" t="s">
        <v>51</v>
      </c>
      <c r="G266" t="s">
        <v>52</v>
      </c>
      <c r="H266" t="s">
        <v>52</v>
      </c>
      <c r="I266" t="s">
        <v>52</v>
      </c>
      <c r="J266" t="s">
        <v>52</v>
      </c>
      <c r="K266" t="s">
        <v>52</v>
      </c>
      <c r="L266" t="s">
        <v>176</v>
      </c>
      <c r="M266" t="s">
        <v>177</v>
      </c>
      <c r="N266" t="s">
        <v>55</v>
      </c>
      <c r="O266" t="s">
        <v>83</v>
      </c>
      <c r="P266" t="s">
        <v>83</v>
      </c>
      <c r="Q266" t="s">
        <v>51</v>
      </c>
      <c r="R266" t="s">
        <v>51</v>
      </c>
      <c r="S266" t="s">
        <v>51</v>
      </c>
      <c r="T266" t="s">
        <v>51</v>
      </c>
    </row>
    <row r="267" spans="1:20">
      <c r="A267" t="s">
        <v>182</v>
      </c>
      <c r="B267" t="s">
        <v>65</v>
      </c>
      <c r="C267" t="s">
        <v>49</v>
      </c>
      <c r="D267" t="s">
        <v>50</v>
      </c>
      <c r="E267" t="s">
        <v>51</v>
      </c>
      <c r="F267" t="s">
        <v>51</v>
      </c>
      <c r="G267" t="s">
        <v>52</v>
      </c>
      <c r="H267" t="s">
        <v>52</v>
      </c>
      <c r="I267" t="s">
        <v>52</v>
      </c>
      <c r="J267" t="s">
        <v>52</v>
      </c>
      <c r="K267" t="s">
        <v>52</v>
      </c>
      <c r="L267" t="s">
        <v>176</v>
      </c>
      <c r="M267" t="s">
        <v>177</v>
      </c>
      <c r="N267" t="s">
        <v>55</v>
      </c>
      <c r="O267" t="s">
        <v>83</v>
      </c>
      <c r="P267" t="s">
        <v>83</v>
      </c>
      <c r="Q267" t="s">
        <v>51</v>
      </c>
      <c r="R267" t="s">
        <v>51</v>
      </c>
      <c r="S267" t="s">
        <v>51</v>
      </c>
      <c r="T267" t="s">
        <v>51</v>
      </c>
    </row>
    <row r="268" spans="1:20">
      <c r="A268" t="s">
        <v>183</v>
      </c>
      <c r="B268" t="s">
        <v>67</v>
      </c>
      <c r="C268" t="s">
        <v>49</v>
      </c>
      <c r="D268" t="s">
        <v>50</v>
      </c>
      <c r="E268" t="s">
        <v>51</v>
      </c>
      <c r="F268" t="s">
        <v>51</v>
      </c>
      <c r="G268" t="s">
        <v>52</v>
      </c>
      <c r="H268" t="s">
        <v>52</v>
      </c>
      <c r="I268" t="s">
        <v>52</v>
      </c>
      <c r="J268" t="s">
        <v>52</v>
      </c>
      <c r="K268" t="s">
        <v>52</v>
      </c>
      <c r="L268" t="s">
        <v>176</v>
      </c>
      <c r="M268" t="s">
        <v>177</v>
      </c>
      <c r="N268" t="s">
        <v>55</v>
      </c>
      <c r="O268" t="s">
        <v>83</v>
      </c>
      <c r="P268" t="s">
        <v>83</v>
      </c>
      <c r="Q268" t="s">
        <v>51</v>
      </c>
      <c r="R268" t="s">
        <v>51</v>
      </c>
      <c r="S268" t="s">
        <v>51</v>
      </c>
      <c r="T268" t="s">
        <v>51</v>
      </c>
    </row>
    <row r="269" spans="1:20">
      <c r="A269" t="s">
        <v>184</v>
      </c>
      <c r="B269" t="s">
        <v>69</v>
      </c>
      <c r="C269" t="s">
        <v>49</v>
      </c>
      <c r="D269" t="s">
        <v>50</v>
      </c>
      <c r="E269" t="s">
        <v>51</v>
      </c>
      <c r="F269" t="s">
        <v>51</v>
      </c>
      <c r="G269" t="s">
        <v>52</v>
      </c>
      <c r="H269" t="s">
        <v>52</v>
      </c>
      <c r="I269" t="s">
        <v>52</v>
      </c>
      <c r="J269" t="s">
        <v>52</v>
      </c>
      <c r="K269" t="s">
        <v>52</v>
      </c>
      <c r="L269" t="s">
        <v>176</v>
      </c>
      <c r="M269" t="s">
        <v>177</v>
      </c>
      <c r="N269" t="s">
        <v>55</v>
      </c>
      <c r="O269" t="s">
        <v>83</v>
      </c>
      <c r="P269" t="s">
        <v>83</v>
      </c>
      <c r="Q269" t="s">
        <v>51</v>
      </c>
      <c r="R269" t="s">
        <v>51</v>
      </c>
      <c r="S269" t="s">
        <v>51</v>
      </c>
      <c r="T269" t="s">
        <v>51</v>
      </c>
    </row>
    <row r="270" spans="1:20">
      <c r="A270" t="s">
        <v>185</v>
      </c>
      <c r="B270" t="s">
        <v>71</v>
      </c>
      <c r="C270" t="s">
        <v>49</v>
      </c>
      <c r="D270" t="s">
        <v>50</v>
      </c>
      <c r="E270" t="s">
        <v>51</v>
      </c>
      <c r="F270" t="s">
        <v>51</v>
      </c>
      <c r="G270" t="s">
        <v>52</v>
      </c>
      <c r="H270" t="s">
        <v>52</v>
      </c>
      <c r="I270" t="s">
        <v>52</v>
      </c>
      <c r="J270" t="s">
        <v>52</v>
      </c>
      <c r="K270" t="s">
        <v>52</v>
      </c>
      <c r="L270" t="s">
        <v>176</v>
      </c>
      <c r="M270" t="s">
        <v>177</v>
      </c>
      <c r="N270" t="s">
        <v>55</v>
      </c>
      <c r="O270" t="s">
        <v>83</v>
      </c>
      <c r="P270" t="s">
        <v>83</v>
      </c>
      <c r="Q270" t="s">
        <v>51</v>
      </c>
      <c r="R270" t="s">
        <v>51</v>
      </c>
      <c r="S270" t="s">
        <v>51</v>
      </c>
      <c r="T270" t="s">
        <v>51</v>
      </c>
    </row>
    <row r="271" spans="1:20">
      <c r="A271" t="s">
        <v>186</v>
      </c>
      <c r="B271" t="s">
        <v>73</v>
      </c>
      <c r="C271" t="s">
        <v>49</v>
      </c>
      <c r="D271" t="s">
        <v>50</v>
      </c>
      <c r="E271" t="s">
        <v>51</v>
      </c>
      <c r="F271" t="s">
        <v>51</v>
      </c>
      <c r="G271" t="s">
        <v>52</v>
      </c>
      <c r="H271" t="s">
        <v>52</v>
      </c>
      <c r="I271" t="s">
        <v>52</v>
      </c>
      <c r="J271" t="s">
        <v>52</v>
      </c>
      <c r="K271" t="s">
        <v>52</v>
      </c>
      <c r="L271" t="s">
        <v>176</v>
      </c>
      <c r="M271" t="s">
        <v>177</v>
      </c>
      <c r="N271" t="s">
        <v>55</v>
      </c>
      <c r="O271" t="s">
        <v>83</v>
      </c>
      <c r="P271" t="s">
        <v>83</v>
      </c>
      <c r="Q271" t="s">
        <v>51</v>
      </c>
      <c r="R271" t="s">
        <v>51</v>
      </c>
      <c r="S271" t="s">
        <v>51</v>
      </c>
      <c r="T271" t="s">
        <v>51</v>
      </c>
    </row>
    <row r="272" spans="1:20">
      <c r="A272" t="s">
        <v>47</v>
      </c>
      <c r="B272" t="s">
        <v>48</v>
      </c>
      <c r="C272" t="s">
        <v>166</v>
      </c>
      <c r="D272" t="s">
        <v>50</v>
      </c>
      <c r="E272" t="s">
        <v>51</v>
      </c>
      <c r="F272" t="s">
        <v>51</v>
      </c>
      <c r="G272" t="s">
        <v>52</v>
      </c>
      <c r="H272" t="s">
        <v>52</v>
      </c>
      <c r="I272" t="s">
        <v>52</v>
      </c>
      <c r="J272" t="s">
        <v>52</v>
      </c>
      <c r="K272" t="s">
        <v>52</v>
      </c>
      <c r="L272" t="s">
        <v>187</v>
      </c>
      <c r="M272" t="s">
        <v>188</v>
      </c>
      <c r="N272" t="s">
        <v>55</v>
      </c>
      <c r="O272" t="s">
        <v>137</v>
      </c>
      <c r="P272" t="s">
        <v>139</v>
      </c>
      <c r="Q272" t="s">
        <v>51</v>
      </c>
      <c r="R272" t="s">
        <v>51</v>
      </c>
      <c r="S272" t="s">
        <v>51</v>
      </c>
      <c r="T272" t="s">
        <v>51</v>
      </c>
    </row>
    <row r="273" spans="1:20">
      <c r="A273" t="s">
        <v>57</v>
      </c>
      <c r="B273" t="s">
        <v>58</v>
      </c>
      <c r="C273" t="s">
        <v>166</v>
      </c>
      <c r="D273" t="s">
        <v>50</v>
      </c>
      <c r="E273" t="s">
        <v>51</v>
      </c>
      <c r="F273" t="s">
        <v>51</v>
      </c>
      <c r="G273" t="s">
        <v>52</v>
      </c>
      <c r="H273" t="s">
        <v>52</v>
      </c>
      <c r="I273" t="s">
        <v>52</v>
      </c>
      <c r="J273" t="s">
        <v>52</v>
      </c>
      <c r="K273" t="s">
        <v>52</v>
      </c>
      <c r="L273" t="s">
        <v>187</v>
      </c>
      <c r="M273" t="s">
        <v>188</v>
      </c>
      <c r="N273" t="s">
        <v>55</v>
      </c>
      <c r="O273" t="s">
        <v>137</v>
      </c>
      <c r="P273" t="s">
        <v>139</v>
      </c>
      <c r="Q273" t="s">
        <v>51</v>
      </c>
      <c r="R273" t="s">
        <v>51</v>
      </c>
      <c r="S273" t="s">
        <v>51</v>
      </c>
      <c r="T273" t="s">
        <v>51</v>
      </c>
    </row>
    <row r="274" spans="1:20">
      <c r="A274" t="s">
        <v>59</v>
      </c>
      <c r="B274" t="s">
        <v>60</v>
      </c>
      <c r="C274" t="s">
        <v>166</v>
      </c>
      <c r="D274" t="s">
        <v>50</v>
      </c>
      <c r="E274" t="s">
        <v>51</v>
      </c>
      <c r="F274" t="s">
        <v>51</v>
      </c>
      <c r="G274" t="s">
        <v>52</v>
      </c>
      <c r="H274" t="s">
        <v>52</v>
      </c>
      <c r="I274" t="s">
        <v>52</v>
      </c>
      <c r="J274" t="s">
        <v>52</v>
      </c>
      <c r="K274" t="s">
        <v>52</v>
      </c>
      <c r="L274" t="s">
        <v>187</v>
      </c>
      <c r="M274" t="s">
        <v>188</v>
      </c>
      <c r="N274" t="s">
        <v>55</v>
      </c>
      <c r="O274" t="s">
        <v>137</v>
      </c>
      <c r="P274" t="s">
        <v>139</v>
      </c>
      <c r="Q274" t="s">
        <v>51</v>
      </c>
      <c r="R274" t="s">
        <v>51</v>
      </c>
      <c r="S274" t="s">
        <v>51</v>
      </c>
      <c r="T274" t="s">
        <v>51</v>
      </c>
    </row>
    <row r="275" spans="1:20">
      <c r="A275" t="s">
        <v>47</v>
      </c>
      <c r="B275" t="s">
        <v>48</v>
      </c>
      <c r="C275" t="s">
        <v>166</v>
      </c>
      <c r="D275" t="s">
        <v>50</v>
      </c>
      <c r="E275" t="s">
        <v>51</v>
      </c>
      <c r="F275" t="s">
        <v>51</v>
      </c>
      <c r="G275" t="s">
        <v>52</v>
      </c>
      <c r="H275" t="s">
        <v>52</v>
      </c>
      <c r="I275" t="s">
        <v>52</v>
      </c>
      <c r="J275" t="s">
        <v>52</v>
      </c>
      <c r="K275" t="s">
        <v>52</v>
      </c>
      <c r="L275" t="s">
        <v>189</v>
      </c>
      <c r="M275" t="s">
        <v>190</v>
      </c>
      <c r="N275" t="s">
        <v>55</v>
      </c>
      <c r="O275" t="s">
        <v>143</v>
      </c>
      <c r="P275" t="s">
        <v>145</v>
      </c>
      <c r="Q275" t="s">
        <v>51</v>
      </c>
      <c r="R275" t="s">
        <v>51</v>
      </c>
      <c r="S275" t="s">
        <v>51</v>
      </c>
      <c r="T275" t="s">
        <v>51</v>
      </c>
    </row>
    <row r="276" spans="1:20">
      <c r="A276" t="s">
        <v>57</v>
      </c>
      <c r="B276" t="s">
        <v>58</v>
      </c>
      <c r="C276" t="s">
        <v>166</v>
      </c>
      <c r="D276" t="s">
        <v>50</v>
      </c>
      <c r="E276" t="s">
        <v>51</v>
      </c>
      <c r="F276" t="s">
        <v>51</v>
      </c>
      <c r="G276" t="s">
        <v>52</v>
      </c>
      <c r="H276" t="s">
        <v>52</v>
      </c>
      <c r="I276" t="s">
        <v>52</v>
      </c>
      <c r="J276" t="s">
        <v>52</v>
      </c>
      <c r="K276" t="s">
        <v>52</v>
      </c>
      <c r="L276" t="s">
        <v>189</v>
      </c>
      <c r="M276" t="s">
        <v>190</v>
      </c>
      <c r="N276" t="s">
        <v>55</v>
      </c>
      <c r="O276" t="s">
        <v>143</v>
      </c>
      <c r="P276" t="s">
        <v>145</v>
      </c>
      <c r="Q276" t="s">
        <v>51</v>
      </c>
      <c r="R276" t="s">
        <v>51</v>
      </c>
      <c r="S276" t="s">
        <v>51</v>
      </c>
      <c r="T276" t="s">
        <v>51</v>
      </c>
    </row>
    <row r="277" spans="1:20">
      <c r="A277" t="s">
        <v>59</v>
      </c>
      <c r="B277" t="s">
        <v>60</v>
      </c>
      <c r="C277" t="s">
        <v>166</v>
      </c>
      <c r="D277" t="s">
        <v>50</v>
      </c>
      <c r="E277" t="s">
        <v>51</v>
      </c>
      <c r="F277" t="s">
        <v>51</v>
      </c>
      <c r="G277" t="s">
        <v>52</v>
      </c>
      <c r="H277" t="s">
        <v>52</v>
      </c>
      <c r="I277" t="s">
        <v>52</v>
      </c>
      <c r="J277" t="s">
        <v>52</v>
      </c>
      <c r="K277" t="s">
        <v>52</v>
      </c>
      <c r="L277" t="s">
        <v>189</v>
      </c>
      <c r="M277" t="s">
        <v>190</v>
      </c>
      <c r="N277" t="s">
        <v>55</v>
      </c>
      <c r="O277" t="s">
        <v>143</v>
      </c>
      <c r="P277" t="s">
        <v>145</v>
      </c>
      <c r="Q277" t="s">
        <v>51</v>
      </c>
      <c r="R277" t="s">
        <v>51</v>
      </c>
      <c r="S277" t="s">
        <v>51</v>
      </c>
      <c r="T277" t="s">
        <v>51</v>
      </c>
    </row>
    <row r="278" spans="1:20">
      <c r="A278" t="s">
        <v>47</v>
      </c>
      <c r="B278" t="s">
        <v>48</v>
      </c>
      <c r="C278" t="s">
        <v>166</v>
      </c>
      <c r="D278" t="s">
        <v>50</v>
      </c>
      <c r="E278" t="s">
        <v>51</v>
      </c>
      <c r="F278" t="s">
        <v>51</v>
      </c>
      <c r="G278" t="s">
        <v>52</v>
      </c>
      <c r="H278" t="s">
        <v>52</v>
      </c>
      <c r="I278" t="s">
        <v>52</v>
      </c>
      <c r="J278" t="s">
        <v>52</v>
      </c>
      <c r="K278" t="s">
        <v>52</v>
      </c>
      <c r="L278" t="s">
        <v>191</v>
      </c>
      <c r="M278" t="s">
        <v>192</v>
      </c>
      <c r="N278" t="s">
        <v>55</v>
      </c>
      <c r="O278" t="s">
        <v>149</v>
      </c>
      <c r="P278" t="s">
        <v>151</v>
      </c>
      <c r="Q278" t="s">
        <v>51</v>
      </c>
      <c r="R278" t="s">
        <v>51</v>
      </c>
      <c r="S278" t="s">
        <v>51</v>
      </c>
      <c r="T278" t="s">
        <v>51</v>
      </c>
    </row>
    <row r="279" spans="1:20">
      <c r="A279" t="s">
        <v>57</v>
      </c>
      <c r="B279" t="s">
        <v>58</v>
      </c>
      <c r="C279" t="s">
        <v>166</v>
      </c>
      <c r="D279" t="s">
        <v>50</v>
      </c>
      <c r="E279" t="s">
        <v>51</v>
      </c>
      <c r="F279" t="s">
        <v>51</v>
      </c>
      <c r="G279" t="s">
        <v>52</v>
      </c>
      <c r="H279" t="s">
        <v>52</v>
      </c>
      <c r="I279" t="s">
        <v>52</v>
      </c>
      <c r="J279" t="s">
        <v>52</v>
      </c>
      <c r="K279" t="s">
        <v>52</v>
      </c>
      <c r="L279" t="s">
        <v>191</v>
      </c>
      <c r="M279" t="s">
        <v>192</v>
      </c>
      <c r="N279" t="s">
        <v>55</v>
      </c>
      <c r="O279" t="s">
        <v>149</v>
      </c>
      <c r="P279" t="s">
        <v>151</v>
      </c>
      <c r="Q279" t="s">
        <v>51</v>
      </c>
      <c r="R279" t="s">
        <v>51</v>
      </c>
      <c r="S279" t="s">
        <v>51</v>
      </c>
      <c r="T279" t="s">
        <v>51</v>
      </c>
    </row>
    <row r="280" spans="1:20">
      <c r="A280" t="s">
        <v>59</v>
      </c>
      <c r="B280" t="s">
        <v>60</v>
      </c>
      <c r="C280" t="s">
        <v>166</v>
      </c>
      <c r="D280" t="s">
        <v>50</v>
      </c>
      <c r="E280" t="s">
        <v>51</v>
      </c>
      <c r="F280" t="s">
        <v>51</v>
      </c>
      <c r="G280" t="s">
        <v>52</v>
      </c>
      <c r="H280" t="s">
        <v>52</v>
      </c>
      <c r="I280" t="s">
        <v>52</v>
      </c>
      <c r="J280" t="s">
        <v>52</v>
      </c>
      <c r="K280" t="s">
        <v>52</v>
      </c>
      <c r="L280" t="s">
        <v>191</v>
      </c>
      <c r="M280" t="s">
        <v>192</v>
      </c>
      <c r="N280" t="s">
        <v>55</v>
      </c>
      <c r="O280" t="s">
        <v>149</v>
      </c>
      <c r="P280" t="s">
        <v>151</v>
      </c>
      <c r="Q280" t="s">
        <v>51</v>
      </c>
      <c r="R280" t="s">
        <v>51</v>
      </c>
      <c r="S280" t="s">
        <v>51</v>
      </c>
      <c r="T280" t="s">
        <v>51</v>
      </c>
    </row>
    <row r="281" spans="1:20">
      <c r="A281" t="s">
        <v>160</v>
      </c>
      <c r="B281" t="s">
        <v>48</v>
      </c>
      <c r="C281" t="s">
        <v>49</v>
      </c>
      <c r="D281" t="s">
        <v>51</v>
      </c>
      <c r="E281" t="s">
        <v>50</v>
      </c>
      <c r="F281" t="s">
        <v>51</v>
      </c>
      <c r="G281" t="s">
        <v>52</v>
      </c>
      <c r="H281" t="s">
        <v>52</v>
      </c>
      <c r="I281" t="s">
        <v>52</v>
      </c>
      <c r="J281" t="s">
        <v>161</v>
      </c>
      <c r="K281" t="s">
        <v>52</v>
      </c>
      <c r="L281" t="s">
        <v>193</v>
      </c>
      <c r="M281" t="s">
        <v>558</v>
      </c>
      <c r="N281" t="s">
        <v>55</v>
      </c>
      <c r="O281" t="s">
        <v>129</v>
      </c>
      <c r="P281" t="s">
        <v>52</v>
      </c>
      <c r="Q281" t="s">
        <v>50</v>
      </c>
      <c r="R281" t="s">
        <v>51</v>
      </c>
      <c r="S281" t="s">
        <v>51</v>
      </c>
      <c r="T281" t="s">
        <v>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DocumentDate xmlns="08F44E9F-55A5-4D8C-81FA-E5E52F0C7A16">2024-05-05T22:00:00+00:00</DocumentDate>
    <SeqenceNumber xmlns="08f44e9f-55a5-4d8c-81fa-e5e52f0c7a16" xsi:nil="true"/>
    <ToBeArchived xmlns="08f44e9f-55a5-4d8c-81fa-e5e52f0c7a16">Nein</ToBeArchived>
    <_dlc_DocId xmlns="82c37705-afd5-4d11-a1ea-0266d9d1a166">6009-P-2-6786</_dlc_DocId>
    <_dlc_DocIdUrl xmlns="82c37705-afd5-4d11-a1ea-0266d9d1a166">
      <Url>https://dok.finma.ch/sites/6009-P/_layouts/15/DocIdRedir.aspx?ID=6009-P-2-6786</Url>
      <Description>6009-P-2-6786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0662A3-8778-479F-8B9D-E1683E2642CB}">
  <ds:schemaRefs>
    <ds:schemaRef ds:uri="http://schemas.microsoft.com/office/infopath/2007/PartnerControls"/>
    <ds:schemaRef ds:uri="http://purl.org/dc/terms/"/>
    <ds:schemaRef ds:uri="a13ce8e2-0bfa-4ae3-b62f-afeb61f48330"/>
    <ds:schemaRef ds:uri="http://purl.org/dc/dcmitype/"/>
    <ds:schemaRef ds:uri="1AB9BBCC-83C6-4736-B39B-ABA04A32D413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ab9bbcc-83c6-4736-b39b-aba04a32d413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099804-B725-4B25-92CB-5F592ADDD4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C2F174F-0329-4D3F-8962-B0754B8B281E}"/>
</file>

<file path=customXml/itemProps4.xml><?xml version="1.0" encoding="utf-8"?>
<ds:datastoreItem xmlns:ds="http://schemas.openxmlformats.org/officeDocument/2006/customXml" ds:itemID="{996F4A04-98AE-4982-A73C-943942374F0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6339c0-82ad-448c-ad0e-099d7c3d4715}" enabled="1" method="Privileged" siteId="{af7227b1-ac3a-4487-9e9f-ba462bb409d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Intro_SM_UVG_Valuation</vt:lpstr>
      <vt:lpstr>Inputparam</vt:lpstr>
      <vt:lpstr>UVG_Input_Data</vt:lpstr>
      <vt:lpstr>UVG_Calculations</vt:lpstr>
      <vt:lpstr>UVG_Output</vt:lpstr>
      <vt:lpstr>Glossary</vt:lpstr>
      <vt:lpstr>Configuration</vt:lpstr>
      <vt:lpstr>_down</vt:lpstr>
      <vt:lpstr>_end</vt:lpstr>
      <vt:lpstr>_LongTerm</vt:lpstr>
      <vt:lpstr>_maturity</vt:lpstr>
      <vt:lpstr>_middleTerm</vt:lpstr>
      <vt:lpstr>_million</vt:lpstr>
      <vt:lpstr>_million1</vt:lpstr>
      <vt:lpstr>_neurente</vt:lpstr>
      <vt:lpstr>_shortTerm</vt:lpstr>
      <vt:lpstr>_start</vt:lpstr>
      <vt:lpstr>_up</vt:lpstr>
      <vt:lpstr>current_year</vt:lpstr>
      <vt:lpstr>Language</vt:lpstr>
      <vt:lpstr>name_of_insurer</vt:lpstr>
      <vt:lpstr>Translation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2024-04-15T10:59:44Z</dcterms:created>
  <dcterms:modified xsi:type="dcterms:W3CDTF">2024-10-29T13:25:57Z</dcterms:modified>
  <cp:category/>
  <dc:identifier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U">
    <vt:lpwstr>2;#GB-V|f8d7b412-2487-4e9a-b58d-c7490dedd0c5</vt:lpwstr>
  </property>
  <property fmtid="{D5CDD505-2E9C-101B-9397-08002B2CF9AE}" pid="3" name="ContentTypeId">
    <vt:lpwstr>0x0101003951D1F36BC944E987AD610ADE6A10C3002366F3BBC8CE234B84695397A2A93407</vt:lpwstr>
  </property>
  <property fmtid="{D5CDD505-2E9C-101B-9397-08002B2CF9AE}" pid="4" name="_dlc_DocIdItemGuid">
    <vt:lpwstr>5b2c1998-0d19-4d1f-b1e7-3fc580a8531b</vt:lpwstr>
  </property>
  <property fmtid="{D5CDD505-2E9C-101B-9397-08002B2CF9AE}" pid="5" name="MediaServiceImageTags">
    <vt:lpwstr/>
  </property>
  <property fmtid="{D5CDD505-2E9C-101B-9397-08002B2CF9AE}" pid="6" name="Topic">
    <vt:lpwstr>12;#Aufsichtsabgabe|1bb1ff23-244b-430d-b77e-6c87f49b07f4</vt:lpwstr>
  </property>
  <property fmtid="{D5CDD505-2E9C-101B-9397-08002B2CF9AE}" pid="7" name="DossierStatus_Note">
    <vt:lpwstr/>
  </property>
  <property fmtid="{D5CDD505-2E9C-101B-9397-08002B2CF9AE}" pid="8" name="OSP">
    <vt:lpwstr>13;#4-02.9 Verschiedenes|b7add63a-7a8a-4b8a-bfff-6c9ce2cbce07</vt:lpwstr>
  </property>
</Properties>
</file>